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ebsite\strata-961774812\images\"/>
    </mc:Choice>
  </mc:AlternateContent>
  <xr:revisionPtr revIDLastSave="0" documentId="8_{6204C37E-B005-43DB-869A-8343701FA2DB}" xr6:coauthVersionLast="45" xr6:coauthVersionMax="45" xr10:uidLastSave="{00000000-0000-0000-0000-000000000000}"/>
  <bookViews>
    <workbookView xWindow="-120" yWindow="-120" windowWidth="38640" windowHeight="15840" xr2:uid="{98A67172-9533-4792-BB2C-BA58EAB31180}"/>
  </bookViews>
  <sheets>
    <sheet name="Transmission Gear Ratio" sheetId="1" r:id="rId1"/>
    <sheet name="Brake Pads" sheetId="2" r:id="rId2"/>
    <sheet name="Swingarms" sheetId="3" r:id="rId3"/>
    <sheet name="Cam Chain Tensioner" sheetId="6" r:id="rId4"/>
    <sheet name="FBD" sheetId="7" r:id="rId5"/>
    <sheet name="Rear Sprocket" sheetId="8" r:id="rId6"/>
  </sheets>
  <definedNames>
    <definedName name="CIQWBGuid" hidden="1">"8e0fcfa5-0334-422b-b002-e3eeeb3d8927"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3" i="6" l="1"/>
  <c r="H11" i="6"/>
  <c r="J11" i="6"/>
  <c r="J6" i="6"/>
  <c r="E9" i="6" l="1"/>
  <c r="C25" i="2" l="1"/>
  <c r="C7" i="8" l="1"/>
  <c r="D7" i="8" s="1"/>
  <c r="C5" i="8"/>
  <c r="E21" i="7" l="1"/>
  <c r="E23" i="7" s="1"/>
  <c r="E13" i="7"/>
  <c r="E15" i="7" s="1"/>
  <c r="E4" i="7"/>
  <c r="E6" i="7" s="1"/>
  <c r="K5" i="7" s="1"/>
  <c r="K6" i="7" s="1"/>
  <c r="C18" i="6"/>
  <c r="E11" i="6" l="1"/>
  <c r="C11" i="6"/>
  <c r="J7" i="6"/>
  <c r="H10" i="6" s="1"/>
  <c r="E7" i="6"/>
  <c r="C10" i="6" s="1"/>
  <c r="H5" i="6"/>
  <c r="H9" i="6" s="1"/>
  <c r="C5" i="6"/>
  <c r="C9" i="6" s="1"/>
  <c r="E10" i="6" s="1"/>
  <c r="D12" i="6" s="1"/>
  <c r="E6" i="6"/>
  <c r="D13" i="6" l="1"/>
  <c r="J9" i="6"/>
  <c r="J10" i="6" s="1"/>
  <c r="I12" i="6" s="1"/>
  <c r="I14" i="6"/>
  <c r="E56" i="1"/>
  <c r="I32" i="1" s="1"/>
  <c r="K32" i="1" s="1"/>
  <c r="L32" i="1" s="1"/>
  <c r="E55" i="1"/>
  <c r="E45" i="1"/>
  <c r="E44" i="1"/>
  <c r="E54" i="1"/>
  <c r="E53" i="1"/>
  <c r="E52" i="1"/>
  <c r="E51" i="1"/>
  <c r="E50" i="1"/>
  <c r="E49" i="1"/>
  <c r="E43" i="1"/>
  <c r="I21" i="1" s="1"/>
  <c r="K21" i="1" s="1"/>
  <c r="L21" i="1" s="1"/>
  <c r="E42" i="1"/>
  <c r="I20" i="1" s="1"/>
  <c r="K20" i="1" s="1"/>
  <c r="L20" i="1" s="1"/>
  <c r="E41" i="1"/>
  <c r="I19" i="1" s="1"/>
  <c r="K19" i="1" s="1"/>
  <c r="L19" i="1" s="1"/>
  <c r="E40" i="1"/>
  <c r="I18" i="1" s="1"/>
  <c r="K18" i="1" s="1"/>
  <c r="L18" i="1" s="1"/>
  <c r="E39" i="1"/>
  <c r="I17" i="1" s="1"/>
  <c r="K17" i="1" s="1"/>
  <c r="L17" i="1" s="1"/>
  <c r="E38" i="1"/>
  <c r="I16" i="1" s="1"/>
  <c r="K16" i="1" s="1"/>
  <c r="F26" i="1"/>
  <c r="F27" i="1" s="1"/>
  <c r="F20" i="1"/>
  <c r="F21" i="1" s="1"/>
  <c r="C16" i="1"/>
  <c r="C17" i="7" l="1"/>
  <c r="L16" i="1"/>
  <c r="C16" i="7" s="1"/>
  <c r="E16" i="7" s="1"/>
  <c r="E17" i="7" s="1"/>
  <c r="I29" i="1"/>
  <c r="K29" i="1" s="1"/>
  <c r="L29" i="1" s="1"/>
  <c r="I30" i="1"/>
  <c r="K30" i="1" s="1"/>
  <c r="L30" i="1" s="1"/>
  <c r="I27" i="1"/>
  <c r="K27" i="1" s="1"/>
  <c r="I31" i="1"/>
  <c r="K31" i="1" s="1"/>
  <c r="L31" i="1" s="1"/>
  <c r="I28" i="1"/>
  <c r="K28" i="1" s="1"/>
  <c r="L28" i="1" s="1"/>
  <c r="C9" i="2"/>
  <c r="C23" i="2"/>
  <c r="G7" i="2"/>
  <c r="C22" i="2" s="1"/>
  <c r="C27" i="2" s="1"/>
  <c r="C21" i="2"/>
  <c r="C11" i="2"/>
  <c r="C10" i="2"/>
  <c r="L27" i="1" l="1"/>
  <c r="C24" i="7" s="1"/>
  <c r="E24" i="7" s="1"/>
  <c r="E25" i="7" s="1"/>
  <c r="C25" i="7"/>
  <c r="F14" i="1"/>
  <c r="F15" i="1" s="1"/>
  <c r="C34" i="1"/>
  <c r="C17" i="1"/>
  <c r="C18" i="1" s="1"/>
  <c r="C19" i="1" s="1"/>
  <c r="C20" i="1" s="1"/>
  <c r="C26" i="1"/>
  <c r="E9" i="1"/>
  <c r="E8" i="1"/>
  <c r="E7" i="1"/>
  <c r="E6" i="1"/>
  <c r="E5" i="1"/>
  <c r="E4" i="1"/>
  <c r="I7" i="1" l="1"/>
  <c r="K7" i="1" s="1"/>
  <c r="L7" i="1" s="1"/>
  <c r="J18" i="1"/>
  <c r="J32" i="1"/>
  <c r="I10" i="1"/>
  <c r="K10" i="1" s="1"/>
  <c r="L10" i="1" s="1"/>
  <c r="I6" i="1"/>
  <c r="I9" i="1"/>
  <c r="K9" i="1" s="1"/>
  <c r="L9" i="1" s="1"/>
  <c r="I5" i="1"/>
  <c r="K5" i="1" s="1"/>
  <c r="J21" i="1"/>
  <c r="I8" i="1"/>
  <c r="J8" i="1" s="1"/>
  <c r="J16" i="1"/>
  <c r="J9" i="1"/>
  <c r="J10" i="1"/>
  <c r="J29" i="1"/>
  <c r="J20" i="1"/>
  <c r="J30" i="1"/>
  <c r="J17" i="1"/>
  <c r="L5" i="1" l="1"/>
  <c r="C7" i="7" s="1"/>
  <c r="E7" i="7" s="1"/>
  <c r="E8" i="7" s="1"/>
  <c r="C8" i="7"/>
  <c r="J5" i="1"/>
  <c r="K6" i="1"/>
  <c r="L6" i="1" s="1"/>
  <c r="J19" i="1"/>
  <c r="J7" i="1"/>
  <c r="J28" i="1"/>
  <c r="J31" i="1"/>
  <c r="K8" i="1"/>
  <c r="L8" i="1" s="1"/>
  <c r="J27" i="1"/>
  <c r="J6" i="1"/>
  <c r="C19" i="6"/>
  <c r="C20" i="6" s="1"/>
</calcChain>
</file>

<file path=xl/sharedStrings.xml><?xml version="1.0" encoding="utf-8"?>
<sst xmlns="http://schemas.openxmlformats.org/spreadsheetml/2006/main" count="216" uniqueCount="123">
  <si>
    <t>Gear</t>
  </si>
  <si>
    <t>Drive Gear Tooth Count</t>
  </si>
  <si>
    <t>Driven Gear Tooth Count</t>
  </si>
  <si>
    <t>Transmission Gear Ratio</t>
  </si>
  <si>
    <t xml:space="preserve">Power estimation </t>
  </si>
  <si>
    <t># of Cylinders</t>
  </si>
  <si>
    <t>Fires per sec</t>
  </si>
  <si>
    <t>Power (Watts)</t>
  </si>
  <si>
    <t>Power (HP)</t>
  </si>
  <si>
    <t>RPM</t>
  </si>
  <si>
    <t>Final Drive</t>
  </si>
  <si>
    <t>Front Tooth Count</t>
  </si>
  <si>
    <t>Rear Tooth Count</t>
  </si>
  <si>
    <t>Torque</t>
  </si>
  <si>
    <t>Train Value</t>
  </si>
  <si>
    <t>Speed</t>
  </si>
  <si>
    <t>Constants</t>
  </si>
  <si>
    <t>Compression Ratio</t>
  </si>
  <si>
    <t>Pressure</t>
  </si>
  <si>
    <t>Clutch Basket Tooth</t>
  </si>
  <si>
    <t>Crankshaft Tooth</t>
  </si>
  <si>
    <t>Primary Drive Train</t>
  </si>
  <si>
    <t>Tire Rotations per min</t>
  </si>
  <si>
    <t>Circumference (Miles)</t>
  </si>
  <si>
    <t>lbf*ft</t>
  </si>
  <si>
    <t>Diameter (in)</t>
  </si>
  <si>
    <t>Circumference (in)</t>
  </si>
  <si>
    <t>Stroke (m)</t>
  </si>
  <si>
    <t>Bore (m)</t>
  </si>
  <si>
    <t>rev/min</t>
  </si>
  <si>
    <t>mph</t>
  </si>
  <si>
    <t xml:space="preserve">Force </t>
  </si>
  <si>
    <t>lbf</t>
  </si>
  <si>
    <t>Brake System Constants</t>
  </si>
  <si>
    <t>Brake Fluid Density</t>
  </si>
  <si>
    <t>Rear Master Cylinder Length</t>
  </si>
  <si>
    <t>Fluid Mechanics (Continuity Equation)</t>
  </si>
  <si>
    <t>Front Master Cylinde Dim</t>
  </si>
  <si>
    <t>Front Master Cylinder Input Force</t>
  </si>
  <si>
    <t>Front Master Cylinder d</t>
  </si>
  <si>
    <t>D (in)</t>
  </si>
  <si>
    <t>L (in)</t>
  </si>
  <si>
    <t>d (in)</t>
  </si>
  <si>
    <t>Brake Fluid Density (lb*in)</t>
  </si>
  <si>
    <t>Front Master Cylinder Length (in)</t>
  </si>
  <si>
    <t>Front Master Cylinder Piston (in)</t>
  </si>
  <si>
    <t>Rear Master Cylinder Piston (in)</t>
  </si>
  <si>
    <t>Front Brake Piston 1 (in)</t>
  </si>
  <si>
    <t>Front Brake Piston 2 (in)</t>
  </si>
  <si>
    <t>Rear Brake Piston 1 (in)</t>
  </si>
  <si>
    <t>Rear Brake Piston 2 (in)</t>
  </si>
  <si>
    <t>Front Brake Caliper Piston Area (in^2)</t>
  </si>
  <si>
    <t>Rear Brake Area (in^2)</t>
  </si>
  <si>
    <t>Front Master Cylinder Area (in^2)</t>
  </si>
  <si>
    <t>Rear Master Cylinder Area (in^2)</t>
  </si>
  <si>
    <t>Force (lbf)</t>
  </si>
  <si>
    <t>w (lbf/in)</t>
  </si>
  <si>
    <t>Brake Caliper d</t>
  </si>
  <si>
    <t>Force on Caliper</t>
  </si>
  <si>
    <t>Front Brake</t>
  </si>
  <si>
    <t>Coefficent of Friction</t>
  </si>
  <si>
    <t>Friction Force</t>
  </si>
  <si>
    <t>Rear Brakes</t>
  </si>
  <si>
    <t>Power Numbers (Matlab)</t>
  </si>
  <si>
    <t>2004 Ninja 250</t>
  </si>
  <si>
    <t>2019 Yamaha R6</t>
  </si>
  <si>
    <t>2019 Yamaha R1</t>
  </si>
  <si>
    <t>Tire Specs (Ninja 250)</t>
  </si>
  <si>
    <t>Tire Specs (Yamaha R6)</t>
  </si>
  <si>
    <t>Tire Specs (Yamaha R1)</t>
  </si>
  <si>
    <t>Wheel Horsepower and Torque Calculations (Ninja 250)</t>
  </si>
  <si>
    <t>Transmission Gear Ratio (Yamaha R6)</t>
  </si>
  <si>
    <t>Transmission Gear Ratio (Yamaha R1)</t>
  </si>
  <si>
    <t>Wheel Horsepower and Torque Calculations (Yamaha R6)</t>
  </si>
  <si>
    <t>Wheel Horsepower and Torque Calculations (Yamaha R1)</t>
  </si>
  <si>
    <t>Primary Drive</t>
  </si>
  <si>
    <t>Spring 1</t>
  </si>
  <si>
    <t>Na</t>
  </si>
  <si>
    <t>Nt</t>
  </si>
  <si>
    <t>G</t>
  </si>
  <si>
    <t>D</t>
  </si>
  <si>
    <t>d</t>
  </si>
  <si>
    <t>A</t>
  </si>
  <si>
    <t>m</t>
  </si>
  <si>
    <t>k</t>
  </si>
  <si>
    <t>lbf/in</t>
  </si>
  <si>
    <t>Spring 2</t>
  </si>
  <si>
    <t>C</t>
  </si>
  <si>
    <t>L0</t>
  </si>
  <si>
    <t>Ls</t>
  </si>
  <si>
    <t>Fmax</t>
  </si>
  <si>
    <t>Kb</t>
  </si>
  <si>
    <t>tau max</t>
  </si>
  <si>
    <t>psi</t>
  </si>
  <si>
    <t>Sult</t>
  </si>
  <si>
    <t>Sy</t>
  </si>
  <si>
    <t>factor of safety</t>
  </si>
  <si>
    <t>Force at 1</t>
  </si>
  <si>
    <t>in</t>
  </si>
  <si>
    <t>Max Deflection</t>
  </si>
  <si>
    <t>Push Rod Stress</t>
  </si>
  <si>
    <t>Ninja 250</t>
  </si>
  <si>
    <t>sigma</t>
  </si>
  <si>
    <t>Length</t>
  </si>
  <si>
    <t>Curb Weight</t>
  </si>
  <si>
    <t>Rider Weight</t>
  </si>
  <si>
    <t>Force</t>
  </si>
  <si>
    <t>Weight Force</t>
  </si>
  <si>
    <t>Friction coefficient</t>
  </si>
  <si>
    <t>Friction force</t>
  </si>
  <si>
    <t>Net Force</t>
  </si>
  <si>
    <t>Acceleration</t>
  </si>
  <si>
    <t>FT/S</t>
  </si>
  <si>
    <t>Yamaha R6</t>
  </si>
  <si>
    <t>FT/s</t>
  </si>
  <si>
    <t>Yamaha R1</t>
  </si>
  <si>
    <t>Ft/s</t>
  </si>
  <si>
    <t>Diameter</t>
  </si>
  <si>
    <t>Toothcount</t>
  </si>
  <si>
    <t>Pitch</t>
  </si>
  <si>
    <t>Circular Pitch</t>
  </si>
  <si>
    <t>Brakes</t>
  </si>
  <si>
    <t>Total 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</si>
</sst>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4" xfId="0" applyBorder="1"/>
    <xf numFmtId="0" fontId="0" fillId="0" borderId="7" xfId="0" applyBorder="1"/>
    <xf numFmtId="2" fontId="0" fillId="0" borderId="9" xfId="0" applyNumberFormat="1" applyBorder="1"/>
    <xf numFmtId="0" fontId="0" fillId="0" borderId="9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2" fontId="0" fillId="0" borderId="10" xfId="0" applyNumberFormat="1" applyBorder="1" applyAlignment="1">
      <alignment horizontal="center"/>
    </xf>
    <xf numFmtId="0" fontId="0" fillId="0" borderId="4" xfId="0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0" xfId="0" applyNumberFormat="1"/>
    <xf numFmtId="0" fontId="0" fillId="0" borderId="0" xfId="0" applyBorder="1"/>
    <xf numFmtId="0" fontId="0" fillId="0" borderId="0" xfId="0" applyFill="1" applyBorder="1"/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/>
    <xf numFmtId="0" fontId="0" fillId="0" borderId="0" xfId="0" applyFill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/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Border="1"/>
    <xf numFmtId="166" fontId="0" fillId="0" borderId="0" xfId="0" applyNumberFormat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49CC3-8889-46AB-828F-A0E4C474114A}">
  <dimension ref="B1:L56"/>
  <sheetViews>
    <sheetView tabSelected="1" workbookViewId="0">
      <selection activeCell="C16" sqref="C16"/>
    </sheetView>
  </sheetViews>
  <sheetFormatPr defaultColWidth="8.85546875" defaultRowHeight="15" x14ac:dyDescent="0.25"/>
  <cols>
    <col min="2" max="2" width="19.28515625" customWidth="1"/>
    <col min="3" max="3" width="22.28515625" customWidth="1"/>
    <col min="4" max="4" width="23.85546875" customWidth="1"/>
    <col min="5" max="5" width="21.28515625" customWidth="1"/>
    <col min="8" max="8" width="5.28515625" customWidth="1"/>
    <col min="9" max="9" width="23.7109375" customWidth="1"/>
  </cols>
  <sheetData>
    <row r="1" spans="2:12" ht="15.75" thickBot="1" x14ac:dyDescent="0.3"/>
    <row r="2" spans="2:12" x14ac:dyDescent="0.25">
      <c r="B2" s="42" t="s">
        <v>3</v>
      </c>
      <c r="C2" s="43"/>
      <c r="D2" s="43"/>
      <c r="E2" s="44"/>
      <c r="G2" s="25"/>
      <c r="H2" s="39" t="s">
        <v>70</v>
      </c>
      <c r="I2" s="40"/>
      <c r="J2" s="40"/>
      <c r="K2" s="40"/>
      <c r="L2" s="41"/>
    </row>
    <row r="3" spans="2:12" x14ac:dyDescent="0.25">
      <c r="B3" s="5" t="s">
        <v>0</v>
      </c>
      <c r="C3" s="6" t="s">
        <v>1</v>
      </c>
      <c r="D3" s="6" t="s">
        <v>2</v>
      </c>
      <c r="E3" s="7" t="s">
        <v>14</v>
      </c>
      <c r="G3" s="26"/>
      <c r="H3" s="15" t="s">
        <v>0</v>
      </c>
      <c r="I3" s="16" t="s">
        <v>22</v>
      </c>
      <c r="J3" s="16" t="s">
        <v>15</v>
      </c>
      <c r="K3" s="16" t="s">
        <v>13</v>
      </c>
      <c r="L3" s="17" t="s">
        <v>31</v>
      </c>
    </row>
    <row r="4" spans="2:12" x14ac:dyDescent="0.25">
      <c r="B4" s="5">
        <v>1</v>
      </c>
      <c r="C4" s="6">
        <v>15</v>
      </c>
      <c r="D4" s="6">
        <v>39</v>
      </c>
      <c r="E4" s="8">
        <f>C4/D4</f>
        <v>0.38461538461538464</v>
      </c>
      <c r="G4" s="26"/>
      <c r="H4" s="15"/>
      <c r="I4" s="18" t="s">
        <v>29</v>
      </c>
      <c r="J4" s="18" t="s">
        <v>30</v>
      </c>
      <c r="K4" s="6" t="s">
        <v>24</v>
      </c>
      <c r="L4" s="7" t="s">
        <v>32</v>
      </c>
    </row>
    <row r="5" spans="2:12" x14ac:dyDescent="0.25">
      <c r="B5" s="5">
        <v>2</v>
      </c>
      <c r="C5" s="6">
        <v>19</v>
      </c>
      <c r="D5" s="6">
        <v>34</v>
      </c>
      <c r="E5" s="8">
        <f t="shared" ref="E5:E9" si="0">C5/D5</f>
        <v>0.55882352941176472</v>
      </c>
      <c r="G5" s="26"/>
      <c r="H5" s="15">
        <v>1</v>
      </c>
      <c r="I5" s="18">
        <f>($C$30*$C$34)*E4*$C$26</f>
        <v>476.1044901889972</v>
      </c>
      <c r="J5" s="18">
        <f>$F$15*I5*60</f>
        <v>37.109877708744619</v>
      </c>
      <c r="K5" s="6">
        <f>($C$20*33000)/(I5*(2*PI()))</f>
        <v>426.84679263791952</v>
      </c>
      <c r="L5" s="4">
        <f>K5*($F$13/24)</f>
        <v>465.97441529639542</v>
      </c>
    </row>
    <row r="6" spans="2:12" x14ac:dyDescent="0.25">
      <c r="B6" s="5">
        <v>3</v>
      </c>
      <c r="C6" s="6">
        <v>22</v>
      </c>
      <c r="D6" s="6">
        <v>32</v>
      </c>
      <c r="E6" s="8">
        <f t="shared" si="0"/>
        <v>0.6875</v>
      </c>
      <c r="G6" s="26"/>
      <c r="H6" s="15">
        <v>2</v>
      </c>
      <c r="I6" s="18">
        <f t="shared" ref="I6:I10" si="1">($C$30*$C$34)*E5*$C$26</f>
        <v>691.75181809813125</v>
      </c>
      <c r="J6" s="18">
        <f t="shared" ref="J6:J10" si="2">$F$15*I6*60</f>
        <v>53.918469376823076</v>
      </c>
      <c r="K6" s="6">
        <f>($C$20*33000)/(I6*(2*PI()))</f>
        <v>293.78119331354782</v>
      </c>
      <c r="L6" s="4">
        <f t="shared" ref="L6:L10" si="3">K6*($F$13/24)</f>
        <v>320.71113603395634</v>
      </c>
    </row>
    <row r="7" spans="2:12" x14ac:dyDescent="0.25">
      <c r="B7" s="5">
        <v>4</v>
      </c>
      <c r="C7" s="6">
        <v>25</v>
      </c>
      <c r="D7" s="6">
        <v>29</v>
      </c>
      <c r="E7" s="8">
        <f t="shared" si="0"/>
        <v>0.86206896551724133</v>
      </c>
      <c r="G7" s="26"/>
      <c r="H7" s="15">
        <v>3</v>
      </c>
      <c r="I7" s="18">
        <f t="shared" si="1"/>
        <v>851.03677621283248</v>
      </c>
      <c r="J7" s="18">
        <f>$F$15*I7*60</f>
        <v>66.333906404381011</v>
      </c>
      <c r="K7" s="6">
        <f t="shared" ref="K7:K9" si="4">($C$20*33000)/(I7*(2*PI()))</f>
        <v>238.7954084687662</v>
      </c>
      <c r="L7" s="4">
        <f t="shared" si="3"/>
        <v>260.68498757840308</v>
      </c>
    </row>
    <row r="8" spans="2:12" x14ac:dyDescent="0.25">
      <c r="B8" s="5">
        <v>5</v>
      </c>
      <c r="C8" s="6">
        <v>27</v>
      </c>
      <c r="D8" s="6">
        <v>27</v>
      </c>
      <c r="E8" s="8">
        <f t="shared" si="0"/>
        <v>1</v>
      </c>
      <c r="G8" s="26"/>
      <c r="H8" s="15">
        <v>4</v>
      </c>
      <c r="I8" s="18">
        <f t="shared" si="1"/>
        <v>1067.1307538718902</v>
      </c>
      <c r="J8" s="18">
        <f t="shared" si="2"/>
        <v>83.177312105806905</v>
      </c>
      <c r="K8" s="6">
        <f t="shared" si="4"/>
        <v>190.43933825384104</v>
      </c>
      <c r="L8" s="4">
        <f t="shared" si="3"/>
        <v>207.89627759377646</v>
      </c>
    </row>
    <row r="9" spans="2:12" ht="15.75" thickBot="1" x14ac:dyDescent="0.3">
      <c r="B9" s="9">
        <v>6</v>
      </c>
      <c r="C9" s="10">
        <v>28</v>
      </c>
      <c r="D9" s="10">
        <v>25</v>
      </c>
      <c r="E9" s="12">
        <f t="shared" si="0"/>
        <v>1.1200000000000001</v>
      </c>
      <c r="G9" s="26"/>
      <c r="H9" s="15">
        <v>5</v>
      </c>
      <c r="I9" s="18">
        <f t="shared" si="1"/>
        <v>1237.8716744913927</v>
      </c>
      <c r="J9" s="18">
        <f t="shared" si="2"/>
        <v>96.485682042736016</v>
      </c>
      <c r="K9" s="6">
        <f t="shared" si="4"/>
        <v>164.17184332227674</v>
      </c>
      <c r="L9" s="4">
        <f t="shared" si="3"/>
        <v>179.22092896015209</v>
      </c>
    </row>
    <row r="10" spans="2:12" ht="15.75" thickBot="1" x14ac:dyDescent="0.3">
      <c r="G10" s="26"/>
      <c r="H10" s="13">
        <v>6</v>
      </c>
      <c r="I10" s="27">
        <f t="shared" si="1"/>
        <v>1386.41627543036</v>
      </c>
      <c r="J10" s="14">
        <f t="shared" si="2"/>
        <v>108.06396388786436</v>
      </c>
      <c r="K10" s="10">
        <f>($C$20*33000)/(I10*(2*PI()))</f>
        <v>146.5820029663185</v>
      </c>
      <c r="L10" s="11">
        <f t="shared" si="3"/>
        <v>160.01868657156436</v>
      </c>
    </row>
    <row r="11" spans="2:12" ht="15" customHeight="1" thickBot="1" x14ac:dyDescent="0.3"/>
    <row r="12" spans="2:12" ht="15.75" thickBot="1" x14ac:dyDescent="0.3">
      <c r="B12" s="42" t="s">
        <v>4</v>
      </c>
      <c r="C12" s="44"/>
      <c r="E12" s="42" t="s">
        <v>67</v>
      </c>
      <c r="F12" s="44"/>
    </row>
    <row r="13" spans="2:12" x14ac:dyDescent="0.25">
      <c r="B13" s="2" t="s">
        <v>28</v>
      </c>
      <c r="C13" s="4">
        <v>6.2E-2</v>
      </c>
      <c r="E13" s="2" t="s">
        <v>25</v>
      </c>
      <c r="F13" s="4">
        <v>26.2</v>
      </c>
      <c r="H13" s="39" t="s">
        <v>73</v>
      </c>
      <c r="I13" s="40"/>
      <c r="J13" s="40"/>
      <c r="K13" s="40"/>
      <c r="L13" s="41"/>
    </row>
    <row r="14" spans="2:12" x14ac:dyDescent="0.25">
      <c r="B14" s="2" t="s">
        <v>27</v>
      </c>
      <c r="C14" s="4">
        <v>4.1200000000000001E-2</v>
      </c>
      <c r="E14" s="2" t="s">
        <v>26</v>
      </c>
      <c r="F14" s="3">
        <f>PI()*F13</f>
        <v>82.309727524052576</v>
      </c>
      <c r="H14" s="15" t="s">
        <v>0</v>
      </c>
      <c r="I14" s="16" t="s">
        <v>22</v>
      </c>
      <c r="J14" s="16" t="s">
        <v>15</v>
      </c>
      <c r="K14" s="16" t="s">
        <v>13</v>
      </c>
      <c r="L14" s="17" t="s">
        <v>31</v>
      </c>
    </row>
    <row r="15" spans="2:12" ht="15.75" thickBot="1" x14ac:dyDescent="0.3">
      <c r="B15" s="2" t="s">
        <v>5</v>
      </c>
      <c r="C15" s="4">
        <v>2</v>
      </c>
      <c r="E15" s="1" t="s">
        <v>23</v>
      </c>
      <c r="F15" s="11">
        <f>F14/63360</f>
        <v>1.2990802955185066E-3</v>
      </c>
      <c r="H15" s="15"/>
      <c r="I15" s="18" t="s">
        <v>29</v>
      </c>
      <c r="J15" s="18" t="s">
        <v>30</v>
      </c>
      <c r="K15" s="6" t="s">
        <v>24</v>
      </c>
      <c r="L15" s="7" t="s">
        <v>32</v>
      </c>
    </row>
    <row r="16" spans="2:12" x14ac:dyDescent="0.25">
      <c r="B16" s="2" t="s">
        <v>18</v>
      </c>
      <c r="C16" s="4">
        <f>C31*100000*1.013</f>
        <v>1231706.7</v>
      </c>
      <c r="H16" s="15">
        <v>1</v>
      </c>
      <c r="I16" s="18">
        <f>(E38*$E$44*$E$45)*$D$32</f>
        <v>962.63124604680581</v>
      </c>
      <c r="J16" s="18">
        <f>$F$15*I16*60</f>
        <v>75.032117015389957</v>
      </c>
      <c r="K16" s="6">
        <f>($F$32*33000)/(I16*(2*PI()))</f>
        <v>703.17815938310935</v>
      </c>
      <c r="L16" s="4">
        <f>K16*($F$19/24)</f>
        <v>726.61743136254643</v>
      </c>
    </row>
    <row r="17" spans="2:12" ht="15.75" thickBot="1" x14ac:dyDescent="0.3">
      <c r="B17" s="2" t="s">
        <v>9</v>
      </c>
      <c r="C17" s="4">
        <f>C30</f>
        <v>11300</v>
      </c>
      <c r="H17" s="15">
        <v>2</v>
      </c>
      <c r="I17" s="18">
        <f t="shared" ref="I17:I21" si="5">(E39*$E$44*$E$45)*$D$32</f>
        <v>1243.3986928104575</v>
      </c>
      <c r="J17" s="18">
        <f t="shared" ref="J17:J21" si="6">$F$15*I17*60</f>
        <v>96.916484478212041</v>
      </c>
      <c r="K17" s="6">
        <f>($F$32*33000)/(I17*(2*PI()))</f>
        <v>544.39599436111689</v>
      </c>
      <c r="L17" s="4">
        <f t="shared" ref="L17:L21" si="7">K17*($F$19/24)</f>
        <v>562.54252750648754</v>
      </c>
    </row>
    <row r="18" spans="2:12" x14ac:dyDescent="0.25">
      <c r="B18" s="2" t="s">
        <v>6</v>
      </c>
      <c r="C18" s="4">
        <f>(C17/60)/2</f>
        <v>94.166666666666671</v>
      </c>
      <c r="E18" s="42" t="s">
        <v>68</v>
      </c>
      <c r="F18" s="44"/>
      <c r="H18" s="15">
        <v>3</v>
      </c>
      <c r="I18" s="18">
        <f t="shared" si="5"/>
        <v>1492.0784313725492</v>
      </c>
      <c r="J18" s="18">
        <f t="shared" si="6"/>
        <v>116.29978137385446</v>
      </c>
      <c r="K18" s="6">
        <f t="shared" ref="K18:K21" si="8">($F$32*33000)/(I18*(2*PI()))</f>
        <v>453.66332863426402</v>
      </c>
      <c r="L18" s="4">
        <f t="shared" si="7"/>
        <v>468.78543958873951</v>
      </c>
    </row>
    <row r="19" spans="2:12" x14ac:dyDescent="0.25">
      <c r="B19" s="2" t="s">
        <v>7</v>
      </c>
      <c r="C19" s="4">
        <f>C15*(PI()/4)*(C13^2)*C14*C16*C18</f>
        <v>28853.929964283663</v>
      </c>
      <c r="E19" s="2" t="s">
        <v>25</v>
      </c>
      <c r="F19" s="4">
        <v>24.8</v>
      </c>
      <c r="H19" s="15">
        <v>4</v>
      </c>
      <c r="I19" s="18">
        <f t="shared" si="5"/>
        <v>1721.6289592760179</v>
      </c>
      <c r="J19" s="18">
        <f t="shared" si="6"/>
        <v>134.19205543137048</v>
      </c>
      <c r="K19" s="6">
        <f t="shared" si="8"/>
        <v>393.17488481636224</v>
      </c>
      <c r="L19" s="4">
        <f t="shared" si="7"/>
        <v>406.28071431024102</v>
      </c>
    </row>
    <row r="20" spans="2:12" ht="15.75" thickBot="1" x14ac:dyDescent="0.3">
      <c r="B20" s="1" t="s">
        <v>8</v>
      </c>
      <c r="C20" s="11">
        <f>C19*0.00134102</f>
        <v>38.693697160703678</v>
      </c>
      <c r="E20" s="2" t="s">
        <v>26</v>
      </c>
      <c r="F20" s="3">
        <f>PI()*F19</f>
        <v>77.911497809026869</v>
      </c>
      <c r="H20" s="15">
        <v>5</v>
      </c>
      <c r="I20" s="18">
        <f t="shared" si="5"/>
        <v>1934.1757443718227</v>
      </c>
      <c r="J20" s="18">
        <f t="shared" si="6"/>
        <v>150.75897585499649</v>
      </c>
      <c r="K20" s="6">
        <f t="shared" si="8"/>
        <v>349.96885351786091</v>
      </c>
      <c r="L20" s="4">
        <f t="shared" si="7"/>
        <v>361.63448196845633</v>
      </c>
    </row>
    <row r="21" spans="2:12" ht="15.75" thickBot="1" x14ac:dyDescent="0.3">
      <c r="E21" s="1" t="s">
        <v>23</v>
      </c>
      <c r="F21" s="11">
        <f>F20/63360</f>
        <v>1.2296637911778231E-3</v>
      </c>
      <c r="H21" s="13">
        <v>6</v>
      </c>
      <c r="I21" s="27">
        <f t="shared" si="5"/>
        <v>2162.4325092355784</v>
      </c>
      <c r="J21" s="14">
        <f t="shared" si="6"/>
        <v>168.55040778819486</v>
      </c>
      <c r="K21" s="29">
        <f t="shared" si="8"/>
        <v>313.02769675764222</v>
      </c>
      <c r="L21" s="30">
        <f t="shared" si="7"/>
        <v>323.46195331623034</v>
      </c>
    </row>
    <row r="22" spans="2:12" ht="15.75" thickBot="1" x14ac:dyDescent="0.3"/>
    <row r="23" spans="2:12" ht="15.75" thickBot="1" x14ac:dyDescent="0.3">
      <c r="B23" s="42" t="s">
        <v>10</v>
      </c>
      <c r="C23" s="44"/>
    </row>
    <row r="24" spans="2:12" x14ac:dyDescent="0.25">
      <c r="B24" s="2" t="s">
        <v>11</v>
      </c>
      <c r="C24" s="4">
        <v>14</v>
      </c>
      <c r="E24" s="42" t="s">
        <v>69</v>
      </c>
      <c r="F24" s="44"/>
      <c r="H24" s="39" t="s">
        <v>74</v>
      </c>
      <c r="I24" s="40"/>
      <c r="J24" s="40"/>
      <c r="K24" s="40"/>
      <c r="L24" s="41"/>
    </row>
    <row r="25" spans="2:12" x14ac:dyDescent="0.25">
      <c r="B25" s="2" t="s">
        <v>12</v>
      </c>
      <c r="C25" s="4">
        <v>45</v>
      </c>
      <c r="E25" s="2" t="s">
        <v>25</v>
      </c>
      <c r="F25" s="4">
        <v>25.2</v>
      </c>
      <c r="H25" s="15" t="s">
        <v>0</v>
      </c>
      <c r="I25" s="16" t="s">
        <v>22</v>
      </c>
      <c r="J25" s="16" t="s">
        <v>15</v>
      </c>
      <c r="K25" s="16" t="s">
        <v>13</v>
      </c>
      <c r="L25" s="17" t="s">
        <v>31</v>
      </c>
    </row>
    <row r="26" spans="2:12" ht="15.75" thickBot="1" x14ac:dyDescent="0.3">
      <c r="B26" s="1" t="s">
        <v>14</v>
      </c>
      <c r="C26" s="11">
        <f>C24/C25</f>
        <v>0.31111111111111112</v>
      </c>
      <c r="E26" s="2" t="s">
        <v>26</v>
      </c>
      <c r="F26" s="3">
        <f>PI()*F25</f>
        <v>79.168134870462779</v>
      </c>
      <c r="H26" s="15"/>
      <c r="I26" s="18" t="s">
        <v>29</v>
      </c>
      <c r="J26" s="18" t="s">
        <v>30</v>
      </c>
      <c r="K26" s="6" t="s">
        <v>24</v>
      </c>
      <c r="L26" s="7" t="s">
        <v>32</v>
      </c>
    </row>
    <row r="27" spans="2:12" ht="15.75" thickBot="1" x14ac:dyDescent="0.3">
      <c r="E27" s="1" t="s">
        <v>23</v>
      </c>
      <c r="F27" s="11">
        <f>F26/63360</f>
        <v>1.249497078132304E-3</v>
      </c>
      <c r="H27" s="15">
        <v>1</v>
      </c>
      <c r="I27" s="18">
        <f>E49*$E$55*$E$56*$D$33</f>
        <v>1331.7813765182186</v>
      </c>
      <c r="J27" s="18">
        <f>$F$15*I27*60</f>
        <v>103.80545665039986</v>
      </c>
      <c r="K27" s="6">
        <f>($F$33*33000)/(I27*(2*PI()))</f>
        <v>781.92233150960601</v>
      </c>
      <c r="L27" s="4">
        <f>K27*($F$25/24)</f>
        <v>821.01844808508633</v>
      </c>
    </row>
    <row r="28" spans="2:12" ht="15.75" thickBot="1" x14ac:dyDescent="0.3">
      <c r="H28" s="15">
        <v>2</v>
      </c>
      <c r="I28" s="18">
        <f t="shared" ref="I28:I32" si="9">E50*$E$55*$E$56*$D$33</f>
        <v>1635.8041958041958</v>
      </c>
      <c r="J28" s="18">
        <f t="shared" ref="J28:J32" si="10">$F$15*I28*60</f>
        <v>127.50245988574366</v>
      </c>
      <c r="K28" s="6">
        <f t="shared" ref="K28:K32" si="11">($F$33*33000)/(I28*(2*PI()))</f>
        <v>636.59795081785364</v>
      </c>
      <c r="L28" s="4">
        <f t="shared" ref="L28:L32" si="12">K28*($F$25/24)</f>
        <v>668.42784835874636</v>
      </c>
    </row>
    <row r="29" spans="2:12" ht="15.75" thickBot="1" x14ac:dyDescent="0.3">
      <c r="B29" s="42" t="s">
        <v>16</v>
      </c>
      <c r="C29" s="44"/>
      <c r="H29" s="15">
        <v>3</v>
      </c>
      <c r="I29" s="18">
        <f t="shared" si="9"/>
        <v>1914.8856548856547</v>
      </c>
      <c r="J29" s="18">
        <f t="shared" si="10"/>
        <v>149.25541334598032</v>
      </c>
      <c r="K29" s="6">
        <f t="shared" si="11"/>
        <v>543.81816289201925</v>
      </c>
      <c r="L29" s="4">
        <f t="shared" si="12"/>
        <v>571.00907103662018</v>
      </c>
    </row>
    <row r="30" spans="2:12" x14ac:dyDescent="0.25">
      <c r="B30" s="2" t="s">
        <v>9</v>
      </c>
      <c r="C30" s="4">
        <v>11300</v>
      </c>
      <c r="E30" s="42" t="s">
        <v>63</v>
      </c>
      <c r="F30" s="44"/>
      <c r="H30" s="15">
        <v>4</v>
      </c>
      <c r="I30" s="18">
        <f t="shared" si="9"/>
        <v>2217.098901098901</v>
      </c>
      <c r="J30" s="18">
        <f t="shared" si="10"/>
        <v>172.811369737999</v>
      </c>
      <c r="K30" s="6">
        <f t="shared" si="11"/>
        <v>469.69018769169702</v>
      </c>
      <c r="L30" s="4">
        <f t="shared" si="12"/>
        <v>493.17469707628192</v>
      </c>
    </row>
    <row r="31" spans="2:12" x14ac:dyDescent="0.25">
      <c r="B31" s="2" t="s">
        <v>17</v>
      </c>
      <c r="C31" s="4">
        <v>12.159000000000001</v>
      </c>
      <c r="D31">
        <v>11300</v>
      </c>
      <c r="E31" s="2" t="s">
        <v>64</v>
      </c>
      <c r="F31" s="4">
        <v>38.6937</v>
      </c>
      <c r="H31" s="15">
        <v>5</v>
      </c>
      <c r="I31" s="18">
        <f t="shared" si="9"/>
        <v>2474.1538461538457</v>
      </c>
      <c r="J31" s="18">
        <f t="shared" si="10"/>
        <v>192.84747057718727</v>
      </c>
      <c r="K31" s="6">
        <f t="shared" si="11"/>
        <v>420.89120715229996</v>
      </c>
      <c r="L31" s="4">
        <f t="shared" si="12"/>
        <v>441.93576750991497</v>
      </c>
    </row>
    <row r="32" spans="2:12" ht="15.75" thickBot="1" x14ac:dyDescent="0.3">
      <c r="B32" s="2" t="s">
        <v>20</v>
      </c>
      <c r="C32" s="4">
        <v>25</v>
      </c>
      <c r="D32">
        <v>14500</v>
      </c>
      <c r="E32" s="2" t="s">
        <v>65</v>
      </c>
      <c r="F32" s="4">
        <v>128.8817</v>
      </c>
      <c r="H32" s="13">
        <v>6</v>
      </c>
      <c r="I32" s="27">
        <f t="shared" si="9"/>
        <v>2658.1818181818176</v>
      </c>
      <c r="J32" s="14">
        <f t="shared" si="10"/>
        <v>207.19149731433339</v>
      </c>
      <c r="K32" s="29">
        <f t="shared" si="11"/>
        <v>391.75258511867924</v>
      </c>
      <c r="L32" s="30">
        <f t="shared" si="12"/>
        <v>411.3402143746132</v>
      </c>
    </row>
    <row r="33" spans="2:6" ht="15.75" thickBot="1" x14ac:dyDescent="0.3">
      <c r="B33" s="2" t="s">
        <v>19</v>
      </c>
      <c r="C33" s="4">
        <v>71</v>
      </c>
      <c r="D33">
        <v>13500</v>
      </c>
      <c r="E33" s="1" t="s">
        <v>66</v>
      </c>
      <c r="F33" s="11">
        <v>198.27250000000001</v>
      </c>
    </row>
    <row r="34" spans="2:6" ht="15.75" thickBot="1" x14ac:dyDescent="0.3">
      <c r="B34" s="1" t="s">
        <v>21</v>
      </c>
      <c r="C34" s="11">
        <f>C32/C33</f>
        <v>0.352112676056338</v>
      </c>
    </row>
    <row r="35" spans="2:6" ht="15.75" thickBot="1" x14ac:dyDescent="0.3"/>
    <row r="36" spans="2:6" x14ac:dyDescent="0.25">
      <c r="B36" s="42" t="s">
        <v>71</v>
      </c>
      <c r="C36" s="43"/>
      <c r="D36" s="43"/>
      <c r="E36" s="44"/>
    </row>
    <row r="37" spans="2:6" x14ac:dyDescent="0.25">
      <c r="B37" s="5" t="s">
        <v>0</v>
      </c>
      <c r="C37" s="6" t="s">
        <v>1</v>
      </c>
      <c r="D37" s="6" t="s">
        <v>2</v>
      </c>
      <c r="E37" s="7" t="s">
        <v>14</v>
      </c>
    </row>
    <row r="38" spans="2:6" x14ac:dyDescent="0.25">
      <c r="B38" s="5">
        <v>1</v>
      </c>
      <c r="C38" s="6">
        <v>12</v>
      </c>
      <c r="D38" s="6">
        <v>31</v>
      </c>
      <c r="E38" s="8">
        <f>C38/D38</f>
        <v>0.38709677419354838</v>
      </c>
    </row>
    <row r="39" spans="2:6" x14ac:dyDescent="0.25">
      <c r="B39" s="5">
        <v>2</v>
      </c>
      <c r="C39" s="6">
        <v>16</v>
      </c>
      <c r="D39" s="6">
        <v>32</v>
      </c>
      <c r="E39" s="8">
        <f t="shared" ref="E39:E45" si="13">C39/D39</f>
        <v>0.5</v>
      </c>
    </row>
    <row r="40" spans="2:6" x14ac:dyDescent="0.25">
      <c r="B40" s="5">
        <v>3</v>
      </c>
      <c r="C40" s="6">
        <v>18</v>
      </c>
      <c r="D40" s="6">
        <v>30</v>
      </c>
      <c r="E40" s="8">
        <f t="shared" si="13"/>
        <v>0.6</v>
      </c>
    </row>
    <row r="41" spans="2:6" x14ac:dyDescent="0.25">
      <c r="B41" s="5">
        <v>4</v>
      </c>
      <c r="C41" s="6">
        <v>18</v>
      </c>
      <c r="D41" s="6">
        <v>26</v>
      </c>
      <c r="E41" s="8">
        <f t="shared" si="13"/>
        <v>0.69230769230769229</v>
      </c>
    </row>
    <row r="42" spans="2:6" x14ac:dyDescent="0.25">
      <c r="B42" s="5">
        <v>5</v>
      </c>
      <c r="C42" s="6">
        <v>21</v>
      </c>
      <c r="D42" s="6">
        <v>27</v>
      </c>
      <c r="E42" s="8">
        <f t="shared" si="13"/>
        <v>0.77777777777777779</v>
      </c>
    </row>
    <row r="43" spans="2:6" x14ac:dyDescent="0.25">
      <c r="B43" s="5">
        <v>6</v>
      </c>
      <c r="C43" s="6">
        <v>20</v>
      </c>
      <c r="D43" s="6">
        <v>23</v>
      </c>
      <c r="E43" s="8">
        <f t="shared" si="13"/>
        <v>0.86956521739130432</v>
      </c>
    </row>
    <row r="44" spans="2:6" x14ac:dyDescent="0.25">
      <c r="B44" s="5" t="s">
        <v>75</v>
      </c>
      <c r="C44" s="6">
        <v>41</v>
      </c>
      <c r="D44" s="6">
        <v>85</v>
      </c>
      <c r="E44" s="8">
        <f t="shared" si="13"/>
        <v>0.4823529411764706</v>
      </c>
    </row>
    <row r="45" spans="2:6" ht="15.75" thickBot="1" x14ac:dyDescent="0.3">
      <c r="B45" s="9" t="s">
        <v>10</v>
      </c>
      <c r="C45" s="10">
        <v>16</v>
      </c>
      <c r="D45" s="10">
        <v>45</v>
      </c>
      <c r="E45" s="28">
        <f t="shared" si="13"/>
        <v>0.35555555555555557</v>
      </c>
    </row>
    <row r="46" spans="2:6" ht="15.75" thickBot="1" x14ac:dyDescent="0.3">
      <c r="B46" s="23"/>
      <c r="C46" s="20"/>
      <c r="D46" s="20"/>
      <c r="E46" s="20"/>
    </row>
    <row r="47" spans="2:6" x14ac:dyDescent="0.25">
      <c r="B47" s="42" t="s">
        <v>72</v>
      </c>
      <c r="C47" s="43"/>
      <c r="D47" s="43"/>
      <c r="E47" s="44"/>
    </row>
    <row r="48" spans="2:6" x14ac:dyDescent="0.25">
      <c r="B48" s="5" t="s">
        <v>0</v>
      </c>
      <c r="C48" s="6" t="s">
        <v>1</v>
      </c>
      <c r="D48" s="6" t="s">
        <v>2</v>
      </c>
      <c r="E48" s="7" t="s">
        <v>14</v>
      </c>
    </row>
    <row r="49" spans="2:5" x14ac:dyDescent="0.25">
      <c r="B49" s="5">
        <v>1</v>
      </c>
      <c r="C49" s="6">
        <v>15</v>
      </c>
      <c r="D49" s="6">
        <v>38</v>
      </c>
      <c r="E49" s="8">
        <f>C49/D49</f>
        <v>0.39473684210526316</v>
      </c>
    </row>
    <row r="50" spans="2:5" x14ac:dyDescent="0.25">
      <c r="B50" s="5">
        <v>2</v>
      </c>
      <c r="C50" s="6">
        <v>16</v>
      </c>
      <c r="D50" s="6">
        <v>33</v>
      </c>
      <c r="E50" s="8">
        <f t="shared" ref="E50:E56" si="14">C50/D50</f>
        <v>0.48484848484848486</v>
      </c>
    </row>
    <row r="51" spans="2:5" x14ac:dyDescent="0.25">
      <c r="B51" s="5">
        <v>3</v>
      </c>
      <c r="C51" s="6">
        <v>21</v>
      </c>
      <c r="D51" s="6">
        <v>37</v>
      </c>
      <c r="E51" s="8">
        <f t="shared" si="14"/>
        <v>0.56756756756756754</v>
      </c>
    </row>
    <row r="52" spans="2:5" x14ac:dyDescent="0.25">
      <c r="B52" s="5">
        <v>4</v>
      </c>
      <c r="C52" s="6">
        <v>23</v>
      </c>
      <c r="D52" s="6">
        <v>35</v>
      </c>
      <c r="E52" s="8">
        <f t="shared" si="14"/>
        <v>0.65714285714285714</v>
      </c>
    </row>
    <row r="53" spans="2:5" x14ac:dyDescent="0.25">
      <c r="B53" s="5">
        <v>5</v>
      </c>
      <c r="C53" s="6">
        <v>22</v>
      </c>
      <c r="D53" s="6">
        <v>30</v>
      </c>
      <c r="E53" s="8">
        <f t="shared" si="14"/>
        <v>0.73333333333333328</v>
      </c>
    </row>
    <row r="54" spans="2:5" x14ac:dyDescent="0.25">
      <c r="B54" s="5">
        <v>6</v>
      </c>
      <c r="C54" s="6">
        <v>26</v>
      </c>
      <c r="D54" s="6">
        <v>33</v>
      </c>
      <c r="E54" s="8">
        <f t="shared" si="14"/>
        <v>0.78787878787878785</v>
      </c>
    </row>
    <row r="55" spans="2:5" x14ac:dyDescent="0.25">
      <c r="B55" s="5" t="s">
        <v>75</v>
      </c>
      <c r="C55" s="6">
        <v>43</v>
      </c>
      <c r="D55" s="6">
        <v>65</v>
      </c>
      <c r="E55" s="8">
        <f t="shared" si="14"/>
        <v>0.66153846153846152</v>
      </c>
    </row>
    <row r="56" spans="2:5" ht="15.75" thickBot="1" x14ac:dyDescent="0.3">
      <c r="B56" s="9" t="s">
        <v>10</v>
      </c>
      <c r="C56" s="10">
        <v>17</v>
      </c>
      <c r="D56" s="10">
        <v>45</v>
      </c>
      <c r="E56" s="28">
        <f t="shared" si="14"/>
        <v>0.37777777777777777</v>
      </c>
    </row>
  </sheetData>
  <mergeCells count="13">
    <mergeCell ref="B36:E36"/>
    <mergeCell ref="B47:E47"/>
    <mergeCell ref="H13:L13"/>
    <mergeCell ref="H24:L24"/>
    <mergeCell ref="E30:F30"/>
    <mergeCell ref="H2:L2"/>
    <mergeCell ref="B2:E2"/>
    <mergeCell ref="B12:C12"/>
    <mergeCell ref="B23:C23"/>
    <mergeCell ref="B29:C29"/>
    <mergeCell ref="E12:F12"/>
    <mergeCell ref="E18:F18"/>
    <mergeCell ref="E24:F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5E91F-07E8-48AD-9189-655F582A4C23}">
  <dimension ref="B2:G36"/>
  <sheetViews>
    <sheetView topLeftCell="A13" workbookViewId="0">
      <selection activeCell="C11" sqref="C11"/>
    </sheetView>
  </sheetViews>
  <sheetFormatPr defaultColWidth="8.85546875" defaultRowHeight="15" x14ac:dyDescent="0.25"/>
  <cols>
    <col min="2" max="2" width="26.7109375" customWidth="1"/>
    <col min="3" max="3" width="9.5703125" bestFit="1" customWidth="1"/>
    <col min="7" max="7" width="16" customWidth="1"/>
  </cols>
  <sheetData>
    <row r="2" spans="2:7" x14ac:dyDescent="0.25">
      <c r="B2" s="45" t="s">
        <v>33</v>
      </c>
      <c r="C2" s="45"/>
      <c r="F2" s="46" t="s">
        <v>37</v>
      </c>
      <c r="G2" s="46"/>
    </row>
    <row r="3" spans="2:7" x14ac:dyDescent="0.25">
      <c r="B3" s="20" t="s">
        <v>45</v>
      </c>
      <c r="C3" s="37">
        <v>0.5</v>
      </c>
      <c r="F3" t="s">
        <v>56</v>
      </c>
      <c r="G3">
        <v>2</v>
      </c>
    </row>
    <row r="4" spans="2:7" x14ac:dyDescent="0.25">
      <c r="B4" s="20" t="s">
        <v>46</v>
      </c>
      <c r="C4" s="37"/>
      <c r="F4" t="s">
        <v>40</v>
      </c>
      <c r="G4">
        <v>6</v>
      </c>
    </row>
    <row r="5" spans="2:7" x14ac:dyDescent="0.25">
      <c r="B5" s="20" t="s">
        <v>47</v>
      </c>
      <c r="C5" s="37">
        <v>1.10236</v>
      </c>
      <c r="F5" t="s">
        <v>41</v>
      </c>
      <c r="G5">
        <v>4</v>
      </c>
    </row>
    <row r="6" spans="2:7" x14ac:dyDescent="0.25">
      <c r="B6" s="20" t="s">
        <v>48</v>
      </c>
      <c r="C6" s="37">
        <v>0.90551199999999998</v>
      </c>
      <c r="F6" t="s">
        <v>42</v>
      </c>
      <c r="G6">
        <v>1.589</v>
      </c>
    </row>
    <row r="7" spans="2:7" x14ac:dyDescent="0.25">
      <c r="B7" s="20" t="s">
        <v>49</v>
      </c>
      <c r="C7" s="37">
        <v>0.748031</v>
      </c>
      <c r="F7" t="s">
        <v>55</v>
      </c>
      <c r="G7" s="19">
        <f>(G3*G4*G5)/G6</f>
        <v>30.207677784770297</v>
      </c>
    </row>
    <row r="8" spans="2:7" x14ac:dyDescent="0.25">
      <c r="B8" s="20" t="s">
        <v>50</v>
      </c>
      <c r="C8" s="37">
        <v>0.748031</v>
      </c>
    </row>
    <row r="9" spans="2:7" x14ac:dyDescent="0.25">
      <c r="B9" s="20" t="s">
        <v>51</v>
      </c>
      <c r="C9" s="37">
        <f>(PI()*(C5/2)^2) + (PI()*(C6/2)^2)</f>
        <v>1.5984027201788775</v>
      </c>
    </row>
    <row r="10" spans="2:7" x14ac:dyDescent="0.25">
      <c r="B10" s="20" t="s">
        <v>52</v>
      </c>
      <c r="C10" s="37">
        <f>(PI()*(C7/2)^2) + (PI()*(C8/2)^2)</f>
        <v>0.87893967678703844</v>
      </c>
    </row>
    <row r="11" spans="2:7" x14ac:dyDescent="0.25">
      <c r="B11" s="20" t="s">
        <v>53</v>
      </c>
      <c r="C11" s="37">
        <f>(PI()*(C3/2)^2)</f>
        <v>0.19634954084936207</v>
      </c>
    </row>
    <row r="12" spans="2:7" x14ac:dyDescent="0.25">
      <c r="B12" s="21" t="s">
        <v>54</v>
      </c>
      <c r="C12" s="38"/>
    </row>
    <row r="13" spans="2:7" x14ac:dyDescent="0.25">
      <c r="B13" s="21" t="s">
        <v>44</v>
      </c>
      <c r="C13" s="38">
        <v>0.25</v>
      </c>
    </row>
    <row r="14" spans="2:7" x14ac:dyDescent="0.25">
      <c r="B14" s="21" t="s">
        <v>35</v>
      </c>
      <c r="C14" s="38"/>
    </row>
    <row r="15" spans="2:7" x14ac:dyDescent="0.25">
      <c r="B15" s="21" t="s">
        <v>43</v>
      </c>
      <c r="C15" s="38">
        <v>799.81700000000001</v>
      </c>
    </row>
    <row r="19" spans="2:3" x14ac:dyDescent="0.25">
      <c r="B19" s="46" t="s">
        <v>36</v>
      </c>
      <c r="C19" s="46"/>
    </row>
    <row r="20" spans="2:3" x14ac:dyDescent="0.25">
      <c r="B20" s="46" t="s">
        <v>59</v>
      </c>
      <c r="C20" s="46"/>
    </row>
    <row r="21" spans="2:3" x14ac:dyDescent="0.25">
      <c r="B21" t="s">
        <v>34</v>
      </c>
      <c r="C21">
        <f>C15</f>
        <v>799.81700000000001</v>
      </c>
    </row>
    <row r="22" spans="2:3" x14ac:dyDescent="0.25">
      <c r="B22" t="s">
        <v>38</v>
      </c>
      <c r="C22" s="19">
        <f>G7</f>
        <v>30.207677784770297</v>
      </c>
    </row>
    <row r="23" spans="2:3" x14ac:dyDescent="0.25">
      <c r="B23" t="s">
        <v>39</v>
      </c>
      <c r="C23">
        <f>C13</f>
        <v>0.25</v>
      </c>
    </row>
    <row r="24" spans="2:3" x14ac:dyDescent="0.25">
      <c r="B24" t="s">
        <v>57</v>
      </c>
      <c r="C24">
        <v>0.02</v>
      </c>
    </row>
    <row r="25" spans="2:3" x14ac:dyDescent="0.25">
      <c r="B25" t="s">
        <v>58</v>
      </c>
      <c r="C25">
        <f>(C9/C11)*C22</f>
        <v>245.90856761160981</v>
      </c>
    </row>
    <row r="26" spans="2:3" x14ac:dyDescent="0.25">
      <c r="B26" t="s">
        <v>60</v>
      </c>
      <c r="C26">
        <v>0.35</v>
      </c>
    </row>
    <row r="27" spans="2:3" x14ac:dyDescent="0.25">
      <c r="B27" s="22" t="s">
        <v>61</v>
      </c>
      <c r="C27" s="22">
        <f>C25*C26</f>
        <v>86.067998664063424</v>
      </c>
    </row>
    <row r="29" spans="2:3" x14ac:dyDescent="0.25">
      <c r="B29" s="46" t="s">
        <v>62</v>
      </c>
      <c r="C29" s="46"/>
    </row>
    <row r="30" spans="2:3" x14ac:dyDescent="0.25">
      <c r="B30" t="s">
        <v>34</v>
      </c>
    </row>
    <row r="31" spans="2:3" x14ac:dyDescent="0.25">
      <c r="B31" t="s">
        <v>38</v>
      </c>
    </row>
    <row r="32" spans="2:3" x14ac:dyDescent="0.25">
      <c r="B32" t="s">
        <v>39</v>
      </c>
    </row>
    <row r="33" spans="2:2" x14ac:dyDescent="0.25">
      <c r="B33" t="s">
        <v>57</v>
      </c>
    </row>
    <row r="34" spans="2:2" x14ac:dyDescent="0.25">
      <c r="B34" t="s">
        <v>58</v>
      </c>
    </row>
    <row r="35" spans="2:2" x14ac:dyDescent="0.25">
      <c r="B35" t="s">
        <v>60</v>
      </c>
    </row>
    <row r="36" spans="2:2" x14ac:dyDescent="0.25">
      <c r="B36" s="22" t="s">
        <v>61</v>
      </c>
    </row>
  </sheetData>
  <mergeCells count="5">
    <mergeCell ref="B2:C2"/>
    <mergeCell ref="B19:C19"/>
    <mergeCell ref="F2:G2"/>
    <mergeCell ref="B20:C20"/>
    <mergeCell ref="B29:C2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B49C2-D228-4436-AF86-AFB4214C84A2}">
  <dimension ref="A1"/>
  <sheetViews>
    <sheetView workbookViewId="0">
      <selection activeCell="I34" sqref="I34"/>
    </sheetView>
  </sheetViews>
  <sheetFormatPr defaultColWidth="8.8554687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D170D-6548-4156-81B7-B366F92DD3D2}">
  <dimension ref="B3:K20"/>
  <sheetViews>
    <sheetView workbookViewId="0">
      <selection activeCell="I13" sqref="I13:J13"/>
    </sheetView>
  </sheetViews>
  <sheetFormatPr defaultColWidth="8.85546875" defaultRowHeight="15" x14ac:dyDescent="0.25"/>
  <cols>
    <col min="3" max="3" width="11.5703125" bestFit="1" customWidth="1"/>
    <col min="5" max="5" width="12" bestFit="1" customWidth="1"/>
    <col min="10" max="10" width="10.140625" customWidth="1"/>
  </cols>
  <sheetData>
    <row r="3" spans="2:11" x14ac:dyDescent="0.25">
      <c r="B3" t="s">
        <v>76</v>
      </c>
      <c r="G3" t="s">
        <v>86</v>
      </c>
    </row>
    <row r="4" spans="2:11" x14ac:dyDescent="0.25">
      <c r="B4" s="32" t="s">
        <v>77</v>
      </c>
      <c r="C4" s="32">
        <v>4</v>
      </c>
      <c r="D4" s="32" t="s">
        <v>82</v>
      </c>
      <c r="E4" s="32">
        <v>140</v>
      </c>
      <c r="F4" s="24"/>
      <c r="G4" s="32" t="s">
        <v>77</v>
      </c>
      <c r="H4" s="32">
        <v>46</v>
      </c>
      <c r="I4" s="32" t="s">
        <v>82</v>
      </c>
      <c r="J4" s="32">
        <v>140</v>
      </c>
    </row>
    <row r="5" spans="2:11" x14ac:dyDescent="0.25">
      <c r="B5" s="32" t="s">
        <v>78</v>
      </c>
      <c r="C5" s="32">
        <f>C4+2</f>
        <v>6</v>
      </c>
      <c r="D5" s="32" t="s">
        <v>83</v>
      </c>
      <c r="E5" s="32">
        <v>0.19</v>
      </c>
      <c r="F5" s="24"/>
      <c r="G5" s="32" t="s">
        <v>78</v>
      </c>
      <c r="H5" s="32">
        <f>H4+2</f>
        <v>48</v>
      </c>
      <c r="I5" s="32" t="s">
        <v>83</v>
      </c>
      <c r="J5" s="32">
        <v>0.19</v>
      </c>
    </row>
    <row r="6" spans="2:11" x14ac:dyDescent="0.25">
      <c r="B6" s="32" t="s">
        <v>79</v>
      </c>
      <c r="C6" s="31">
        <v>11600000</v>
      </c>
      <c r="D6" s="33" t="s">
        <v>84</v>
      </c>
      <c r="E6" s="35">
        <f>(C6*C8^4)/((C7^3)*C4*8)</f>
        <v>2.3925089159045867</v>
      </c>
      <c r="F6" s="24" t="s">
        <v>85</v>
      </c>
      <c r="G6" s="32" t="s">
        <v>79</v>
      </c>
      <c r="H6" s="31">
        <v>11600000</v>
      </c>
      <c r="I6" s="33" t="s">
        <v>84</v>
      </c>
      <c r="J6" s="35">
        <f>(H6*H8^4)/((H7^3)*H4*8)</f>
        <v>12.241829307568439</v>
      </c>
      <c r="K6" t="s">
        <v>85</v>
      </c>
    </row>
    <row r="7" spans="2:11" x14ac:dyDescent="0.25">
      <c r="B7" s="32" t="s">
        <v>80</v>
      </c>
      <c r="C7" s="36">
        <v>0.98199999999999998</v>
      </c>
      <c r="D7" s="32" t="s">
        <v>87</v>
      </c>
      <c r="E7" s="32">
        <f>C7/C8</f>
        <v>19.639999999999997</v>
      </c>
      <c r="F7" s="24"/>
      <c r="G7" s="32" t="s">
        <v>80</v>
      </c>
      <c r="H7" s="34">
        <v>0.1875</v>
      </c>
      <c r="I7" s="32" t="s">
        <v>87</v>
      </c>
      <c r="J7" s="32">
        <f>H7/H8</f>
        <v>4.6875</v>
      </c>
    </row>
    <row r="8" spans="2:11" x14ac:dyDescent="0.25">
      <c r="B8" s="32" t="s">
        <v>81</v>
      </c>
      <c r="C8" s="32">
        <v>0.05</v>
      </c>
      <c r="D8" s="32" t="s">
        <v>88</v>
      </c>
      <c r="E8" s="32">
        <v>1.032</v>
      </c>
      <c r="F8" s="24"/>
      <c r="G8" s="32" t="s">
        <v>81</v>
      </c>
      <c r="H8" s="32">
        <v>0.04</v>
      </c>
      <c r="I8" s="32" t="s">
        <v>88</v>
      </c>
      <c r="J8" s="32">
        <v>3.35</v>
      </c>
    </row>
    <row r="9" spans="2:11" x14ac:dyDescent="0.25">
      <c r="B9" s="32" t="s">
        <v>89</v>
      </c>
      <c r="C9" s="32">
        <f>C8*(C5+1)</f>
        <v>0.35000000000000003</v>
      </c>
      <c r="D9" s="32" t="s">
        <v>90</v>
      </c>
      <c r="E9" s="32">
        <f>(E8-C9)*E6</f>
        <v>1.631691080646928</v>
      </c>
      <c r="F9" s="24" t="s">
        <v>32</v>
      </c>
      <c r="G9" s="32" t="s">
        <v>89</v>
      </c>
      <c r="H9" s="32">
        <f>H8*(H5+1)</f>
        <v>1.96</v>
      </c>
      <c r="I9" s="32" t="s">
        <v>90</v>
      </c>
      <c r="J9" s="24">
        <f>(J8-H9)*J6</f>
        <v>17.016142737520131</v>
      </c>
      <c r="K9" t="s">
        <v>32</v>
      </c>
    </row>
    <row r="10" spans="2:11" x14ac:dyDescent="0.25">
      <c r="B10" s="32" t="s">
        <v>91</v>
      </c>
      <c r="C10" s="32">
        <f>(4*E7+2)/(4*E7-3)</f>
        <v>1.0661725780836422</v>
      </c>
      <c r="D10" s="32" t="s">
        <v>92</v>
      </c>
      <c r="E10" s="32">
        <f>(8*E9*C7*C10)/(PI()*C8^3)</f>
        <v>34802.227121079821</v>
      </c>
      <c r="F10" s="24" t="s">
        <v>93</v>
      </c>
      <c r="G10" s="32" t="s">
        <v>91</v>
      </c>
      <c r="H10" s="24">
        <f>(4*J7+2)/(4*J7-3)</f>
        <v>1.3174603174603174</v>
      </c>
      <c r="I10" s="32" t="s">
        <v>92</v>
      </c>
      <c r="J10" s="24">
        <f>(8*J9*H7*H10)/(PI()*H8^3)</f>
        <v>167247.66965013949</v>
      </c>
      <c r="K10" s="32" t="s">
        <v>93</v>
      </c>
    </row>
    <row r="11" spans="2:11" x14ac:dyDescent="0.25">
      <c r="B11" s="32" t="s">
        <v>94</v>
      </c>
      <c r="C11" s="32">
        <f>(E4)/(C8^E5)</f>
        <v>247.35673219451186</v>
      </c>
      <c r="D11" s="32" t="s">
        <v>95</v>
      </c>
      <c r="E11" s="32">
        <f>(C11*0.45)*1000</f>
        <v>111310.52948753035</v>
      </c>
      <c r="F11" s="24"/>
      <c r="G11" s="32" t="s">
        <v>94</v>
      </c>
      <c r="H11" s="24">
        <f>(J4)/(H8^J5)</f>
        <v>258.06947441084117</v>
      </c>
      <c r="I11" s="32" t="s">
        <v>95</v>
      </c>
      <c r="J11" s="32">
        <f>(H11*0.45)*1000</f>
        <v>116131.26348487852</v>
      </c>
    </row>
    <row r="12" spans="2:11" x14ac:dyDescent="0.25">
      <c r="B12" s="47" t="s">
        <v>96</v>
      </c>
      <c r="C12" s="47"/>
      <c r="D12" s="46">
        <f>E11/E10</f>
        <v>3.1983737448833902</v>
      </c>
      <c r="E12" s="46"/>
      <c r="F12" s="24"/>
      <c r="G12" s="47" t="s">
        <v>96</v>
      </c>
      <c r="H12" s="47"/>
      <c r="I12" s="46">
        <f>J11/J10</f>
        <v>0.69436700509974292</v>
      </c>
      <c r="J12" s="46"/>
    </row>
    <row r="13" spans="2:11" x14ac:dyDescent="0.25">
      <c r="B13" s="46" t="s">
        <v>97</v>
      </c>
      <c r="C13" s="46"/>
      <c r="D13" s="46">
        <f>E11/((C10*C7*8)/(PI()*C8^3))</f>
        <v>5.2187579121015419</v>
      </c>
      <c r="E13" s="46"/>
      <c r="F13" s="24"/>
      <c r="G13" s="46" t="s">
        <v>97</v>
      </c>
      <c r="H13" s="46"/>
      <c r="I13" s="46">
        <f>J11/((H10*H7*8)/(PI()*H8^3))</f>
        <v>11.815448071001594</v>
      </c>
      <c r="J13" s="46"/>
    </row>
    <row r="14" spans="2:11" x14ac:dyDescent="0.25">
      <c r="B14" s="24"/>
      <c r="C14" s="24"/>
      <c r="D14" s="24"/>
      <c r="E14" s="24"/>
      <c r="F14" s="24"/>
      <c r="G14" s="46" t="s">
        <v>99</v>
      </c>
      <c r="H14" s="46"/>
      <c r="I14" s="46">
        <f>I13/J6</f>
        <v>0.96517013708864263</v>
      </c>
      <c r="J14" s="46"/>
      <c r="K14" t="s">
        <v>98</v>
      </c>
    </row>
    <row r="17" spans="2:4" x14ac:dyDescent="0.25">
      <c r="B17" t="s">
        <v>100</v>
      </c>
    </row>
    <row r="18" spans="2:4" x14ac:dyDescent="0.25">
      <c r="B18" t="s">
        <v>80</v>
      </c>
      <c r="C18">
        <f>0.3905</f>
        <v>0.39050000000000001</v>
      </c>
    </row>
    <row r="19" spans="2:4" x14ac:dyDescent="0.25">
      <c r="B19" t="s">
        <v>82</v>
      </c>
      <c r="C19">
        <f>(PI()/4)*C18^2</f>
        <v>0.11976556228601776</v>
      </c>
    </row>
    <row r="20" spans="2:4" x14ac:dyDescent="0.25">
      <c r="B20" t="s">
        <v>102</v>
      </c>
      <c r="C20">
        <f>I13/C19</f>
        <v>98.654803981002217</v>
      </c>
      <c r="D20" t="s">
        <v>93</v>
      </c>
    </row>
  </sheetData>
  <mergeCells count="10">
    <mergeCell ref="G14:H14"/>
    <mergeCell ref="I14:J14"/>
    <mergeCell ref="B12:C12"/>
    <mergeCell ref="D12:E12"/>
    <mergeCell ref="G12:H12"/>
    <mergeCell ref="I12:J12"/>
    <mergeCell ref="B13:C13"/>
    <mergeCell ref="D13:E13"/>
    <mergeCell ref="G13:H13"/>
    <mergeCell ref="I13:J1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461A6-6DC0-4366-A3C8-68DFBF2DED4B}">
  <dimension ref="B3:K25"/>
  <sheetViews>
    <sheetView workbookViewId="0">
      <selection activeCell="C38" sqref="C38"/>
    </sheetView>
  </sheetViews>
  <sheetFormatPr defaultRowHeight="15" x14ac:dyDescent="0.25"/>
  <sheetData>
    <row r="3" spans="2:11" x14ac:dyDescent="0.25">
      <c r="B3" t="s">
        <v>101</v>
      </c>
      <c r="J3" t="s">
        <v>121</v>
      </c>
    </row>
    <row r="4" spans="2:11" x14ac:dyDescent="0.25">
      <c r="B4" t="s">
        <v>103</v>
      </c>
      <c r="C4">
        <v>81.900000000000006</v>
      </c>
      <c r="D4" t="s">
        <v>107</v>
      </c>
      <c r="E4">
        <f>C5+C6</f>
        <v>549.79999999999995</v>
      </c>
      <c r="J4" t="s">
        <v>106</v>
      </c>
      <c r="K4">
        <v>0</v>
      </c>
    </row>
    <row r="5" spans="2:11" x14ac:dyDescent="0.25">
      <c r="B5" t="s">
        <v>104</v>
      </c>
      <c r="C5">
        <v>374.8</v>
      </c>
      <c r="D5" t="s">
        <v>108</v>
      </c>
      <c r="E5">
        <v>0.68</v>
      </c>
      <c r="J5" t="s">
        <v>122</v>
      </c>
      <c r="K5">
        <f>K4+E6</f>
        <v>373.86399999999998</v>
      </c>
    </row>
    <row r="6" spans="2:11" x14ac:dyDescent="0.25">
      <c r="B6" t="s">
        <v>105</v>
      </c>
      <c r="C6">
        <v>175</v>
      </c>
      <c r="D6" t="s">
        <v>109</v>
      </c>
      <c r="E6">
        <f>E4*E5</f>
        <v>373.86399999999998</v>
      </c>
      <c r="J6" t="s">
        <v>111</v>
      </c>
      <c r="K6">
        <f>K5/(E4/32.2)</f>
        <v>21.896000000000001</v>
      </c>
    </row>
    <row r="7" spans="2:11" x14ac:dyDescent="0.25">
      <c r="B7" t="s">
        <v>106</v>
      </c>
      <c r="C7">
        <f>'Transmission Gear Ratio'!L5</f>
        <v>465.97441529639542</v>
      </c>
      <c r="D7" t="s">
        <v>110</v>
      </c>
      <c r="E7">
        <f>C7-E6</f>
        <v>92.110415296395445</v>
      </c>
    </row>
    <row r="8" spans="2:11" x14ac:dyDescent="0.25">
      <c r="B8" t="s">
        <v>13</v>
      </c>
      <c r="C8">
        <f>'Transmission Gear Ratio'!K5</f>
        <v>426.84679263791952</v>
      </c>
      <c r="D8" t="s">
        <v>111</v>
      </c>
      <c r="E8">
        <f>E7/(E4/32.2)</f>
        <v>5.3946078074644115</v>
      </c>
      <c r="F8" t="s">
        <v>112</v>
      </c>
      <c r="G8">
        <v>88</v>
      </c>
    </row>
    <row r="12" spans="2:11" x14ac:dyDescent="0.25">
      <c r="B12" t="s">
        <v>113</v>
      </c>
    </row>
    <row r="13" spans="2:11" x14ac:dyDescent="0.25">
      <c r="B13" t="s">
        <v>103</v>
      </c>
      <c r="C13">
        <v>80.3</v>
      </c>
      <c r="D13" t="s">
        <v>107</v>
      </c>
      <c r="E13">
        <f>C14+C15</f>
        <v>594</v>
      </c>
    </row>
    <row r="14" spans="2:11" x14ac:dyDescent="0.25">
      <c r="B14" t="s">
        <v>104</v>
      </c>
      <c r="C14">
        <v>419</v>
      </c>
      <c r="D14" t="s">
        <v>108</v>
      </c>
      <c r="E14">
        <v>0.7</v>
      </c>
    </row>
    <row r="15" spans="2:11" x14ac:dyDescent="0.25">
      <c r="B15" t="s">
        <v>105</v>
      </c>
      <c r="C15">
        <v>175</v>
      </c>
      <c r="D15" t="s">
        <v>109</v>
      </c>
      <c r="E15">
        <f>E13*E14</f>
        <v>415.79999999999995</v>
      </c>
    </row>
    <row r="16" spans="2:11" x14ac:dyDescent="0.25">
      <c r="B16" t="s">
        <v>106</v>
      </c>
      <c r="C16">
        <f>'Transmission Gear Ratio'!L16</f>
        <v>726.61743136254643</v>
      </c>
      <c r="D16" t="s">
        <v>110</v>
      </c>
      <c r="E16">
        <f>C16-E15</f>
        <v>310.81743136254647</v>
      </c>
    </row>
    <row r="17" spans="2:6" x14ac:dyDescent="0.25">
      <c r="B17" t="s">
        <v>13</v>
      </c>
      <c r="C17">
        <f>'Transmission Gear Ratio'!K16</f>
        <v>703.17815938310935</v>
      </c>
      <c r="D17" t="s">
        <v>111</v>
      </c>
      <c r="E17">
        <f>E16/(E13/32.2)</f>
        <v>16.849025740528614</v>
      </c>
      <c r="F17" t="s">
        <v>114</v>
      </c>
    </row>
    <row r="20" spans="2:6" x14ac:dyDescent="0.25">
      <c r="B20" t="s">
        <v>115</v>
      </c>
    </row>
    <row r="21" spans="2:6" x14ac:dyDescent="0.25">
      <c r="B21" t="s">
        <v>103</v>
      </c>
      <c r="C21">
        <v>80.900000000000006</v>
      </c>
      <c r="D21" t="s">
        <v>107</v>
      </c>
      <c r="E21">
        <f>C22+C23</f>
        <v>616</v>
      </c>
    </row>
    <row r="22" spans="2:6" x14ac:dyDescent="0.25">
      <c r="B22" t="s">
        <v>104</v>
      </c>
      <c r="C22">
        <v>441</v>
      </c>
      <c r="D22" t="s">
        <v>108</v>
      </c>
      <c r="E22">
        <v>0.7</v>
      </c>
    </row>
    <row r="23" spans="2:6" x14ac:dyDescent="0.25">
      <c r="B23" t="s">
        <v>105</v>
      </c>
      <c r="C23">
        <v>175</v>
      </c>
      <c r="D23" t="s">
        <v>109</v>
      </c>
      <c r="E23">
        <f>E21*E22</f>
        <v>431.2</v>
      </c>
    </row>
    <row r="24" spans="2:6" x14ac:dyDescent="0.25">
      <c r="B24" t="s">
        <v>106</v>
      </c>
      <c r="C24">
        <f>'Transmission Gear Ratio'!L27</f>
        <v>821.01844808508633</v>
      </c>
      <c r="D24" t="s">
        <v>110</v>
      </c>
      <c r="E24">
        <f>C24-E23</f>
        <v>389.81844808508635</v>
      </c>
    </row>
    <row r="25" spans="2:6" x14ac:dyDescent="0.25">
      <c r="B25" t="s">
        <v>13</v>
      </c>
      <c r="C25">
        <f>'Transmission Gear Ratio'!K27</f>
        <v>781.92233150960601</v>
      </c>
      <c r="D25" t="s">
        <v>111</v>
      </c>
      <c r="E25">
        <f>E24/(E21/32.2)</f>
        <v>20.376873422629515</v>
      </c>
      <c r="F25" t="s">
        <v>116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82FFB-E517-46FF-A0FC-528384F1C940}">
  <dimension ref="B3:D7"/>
  <sheetViews>
    <sheetView workbookViewId="0">
      <selection activeCell="D7" sqref="D7"/>
    </sheetView>
  </sheetViews>
  <sheetFormatPr defaultRowHeight="15" x14ac:dyDescent="0.25"/>
  <sheetData>
    <row r="3" spans="2:4" x14ac:dyDescent="0.25">
      <c r="B3" t="s">
        <v>117</v>
      </c>
      <c r="C3">
        <v>9</v>
      </c>
    </row>
    <row r="4" spans="2:4" x14ac:dyDescent="0.25">
      <c r="B4" t="s">
        <v>118</v>
      </c>
      <c r="C4">
        <v>45</v>
      </c>
    </row>
    <row r="5" spans="2:4" x14ac:dyDescent="0.25">
      <c r="B5" t="s">
        <v>119</v>
      </c>
      <c r="C5">
        <f>C4/C3</f>
        <v>5</v>
      </c>
    </row>
    <row r="7" spans="2:4" x14ac:dyDescent="0.25">
      <c r="B7" t="s">
        <v>120</v>
      </c>
      <c r="C7">
        <f>PI()/C5</f>
        <v>0.62831853071795862</v>
      </c>
      <c r="D7">
        <f>C7-0.2</f>
        <v>0.42831853071795861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11D95629FD0E43A39B936FEFE3E4BD" ma:contentTypeVersion="7" ma:contentTypeDescription="Create a new document." ma:contentTypeScope="" ma:versionID="95a222ad59cfeba292d33792afb9f5d7">
  <xsd:schema xmlns:xsd="http://www.w3.org/2001/XMLSchema" xmlns:xs="http://www.w3.org/2001/XMLSchema" xmlns:p="http://schemas.microsoft.com/office/2006/metadata/properties" xmlns:ns3="0768622e-80b0-4f07-86ae-4cf54df45be2" xmlns:ns4="42f105f0-1546-480d-af7f-d6e95199853f" targetNamespace="http://schemas.microsoft.com/office/2006/metadata/properties" ma:root="true" ma:fieldsID="6083ee565fd6b5d648a6e4590529d569" ns3:_="" ns4:_="">
    <xsd:import namespace="0768622e-80b0-4f07-86ae-4cf54df45be2"/>
    <xsd:import namespace="42f105f0-1546-480d-af7f-d6e95199853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68622e-80b0-4f07-86ae-4cf54df45b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f105f0-1546-480d-af7f-d6e95199853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57F40ED-F167-47E1-9933-FA3C263154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68622e-80b0-4f07-86ae-4cf54df45be2"/>
    <ds:schemaRef ds:uri="42f105f0-1546-480d-af7f-d6e9519985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5CC9E0B-5166-4726-AB41-5A1E1BAA671A}">
  <ds:schemaRefs>
    <ds:schemaRef ds:uri="http://purl.org/dc/terms/"/>
    <ds:schemaRef ds:uri="http://schemas.microsoft.com/office/2006/documentManagement/types"/>
    <ds:schemaRef ds:uri="http://purl.org/dc/dcmitype/"/>
    <ds:schemaRef ds:uri="0768622e-80b0-4f07-86ae-4cf54df45be2"/>
    <ds:schemaRef ds:uri="42f105f0-1546-480d-af7f-d6e95199853f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DE621EB-E6DF-4B66-B020-852063642F7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Transmission Gear Ratio</vt:lpstr>
      <vt:lpstr>Brake Pads</vt:lpstr>
      <vt:lpstr>Swingarms</vt:lpstr>
      <vt:lpstr>Cam Chain Tensioner</vt:lpstr>
      <vt:lpstr>FBD</vt:lpstr>
      <vt:lpstr>Rear Sprocket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Ghosal</dc:creator>
  <cp:lastModifiedBy>Ghosal,Sunil K</cp:lastModifiedBy>
  <dcterms:created xsi:type="dcterms:W3CDTF">2019-11-11T02:50:14Z</dcterms:created>
  <dcterms:modified xsi:type="dcterms:W3CDTF">2019-12-05T08:34:34Z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0x0101002C11D95629FD0E43A39B936FEFE3E4BD</vt:lpwstr>
  </property>
</Properties>
</file>