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5640\Downloads\"/>
    </mc:Choice>
  </mc:AlternateContent>
  <xr:revisionPtr revIDLastSave="0" documentId="13_ncr:1_{A795F994-6836-4D5B-9C6E-093E77C0A85C}" xr6:coauthVersionLast="47" xr6:coauthVersionMax="47" xr10:uidLastSave="{00000000-0000-0000-0000-000000000000}"/>
  <bookViews>
    <workbookView xWindow="-120" yWindow="-120" windowWidth="29040" windowHeight="15840" activeTab="1" xr2:uid="{608B5347-29C0-4B44-B66A-FF088E4EB52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" i="1" l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B14" i="1"/>
  <c r="B26" i="1" s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U15" i="1"/>
  <c r="U20" i="1" s="1"/>
  <c r="T15" i="1"/>
  <c r="T20" i="1" s="1"/>
  <c r="S15" i="1"/>
  <c r="S20" i="1" s="1"/>
  <c r="R15" i="1"/>
  <c r="R20" i="1" s="1"/>
  <c r="Q15" i="1"/>
  <c r="Q20" i="1" s="1"/>
  <c r="P15" i="1"/>
  <c r="P20" i="1" s="1"/>
  <c r="O15" i="1"/>
  <c r="O20" i="1" s="1"/>
  <c r="N15" i="1"/>
  <c r="N20" i="1" s="1"/>
  <c r="M15" i="1"/>
  <c r="M20" i="1" s="1"/>
  <c r="L15" i="1"/>
  <c r="L20" i="1" s="1"/>
  <c r="K15" i="1"/>
  <c r="K20" i="1" s="1"/>
  <c r="J15" i="1"/>
  <c r="J20" i="1" s="1"/>
  <c r="I15" i="1"/>
  <c r="I20" i="1" s="1"/>
  <c r="H15" i="1"/>
  <c r="H20" i="1" s="1"/>
  <c r="G15" i="1"/>
  <c r="G20" i="1" s="1"/>
  <c r="F15" i="1"/>
  <c r="F20" i="1" s="1"/>
  <c r="E15" i="1"/>
  <c r="E20" i="1" s="1"/>
  <c r="D15" i="1"/>
  <c r="D20" i="1" s="1"/>
  <c r="C15" i="1"/>
  <c r="C20" i="1" s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U26" i="1"/>
  <c r="T26" i="1"/>
  <c r="S26" i="1"/>
  <c r="R26" i="1"/>
  <c r="M14" i="1"/>
  <c r="M26" i="1" s="1"/>
  <c r="T14" i="1"/>
  <c r="U14" i="1"/>
  <c r="S14" i="1"/>
  <c r="R14" i="1"/>
  <c r="Q14" i="1"/>
  <c r="Q26" i="1" s="1"/>
  <c r="P14" i="1"/>
  <c r="P26" i="1" s="1"/>
  <c r="O14" i="1"/>
  <c r="O26" i="1" s="1"/>
  <c r="N14" i="1"/>
  <c r="N26" i="1" s="1"/>
  <c r="L14" i="1"/>
  <c r="L26" i="1" s="1"/>
  <c r="B9" i="1"/>
  <c r="B24" i="1"/>
  <c r="B15" i="1"/>
  <c r="B20" i="1" s="1"/>
  <c r="B19" i="1"/>
  <c r="B18" i="1"/>
  <c r="B13" i="1"/>
  <c r="K14" i="1"/>
  <c r="K26" i="1" s="1"/>
  <c r="J14" i="1"/>
  <c r="J26" i="1" s="1"/>
  <c r="H14" i="1"/>
  <c r="H26" i="1" s="1"/>
  <c r="G14" i="1"/>
  <c r="G26" i="1" s="1"/>
  <c r="F14" i="1"/>
  <c r="F26" i="1" s="1"/>
  <c r="E14" i="1"/>
  <c r="E26" i="1" s="1"/>
  <c r="D14" i="1"/>
  <c r="D26" i="1" s="1"/>
  <c r="C14" i="1"/>
  <c r="C26" i="1" s="1"/>
  <c r="I14" i="1"/>
  <c r="I26" i="1" s="1"/>
</calcChain>
</file>

<file path=xl/sharedStrings.xml><?xml version="1.0" encoding="utf-8"?>
<sst xmlns="http://schemas.openxmlformats.org/spreadsheetml/2006/main" count="40" uniqueCount="40">
  <si>
    <t>Q2 2023</t>
  </si>
  <si>
    <t>Q1 2023</t>
  </si>
  <si>
    <t>Q4 2022</t>
  </si>
  <si>
    <t>Q3 2022</t>
  </si>
  <si>
    <t>Q2 2022</t>
  </si>
  <si>
    <t>Q1 2022</t>
  </si>
  <si>
    <t>Q4 2021</t>
  </si>
  <si>
    <t>Q3 2021</t>
  </si>
  <si>
    <t>Q2 2021</t>
  </si>
  <si>
    <t>Q1 2021</t>
  </si>
  <si>
    <t>Q4 2020</t>
  </si>
  <si>
    <t>Q3 2020</t>
  </si>
  <si>
    <t>Q2 2020</t>
  </si>
  <si>
    <t>Q1 2020</t>
  </si>
  <si>
    <t>Q4 2019</t>
  </si>
  <si>
    <t>Q4 2018</t>
  </si>
  <si>
    <t>Q3 2019</t>
  </si>
  <si>
    <t>Q2 2019</t>
  </si>
  <si>
    <t>Q1 2019</t>
  </si>
  <si>
    <t>Q3 2018</t>
  </si>
  <si>
    <t>Accounts receivable</t>
  </si>
  <si>
    <t>AR turnover (no of days)</t>
  </si>
  <si>
    <t>Asset turnover ratio</t>
  </si>
  <si>
    <t>Price to earnings ratio</t>
  </si>
  <si>
    <t>Current ratio</t>
  </si>
  <si>
    <t>Quick ratio</t>
  </si>
  <si>
    <t>Inventory turnover ratio</t>
  </si>
  <si>
    <t>Inventory turnover (no of days)</t>
  </si>
  <si>
    <t>Gross Margin</t>
  </si>
  <si>
    <t>Debt to equity ratio</t>
  </si>
  <si>
    <t>Retun on assets</t>
  </si>
  <si>
    <t>Return on equity</t>
  </si>
  <si>
    <t>Net income margin</t>
  </si>
  <si>
    <t>AP  days outstanding</t>
  </si>
  <si>
    <t>Profitability</t>
  </si>
  <si>
    <t>Margin analysis</t>
  </si>
  <si>
    <t>Asset Turnover</t>
  </si>
  <si>
    <t>Short-term liquidity</t>
  </si>
  <si>
    <t>Long term solvency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</si>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</sst>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dd\-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3" borderId="0" applyNumberFormat="0" applyBorder="0" applyAlignment="0" applyProtection="0"/>
  </cellStyleXfs>
  <cellXfs count="15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10" fontId="0" fillId="0" borderId="0" xfId="1" applyNumberFormat="1" applyFont="1"/>
    <xf numFmtId="10" fontId="0" fillId="0" borderId="0" xfId="0" applyNumberFormat="1"/>
    <xf numFmtId="10" fontId="0" fillId="2" borderId="0" xfId="1" applyNumberFormat="1" applyFont="1" applyFill="1"/>
    <xf numFmtId="0" fontId="0" fillId="0" borderId="0" xfId="2" applyFont="1" applyFill="1"/>
    <xf numFmtId="164" fontId="0" fillId="4" borderId="0" xfId="0" applyNumberFormat="1" applyFill="1" applyAlignment="1">
      <alignment vertical="center"/>
    </xf>
    <xf numFmtId="0" fontId="0" fillId="4" borderId="0" xfId="0" applyFill="1"/>
    <xf numFmtId="0" fontId="4" fillId="0" borderId="0" xfId="0" applyFont="1"/>
    <xf numFmtId="10" fontId="0" fillId="0" borderId="0" xfId="1" applyNumberFormat="1" applyFont="1" applyFill="1"/>
    <xf numFmtId="0" fontId="4" fillId="0" borderId="0" xfId="2" applyFont="1" applyFill="1"/>
    <xf numFmtId="0" fontId="0" fillId="5" borderId="0" xfId="2" applyFont="1" applyFill="1"/>
    <xf numFmtId="2" fontId="0" fillId="5" borderId="0" xfId="0" applyNumberFormat="1" applyFill="1"/>
    <xf numFmtId="0" fontId="0" fillId="5" borderId="0" xfId="0" applyFill="1"/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Price to earnings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Sheet1!$B$1:$U$1</c:f>
              <c:strCache>
                <c:ptCount val="20"/>
                <c:pt idx="0">
                  <c:v>Q2 2023</c:v>
                </c:pt>
                <c:pt idx="1">
                  <c:v>Q1 2023</c:v>
                </c:pt>
                <c:pt idx="2">
                  <c:v>Q4 2022</c:v>
                </c:pt>
                <c:pt idx="3">
                  <c:v>Q3 2022</c:v>
                </c:pt>
                <c:pt idx="4">
                  <c:v>Q2 2022</c:v>
                </c:pt>
                <c:pt idx="5">
                  <c:v>Q1 2022</c:v>
                </c:pt>
                <c:pt idx="6">
                  <c:v>Q4 2021</c:v>
                </c:pt>
                <c:pt idx="7">
                  <c:v>Q3 2021</c:v>
                </c:pt>
                <c:pt idx="8">
                  <c:v>Q2 2021</c:v>
                </c:pt>
                <c:pt idx="9">
                  <c:v>Q1 2021</c:v>
                </c:pt>
                <c:pt idx="10">
                  <c:v>Q4 2020</c:v>
                </c:pt>
                <c:pt idx="11">
                  <c:v>Q3 2020</c:v>
                </c:pt>
                <c:pt idx="12">
                  <c:v>Q2 2020</c:v>
                </c:pt>
                <c:pt idx="13">
                  <c:v>Q1 2020</c:v>
                </c:pt>
                <c:pt idx="14">
                  <c:v>Q4 2019</c:v>
                </c:pt>
                <c:pt idx="15">
                  <c:v>Q3 2019</c:v>
                </c:pt>
                <c:pt idx="16">
                  <c:v>Q2 2019</c:v>
                </c:pt>
                <c:pt idx="17">
                  <c:v>Q1 2019</c:v>
                </c:pt>
                <c:pt idx="18">
                  <c:v>Q4 2018</c:v>
                </c:pt>
                <c:pt idx="19">
                  <c:v>Q3 2018</c:v>
                </c:pt>
              </c:strCache>
            </c:strRef>
          </c:cat>
          <c:val>
            <c:numRef>
              <c:f>Sheet1!$B$6:$U$6</c:f>
              <c:numCache>
                <c:formatCode>0.00</c:formatCode>
                <c:ptCount val="20"/>
                <c:pt idx="0">
                  <c:v>64.807692307692307</c:v>
                </c:pt>
                <c:pt idx="1">
                  <c:v>76.965517241379303</c:v>
                </c:pt>
                <c:pt idx="2">
                  <c:v>-245.65517241379311</c:v>
                </c:pt>
                <c:pt idx="3">
                  <c:v>76.54945054945054</c:v>
                </c:pt>
                <c:pt idx="4">
                  <c:v>74.3125</c:v>
                </c:pt>
                <c:pt idx="5">
                  <c:v>52.008064516129032</c:v>
                </c:pt>
                <c:pt idx="6">
                  <c:v>50.724409448818896</c:v>
                </c:pt>
                <c:pt idx="7">
                  <c:v>71.022222222222226</c:v>
                </c:pt>
                <c:pt idx="8">
                  <c:v>57.95495495495495</c:v>
                </c:pt>
                <c:pt idx="9">
                  <c:v>58.611111111111107</c:v>
                </c:pt>
                <c:pt idx="10">
                  <c:v>103.71666666666667</c:v>
                </c:pt>
                <c:pt idx="11">
                  <c:v>63.950495049504951</c:v>
                </c:pt>
                <c:pt idx="12">
                  <c:v>64.764705882352942</c:v>
                </c:pt>
                <c:pt idx="13">
                  <c:v>59.396039603960396</c:v>
                </c:pt>
                <c:pt idx="14">
                  <c:v>160.83720930232559</c:v>
                </c:pt>
                <c:pt idx="15">
                  <c:v>89.375</c:v>
                </c:pt>
                <c:pt idx="16">
                  <c:v>63.773809523809526</c:v>
                </c:pt>
                <c:pt idx="17">
                  <c:v>69.975609756097569</c:v>
                </c:pt>
                <c:pt idx="18">
                  <c:v>-237.54166666666666</c:v>
                </c:pt>
                <c:pt idx="19">
                  <c:v>63.654545454545449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0A-4698-9EED-F0BD8E237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4836864"/>
        <c:axId val="860210096"/>
      </c:lineChart>
      <c:catAx>
        <c:axId val="86483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210096"/>
        <c:crosses val="autoZero"/>
        <c:auto val="1"/>
        <c:lblAlgn val="ctr"/>
        <c:lblOffset val="100"/>
        <c:noMultiLvlLbl val="0"/>
      </c:catAx>
      <c:valAx>
        <c:axId val="86021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836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Return on equity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Sheet1!$B$1:$U$1</c:f>
              <c:strCache>
                <c:ptCount val="20"/>
                <c:pt idx="0">
                  <c:v>Q2 2023</c:v>
                </c:pt>
                <c:pt idx="1">
                  <c:v>Q1 2023</c:v>
                </c:pt>
                <c:pt idx="2">
                  <c:v>Q4 2022</c:v>
                </c:pt>
                <c:pt idx="3">
                  <c:v>Q3 2022</c:v>
                </c:pt>
                <c:pt idx="4">
                  <c:v>Q2 2022</c:v>
                </c:pt>
                <c:pt idx="5">
                  <c:v>Q1 2022</c:v>
                </c:pt>
                <c:pt idx="6">
                  <c:v>Q4 2021</c:v>
                </c:pt>
                <c:pt idx="7">
                  <c:v>Q3 2021</c:v>
                </c:pt>
                <c:pt idx="8">
                  <c:v>Q2 2021</c:v>
                </c:pt>
                <c:pt idx="9">
                  <c:v>Q1 2021</c:v>
                </c:pt>
                <c:pt idx="10">
                  <c:v>Q4 2020</c:v>
                </c:pt>
                <c:pt idx="11">
                  <c:v>Q3 2020</c:v>
                </c:pt>
                <c:pt idx="12">
                  <c:v>Q2 2020</c:v>
                </c:pt>
                <c:pt idx="13">
                  <c:v>Q1 2020</c:v>
                </c:pt>
                <c:pt idx="14">
                  <c:v>Q4 2019</c:v>
                </c:pt>
                <c:pt idx="15">
                  <c:v>Q3 2019</c:v>
                </c:pt>
                <c:pt idx="16">
                  <c:v>Q2 2019</c:v>
                </c:pt>
                <c:pt idx="17">
                  <c:v>Q1 2019</c:v>
                </c:pt>
                <c:pt idx="18">
                  <c:v>Q4 2018</c:v>
                </c:pt>
                <c:pt idx="19">
                  <c:v>Q3 2018</c:v>
                </c:pt>
              </c:strCache>
            </c:strRef>
          </c:cat>
          <c:val>
            <c:numRef>
              <c:f>Sheet1!$B$5:$U$5</c:f>
              <c:numCache>
                <c:formatCode>0.00%</c:formatCode>
                <c:ptCount val="20"/>
                <c:pt idx="0">
                  <c:v>0.33287356321839079</c:v>
                </c:pt>
                <c:pt idx="1">
                  <c:v>0.26970305871846395</c:v>
                </c:pt>
                <c:pt idx="2">
                  <c:v>-8.7786678371557111E-2</c:v>
                </c:pt>
                <c:pt idx="3">
                  <c:v>0.26850258175559383</c:v>
                </c:pt>
                <c:pt idx="4">
                  <c:v>0.29458940472156331</c:v>
                </c:pt>
                <c:pt idx="5">
                  <c:v>0.39487776484284054</c:v>
                </c:pt>
                <c:pt idx="6">
                  <c:v>0.42217898832684825</c:v>
                </c:pt>
                <c:pt idx="7">
                  <c:v>0.30929141843072633</c:v>
                </c:pt>
                <c:pt idx="8">
                  <c:v>0.40875912408759124</c:v>
                </c:pt>
                <c:pt idx="9">
                  <c:v>0.40601915184678522</c:v>
                </c:pt>
                <c:pt idx="10">
                  <c:v>0.23040708944890612</c:v>
                </c:pt>
                <c:pt idx="11">
                  <c:v>0.40274599542334094</c:v>
                </c:pt>
                <c:pt idx="12">
                  <c:v>0.42792384406165007</c:v>
                </c:pt>
                <c:pt idx="13">
                  <c:v>0.43586550435865506</c:v>
                </c:pt>
                <c:pt idx="14">
                  <c:v>0.18418661011814602</c:v>
                </c:pt>
                <c:pt idx="15">
                  <c:v>0.30523076923076925</c:v>
                </c:pt>
                <c:pt idx="16">
                  <c:v>0.37026470122047866</c:v>
                </c:pt>
                <c:pt idx="17">
                  <c:v>0.36809815950920244</c:v>
                </c:pt>
                <c:pt idx="18">
                  <c:v>-9.6840862119870086E-2</c:v>
                </c:pt>
                <c:pt idx="19">
                  <c:v>0.43652942014531987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AE-42BA-9DE6-0D113BA6D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3805375"/>
        <c:axId val="1609171615"/>
      </c:lineChart>
      <c:catAx>
        <c:axId val="1863805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171615"/>
        <c:crosses val="autoZero"/>
        <c:auto val="1"/>
        <c:lblAlgn val="ctr"/>
        <c:lblOffset val="150"/>
        <c:noMultiLvlLbl val="0"/>
      </c:catAx>
      <c:valAx>
        <c:axId val="160917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805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Gross Margin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Sheet1!$B$1:$U$1</c:f>
              <c:strCache>
                <c:ptCount val="20"/>
                <c:pt idx="0">
                  <c:v>Q2 2023</c:v>
                </c:pt>
                <c:pt idx="1">
                  <c:v>Q1 2023</c:v>
                </c:pt>
                <c:pt idx="2">
                  <c:v>Q4 2022</c:v>
                </c:pt>
                <c:pt idx="3">
                  <c:v>Q3 2022</c:v>
                </c:pt>
                <c:pt idx="4">
                  <c:v>Q2 2022</c:v>
                </c:pt>
                <c:pt idx="5">
                  <c:v>Q1 2022</c:v>
                </c:pt>
                <c:pt idx="6">
                  <c:v>Q4 2021</c:v>
                </c:pt>
                <c:pt idx="7">
                  <c:v>Q3 2021</c:v>
                </c:pt>
                <c:pt idx="8">
                  <c:v>Q2 2021</c:v>
                </c:pt>
                <c:pt idx="9">
                  <c:v>Q1 2021</c:v>
                </c:pt>
                <c:pt idx="10">
                  <c:v>Q4 2020</c:v>
                </c:pt>
                <c:pt idx="11">
                  <c:v>Q3 2020</c:v>
                </c:pt>
                <c:pt idx="12">
                  <c:v>Q2 2020</c:v>
                </c:pt>
                <c:pt idx="13">
                  <c:v>Q1 2020</c:v>
                </c:pt>
                <c:pt idx="14">
                  <c:v>Q4 2019</c:v>
                </c:pt>
                <c:pt idx="15">
                  <c:v>Q3 2019</c:v>
                </c:pt>
                <c:pt idx="16">
                  <c:v>Q2 2019</c:v>
                </c:pt>
                <c:pt idx="17">
                  <c:v>Q1 2019</c:v>
                </c:pt>
                <c:pt idx="18">
                  <c:v>Q4 2018</c:v>
                </c:pt>
                <c:pt idx="19">
                  <c:v>Q3 2018</c:v>
                </c:pt>
              </c:strCache>
            </c:strRef>
          </c:cat>
          <c:val>
            <c:numRef>
              <c:f>Sheet1!$B$9:$U$9</c:f>
              <c:numCache>
                <c:formatCode>0.00%</c:formatCode>
                <c:ptCount val="20"/>
                <c:pt idx="0">
                  <c:v>0.36080178173719374</c:v>
                </c:pt>
                <c:pt idx="1">
                  <c:v>0.32815198618307428</c:v>
                </c:pt>
                <c:pt idx="2">
                  <c:v>0.33733368118966867</c:v>
                </c:pt>
                <c:pt idx="3">
                  <c:v>0.32159148504815005</c:v>
                </c:pt>
                <c:pt idx="4">
                  <c:v>0.32712215320910976</c:v>
                </c:pt>
                <c:pt idx="5">
                  <c:v>0.34912854030501089</c:v>
                </c:pt>
                <c:pt idx="6">
                  <c:v>0.33654970760233915</c:v>
                </c:pt>
                <c:pt idx="7">
                  <c:v>0.35588072887907235</c:v>
                </c:pt>
                <c:pt idx="8">
                  <c:v>0.37834036568213786</c:v>
                </c:pt>
                <c:pt idx="9">
                  <c:v>0.3568638392857143</c:v>
                </c:pt>
                <c:pt idx="10">
                  <c:v>0.3787528868360277</c:v>
                </c:pt>
                <c:pt idx="11">
                  <c:v>0.38553514144065326</c:v>
                </c:pt>
                <c:pt idx="12">
                  <c:v>0.38066378066378065</c:v>
                </c:pt>
                <c:pt idx="13">
                  <c:v>0.36957796014067995</c:v>
                </c:pt>
                <c:pt idx="14">
                  <c:v>0.38008067018305924</c:v>
                </c:pt>
                <c:pt idx="15">
                  <c:v>0.37544483985765126</c:v>
                </c:pt>
                <c:pt idx="16">
                  <c:v>0.38225946258306848</c:v>
                </c:pt>
                <c:pt idx="17">
                  <c:v>0.3532084043157297</c:v>
                </c:pt>
                <c:pt idx="18">
                  <c:v>0.38408200180886343</c:v>
                </c:pt>
                <c:pt idx="19">
                  <c:v>0.39348515422311903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0B-4616-B446-C7A6E9C61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7971120"/>
        <c:axId val="864882560"/>
      </c:lineChart>
      <c:catAx>
        <c:axId val="59797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882560"/>
        <c:crosses val="autoZero"/>
        <c:auto val="1"/>
        <c:lblAlgn val="ctr"/>
        <c:lblOffset val="100"/>
        <c:noMultiLvlLbl val="0"/>
      </c:catAx>
      <c:valAx>
        <c:axId val="864882560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97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Net income margin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Sheet1!$B$1:$U$1</c:f>
              <c:strCache>
                <c:ptCount val="20"/>
                <c:pt idx="0">
                  <c:v>Q2 2023</c:v>
                </c:pt>
                <c:pt idx="1">
                  <c:v>Q1 2023</c:v>
                </c:pt>
                <c:pt idx="2">
                  <c:v>Q4 2022</c:v>
                </c:pt>
                <c:pt idx="3">
                  <c:v>Q3 2022</c:v>
                </c:pt>
                <c:pt idx="4">
                  <c:v>Q2 2022</c:v>
                </c:pt>
                <c:pt idx="5">
                  <c:v>Q1 2022</c:v>
                </c:pt>
                <c:pt idx="6">
                  <c:v>Q4 2021</c:v>
                </c:pt>
                <c:pt idx="7">
                  <c:v>Q3 2021</c:v>
                </c:pt>
                <c:pt idx="8">
                  <c:v>Q2 2021</c:v>
                </c:pt>
                <c:pt idx="9">
                  <c:v>Q1 2021</c:v>
                </c:pt>
                <c:pt idx="10">
                  <c:v>Q4 2020</c:v>
                </c:pt>
                <c:pt idx="11">
                  <c:v>Q3 2020</c:v>
                </c:pt>
                <c:pt idx="12">
                  <c:v>Q2 2020</c:v>
                </c:pt>
                <c:pt idx="13">
                  <c:v>Q1 2020</c:v>
                </c:pt>
                <c:pt idx="14">
                  <c:v>Q4 2019</c:v>
                </c:pt>
                <c:pt idx="15">
                  <c:v>Q3 2019</c:v>
                </c:pt>
                <c:pt idx="16">
                  <c:v>Q2 2019</c:v>
                </c:pt>
                <c:pt idx="17">
                  <c:v>Q1 2019</c:v>
                </c:pt>
                <c:pt idx="18">
                  <c:v>Q4 2018</c:v>
                </c:pt>
                <c:pt idx="19">
                  <c:v>Q3 2018</c:v>
                </c:pt>
              </c:strCache>
            </c:strRef>
          </c:cat>
          <c:val>
            <c:numRef>
              <c:f>Sheet1!$B$10:$U$10</c:f>
              <c:numCache>
                <c:formatCode>0.00%</c:formatCode>
                <c:ptCount val="20"/>
                <c:pt idx="0">
                  <c:v>8.8344469190794361E-2</c:v>
                </c:pt>
                <c:pt idx="1">
                  <c:v>7.3525783370342962E-2</c:v>
                </c:pt>
                <c:pt idx="2">
                  <c:v>-2.5567440647012784E-2</c:v>
                </c:pt>
                <c:pt idx="3">
                  <c:v>7.8560567663456662E-2</c:v>
                </c:pt>
                <c:pt idx="4">
                  <c:v>8.4368530020703936E-2</c:v>
                </c:pt>
                <c:pt idx="5">
                  <c:v>0.11492374727668846</c:v>
                </c:pt>
                <c:pt idx="6">
                  <c:v>0.12660818713450292</c:v>
                </c:pt>
                <c:pt idx="7">
                  <c:v>8.4759801214798453E-2</c:v>
                </c:pt>
                <c:pt idx="8">
                  <c:v>0.10689170182841069</c:v>
                </c:pt>
                <c:pt idx="9">
                  <c:v>0.10267857142857142</c:v>
                </c:pt>
                <c:pt idx="10">
                  <c:v>5.9180138568129328E-2</c:v>
                </c:pt>
                <c:pt idx="11">
                  <c:v>0.10148731408573929</c:v>
                </c:pt>
                <c:pt idx="12">
                  <c:v>0.1012987012987013</c:v>
                </c:pt>
                <c:pt idx="13">
                  <c:v>0.10169988276670575</c:v>
                </c:pt>
                <c:pt idx="14">
                  <c:v>4.4989140552280482E-2</c:v>
                </c:pt>
                <c:pt idx="15">
                  <c:v>7.3250296559905101E-2</c:v>
                </c:pt>
                <c:pt idx="16">
                  <c:v>8.2635076567466048E-2</c:v>
                </c:pt>
                <c:pt idx="17">
                  <c:v>8.006814310051108E-2</c:v>
                </c:pt>
                <c:pt idx="18">
                  <c:v>-2.5324088031353633E-2</c:v>
                </c:pt>
                <c:pt idx="19">
                  <c:v>0.10954165465552032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ED-422F-88AF-EB8ABE92E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4840704"/>
        <c:axId val="950033904"/>
      </c:lineChart>
      <c:catAx>
        <c:axId val="86484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033904"/>
        <c:crosses val="autoZero"/>
        <c:auto val="1"/>
        <c:lblAlgn val="ctr"/>
        <c:lblOffset val="100"/>
        <c:noMultiLvlLbl val="0"/>
      </c:catAx>
      <c:valAx>
        <c:axId val="95003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840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Sheet1!$A$13</c:f>
              <c:strCache>
                <c:ptCount val="1"/>
                <c:pt idx="0">
                  <c:v>Asset turnover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Sheet1!$B$1:$U$1</c:f>
              <c:strCache>
                <c:ptCount val="20"/>
                <c:pt idx="0">
                  <c:v>Q2 2023</c:v>
                </c:pt>
                <c:pt idx="1">
                  <c:v>Q1 2023</c:v>
                </c:pt>
                <c:pt idx="2">
                  <c:v>Q4 2022</c:v>
                </c:pt>
                <c:pt idx="3">
                  <c:v>Q3 2022</c:v>
                </c:pt>
                <c:pt idx="4">
                  <c:v>Q2 2022</c:v>
                </c:pt>
                <c:pt idx="5">
                  <c:v>Q1 2022</c:v>
                </c:pt>
                <c:pt idx="6">
                  <c:v>Q4 2021</c:v>
                </c:pt>
                <c:pt idx="7">
                  <c:v>Q3 2021</c:v>
                </c:pt>
                <c:pt idx="8">
                  <c:v>Q2 2021</c:v>
                </c:pt>
                <c:pt idx="9">
                  <c:v>Q1 2021</c:v>
                </c:pt>
                <c:pt idx="10">
                  <c:v>Q4 2020</c:v>
                </c:pt>
                <c:pt idx="11">
                  <c:v>Q3 2020</c:v>
                </c:pt>
                <c:pt idx="12">
                  <c:v>Q2 2020</c:v>
                </c:pt>
                <c:pt idx="13">
                  <c:v>Q1 2020</c:v>
                </c:pt>
                <c:pt idx="14">
                  <c:v>Q4 2019</c:v>
                </c:pt>
                <c:pt idx="15">
                  <c:v>Q3 2019</c:v>
                </c:pt>
                <c:pt idx="16">
                  <c:v>Q2 2019</c:v>
                </c:pt>
                <c:pt idx="17">
                  <c:v>Q1 2019</c:v>
                </c:pt>
                <c:pt idx="18">
                  <c:v>Q4 2018</c:v>
                </c:pt>
                <c:pt idx="19">
                  <c:v>Q3 2018</c:v>
                </c:pt>
              </c:strCache>
            </c:strRef>
          </c:cat>
          <c:val>
            <c:numRef>
              <c:f>Sheet1!$B$13:$U$13</c:f>
              <c:numCache>
                <c:formatCode>0.00</c:formatCode>
                <c:ptCount val="20"/>
                <c:pt idx="0">
                  <c:v>0.88012850181045987</c:v>
                </c:pt>
                <c:pt idx="1">
                  <c:v>0.87020933977455717</c:v>
                </c:pt>
                <c:pt idx="2">
                  <c:v>0.81744508423970996</c:v>
                </c:pt>
                <c:pt idx="3">
                  <c:v>0.83176560482702289</c:v>
                </c:pt>
                <c:pt idx="4">
                  <c:v>0.82324429412234679</c:v>
                </c:pt>
                <c:pt idx="5">
                  <c:v>0.78916827852998062</c:v>
                </c:pt>
                <c:pt idx="6">
                  <c:v>0.74784747847478472</c:v>
                </c:pt>
                <c:pt idx="7">
                  <c:v>0.79126160567995629</c:v>
                </c:pt>
                <c:pt idx="8">
                  <c:v>0.78396780329134164</c:v>
                </c:pt>
                <c:pt idx="9">
                  <c:v>0.79362267493356953</c:v>
                </c:pt>
                <c:pt idx="10">
                  <c:v>0.7506365458583889</c:v>
                </c:pt>
                <c:pt idx="11">
                  <c:v>0.73204707389320312</c:v>
                </c:pt>
                <c:pt idx="12">
                  <c:v>0.75344513603870511</c:v>
                </c:pt>
                <c:pt idx="13">
                  <c:v>0.74824561403508771</c:v>
                </c:pt>
                <c:pt idx="14">
                  <c:v>0.73536206257308279</c:v>
                </c:pt>
                <c:pt idx="15">
                  <c:v>0.74585268745852684</c:v>
                </c:pt>
                <c:pt idx="16">
                  <c:v>0.74562395648193036</c:v>
                </c:pt>
                <c:pt idx="17">
                  <c:v>0.7629569455727051</c:v>
                </c:pt>
                <c:pt idx="18">
                  <c:v>0.73928790327074168</c:v>
                </c:pt>
                <c:pt idx="19">
                  <c:v>0.77056781896432047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BB-40D8-814B-37F876EAB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7966320"/>
        <c:axId val="950041344"/>
      </c:lineChart>
      <c:catAx>
        <c:axId val="59796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041344"/>
        <c:crosses val="autoZero"/>
        <c:auto val="1"/>
        <c:lblAlgn val="ctr"/>
        <c:lblOffset val="100"/>
        <c:noMultiLvlLbl val="0"/>
      </c:catAx>
      <c:valAx>
        <c:axId val="950041344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966320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8644092047146722"/>
          <c:y val="3.28060865069562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Sheet1!$A$14</c:f>
              <c:strCache>
                <c:ptCount val="1"/>
                <c:pt idx="0">
                  <c:v>Accounts receivable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Sheet1!$B$1:$U$1</c:f>
              <c:strCache>
                <c:ptCount val="20"/>
                <c:pt idx="0">
                  <c:v>Q2 2023</c:v>
                </c:pt>
                <c:pt idx="1">
                  <c:v>Q1 2023</c:v>
                </c:pt>
                <c:pt idx="2">
                  <c:v>Q4 2022</c:v>
                </c:pt>
                <c:pt idx="3">
                  <c:v>Q3 2022</c:v>
                </c:pt>
                <c:pt idx="4">
                  <c:v>Q2 2022</c:v>
                </c:pt>
                <c:pt idx="5">
                  <c:v>Q1 2022</c:v>
                </c:pt>
                <c:pt idx="6">
                  <c:v>Q4 2021</c:v>
                </c:pt>
                <c:pt idx="7">
                  <c:v>Q3 2021</c:v>
                </c:pt>
                <c:pt idx="8">
                  <c:v>Q2 2021</c:v>
                </c:pt>
                <c:pt idx="9">
                  <c:v>Q1 2021</c:v>
                </c:pt>
                <c:pt idx="10">
                  <c:v>Q4 2020</c:v>
                </c:pt>
                <c:pt idx="11">
                  <c:v>Q3 2020</c:v>
                </c:pt>
                <c:pt idx="12">
                  <c:v>Q2 2020</c:v>
                </c:pt>
                <c:pt idx="13">
                  <c:v>Q1 2020</c:v>
                </c:pt>
                <c:pt idx="14">
                  <c:v>Q4 2019</c:v>
                </c:pt>
                <c:pt idx="15">
                  <c:v>Q3 2019</c:v>
                </c:pt>
                <c:pt idx="16">
                  <c:v>Q2 2019</c:v>
                </c:pt>
                <c:pt idx="17">
                  <c:v>Q1 2019</c:v>
                </c:pt>
                <c:pt idx="18">
                  <c:v>Q4 2018</c:v>
                </c:pt>
                <c:pt idx="19">
                  <c:v>Q3 2018</c:v>
                </c:pt>
              </c:strCache>
            </c:strRef>
          </c:cat>
          <c:val>
            <c:numRef>
              <c:f>Sheet1!$B$14:$U$14</c:f>
              <c:numCache>
                <c:formatCode>0.00</c:formatCode>
                <c:ptCount val="20"/>
                <c:pt idx="0">
                  <c:v>10.11830985915493</c:v>
                </c:pt>
                <c:pt idx="1">
                  <c:v>10.833277647844971</c:v>
                </c:pt>
                <c:pt idx="2">
                  <c:v>9.8884230893260234</c:v>
                </c:pt>
                <c:pt idx="3">
                  <c:v>9.8928235662801622</c:v>
                </c:pt>
                <c:pt idx="4">
                  <c:v>10.535787321063395</c:v>
                </c:pt>
                <c:pt idx="5">
                  <c:v>11.156855298139005</c:v>
                </c:pt>
                <c:pt idx="6">
                  <c:v>10.328425821064553</c:v>
                </c:pt>
                <c:pt idx="7">
                  <c:v>10.319088319088319</c:v>
                </c:pt>
                <c:pt idx="8">
                  <c:v>10.248648648648649</c:v>
                </c:pt>
                <c:pt idx="9">
                  <c:v>10.844175491679273</c:v>
                </c:pt>
                <c:pt idx="10">
                  <c:v>10.477126654064271</c:v>
                </c:pt>
                <c:pt idx="11">
                  <c:v>9.6688172043010745</c:v>
                </c:pt>
                <c:pt idx="12">
                  <c:v>9.625</c:v>
                </c:pt>
                <c:pt idx="13">
                  <c:v>9.4059269469331497</c:v>
                </c:pt>
                <c:pt idx="14">
                  <c:v>9.5673469387755095</c:v>
                </c:pt>
                <c:pt idx="15">
                  <c:v>9.6688172043010745</c:v>
                </c:pt>
                <c:pt idx="16">
                  <c:v>9.9454022988505741</c:v>
                </c:pt>
                <c:pt idx="17">
                  <c:v>10.179190751445086</c:v>
                </c:pt>
                <c:pt idx="18">
                  <c:v>10.46785009861933</c:v>
                </c:pt>
                <c:pt idx="19">
                  <c:v>10.236812984138695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0B-4099-8F4B-92C3B7251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4837824"/>
        <c:axId val="950037872"/>
      </c:lineChart>
      <c:catAx>
        <c:axId val="86483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037872"/>
        <c:crosses val="autoZero"/>
        <c:auto val="1"/>
        <c:lblAlgn val="ctr"/>
        <c:lblOffset val="100"/>
        <c:noMultiLvlLbl val="0"/>
      </c:catAx>
      <c:valAx>
        <c:axId val="95003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83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Sheet1!$A$18</c:f>
              <c:strCache>
                <c:ptCount val="1"/>
                <c:pt idx="0">
                  <c:v>Current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Sheet1!$B$1:$U$1</c:f>
              <c:strCache>
                <c:ptCount val="20"/>
                <c:pt idx="0">
                  <c:v>Q2 2023</c:v>
                </c:pt>
                <c:pt idx="1">
                  <c:v>Q1 2023</c:v>
                </c:pt>
                <c:pt idx="2">
                  <c:v>Q4 2022</c:v>
                </c:pt>
                <c:pt idx="3">
                  <c:v>Q3 2022</c:v>
                </c:pt>
                <c:pt idx="4">
                  <c:v>Q2 2022</c:v>
                </c:pt>
                <c:pt idx="5">
                  <c:v>Q1 2022</c:v>
                </c:pt>
                <c:pt idx="6">
                  <c:v>Q4 2021</c:v>
                </c:pt>
                <c:pt idx="7">
                  <c:v>Q3 2021</c:v>
                </c:pt>
                <c:pt idx="8">
                  <c:v>Q2 2021</c:v>
                </c:pt>
                <c:pt idx="9">
                  <c:v>Q1 2021</c:v>
                </c:pt>
                <c:pt idx="10">
                  <c:v>Q4 2020</c:v>
                </c:pt>
                <c:pt idx="11">
                  <c:v>Q3 2020</c:v>
                </c:pt>
                <c:pt idx="12">
                  <c:v>Q2 2020</c:v>
                </c:pt>
                <c:pt idx="13">
                  <c:v>Q1 2020</c:v>
                </c:pt>
                <c:pt idx="14">
                  <c:v>Q4 2019</c:v>
                </c:pt>
                <c:pt idx="15">
                  <c:v>Q3 2019</c:v>
                </c:pt>
                <c:pt idx="16">
                  <c:v>Q2 2019</c:v>
                </c:pt>
                <c:pt idx="17">
                  <c:v>Q1 2019</c:v>
                </c:pt>
                <c:pt idx="18">
                  <c:v>Q4 2018</c:v>
                </c:pt>
                <c:pt idx="19">
                  <c:v>Q3 2018</c:v>
                </c:pt>
              </c:strCache>
            </c:strRef>
          </c:cat>
          <c:val>
            <c:numRef>
              <c:f>Sheet1!$B$18:$U$18</c:f>
              <c:numCache>
                <c:formatCode>0.00</c:formatCode>
                <c:ptCount val="20"/>
                <c:pt idx="0">
                  <c:v>0.66213712168004946</c:v>
                </c:pt>
                <c:pt idx="1">
                  <c:v>0.7205465755707382</c:v>
                </c:pt>
                <c:pt idx="2">
                  <c:v>0.65931642778390298</c:v>
                </c:pt>
                <c:pt idx="3">
                  <c:v>0.73661528261229903</c:v>
                </c:pt>
                <c:pt idx="4">
                  <c:v>0.70418112708643199</c:v>
                </c:pt>
                <c:pt idx="5">
                  <c:v>0.65253077975376195</c:v>
                </c:pt>
                <c:pt idx="6">
                  <c:v>0.63857008466603948</c:v>
                </c:pt>
                <c:pt idx="7">
                  <c:v>0.75541857228077147</c:v>
                </c:pt>
                <c:pt idx="8">
                  <c:v>0.75758188435099072</c:v>
                </c:pt>
                <c:pt idx="9">
                  <c:v>0.67576601671309189</c:v>
                </c:pt>
                <c:pt idx="10">
                  <c:v>0.66475754104620088</c:v>
                </c:pt>
                <c:pt idx="11">
                  <c:v>0.78770301624129935</c:v>
                </c:pt>
                <c:pt idx="12">
                  <c:v>0.76707650273224048</c:v>
                </c:pt>
                <c:pt idx="13">
                  <c:v>0.76675603217158173</c:v>
                </c:pt>
                <c:pt idx="14">
                  <c:v>0.71808287986605279</c:v>
                </c:pt>
                <c:pt idx="15">
                  <c:v>0.79562542720437457</c:v>
                </c:pt>
                <c:pt idx="16">
                  <c:v>0.70234515935057129</c:v>
                </c:pt>
                <c:pt idx="17">
                  <c:v>0.67758135797509045</c:v>
                </c:pt>
                <c:pt idx="18">
                  <c:v>0.69706336939721791</c:v>
                </c:pt>
                <c:pt idx="19">
                  <c:v>0.84441687344913152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62-4F83-ADDE-72B29A9A62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7963440"/>
        <c:axId val="950031424"/>
      </c:lineChart>
      <c:catAx>
        <c:axId val="59796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031424"/>
        <c:crosses val="autoZero"/>
        <c:auto val="1"/>
        <c:lblAlgn val="ctr"/>
        <c:lblOffset val="100"/>
        <c:noMultiLvlLbl val="0"/>
      </c:catAx>
      <c:valAx>
        <c:axId val="950031424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96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Sheet1!$A$19</c:f>
              <c:strCache>
                <c:ptCount val="1"/>
                <c:pt idx="0">
                  <c:v>Quick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Sheet1!$B$1:$U$1</c:f>
              <c:strCache>
                <c:ptCount val="20"/>
                <c:pt idx="0">
                  <c:v>Q2 2023</c:v>
                </c:pt>
                <c:pt idx="1">
                  <c:v>Q1 2023</c:v>
                </c:pt>
                <c:pt idx="2">
                  <c:v>Q4 2022</c:v>
                </c:pt>
                <c:pt idx="3">
                  <c:v>Q3 2022</c:v>
                </c:pt>
                <c:pt idx="4">
                  <c:v>Q2 2022</c:v>
                </c:pt>
                <c:pt idx="5">
                  <c:v>Q1 2022</c:v>
                </c:pt>
                <c:pt idx="6">
                  <c:v>Q4 2021</c:v>
                </c:pt>
                <c:pt idx="7">
                  <c:v>Q3 2021</c:v>
                </c:pt>
                <c:pt idx="8">
                  <c:v>Q2 2021</c:v>
                </c:pt>
                <c:pt idx="9">
                  <c:v>Q1 2021</c:v>
                </c:pt>
                <c:pt idx="10">
                  <c:v>Q4 2020</c:v>
                </c:pt>
                <c:pt idx="11">
                  <c:v>Q3 2020</c:v>
                </c:pt>
                <c:pt idx="12">
                  <c:v>Q2 2020</c:v>
                </c:pt>
                <c:pt idx="13">
                  <c:v>Q1 2020</c:v>
                </c:pt>
                <c:pt idx="14">
                  <c:v>Q4 2019</c:v>
                </c:pt>
                <c:pt idx="15">
                  <c:v>Q3 2019</c:v>
                </c:pt>
                <c:pt idx="16">
                  <c:v>Q2 2019</c:v>
                </c:pt>
                <c:pt idx="17">
                  <c:v>Q1 2019</c:v>
                </c:pt>
                <c:pt idx="18">
                  <c:v>Q4 2018</c:v>
                </c:pt>
                <c:pt idx="19">
                  <c:v>Q3 2018</c:v>
                </c:pt>
              </c:strCache>
            </c:strRef>
          </c:cat>
          <c:val>
            <c:numRef>
              <c:f>Sheet1!$B$19:$U$19</c:f>
              <c:numCache>
                <c:formatCode>0.00</c:formatCode>
                <c:ptCount val="20"/>
                <c:pt idx="0">
                  <c:v>0.34558369363804819</c:v>
                </c:pt>
                <c:pt idx="1">
                  <c:v>0.36110648225295783</c:v>
                </c:pt>
                <c:pt idx="2">
                  <c:v>0.32052291699480234</c:v>
                </c:pt>
                <c:pt idx="3">
                  <c:v>0.39085032322227747</c:v>
                </c:pt>
                <c:pt idx="4">
                  <c:v>0.36473310196661707</c:v>
                </c:pt>
                <c:pt idx="5">
                  <c:v>0.34199726402188785</c:v>
                </c:pt>
                <c:pt idx="6">
                  <c:v>0.33396048918156163</c:v>
                </c:pt>
                <c:pt idx="7">
                  <c:v>0.42155498110956452</c:v>
                </c:pt>
                <c:pt idx="8">
                  <c:v>0.38087279480037139</c:v>
                </c:pt>
                <c:pt idx="9">
                  <c:v>0.38087279480037139</c:v>
                </c:pt>
                <c:pt idx="10">
                  <c:v>0.37647957235586099</c:v>
                </c:pt>
                <c:pt idx="11">
                  <c:v>0.53115677825654628</c:v>
                </c:pt>
                <c:pt idx="12">
                  <c:v>0.50187841530054644</c:v>
                </c:pt>
                <c:pt idx="13">
                  <c:v>0.49401251117068812</c:v>
                </c:pt>
                <c:pt idx="14">
                  <c:v>0.4129342821264127</c:v>
                </c:pt>
                <c:pt idx="15">
                  <c:v>0.47755753018910913</c:v>
                </c:pt>
                <c:pt idx="16">
                  <c:v>0.39747444377630786</c:v>
                </c:pt>
                <c:pt idx="17">
                  <c:v>0.38268380875853758</c:v>
                </c:pt>
                <c:pt idx="18">
                  <c:v>0.37447560167807464</c:v>
                </c:pt>
                <c:pt idx="19">
                  <c:v>0.47667493796526056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F3-4E29-9DBE-DD8204CD3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4832064"/>
        <c:axId val="950033408"/>
      </c:lineChart>
      <c:catAx>
        <c:axId val="86483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033408"/>
        <c:crosses val="autoZero"/>
        <c:auto val="1"/>
        <c:lblAlgn val="ctr"/>
        <c:lblOffset val="100"/>
        <c:noMultiLvlLbl val="0"/>
      </c:catAx>
      <c:valAx>
        <c:axId val="950033408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83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Sheet1!$A$20</c:f>
              <c:strCache>
                <c:ptCount val="1"/>
                <c:pt idx="0">
                  <c:v>Inventory turnover (no of days)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Sheet1!$B$1:$U$1</c:f>
              <c:strCache>
                <c:ptCount val="20"/>
                <c:pt idx="0">
                  <c:v>Q2 2023</c:v>
                </c:pt>
                <c:pt idx="1">
                  <c:v>Q1 2023</c:v>
                </c:pt>
                <c:pt idx="2">
                  <c:v>Q4 2022</c:v>
                </c:pt>
                <c:pt idx="3">
                  <c:v>Q3 2022</c:v>
                </c:pt>
                <c:pt idx="4">
                  <c:v>Q2 2022</c:v>
                </c:pt>
                <c:pt idx="5">
                  <c:v>Q1 2022</c:v>
                </c:pt>
                <c:pt idx="6">
                  <c:v>Q4 2021</c:v>
                </c:pt>
                <c:pt idx="7">
                  <c:v>Q3 2021</c:v>
                </c:pt>
                <c:pt idx="8">
                  <c:v>Q2 2021</c:v>
                </c:pt>
                <c:pt idx="9">
                  <c:v>Q1 2021</c:v>
                </c:pt>
                <c:pt idx="10">
                  <c:v>Q4 2020</c:v>
                </c:pt>
                <c:pt idx="11">
                  <c:v>Q3 2020</c:v>
                </c:pt>
                <c:pt idx="12">
                  <c:v>Q2 2020</c:v>
                </c:pt>
                <c:pt idx="13">
                  <c:v>Q1 2020</c:v>
                </c:pt>
                <c:pt idx="14">
                  <c:v>Q4 2019</c:v>
                </c:pt>
                <c:pt idx="15">
                  <c:v>Q3 2019</c:v>
                </c:pt>
                <c:pt idx="16">
                  <c:v>Q2 2019</c:v>
                </c:pt>
                <c:pt idx="17">
                  <c:v>Q1 2019</c:v>
                </c:pt>
                <c:pt idx="18">
                  <c:v>Q4 2018</c:v>
                </c:pt>
                <c:pt idx="19">
                  <c:v>Q3 2018</c:v>
                </c:pt>
              </c:strCache>
            </c:strRef>
          </c:cat>
          <c:val>
            <c:numRef>
              <c:f>Sheet1!$B$20:$U$20</c:f>
              <c:numCache>
                <c:formatCode>0.00</c:formatCode>
                <c:ptCount val="20"/>
                <c:pt idx="0">
                  <c:v>61.946138211382113</c:v>
                </c:pt>
                <c:pt idx="1">
                  <c:v>60.353011384502388</c:v>
                </c:pt>
                <c:pt idx="2">
                  <c:v>61.970964566929133</c:v>
                </c:pt>
                <c:pt idx="3">
                  <c:v>57.265595816212183</c:v>
                </c:pt>
                <c:pt idx="4">
                  <c:v>56.803125000000001</c:v>
                </c:pt>
                <c:pt idx="5">
                  <c:v>59.522489539748953</c:v>
                </c:pt>
                <c:pt idx="6">
                  <c:v>55.819744380784485</c:v>
                </c:pt>
                <c:pt idx="7">
                  <c:v>53.643109729961424</c:v>
                </c:pt>
                <c:pt idx="8">
                  <c:v>55.410633484162894</c:v>
                </c:pt>
                <c:pt idx="9">
                  <c:v>52.216377440347074</c:v>
                </c:pt>
                <c:pt idx="10">
                  <c:v>53.999477230483265</c:v>
                </c:pt>
                <c:pt idx="11">
                  <c:v>53.983448030374937</c:v>
                </c:pt>
                <c:pt idx="12">
                  <c:v>51.429112301957133</c:v>
                </c:pt>
                <c:pt idx="13">
                  <c:v>50.439911668991165</c:v>
                </c:pt>
                <c:pt idx="14">
                  <c:v>55.398523523523522</c:v>
                </c:pt>
                <c:pt idx="15">
                  <c:v>52.730887939221276</c:v>
                </c:pt>
                <c:pt idx="16">
                  <c:v>54.481115528531333</c:v>
                </c:pt>
                <c:pt idx="17">
                  <c:v>52.83527216856892</c:v>
                </c:pt>
                <c:pt idx="18">
                  <c:v>59.158406754772393</c:v>
                </c:pt>
                <c:pt idx="19">
                  <c:v>56.59755228136882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D3-4A9C-97DD-75654611F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4850304"/>
        <c:axId val="950032912"/>
      </c:lineChart>
      <c:catAx>
        <c:axId val="86485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032912"/>
        <c:crosses val="autoZero"/>
        <c:auto val="1"/>
        <c:lblAlgn val="ctr"/>
        <c:lblOffset val="100"/>
        <c:noMultiLvlLbl val="0"/>
      </c:catAx>
      <c:valAx>
        <c:axId val="950032912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850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Sheet1!$A$24</c:f>
              <c:strCache>
                <c:ptCount val="1"/>
                <c:pt idx="0">
                  <c:v>Debt to equity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Sheet1!$B$1:$U$1</c:f>
              <c:strCache>
                <c:ptCount val="20"/>
                <c:pt idx="0">
                  <c:v>Q2 2023</c:v>
                </c:pt>
                <c:pt idx="1">
                  <c:v>Q1 2023</c:v>
                </c:pt>
                <c:pt idx="2">
                  <c:v>Q4 2022</c:v>
                </c:pt>
                <c:pt idx="3">
                  <c:v>Q3 2022</c:v>
                </c:pt>
                <c:pt idx="4">
                  <c:v>Q2 2022</c:v>
                </c:pt>
                <c:pt idx="5">
                  <c:v>Q1 2022</c:v>
                </c:pt>
                <c:pt idx="6">
                  <c:v>Q4 2021</c:v>
                </c:pt>
                <c:pt idx="7">
                  <c:v>Q3 2021</c:v>
                </c:pt>
                <c:pt idx="8">
                  <c:v>Q2 2021</c:v>
                </c:pt>
                <c:pt idx="9">
                  <c:v>Q1 2021</c:v>
                </c:pt>
                <c:pt idx="10">
                  <c:v>Q4 2020</c:v>
                </c:pt>
                <c:pt idx="11">
                  <c:v>Q3 2020</c:v>
                </c:pt>
                <c:pt idx="12">
                  <c:v>Q2 2020</c:v>
                </c:pt>
                <c:pt idx="13">
                  <c:v>Q1 2020</c:v>
                </c:pt>
                <c:pt idx="14">
                  <c:v>Q4 2019</c:v>
                </c:pt>
                <c:pt idx="15">
                  <c:v>Q3 2019</c:v>
                </c:pt>
                <c:pt idx="16">
                  <c:v>Q2 2019</c:v>
                </c:pt>
                <c:pt idx="17">
                  <c:v>Q1 2019</c:v>
                </c:pt>
                <c:pt idx="18">
                  <c:v>Q4 2018</c:v>
                </c:pt>
                <c:pt idx="19">
                  <c:v>Q3 2018</c:v>
                </c:pt>
              </c:strCache>
            </c:strRef>
          </c:cat>
          <c:val>
            <c:numRef>
              <c:f>Sheet1!$B$24:$U$24</c:f>
              <c:numCache>
                <c:formatCode>0.00%</c:formatCode>
                <c:ptCount val="20"/>
                <c:pt idx="0">
                  <c:v>1.7365553186448708</c:v>
                </c:pt>
                <c:pt idx="1">
                  <c:v>1.6492520651931235</c:v>
                </c:pt>
                <c:pt idx="2">
                  <c:v>1.6390857142857143</c:v>
                </c:pt>
                <c:pt idx="3">
                  <c:v>1.5356690586745463</c:v>
                </c:pt>
                <c:pt idx="4">
                  <c:v>1.6752961825362001</c:v>
                </c:pt>
                <c:pt idx="5">
                  <c:v>1.8519208381839347</c:v>
                </c:pt>
                <c:pt idx="6">
                  <c:v>1.8336892052194542</c:v>
                </c:pt>
                <c:pt idx="7">
                  <c:v>2.0364180593664254</c:v>
                </c:pt>
                <c:pt idx="8">
                  <c:v>2.1239690721649485</c:v>
                </c:pt>
                <c:pt idx="9">
                  <c:v>2.2735978112175101</c:v>
                </c:pt>
                <c:pt idx="10">
                  <c:v>2.2310231023102309</c:v>
                </c:pt>
                <c:pt idx="11">
                  <c:v>2.5588399330730618</c:v>
                </c:pt>
                <c:pt idx="12">
                  <c:v>2.6697005284791544</c:v>
                </c:pt>
                <c:pt idx="13">
                  <c:v>2.8119551681195518</c:v>
                </c:pt>
                <c:pt idx="14">
                  <c:v>2.5555220277610138</c:v>
                </c:pt>
                <c:pt idx="15">
                  <c:v>2.5380170316301705</c:v>
                </c:pt>
                <c:pt idx="16">
                  <c:v>3.0392278953922789</c:v>
                </c:pt>
                <c:pt idx="17">
                  <c:v>3.1462705844365515</c:v>
                </c:pt>
                <c:pt idx="18">
                  <c:v>2.8151313706869261</c:v>
                </c:pt>
                <c:pt idx="19">
                  <c:v>2.4683264177040112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4F-4B95-B8BC-4D7CAA43E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4854144"/>
        <c:axId val="1554526704"/>
      </c:lineChart>
      <c:catAx>
        <c:axId val="86485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526704"/>
        <c:crosses val="autoZero"/>
        <c:auto val="1"/>
        <c:lblAlgn val="ctr"/>
        <c:lblOffset val="100"/>
        <c:noMultiLvlLbl val="0"/>
      </c:catAx>
      <c:valAx>
        <c:axId val="1554526704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854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20</xdr:row>
      <xdr:rowOff>19050</xdr:rowOff>
    </xdr:from>
    <xdr:to>
      <xdr:col>12</xdr:col>
      <xdr:colOff>680357</xdr:colOff>
      <xdr:row>39</xdr:row>
      <xdr:rowOff>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D09CA4E3-EB5C-44B6-D6AF-47486D5422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21166</xdr:colOff>
      <xdr:row>1</xdr:row>
      <xdr:rowOff>31750</xdr:rowOff>
    </xdr:from>
    <xdr:to>
      <xdr:col>12</xdr:col>
      <xdr:colOff>688823</xdr:colOff>
      <xdr:row>18</xdr:row>
      <xdr:rowOff>169333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838805C3-83E3-5996-5C8C-48E640FC68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236084</xdr:colOff>
      <xdr:row>1</xdr:row>
      <xdr:rowOff>13833</xdr:rowOff>
    </xdr:from>
    <xdr:to>
      <xdr:col>26</xdr:col>
      <xdr:colOff>13607</xdr:colOff>
      <xdr:row>18</xdr:row>
      <xdr:rowOff>176893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4D1C0D1-1913-F0C3-874A-E53A2494C9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1434</xdr:colOff>
      <xdr:row>19</xdr:row>
      <xdr:rowOff>184453</xdr:rowOff>
    </xdr:from>
    <xdr:to>
      <xdr:col>25</xdr:col>
      <xdr:colOff>598713</xdr:colOff>
      <xdr:row>38</xdr:row>
      <xdr:rowOff>176893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E740C63-2E9D-6394-5EC2-BFAD36BB38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11262</xdr:colOff>
      <xdr:row>0</xdr:row>
      <xdr:rowOff>106667</xdr:rowOff>
    </xdr:from>
    <xdr:to>
      <xdr:col>39</xdr:col>
      <xdr:colOff>13607</xdr:colOff>
      <xdr:row>19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99CD172-8C8A-18A3-80B9-7213EAADB2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166384</xdr:colOff>
      <xdr:row>19</xdr:row>
      <xdr:rowOff>181807</xdr:rowOff>
    </xdr:from>
    <xdr:to>
      <xdr:col>38</xdr:col>
      <xdr:colOff>590550</xdr:colOff>
      <xdr:row>38</xdr:row>
      <xdr:rowOff>171450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9D2B903-9F14-CA80-3179-373D0118D3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679</xdr:colOff>
      <xdr:row>42</xdr:row>
      <xdr:rowOff>8844</xdr:rowOff>
    </xdr:from>
    <xdr:to>
      <xdr:col>13</xdr:col>
      <xdr:colOff>38100</xdr:colOff>
      <xdr:row>62</xdr:row>
      <xdr:rowOff>19050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076D725-677A-E440-CBB6-1F976A2D1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11563</xdr:colOff>
      <xdr:row>63</xdr:row>
      <xdr:rowOff>3400</xdr:rowOff>
    </xdr:from>
    <xdr:to>
      <xdr:col>13</xdr:col>
      <xdr:colOff>0</xdr:colOff>
      <xdr:row>84</xdr:row>
      <xdr:rowOff>19049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BFF1402-C088-7E71-5E68-39509EFDE3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22448</xdr:colOff>
      <xdr:row>84</xdr:row>
      <xdr:rowOff>177571</xdr:rowOff>
    </xdr:from>
    <xdr:to>
      <xdr:col>12</xdr:col>
      <xdr:colOff>685799</xdr:colOff>
      <xdr:row>104</xdr:row>
      <xdr:rowOff>19050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1B942FF-1D16-919C-616F-98A38868C7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6122</xdr:colOff>
      <xdr:row>42</xdr:row>
      <xdr:rowOff>10205</xdr:rowOff>
    </xdr:from>
    <xdr:to>
      <xdr:col>25</xdr:col>
      <xdr:colOff>609600</xdr:colOff>
      <xdr:row>62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584DC49-0CFB-6DF8-4447-FD15622927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E530-D08C-4873-AA74-E445A32E9BBA}">
  <dimension ref="A1:U49"/>
  <sheetViews>
    <sheetView workbookViewId="0">
      <selection activeCell="A5" sqref="A5:A6"/>
    </sheetView>
  </sheetViews>
  <sheetFormatPr defaultRowHeight="15" x14ac:dyDescent="0.25"/>
  <cols>
    <col min="1" max="1" width="27.5703125" bestFit="1" customWidth="1"/>
    <col min="2" max="2" width="10.42578125" customWidth="1"/>
    <col min="3" max="3" width="8.85546875" bestFit="1" customWidth="1"/>
    <col min="4" max="4" width="10" bestFit="1" customWidth="1"/>
    <col min="5" max="11" width="8.85546875" bestFit="1" customWidth="1"/>
    <col min="12" max="12" width="9.42578125" bestFit="1" customWidth="1"/>
    <col min="13" max="15" width="8.85546875" bestFit="1" customWidth="1"/>
    <col min="16" max="16" width="9.42578125" bestFit="1" customWidth="1"/>
    <col min="17" max="17" width="8.85546875" bestFit="1" customWidth="1"/>
    <col min="18" max="18" width="8.42578125" bestFit="1" customWidth="1"/>
    <col min="19" max="19" width="8.85546875" bestFit="1" customWidth="1"/>
    <col min="20" max="20" width="10" bestFit="1" customWidth="1"/>
    <col min="21" max="21" width="8.85546875" bestFit="1" customWidth="1"/>
  </cols>
  <sheetData>
    <row r="1" spans="1:21" x14ac:dyDescent="0.25">
      <c r="A1" s="9" t="s">
        <v>39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16</v>
      </c>
      <c r="R1" s="9" t="s">
        <v>17</v>
      </c>
      <c r="S1" s="9" t="s">
        <v>18</v>
      </c>
      <c r="T1" s="9" t="s">
        <v>15</v>
      </c>
      <c r="U1" s="9" t="s">
        <v>19</v>
      </c>
    </row>
    <row r="2" spans="1:2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x14ac:dyDescent="0.25">
      <c r="A3" s="9" t="s">
        <v>34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1:21" x14ac:dyDescent="0.25">
      <c r="A4" s="14" t="s">
        <v>30</v>
      </c>
      <c r="B4" s="3">
        <f>(587*(1-0.375))/((18101+18630)/2)*4</f>
        <v>7.9905257139745722E-2</v>
      </c>
      <c r="C4" s="5">
        <f>(492*(1-0.376))/((18630+18630)/2)*4</f>
        <v>6.5916908212560382E-2</v>
      </c>
      <c r="D4" s="3">
        <f>(377*(1-0.375))/((18496+19016)/2)*4</f>
        <v>5.0250586478993386E-2</v>
      </c>
      <c r="E4" s="3">
        <f>(391*(1-0.375))/((19016+18937)/2)*4</f>
        <v>5.1511079493057201E-2</v>
      </c>
      <c r="F4" s="3">
        <f>(425*(1-0.375))/((18937+18612)/2)*4</f>
        <v>5.6592718847372769E-2</v>
      </c>
      <c r="G4" s="5">
        <f>(524*(1-0.375))/((18612+18612)/2)*4</f>
        <v>7.0384698044272512E-2</v>
      </c>
      <c r="H4" s="3">
        <f>(369*(1-0.375))/((18178+18407)/2)*4</f>
        <v>5.0430504305043047E-2</v>
      </c>
      <c r="I4" s="3">
        <f>(457*(1-0.375))/((18407+18213)/2)*4</f>
        <v>6.2397596941561988E-2</v>
      </c>
      <c r="J4" s="3">
        <f>(510*(1-0.375))/((18213+18064)/2)*4</f>
        <v>7.0292471814097091E-2</v>
      </c>
      <c r="K4" s="3">
        <f>(479*(1-0.375))/((18064+18064)/2)*4</f>
        <v>6.6292072630646584E-2</v>
      </c>
      <c r="L4" s="3">
        <f>(430*0.625)/((17996+18922)/2)*4</f>
        <v>5.8237174278129911E-2</v>
      </c>
      <c r="M4" s="3">
        <f>(410*0.625)/((18922+18551)/2)*4</f>
        <v>5.4706055026285595E-2</v>
      </c>
      <c r="N4" s="3">
        <f>(533*0.625)/((18551+18240)/2)*4</f>
        <v>7.2436193634312737E-2</v>
      </c>
      <c r="O4" s="5">
        <f>(466*0.625)/((18240+18240)/2)*4</f>
        <v>6.3870614035087717E-2</v>
      </c>
      <c r="P4" s="3">
        <f>(404*0.625)/((17564+17499)/2)*4</f>
        <v>5.7610586658300773E-2</v>
      </c>
      <c r="Q4" s="3">
        <f>(432*0.625)/((17499+18669)/2)*4</f>
        <v>5.9721300597213006E-2</v>
      </c>
      <c r="R4" s="3">
        <f>(498*0.625)/((18669+18465)/2)*4</f>
        <v>6.7054451446114077E-2</v>
      </c>
      <c r="S4" s="5">
        <f>(423*0.625)/((18465+18465)/2)*4</f>
        <v>5.7270511779041432E-2</v>
      </c>
      <c r="T4" s="3">
        <f>(418*0.625)/((17780+18114)/2)*4</f>
        <v>5.8227001727308186E-2</v>
      </c>
      <c r="U4" s="3">
        <f>(460*0.625)/((18114+17901)/2)*4</f>
        <v>6.3862279605719843E-2</v>
      </c>
    </row>
    <row r="5" spans="1:21" x14ac:dyDescent="0.25">
      <c r="A5" t="s">
        <v>31</v>
      </c>
      <c r="B5" s="3">
        <f>362/((4221+4479)/2)*4</f>
        <v>0.33287356321839079</v>
      </c>
      <c r="C5" s="10">
        <f>302/((4479+4479)/2)*4</f>
        <v>0.26970305871846395</v>
      </c>
      <c r="D5" s="3">
        <f>-100/((4375+4738)/2)*4</f>
        <v>-8.7786678371557111E-2</v>
      </c>
      <c r="E5" s="3">
        <f>312/((4738+4558)/2)*4</f>
        <v>0.26850258175559383</v>
      </c>
      <c r="F5" s="3">
        <f>326/((4558+4295)/2)*4</f>
        <v>0.29458940472156331</v>
      </c>
      <c r="G5" s="10">
        <f>424/((4295+4295)/2)*4</f>
        <v>0.39487776484284054</v>
      </c>
      <c r="H5" s="3">
        <f>434/((4215+4009)/2)*4</f>
        <v>0.42217898832684825</v>
      </c>
      <c r="I5" s="3">
        <f>305/((4009+3880)/2)*4</f>
        <v>0.30929141843072633</v>
      </c>
      <c r="J5" s="3">
        <f>385/((3880+3655)/2)*4</f>
        <v>0.40875912408759124</v>
      </c>
      <c r="K5" s="10">
        <f>371/((3655+3655)/2)*4</f>
        <v>0.40601915184678522</v>
      </c>
      <c r="L5" s="3">
        <f>208/((3636+3586)/2)*4</f>
        <v>0.23040708944890612</v>
      </c>
      <c r="M5" s="3">
        <f>352/((3586+3406)/2)*4</f>
        <v>0.40274599542334094</v>
      </c>
      <c r="N5" s="3">
        <f>354/((3406+3212)/2)*4</f>
        <v>0.42792384406165007</v>
      </c>
      <c r="O5" s="10">
        <f>350/((3212+3212)/2)*4</f>
        <v>0.43586550435865506</v>
      </c>
      <c r="P5" s="3">
        <f>152/((3314+3288)/2)*4</f>
        <v>0.18418661011814602</v>
      </c>
      <c r="Q5" s="3">
        <f>248/((3288+3212)/2)*4</f>
        <v>0.30523076923076925</v>
      </c>
      <c r="R5" s="3">
        <f>292/((3212+3097)/2)*4</f>
        <v>0.37026470122047866</v>
      </c>
      <c r="S5" s="10">
        <f>285/((3097+3097)/2)*4</f>
        <v>0.36809815950920244</v>
      </c>
      <c r="T5" s="3">
        <f>-82/((3159+3615)/2)*4</f>
        <v>-9.6840862119870086E-2</v>
      </c>
      <c r="U5" s="3">
        <f>383/((3615+3404)/2)*4</f>
        <v>0.43652942014531987</v>
      </c>
    </row>
    <row r="6" spans="1:21" x14ac:dyDescent="0.25">
      <c r="A6" s="6" t="s">
        <v>23</v>
      </c>
      <c r="B6" s="1">
        <f>B30/C30</f>
        <v>64.807692307692307</v>
      </c>
      <c r="C6" s="1">
        <f>B31/C31</f>
        <v>76.965517241379303</v>
      </c>
      <c r="D6" s="1">
        <f>B32/C32</f>
        <v>-245.65517241379311</v>
      </c>
      <c r="E6" s="1">
        <f>B33/C33</f>
        <v>76.54945054945054</v>
      </c>
      <c r="F6" s="1">
        <f>B34/C34</f>
        <v>74.3125</v>
      </c>
      <c r="G6" s="1">
        <f>B35/C35</f>
        <v>52.008064516129032</v>
      </c>
      <c r="H6" s="1">
        <f>B36/C36</f>
        <v>50.724409448818896</v>
      </c>
      <c r="I6" s="1">
        <f>B37/C37</f>
        <v>71.022222222222226</v>
      </c>
      <c r="J6" s="1">
        <f>B38/C38</f>
        <v>57.95495495495495</v>
      </c>
      <c r="K6" s="1">
        <f>B39/C39</f>
        <v>58.611111111111107</v>
      </c>
      <c r="L6" s="1">
        <f>B40/C40</f>
        <v>103.71666666666667</v>
      </c>
      <c r="M6" s="1">
        <f>B41/C41</f>
        <v>63.950495049504951</v>
      </c>
      <c r="N6" s="1">
        <f>B42/C42</f>
        <v>64.764705882352942</v>
      </c>
      <c r="O6" s="1">
        <f>B43/C43</f>
        <v>59.396039603960396</v>
      </c>
      <c r="P6" s="1">
        <f>B44/C44</f>
        <v>160.83720930232559</v>
      </c>
      <c r="Q6" s="1">
        <f>B45/C45</f>
        <v>89.375</v>
      </c>
      <c r="R6" s="1">
        <f>B46/C46</f>
        <v>63.773809523809526</v>
      </c>
      <c r="S6" s="1">
        <f>B47/C47</f>
        <v>69.975609756097569</v>
      </c>
      <c r="T6" s="1">
        <f>B48/C48</f>
        <v>-237.54166666666666</v>
      </c>
      <c r="U6" s="1">
        <f>B49/C49</f>
        <v>63.654545454545449</v>
      </c>
    </row>
    <row r="7" spans="1:21" x14ac:dyDescent="0.25">
      <c r="A7" s="6"/>
    </row>
    <row r="8" spans="1:21" x14ac:dyDescent="0.25">
      <c r="A8" s="11" t="s">
        <v>35</v>
      </c>
    </row>
    <row r="9" spans="1:21" x14ac:dyDescent="0.25">
      <c r="A9" s="6" t="s">
        <v>28</v>
      </c>
      <c r="B9" s="3">
        <f>1458/4041</f>
        <v>0.36080178173719374</v>
      </c>
      <c r="C9" s="4">
        <f>1330/4053</f>
        <v>0.32815198618307428</v>
      </c>
      <c r="D9" s="4">
        <f>1293/3833</f>
        <v>0.33733368118966867</v>
      </c>
      <c r="E9" s="4">
        <f>1269/3946</f>
        <v>0.32159148504815005</v>
      </c>
      <c r="F9" s="4">
        <f>1264/3864</f>
        <v>0.32712215320910976</v>
      </c>
      <c r="G9" s="4">
        <f>1282/3672</f>
        <v>0.34912854030501089</v>
      </c>
      <c r="H9" s="4">
        <f>1151/3420</f>
        <v>0.33654970760233915</v>
      </c>
      <c r="I9" s="4">
        <f>1289/3622</f>
        <v>0.35588072887907235</v>
      </c>
      <c r="J9" s="4">
        <f>1345/3555</f>
        <v>0.37834036568213786</v>
      </c>
      <c r="K9" s="4">
        <f>1279/3584</f>
        <v>0.3568638392857143</v>
      </c>
      <c r="L9" s="4">
        <f>1312/3464</f>
        <v>0.3787528868360277</v>
      </c>
      <c r="M9" s="4">
        <f>1322/3429</f>
        <v>0.38553514144065326</v>
      </c>
      <c r="N9" s="4">
        <f>1319/3465</f>
        <v>0.38066378066378065</v>
      </c>
      <c r="O9" s="4">
        <f>1261/3412</f>
        <v>0.36957796014067995</v>
      </c>
      <c r="P9" s="4">
        <f>1225/3223</f>
        <v>0.38008067018305924</v>
      </c>
      <c r="Q9" s="4">
        <f>1266/3372</f>
        <v>0.37544483985765126</v>
      </c>
      <c r="R9" s="4">
        <f>1323/3461</f>
        <v>0.38225946258306848</v>
      </c>
      <c r="S9" s="4">
        <f>1244/3522</f>
        <v>0.3532084043157297</v>
      </c>
      <c r="T9" s="4">
        <f>1274/3317</f>
        <v>0.38408200180886343</v>
      </c>
      <c r="U9" s="4">
        <f>1365/3469</f>
        <v>0.39348515422311903</v>
      </c>
    </row>
    <row r="10" spans="1:21" x14ac:dyDescent="0.25">
      <c r="A10" t="s">
        <v>32</v>
      </c>
      <c r="B10" s="3">
        <f>357/4041</f>
        <v>8.8344469190794361E-2</v>
      </c>
      <c r="C10" s="3">
        <f>298/4053</f>
        <v>7.3525783370342962E-2</v>
      </c>
      <c r="D10" s="3">
        <f>-98/3833</f>
        <v>-2.5567440647012784E-2</v>
      </c>
      <c r="E10" s="3">
        <f>310/3946</f>
        <v>7.8560567663456662E-2</v>
      </c>
      <c r="F10" s="3">
        <f>326/3864</f>
        <v>8.4368530020703936E-2</v>
      </c>
      <c r="G10" s="3">
        <f>422/3672</f>
        <v>0.11492374727668846</v>
      </c>
      <c r="H10" s="3">
        <f>433/3420</f>
        <v>0.12660818713450292</v>
      </c>
      <c r="I10" s="3">
        <f>307/3622</f>
        <v>8.4759801214798453E-2</v>
      </c>
      <c r="J10" s="3">
        <f>380/3555</f>
        <v>0.10689170182841069</v>
      </c>
      <c r="K10" s="3">
        <f>368/3584</f>
        <v>0.10267857142857142</v>
      </c>
      <c r="L10" s="3">
        <f>205/3464</f>
        <v>5.9180138568129328E-2</v>
      </c>
      <c r="M10" s="3">
        <f>348/3429</f>
        <v>0.10148731408573929</v>
      </c>
      <c r="N10" s="3">
        <f>351/3465</f>
        <v>0.1012987012987013</v>
      </c>
      <c r="O10" s="3">
        <f>347/3412</f>
        <v>0.10169988276670575</v>
      </c>
      <c r="P10" s="3">
        <f>145/3223</f>
        <v>4.4989140552280482E-2</v>
      </c>
      <c r="Q10" s="3">
        <f>247/3372</f>
        <v>7.3250296559905101E-2</v>
      </c>
      <c r="R10" s="3">
        <f>286/3461</f>
        <v>8.2635076567466048E-2</v>
      </c>
      <c r="S10" s="3">
        <f>282/3522</f>
        <v>8.006814310051108E-2</v>
      </c>
      <c r="T10" s="3">
        <f>-84/3317</f>
        <v>-2.5324088031353633E-2</v>
      </c>
      <c r="U10" s="3">
        <f>380/3469</f>
        <v>0.10954165465552032</v>
      </c>
    </row>
    <row r="11" spans="1:21" x14ac:dyDescent="0.25">
      <c r="A11" s="6"/>
    </row>
    <row r="12" spans="1:21" x14ac:dyDescent="0.25">
      <c r="A12" s="11" t="s">
        <v>36</v>
      </c>
    </row>
    <row r="13" spans="1:21" x14ac:dyDescent="0.25">
      <c r="A13" s="6" t="s">
        <v>22</v>
      </c>
      <c r="B13" s="1">
        <f>4041/((18101+18630)/2)*4</f>
        <v>0.88012850181045987</v>
      </c>
      <c r="C13" s="1">
        <f>4053/((18630+18630)/2)*4</f>
        <v>0.87020933977455717</v>
      </c>
      <c r="D13" s="1">
        <f>3833/((18496+19016)/2)*4</f>
        <v>0.81744508423970996</v>
      </c>
      <c r="E13" s="1">
        <f>3946/((19016+18937)/2)*4</f>
        <v>0.83176560482702289</v>
      </c>
      <c r="F13" s="1">
        <f>3864/((18937+18612)/2)*4</f>
        <v>0.82324429412234679</v>
      </c>
      <c r="G13" s="1">
        <f>3672/((18612+18612)/2)*4</f>
        <v>0.78916827852998062</v>
      </c>
      <c r="H13" s="1">
        <f>3420/((18178+18407)/2)*4</f>
        <v>0.74784747847478472</v>
      </c>
      <c r="I13" s="1">
        <f>3622/((18407+18213)/2)*4</f>
        <v>0.79126160567995629</v>
      </c>
      <c r="J13" s="1">
        <f>3555/((18213+18064)/2)*4</f>
        <v>0.78396780329134164</v>
      </c>
      <c r="K13" s="1">
        <f>3584/((18064+18064)/2)*4</f>
        <v>0.79362267493356953</v>
      </c>
      <c r="L13" s="1">
        <f>3464/((17996+18922)/2)*4</f>
        <v>0.7506365458583889</v>
      </c>
      <c r="M13" s="1">
        <f>3429/((18922+18551)/2)*4</f>
        <v>0.73204707389320312</v>
      </c>
      <c r="N13" s="1">
        <f>3465/((18551+18240)/2)*4</f>
        <v>0.75344513603870511</v>
      </c>
      <c r="O13" s="1">
        <f>3412/((18240+18240)/2)*4</f>
        <v>0.74824561403508771</v>
      </c>
      <c r="P13" s="1">
        <f>3223/((17564+17499)/2)*4</f>
        <v>0.73536206257308279</v>
      </c>
      <c r="Q13" s="1">
        <f>3372/((17499+18669)/2)*4</f>
        <v>0.74585268745852684</v>
      </c>
      <c r="R13" s="1">
        <f>3461/((18669+18465)/2)*4</f>
        <v>0.74562395648193036</v>
      </c>
      <c r="S13" s="1">
        <f>3522/((18465+18465)/2)*4</f>
        <v>0.7629569455727051</v>
      </c>
      <c r="T13" s="1">
        <f>3317/((17780+18114)/2)*4</f>
        <v>0.73928790327074168</v>
      </c>
      <c r="U13" s="1">
        <f>3469/((18114+17901)/2)*4</f>
        <v>0.77056781896432047</v>
      </c>
    </row>
    <row r="14" spans="1:21" x14ac:dyDescent="0.25">
      <c r="A14" s="6" t="s">
        <v>20</v>
      </c>
      <c r="B14" s="1">
        <f>4041/((1638+1557)/2)*4</f>
        <v>10.11830985915493</v>
      </c>
      <c r="C14" s="1">
        <f>4053/((1557+1436)/2)*4</f>
        <v>10.833277647844971</v>
      </c>
      <c r="D14" s="1">
        <f>3833/((1436+1665)/2)*4</f>
        <v>9.8884230893260234</v>
      </c>
      <c r="E14" s="1">
        <f>3946/((1665+1526)/2)*4</f>
        <v>9.8928235662801622</v>
      </c>
      <c r="F14" s="1">
        <f>3864/((1526+1408)/2)*4</f>
        <v>10.535787321063395</v>
      </c>
      <c r="G14" s="1">
        <f>3672/((1408+1225)/2)*4</f>
        <v>11.156855298139005</v>
      </c>
      <c r="H14" s="1">
        <f>3420/((1225+1424)/2)*4</f>
        <v>10.328425821064553</v>
      </c>
      <c r="I14" s="1">
        <f>3622/((1424+1384)/2)*4</f>
        <v>10.319088319088319</v>
      </c>
      <c r="J14" s="1">
        <f>3555/((1384+1391)/2)*4</f>
        <v>10.248648648648649</v>
      </c>
      <c r="K14" s="1">
        <f>3584/((1391+1253)/2)*4</f>
        <v>10.844175491679273</v>
      </c>
      <c r="L14" s="1">
        <f>3464/((1253+1392)/2)*4</f>
        <v>10.477126654064271</v>
      </c>
      <c r="M14" s="1">
        <f>3372/((1390+1400)/2)*4</f>
        <v>9.6688172043010745</v>
      </c>
      <c r="N14" s="1">
        <f>3465/((1429+1451)/2)*4</f>
        <v>9.625</v>
      </c>
      <c r="O14" s="1">
        <f>3412/((1451+1451)/2)*4</f>
        <v>9.4059269469331497</v>
      </c>
      <c r="P14" s="1">
        <f>3223/((1305+1390)/2)*4</f>
        <v>9.5673469387755095</v>
      </c>
      <c r="Q14" s="1">
        <f>3372/((1390+1400)/2)*4</f>
        <v>9.6688172043010745</v>
      </c>
      <c r="R14" s="1">
        <f>3461/((1400+1384)/2)*4</f>
        <v>9.9454022988505741</v>
      </c>
      <c r="S14" s="1">
        <f>3522/((1384+1384)/2)*4</f>
        <v>10.179190751445086</v>
      </c>
      <c r="T14" s="1">
        <f>3317/((1153+1382)/2)*4</f>
        <v>10.46785009861933</v>
      </c>
      <c r="U14" s="1">
        <f>3469/((1382+1329)/2)*4</f>
        <v>10.236812984138695</v>
      </c>
    </row>
    <row r="15" spans="1:21" x14ac:dyDescent="0.25">
      <c r="A15" s="12" t="s">
        <v>26</v>
      </c>
      <c r="B15" s="1">
        <f>2583/((1706+1801)/2)*4</f>
        <v>5.8922155688622757</v>
      </c>
      <c r="C15" s="2">
        <f>2723/((1801+1801)/2)*4</f>
        <v>6.0477512493059411</v>
      </c>
      <c r="D15" s="1">
        <f>2540/((1768+1682)/2)*4</f>
        <v>5.8898550724637682</v>
      </c>
      <c r="E15" s="1">
        <f>2677/((1682+1678)/2)*4</f>
        <v>6.3738095238095234</v>
      </c>
      <c r="F15" s="1">
        <f>2600/((1678+1559)/2)*4</f>
        <v>6.4257028112449799</v>
      </c>
      <c r="G15" s="2">
        <f>2390/((1559+1559)/2)*4</f>
        <v>6.1321359846055161</v>
      </c>
      <c r="H15" s="1">
        <f>2269/((1398+1378)/2)*4</f>
        <v>6.5389048991354466</v>
      </c>
      <c r="I15" s="1">
        <f>2333/((1378+1365)/2)*4</f>
        <v>6.8042289464090411</v>
      </c>
      <c r="J15" s="1">
        <f>2210/((1365+1319)/2)*4</f>
        <v>6.587183308494784</v>
      </c>
      <c r="K15" s="2">
        <f>2305/((1319+1319)/2)*4</f>
        <v>6.9901440485216071</v>
      </c>
      <c r="L15" s="1">
        <f>2152/((1284+1263)/2)*4</f>
        <v>6.7593246957204558</v>
      </c>
      <c r="M15" s="1">
        <f>2107/((1263+1230)/2)*4</f>
        <v>6.7613317288407542</v>
      </c>
      <c r="N15" s="1">
        <f>2146/((1230+1189)/2)*4</f>
        <v>7.0971475816453076</v>
      </c>
      <c r="O15" s="2">
        <f>2151/((1189+1189)/2)*4</f>
        <v>7.2363330529857022</v>
      </c>
      <c r="P15" s="1">
        <f>1998/((1226+1200)/2)*4</f>
        <v>6.5886232481450948</v>
      </c>
      <c r="Q15" s="1">
        <f>2106/((1200+1234)/2)*4</f>
        <v>6.9219391947411664</v>
      </c>
      <c r="R15" s="1">
        <f>2138/((1234+1319)/2)*4</f>
        <v>6.6995691343517434</v>
      </c>
      <c r="S15" s="2">
        <f>2278/((1319+1319)/2)*4</f>
        <v>6.9082638362395752</v>
      </c>
      <c r="T15" s="1">
        <f>2043/((1330+1319)/2)*4</f>
        <v>6.1698754246885619</v>
      </c>
      <c r="U15" s="1">
        <f>2104/((1319+1291)/2)*4</f>
        <v>6.4490421455938698</v>
      </c>
    </row>
    <row r="16" spans="1:21" x14ac:dyDescent="0.25">
      <c r="A16" s="6"/>
    </row>
    <row r="17" spans="1:21" x14ac:dyDescent="0.25">
      <c r="A17" s="11" t="s">
        <v>37</v>
      </c>
    </row>
    <row r="18" spans="1:21" s="1" customFormat="1" x14ac:dyDescent="0.25">
      <c r="A18" s="6" t="s">
        <v>24</v>
      </c>
      <c r="B18" s="1">
        <f>4288/6476</f>
        <v>0.66213712168004946</v>
      </c>
      <c r="C18" s="1">
        <f>4324/6001</f>
        <v>0.7205465755707382</v>
      </c>
      <c r="D18" s="1">
        <f>4186/6349</f>
        <v>0.65931642778390298</v>
      </c>
      <c r="E18" s="1">
        <f>4444/6033</f>
        <v>0.73661528261229903</v>
      </c>
      <c r="F18" s="1">
        <f>4261/6051</f>
        <v>0.70418112708643199</v>
      </c>
      <c r="G18" s="1">
        <f>3816/5848</f>
        <v>0.65253077975376195</v>
      </c>
      <c r="H18" s="1">
        <f>3394/5315</f>
        <v>0.63857008466603948</v>
      </c>
      <c r="I18" s="1">
        <f>3799/5029</f>
        <v>0.75541857228077147</v>
      </c>
      <c r="J18" s="1">
        <f>3747/4946</f>
        <v>0.75758188435099072</v>
      </c>
      <c r="K18" s="1">
        <f>3639/5385</f>
        <v>0.67576601671309189</v>
      </c>
      <c r="L18" s="1">
        <f>3482/5238</f>
        <v>0.66475754104620088</v>
      </c>
      <c r="M18" s="1">
        <f>4753/6034</f>
        <v>0.78770301624129935</v>
      </c>
      <c r="N18" s="1">
        <f>4492/5856</f>
        <v>0.76707650273224048</v>
      </c>
      <c r="O18" s="1">
        <f>4290/5595</f>
        <v>0.76675603217158173</v>
      </c>
      <c r="P18" s="1">
        <f>3431/4778</f>
        <v>0.71808287986605279</v>
      </c>
      <c r="Q18" s="1">
        <f>3492/4389</f>
        <v>0.79562542720437457</v>
      </c>
      <c r="R18" s="1">
        <f>3504/4989</f>
        <v>0.70234515935057129</v>
      </c>
      <c r="S18" s="1">
        <f>3373/4978</f>
        <v>0.67758135797509045</v>
      </c>
      <c r="T18" s="1">
        <f>3157/4529</f>
        <v>0.69706336939721791</v>
      </c>
      <c r="U18" s="1">
        <f>3403/4030</f>
        <v>0.84441687344913152</v>
      </c>
    </row>
    <row r="19" spans="1:21" s="1" customFormat="1" x14ac:dyDescent="0.25">
      <c r="A19" s="6" t="s">
        <v>25</v>
      </c>
      <c r="B19" s="1">
        <f>(308+1930)/6476</f>
        <v>0.34558369363804819</v>
      </c>
      <c r="C19" s="1">
        <f>(347+1820)/6001</f>
        <v>0.36110648225295783</v>
      </c>
      <c r="D19" s="1">
        <f>(299+1736)/6349</f>
        <v>0.32052291699480234</v>
      </c>
      <c r="E19" s="1">
        <f>(373+1985)/6033</f>
        <v>0.39085032322227747</v>
      </c>
      <c r="F19" s="1">
        <f>(323+1884)/6051</f>
        <v>0.36473310196661707</v>
      </c>
      <c r="G19" s="1">
        <f>(313+1687)/5848</f>
        <v>0.34199726402188785</v>
      </c>
      <c r="H19" s="1">
        <f>(286+1489)/5315</f>
        <v>0.33396048918156163</v>
      </c>
      <c r="I19" s="1">
        <f>(440+1680)/5029</f>
        <v>0.42155498110956452</v>
      </c>
      <c r="J19" s="1">
        <f>(391+1660)/5385</f>
        <v>0.38087279480037139</v>
      </c>
      <c r="K19" s="1">
        <f>(391+1660)/5385</f>
        <v>0.38087279480037139</v>
      </c>
      <c r="L19" s="1">
        <f>(435+1537)/5238</f>
        <v>0.37647957235586099</v>
      </c>
      <c r="M19" s="1">
        <f>(1579+1626)/6034</f>
        <v>0.53115677825654628</v>
      </c>
      <c r="N19" s="1">
        <f>(1247+1692)/5856</f>
        <v>0.50187841530054644</v>
      </c>
      <c r="O19" s="1">
        <f>(1016+1748)/5595</f>
        <v>0.49401251117068812</v>
      </c>
      <c r="P19" s="1">
        <f>(397+1576)/4778</f>
        <v>0.4129342821264127</v>
      </c>
      <c r="Q19" s="1">
        <f>(453+1643)/4389</f>
        <v>0.47755753018910913</v>
      </c>
      <c r="R19" s="1">
        <f>(340+1643)/4989</f>
        <v>0.39747444377630786</v>
      </c>
      <c r="S19" s="1">
        <f>(272+1633)/4978</f>
        <v>0.38268380875853758</v>
      </c>
      <c r="T19" s="1">
        <f>(321+1375)/4529</f>
        <v>0.37447560167807464</v>
      </c>
      <c r="U19" s="1">
        <f>(309+1612)/4030</f>
        <v>0.47667493796526056</v>
      </c>
    </row>
    <row r="20" spans="1:21" s="1" customFormat="1" x14ac:dyDescent="0.25">
      <c r="A20" s="6" t="s">
        <v>27</v>
      </c>
      <c r="B20" s="1">
        <f t="shared" ref="B20:U20" si="0">365/B15</f>
        <v>61.946138211382113</v>
      </c>
      <c r="C20" s="1">
        <f t="shared" si="0"/>
        <v>60.353011384502388</v>
      </c>
      <c r="D20" s="1">
        <f t="shared" si="0"/>
        <v>61.970964566929133</v>
      </c>
      <c r="E20" s="1">
        <f t="shared" si="0"/>
        <v>57.265595816212183</v>
      </c>
      <c r="F20" s="1">
        <f t="shared" si="0"/>
        <v>56.803125000000001</v>
      </c>
      <c r="G20" s="1">
        <f t="shared" si="0"/>
        <v>59.522489539748953</v>
      </c>
      <c r="H20" s="1">
        <f t="shared" si="0"/>
        <v>55.819744380784485</v>
      </c>
      <c r="I20" s="1">
        <f t="shared" si="0"/>
        <v>53.643109729961424</v>
      </c>
      <c r="J20" s="1">
        <f t="shared" si="0"/>
        <v>55.410633484162894</v>
      </c>
      <c r="K20" s="1">
        <f t="shared" si="0"/>
        <v>52.216377440347074</v>
      </c>
      <c r="L20" s="1">
        <f t="shared" si="0"/>
        <v>53.999477230483265</v>
      </c>
      <c r="M20" s="1">
        <f t="shared" si="0"/>
        <v>53.983448030374937</v>
      </c>
      <c r="N20" s="1">
        <f t="shared" si="0"/>
        <v>51.429112301957133</v>
      </c>
      <c r="O20" s="1">
        <f t="shared" si="0"/>
        <v>50.439911668991165</v>
      </c>
      <c r="P20" s="1">
        <f t="shared" si="0"/>
        <v>55.398523523523522</v>
      </c>
      <c r="Q20" s="1">
        <f t="shared" si="0"/>
        <v>52.730887939221276</v>
      </c>
      <c r="R20" s="1">
        <f t="shared" si="0"/>
        <v>54.481115528531333</v>
      </c>
      <c r="S20" s="1">
        <f t="shared" si="0"/>
        <v>52.83527216856892</v>
      </c>
      <c r="T20" s="1">
        <f t="shared" si="0"/>
        <v>59.158406754772393</v>
      </c>
      <c r="U20" s="1">
        <f t="shared" si="0"/>
        <v>56.59755228136882</v>
      </c>
    </row>
    <row r="21" spans="1:21" s="4" customFormat="1" x14ac:dyDescent="0.25">
      <c r="A21" s="14" t="s">
        <v>33</v>
      </c>
      <c r="B21" s="1">
        <f>((2810+2900)/2)/((2583+1706-1801)*4)*365</f>
        <v>104.71010852090032</v>
      </c>
      <c r="C21" s="2">
        <f>((2900+2900)/2)/((2723+1801-1801)*4)*365</f>
        <v>97.181417554168192</v>
      </c>
      <c r="D21" s="1">
        <f>((2973+2871)/2)/((2540+1768-1682)*4)*365</f>
        <v>101.53560548362528</v>
      </c>
      <c r="E21" s="1">
        <f>((2872+2866)/2)/((2677+1682-1678)*4)*365</f>
        <v>97.648731816486375</v>
      </c>
      <c r="F21" s="1">
        <f>((2866+2705)/2)/((2600+1678-1559)*4)*365</f>
        <v>93.481748804707607</v>
      </c>
      <c r="G21" s="2">
        <f>((2705+2705)/2)/((2390+1559-1559)*4)*365</f>
        <v>103.27667364016736</v>
      </c>
      <c r="H21" s="1">
        <f>((2573+2526)/2)/((2269+1398-1378)*4)*365</f>
        <v>101.63472040192222</v>
      </c>
      <c r="I21" s="1">
        <f>((2526+2491)/2)/((2333+1378-1365)*4)*365</f>
        <v>97.570598891730612</v>
      </c>
      <c r="J21" s="1">
        <f>((2491+2476)/2)/((2210+1365-1319)*4)*365</f>
        <v>100.45185062056737</v>
      </c>
      <c r="K21" s="2">
        <f>((2476+2476)/2)/((2305+1319-1319)*4)*365</f>
        <v>98.019522776572671</v>
      </c>
      <c r="L21" s="1">
        <f>((2471+2449)/2)/((2152+1284-1263)*4)*365</f>
        <v>103.30188679245283</v>
      </c>
      <c r="M21" s="1">
        <f>((2449+2393)/2)/((2107+1263-1230)*4)*365</f>
        <v>103.23189252336448</v>
      </c>
      <c r="N21" s="1">
        <f>((2393+2329)/2)/((2146+1230-1189)*4)*365</f>
        <v>98.509945130315501</v>
      </c>
      <c r="O21" s="2">
        <f>((2329+2329)/2)/((2152+1189-1189)*4)*365</f>
        <v>98.755227695167292</v>
      </c>
      <c r="P21" s="1">
        <f>((2387+2338)/2)/((1998+1226-1200)*4)*365</f>
        <v>106.51093132411067</v>
      </c>
      <c r="Q21" s="1">
        <f>((2338+2401)/2)/((2106+1200-1234)*4)*365</f>
        <v>104.35177364864866</v>
      </c>
      <c r="R21" s="1">
        <f>((2401+2370)/2)/((2138+1234-1319)*4)*365</f>
        <v>106.02867754505601</v>
      </c>
      <c r="S21" s="2">
        <f>((2370+2370)/2)/((2278+1319-1319)*4)*365</f>
        <v>94.935250219490783</v>
      </c>
      <c r="T21" s="1">
        <f>((2427+2367)/2)/((2043+1330-1319)*4)*365</f>
        <v>106.48795034079845</v>
      </c>
      <c r="U21" s="1">
        <f>((2367+2306)/2)/((2104+1319-1291)*4)*365</f>
        <v>100.00263836772983</v>
      </c>
    </row>
    <row r="22" spans="1:21" s="4" customFormat="1" x14ac:dyDescent="0.25">
      <c r="A2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s="4" customFormat="1" x14ac:dyDescent="0.25">
      <c r="A23" s="9" t="s">
        <v>38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s="3" customFormat="1" x14ac:dyDescent="0.25">
      <c r="A24" s="6" t="s">
        <v>29</v>
      </c>
      <c r="B24" s="3">
        <f>(1774+5556+0)/(3965+256)</f>
        <v>1.7365553186448708</v>
      </c>
      <c r="C24" s="3">
        <f>(1151+6236+0)/(4052+427)</f>
        <v>1.6492520651931235</v>
      </c>
      <c r="D24" s="3">
        <f>(1368+5803+0)/(3941+434)</f>
        <v>1.6390857142857143</v>
      </c>
      <c r="E24" s="3">
        <f>(1101+6175+0)/(4283+455)</f>
        <v>1.5356690586745463</v>
      </c>
      <c r="F24" s="3">
        <f>(1296+6340+0)/(4082+476)</f>
        <v>1.6752961825362001</v>
      </c>
      <c r="G24" s="3">
        <f>(1465+6489+0)/(3795+500)</f>
        <v>1.8519208381839347</v>
      </c>
      <c r="H24" s="3">
        <f>(965+6764+0)/(3720+495)</f>
        <v>1.8336892052194542</v>
      </c>
      <c r="I24" s="3">
        <f>(641+7523+0)/(3484+525)</f>
        <v>2.0364180593664254</v>
      </c>
      <c r="J24" s="3">
        <f>(695+7546+0)/(3362+518)</f>
        <v>2.1239690721649485</v>
      </c>
      <c r="K24" s="3">
        <f>(1153+7157+0)/(3138+517)</f>
        <v>2.2735978112175101</v>
      </c>
      <c r="L24" s="3">
        <f>(846+7266+0)/(3112+524)</f>
        <v>2.2310231023102309</v>
      </c>
      <c r="M24" s="3">
        <f>(1653+7523+0)/(3044+542)</f>
        <v>2.5588399330730618</v>
      </c>
      <c r="N24" s="3">
        <f>(1632+7461+0)/(2870+536)</f>
        <v>2.6697005284791544</v>
      </c>
      <c r="O24" s="3">
        <f>(1395+7637+0)/(2674+538)</f>
        <v>2.8119551681195518</v>
      </c>
      <c r="P24" s="3">
        <f>(841+7628+0)/(2747+567)</f>
        <v>2.5555220277610138</v>
      </c>
      <c r="Q24" s="3">
        <f>(296+8049+0)/(2727+561)</f>
        <v>2.5380170316301705</v>
      </c>
      <c r="R24" s="3">
        <f>(1179+8583+0)/(2650+562)</f>
        <v>3.0392278953922789</v>
      </c>
      <c r="S24" s="3">
        <f>(1222+8522+0)/(2533+564)</f>
        <v>3.1462705844365515</v>
      </c>
      <c r="T24" s="3">
        <f>(686+8207+0)/(2601+558)</f>
        <v>2.8151313706869261</v>
      </c>
      <c r="U24" s="3">
        <f>(208+8715+0)/(3048+567)</f>
        <v>2.4683264177040112</v>
      </c>
    </row>
    <row r="26" spans="1:21" x14ac:dyDescent="0.25">
      <c r="A26" s="12" t="s">
        <v>21</v>
      </c>
      <c r="B26" s="13">
        <f t="shared" ref="B26:Q26" si="1">365/B14</f>
        <v>36.073218262806236</v>
      </c>
      <c r="C26" s="13">
        <f t="shared" si="1"/>
        <v>33.692480878361707</v>
      </c>
      <c r="D26" s="13">
        <f t="shared" si="1"/>
        <v>36.911851030524396</v>
      </c>
      <c r="E26" s="13">
        <f t="shared" si="1"/>
        <v>36.895432083122152</v>
      </c>
      <c r="F26" s="13">
        <f t="shared" si="1"/>
        <v>34.643827639751549</v>
      </c>
      <c r="G26" s="13">
        <f t="shared" si="1"/>
        <v>32.715311819172115</v>
      </c>
      <c r="H26" s="13">
        <f t="shared" si="1"/>
        <v>35.339364035087719</v>
      </c>
      <c r="I26" s="13">
        <f t="shared" si="1"/>
        <v>35.371341800110436</v>
      </c>
      <c r="J26" s="13">
        <f t="shared" si="1"/>
        <v>35.614451476793249</v>
      </c>
      <c r="K26" s="13">
        <f t="shared" si="1"/>
        <v>33.658621651785715</v>
      </c>
      <c r="L26" s="13">
        <f t="shared" si="1"/>
        <v>34.837795900692846</v>
      </c>
      <c r="M26" s="13">
        <f t="shared" si="1"/>
        <v>37.750222419928832</v>
      </c>
      <c r="N26" s="13">
        <f t="shared" si="1"/>
        <v>37.922077922077925</v>
      </c>
      <c r="O26" s="13">
        <f t="shared" si="1"/>
        <v>38.805319460726842</v>
      </c>
      <c r="P26" s="13">
        <f t="shared" si="1"/>
        <v>38.150597269624576</v>
      </c>
      <c r="Q26" s="13">
        <f t="shared" si="1"/>
        <v>37.750222419928832</v>
      </c>
      <c r="R26" s="13">
        <f>365/2</f>
        <v>182.5</v>
      </c>
      <c r="S26" s="13">
        <f>365/2</f>
        <v>182.5</v>
      </c>
      <c r="T26" s="13">
        <f>365/2</f>
        <v>182.5</v>
      </c>
      <c r="U26" s="13">
        <f>365/2</f>
        <v>182.5</v>
      </c>
    </row>
    <row r="30" spans="1:21" x14ac:dyDescent="0.25">
      <c r="A30" s="7">
        <v>45107</v>
      </c>
      <c r="B30" s="8">
        <v>67.400000000000006</v>
      </c>
      <c r="C30">
        <v>1.04</v>
      </c>
    </row>
    <row r="31" spans="1:21" x14ac:dyDescent="0.25">
      <c r="A31" s="7">
        <v>45016</v>
      </c>
      <c r="B31" s="8">
        <v>66.959999999999994</v>
      </c>
      <c r="C31">
        <v>0.87</v>
      </c>
    </row>
    <row r="32" spans="1:21" x14ac:dyDescent="0.25">
      <c r="A32" s="7">
        <v>44926</v>
      </c>
      <c r="B32" s="8">
        <v>71.239999999999995</v>
      </c>
      <c r="C32">
        <v>-0.28999999999999998</v>
      </c>
    </row>
    <row r="33" spans="1:3" x14ac:dyDescent="0.25">
      <c r="A33" s="7">
        <v>44834</v>
      </c>
      <c r="B33" s="8">
        <v>69.66</v>
      </c>
      <c r="C33">
        <v>0.91</v>
      </c>
    </row>
    <row r="34" spans="1:3" x14ac:dyDescent="0.25">
      <c r="A34" s="7">
        <v>44742</v>
      </c>
      <c r="B34" s="8">
        <v>71.34</v>
      </c>
      <c r="C34">
        <v>0.96</v>
      </c>
    </row>
    <row r="35" spans="1:3" x14ac:dyDescent="0.25">
      <c r="A35" s="7">
        <v>44651</v>
      </c>
      <c r="B35" s="8">
        <v>64.489999999999995</v>
      </c>
      <c r="C35">
        <v>1.24</v>
      </c>
    </row>
    <row r="36" spans="1:3" x14ac:dyDescent="0.25">
      <c r="A36" s="7">
        <v>44561</v>
      </c>
      <c r="B36" s="8">
        <v>64.42</v>
      </c>
      <c r="C36">
        <v>1.27</v>
      </c>
    </row>
    <row r="37" spans="1:3" x14ac:dyDescent="0.25">
      <c r="A37" s="7">
        <v>44469</v>
      </c>
      <c r="B37" s="8">
        <v>63.92</v>
      </c>
      <c r="C37">
        <v>0.9</v>
      </c>
    </row>
    <row r="38" spans="1:3" x14ac:dyDescent="0.25">
      <c r="A38" s="7">
        <v>44377</v>
      </c>
      <c r="B38" s="8">
        <v>64.33</v>
      </c>
      <c r="C38">
        <v>1.1100000000000001</v>
      </c>
    </row>
    <row r="39" spans="1:3" x14ac:dyDescent="0.25">
      <c r="A39" s="7">
        <v>44286</v>
      </c>
      <c r="B39" s="8">
        <v>63.3</v>
      </c>
      <c r="C39">
        <v>1.08</v>
      </c>
    </row>
    <row r="40" spans="1:3" x14ac:dyDescent="0.25">
      <c r="A40" s="7">
        <v>44196</v>
      </c>
      <c r="B40" s="8">
        <v>62.23</v>
      </c>
      <c r="C40">
        <v>0.6</v>
      </c>
    </row>
    <row r="41" spans="1:3" x14ac:dyDescent="0.25">
      <c r="A41" s="7">
        <v>44104</v>
      </c>
      <c r="B41" s="8">
        <v>64.59</v>
      </c>
      <c r="C41">
        <v>1.01</v>
      </c>
    </row>
    <row r="42" spans="1:3" x14ac:dyDescent="0.25">
      <c r="A42" s="7">
        <v>44012</v>
      </c>
      <c r="B42" s="8">
        <v>66.06</v>
      </c>
      <c r="C42">
        <v>1.02</v>
      </c>
    </row>
    <row r="43" spans="1:3" x14ac:dyDescent="0.25">
      <c r="A43" s="7">
        <v>43921</v>
      </c>
      <c r="B43" s="8">
        <v>59.99</v>
      </c>
      <c r="C43">
        <v>1.01</v>
      </c>
    </row>
    <row r="44" spans="1:3" x14ac:dyDescent="0.25">
      <c r="A44" s="7">
        <v>43830</v>
      </c>
      <c r="B44" s="8">
        <v>69.16</v>
      </c>
      <c r="C44">
        <v>0.43</v>
      </c>
    </row>
    <row r="45" spans="1:3" x14ac:dyDescent="0.25">
      <c r="A45" s="7">
        <v>43738</v>
      </c>
      <c r="B45" s="8">
        <v>64.349999999999994</v>
      </c>
      <c r="C45">
        <v>0.72</v>
      </c>
    </row>
    <row r="46" spans="1:3" x14ac:dyDescent="0.25">
      <c r="A46" s="7">
        <v>43646</v>
      </c>
      <c r="B46" s="8">
        <v>53.57</v>
      </c>
      <c r="C46">
        <v>0.84</v>
      </c>
    </row>
    <row r="47" spans="1:3" x14ac:dyDescent="0.25">
      <c r="A47" s="7">
        <v>43555</v>
      </c>
      <c r="B47" s="8">
        <v>57.38</v>
      </c>
      <c r="C47">
        <v>0.82</v>
      </c>
    </row>
    <row r="48" spans="1:3" x14ac:dyDescent="0.25">
      <c r="A48" s="7">
        <v>43465</v>
      </c>
      <c r="B48" s="8">
        <v>57.01</v>
      </c>
      <c r="C48">
        <v>-0.24</v>
      </c>
    </row>
    <row r="49" spans="1:3" x14ac:dyDescent="0.25">
      <c r="A49" s="7">
        <v>43373</v>
      </c>
      <c r="B49" s="8">
        <v>70.02</v>
      </c>
      <c r="C49">
        <v>1.1000000000000001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DEBA-EF9D-4564-B8B8-EC8B1C5029D4}">
  <dimension ref="A1"/>
  <sheetViews>
    <sheetView tabSelected="1" zoomScale="70" zoomScaleNormal="70" workbookViewId="0">
      <selection activeCell="AP14" sqref="AP14"/>
    </sheetView>
  </sheetViews>
  <sheetFormatPr defaultRowHeight="15" x14ac:dyDescent="0.25"/>
  <cols>
    <col min="1" max="1" width="2" customWidth="1"/>
    <col min="2" max="2" width="1.28515625" customWidth="1"/>
    <col min="13" max="13" width="10.42578125" customWidth="1"/>
    <col min="14" max="15" width="2.7109375" customWidth="1"/>
    <col min="26" max="26" width="9.42578125" customWidth="1"/>
    <col min="27" max="28" width="2.7109375" customWidth="1"/>
  </cols>
  <sheetData>
    <row r="1" ht="8.2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spoorthi prasad</dc:creator>
  <cp:lastModifiedBy>Sunil Nair</cp:lastModifiedBy>
  <dcterms:created xsi:type="dcterms:W3CDTF">2023-11-13T03:43:14Z</dcterms:created>
  <dcterms:modified xsi:type="dcterms:W3CDTF">2023-11-23T06:33:06Z</dcterms:modified>
</cp:coreProperties>
</file>