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Desktop\RedBull\"/>
    </mc:Choice>
  </mc:AlternateContent>
  <xr:revisionPtr revIDLastSave="0" documentId="13_ncr:1_{7E84B013-5E4A-43B6-9AF4-C2DAF530D212}" xr6:coauthVersionLast="47" xr6:coauthVersionMax="47" xr10:uidLastSave="{00000000-0000-0000-0000-000000000000}"/>
  <bookViews>
    <workbookView xWindow="-108" yWindow="-108" windowWidth="23256" windowHeight="12456" activeTab="2" xr2:uid="{88D75A90-26BD-438C-8A87-D80F31A6A43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Sheet1!$A$3:$R$64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1" l="1"/>
  <c r="S5" i="1"/>
  <c r="T5" i="1"/>
  <c r="G15" i="2" s="1"/>
  <c r="L3" i="2"/>
  <c r="L7" i="2" s="1"/>
  <c r="K15" i="2"/>
  <c r="F15" i="2"/>
  <c r="C15" i="2"/>
  <c r="B15" i="2"/>
  <c r="H3" i="2"/>
  <c r="H7" i="2" s="1"/>
  <c r="L6" i="2"/>
  <c r="K6" i="2"/>
  <c r="J6" i="2"/>
  <c r="I6" i="2"/>
  <c r="H6" i="2"/>
  <c r="C17" i="2"/>
  <c r="L5" i="2"/>
  <c r="K5" i="2"/>
  <c r="J5" i="2"/>
  <c r="I5" i="2"/>
  <c r="H5" i="2"/>
  <c r="Q16" i="2"/>
  <c r="C16" i="2"/>
  <c r="L4" i="2"/>
  <c r="K4" i="2"/>
  <c r="J4" i="2"/>
  <c r="I4" i="2"/>
  <c r="H4" i="2"/>
  <c r="K3" i="2"/>
  <c r="K7" i="2" s="1"/>
  <c r="J3" i="2"/>
  <c r="J7" i="2" s="1"/>
  <c r="I3" i="2"/>
  <c r="I7" i="2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6" i="1"/>
  <c r="S7" i="1"/>
  <c r="S8" i="1"/>
  <c r="H15" i="2" s="1"/>
  <c r="S9" i="1"/>
  <c r="M16" i="2" s="1"/>
  <c r="S10" i="1"/>
  <c r="B17" i="2" s="1"/>
  <c r="S11" i="1"/>
  <c r="B16" i="2" s="1"/>
  <c r="S12" i="1"/>
  <c r="S13" i="1"/>
  <c r="K16" i="2" s="1"/>
  <c r="S14" i="1"/>
  <c r="O16" i="2" s="1"/>
  <c r="S15" i="1"/>
  <c r="S16" i="1"/>
  <c r="S17" i="1"/>
  <c r="S18" i="1"/>
  <c r="S19" i="1"/>
  <c r="S20" i="1"/>
  <c r="H17" i="2" s="1"/>
  <c r="S21" i="1"/>
  <c r="S22" i="1"/>
  <c r="S23" i="1"/>
  <c r="S24" i="1"/>
  <c r="S25" i="1"/>
  <c r="S26" i="1"/>
  <c r="S27" i="1"/>
  <c r="S28" i="1"/>
  <c r="S29" i="1"/>
  <c r="S30" i="1"/>
  <c r="S31" i="1"/>
  <c r="S32" i="1"/>
  <c r="G17" i="2" s="1"/>
  <c r="S33" i="1"/>
  <c r="F17" i="2" s="1"/>
  <c r="S34" i="1"/>
  <c r="S35" i="1"/>
  <c r="H18" i="2" s="1"/>
  <c r="S36" i="1"/>
  <c r="S37" i="1"/>
  <c r="S38" i="1"/>
  <c r="F18" i="2" s="1"/>
  <c r="S39" i="1"/>
  <c r="S40" i="1"/>
  <c r="S41" i="1"/>
  <c r="S42" i="1"/>
  <c r="S43" i="1"/>
  <c r="S44" i="1"/>
  <c r="S45" i="1"/>
  <c r="S46" i="1"/>
  <c r="G18" i="2" s="1"/>
  <c r="S47" i="1"/>
  <c r="S48" i="1"/>
  <c r="S49" i="1"/>
  <c r="S50" i="1"/>
  <c r="G16" i="2" s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F16" i="2" s="1"/>
  <c r="S64" i="1"/>
  <c r="Q15" i="2"/>
  <c r="M15" i="2" l="1"/>
  <c r="O15" i="2"/>
</calcChain>
</file>

<file path=xl/sharedStrings.xml><?xml version="1.0" encoding="utf-8"?>
<sst xmlns="http://schemas.openxmlformats.org/spreadsheetml/2006/main" count="835" uniqueCount="305">
  <si>
    <t>Account Name</t>
  </si>
  <si>
    <t>Account Address</t>
  </si>
  <si>
    <t>Decision Maker</t>
  </si>
  <si>
    <t>Account Type</t>
  </si>
  <si>
    <t>Marketing / Promotion Programs</t>
  </si>
  <si>
    <t>Cooler?</t>
  </si>
  <si>
    <t>Digital screen?</t>
  </si>
  <si>
    <t>Menu inclusion?</t>
  </si>
  <si>
    <t>Posters?</t>
  </si>
  <si>
    <t>Bar 1</t>
  </si>
  <si>
    <t>Bar 2</t>
  </si>
  <si>
    <t>Bar 3</t>
  </si>
  <si>
    <t>Bar 4</t>
  </si>
  <si>
    <t>Bar 5</t>
  </si>
  <si>
    <t>Bar 6</t>
  </si>
  <si>
    <t>Bar 7</t>
  </si>
  <si>
    <t>Bar 8</t>
  </si>
  <si>
    <t>Bar 9</t>
  </si>
  <si>
    <t>Bar 10</t>
  </si>
  <si>
    <t>Bar 11</t>
  </si>
  <si>
    <t>Bar 12</t>
  </si>
  <si>
    <t>Bar 13</t>
  </si>
  <si>
    <t>Bar 14</t>
  </si>
  <si>
    <t>Bar 15</t>
  </si>
  <si>
    <t>Restaurant 1</t>
  </si>
  <si>
    <t>Restaurant 2</t>
  </si>
  <si>
    <t>Restaurant 3</t>
  </si>
  <si>
    <t>Restaurant 4</t>
  </si>
  <si>
    <t>Restaurant 5</t>
  </si>
  <si>
    <t>Restaurant 6</t>
  </si>
  <si>
    <t>Restaurant 7</t>
  </si>
  <si>
    <t>Restaurant 8</t>
  </si>
  <si>
    <t>Restaurant 9</t>
  </si>
  <si>
    <t>Restaurant 10</t>
  </si>
  <si>
    <t>Restaurant 11</t>
  </si>
  <si>
    <t>Restaurant 12</t>
  </si>
  <si>
    <t>Restaurant 13</t>
  </si>
  <si>
    <t>Restaurant 14</t>
  </si>
  <si>
    <t>Restaurant 15</t>
  </si>
  <si>
    <t>Nightclub 1</t>
  </si>
  <si>
    <t>Nightclub 2</t>
  </si>
  <si>
    <t>Nightclub 3</t>
  </si>
  <si>
    <t>Nightclub 4</t>
  </si>
  <si>
    <t>Nightclub 5</t>
  </si>
  <si>
    <t>Nightclub 6</t>
  </si>
  <si>
    <t>Nightclub 7</t>
  </si>
  <si>
    <t>Nightclub 8</t>
  </si>
  <si>
    <t>Nightclub 9</t>
  </si>
  <si>
    <t>Nightclub 10</t>
  </si>
  <si>
    <t>Nightclub 11</t>
  </si>
  <si>
    <t>Nightclub 12</t>
  </si>
  <si>
    <t>Nightclub 13</t>
  </si>
  <si>
    <t>Nightclub 14</t>
  </si>
  <si>
    <t>Nightclub 15</t>
  </si>
  <si>
    <t>Event Venue 1</t>
  </si>
  <si>
    <t>Event Venue 2</t>
  </si>
  <si>
    <t>Event Venue 3</t>
  </si>
  <si>
    <t>Event Venue 4</t>
  </si>
  <si>
    <t>Event Venue 5</t>
  </si>
  <si>
    <t>Event Venue 6</t>
  </si>
  <si>
    <t>Event Venue 7</t>
  </si>
  <si>
    <t>Event Venue 8</t>
  </si>
  <si>
    <t>Event Venue 9</t>
  </si>
  <si>
    <t>Event Venue 10</t>
  </si>
  <si>
    <t>Event Venue 11</t>
  </si>
  <si>
    <t>Event Venue 12</t>
  </si>
  <si>
    <t>Event Venue 13</t>
  </si>
  <si>
    <t>Event Venue 14</t>
  </si>
  <si>
    <t>Event Venue 15</t>
  </si>
  <si>
    <t>Dorothy Rizzo</t>
  </si>
  <si>
    <t>Lawson Moore</t>
  </si>
  <si>
    <t>Vin Hudson</t>
  </si>
  <si>
    <t>Susana Huels</t>
  </si>
  <si>
    <t>Shanna Hettinger</t>
  </si>
  <si>
    <t>Roy McGlynn</t>
  </si>
  <si>
    <t>Lorena Posacco</t>
  </si>
  <si>
    <t>Juanita Wisozk</t>
  </si>
  <si>
    <t>Velma Riley</t>
  </si>
  <si>
    <t>Holly Gaines</t>
  </si>
  <si>
    <t>Gary Brown</t>
  </si>
  <si>
    <t>Jeffrey Akins</t>
  </si>
  <si>
    <t>Tim Young</t>
  </si>
  <si>
    <t>Debra Kroll</t>
  </si>
  <si>
    <t>Kelly Boyd</t>
  </si>
  <si>
    <t>Dan Hill</t>
  </si>
  <si>
    <t>Javier George</t>
  </si>
  <si>
    <t>Christopher Evans</t>
  </si>
  <si>
    <t>Julie Ross</t>
  </si>
  <si>
    <t>Bill Callahan</t>
  </si>
  <si>
    <t>Anthony Brooks</t>
  </si>
  <si>
    <t>Charlotte Leroux</t>
  </si>
  <si>
    <t>Nina Coulter</t>
  </si>
  <si>
    <t>Mia Ang</t>
  </si>
  <si>
    <t>Kathy Rogers</t>
  </si>
  <si>
    <t>Rita Varga</t>
  </si>
  <si>
    <t>Mel Berkowitz</t>
  </si>
  <si>
    <t>Debra Martin</t>
  </si>
  <si>
    <t>Deshaun Fletcher</t>
  </si>
  <si>
    <t>Kari Lenz</t>
  </si>
  <si>
    <t>John Mackey</t>
  </si>
  <si>
    <t>Raymond Heywin</t>
  </si>
  <si>
    <t>Janie Roberson</t>
  </si>
  <si>
    <t>Brooke Hayes</t>
  </si>
  <si>
    <t>Lee Niemeyer</t>
  </si>
  <si>
    <t>Stephen Harris</t>
  </si>
  <si>
    <t>Juan Scott</t>
  </si>
  <si>
    <t>Kurt Issacs</t>
  </si>
  <si>
    <t>Dominique Johnson</t>
  </si>
  <si>
    <t>Larry Alaimo</t>
  </si>
  <si>
    <t>Carlos Moya</t>
  </si>
  <si>
    <t>Shaun Salvatore</t>
  </si>
  <si>
    <t>Annie Fuentes</t>
  </si>
  <si>
    <t>Maria Sawyer</t>
  </si>
  <si>
    <t>Darnell Straughter</t>
  </si>
  <si>
    <t>Richard Breaux</t>
  </si>
  <si>
    <t>Craig Collins</t>
  </si>
  <si>
    <t>Donna Lam</t>
  </si>
  <si>
    <t>Teresa Vasbinder</t>
  </si>
  <si>
    <t>Andre Mobley</t>
  </si>
  <si>
    <t>Ray Hernandez</t>
  </si>
  <si>
    <t>Thomas Stewart</t>
  </si>
  <si>
    <t>Henry Lange</t>
  </si>
  <si>
    <t>Danielle Tomas</t>
  </si>
  <si>
    <t>Joe Schimke</t>
  </si>
  <si>
    <t>Carlos Jackson</t>
  </si>
  <si>
    <t>Russell Wallace</t>
  </si>
  <si>
    <t>Shameka West</t>
  </si>
  <si>
    <t>Kevin Fleming</t>
  </si>
  <si>
    <t>Anna Grey</t>
  </si>
  <si>
    <t>2131 Patterson Road, Brooklyn NY 11201</t>
  </si>
  <si>
    <t>3685 Morningview Lane, New York NY 10013</t>
  </si>
  <si>
    <t>2285 Ladybug Drive, New York NY 10013</t>
  </si>
  <si>
    <t>2930 Southern Street, New York NY 10005</t>
  </si>
  <si>
    <t>2807 Geraldine Lane, New York NY 10004</t>
  </si>
  <si>
    <t>7778 Cherry Road, Bronx NY 10467</t>
  </si>
  <si>
    <t>48 Winchester Avenue, New York NY 10024</t>
  </si>
  <si>
    <t>267 Third Road, New York NY 10034</t>
  </si>
  <si>
    <t>8735 Squaw Creek Drive, Brooklyn NY 11214</t>
  </si>
  <si>
    <t>102 Coffee Court, Bronx NY 10461</t>
  </si>
  <si>
    <t>Phone Number</t>
  </si>
  <si>
    <t xml:space="preserve">Red Bull Aviators Virtual Experience Hypothetical Account Dataset </t>
  </si>
  <si>
    <t>44 W. Pheasant Street, Brooklyn NY 11233</t>
  </si>
  <si>
    <t>7488 N. Marconi Ave, Brooklyn NY 11237</t>
  </si>
  <si>
    <t>9575 Shipley Court, Brooklyn NY 11201</t>
  </si>
  <si>
    <t>8156 Lake View Street, New York, NY 10025</t>
  </si>
  <si>
    <t>44 Madison Dr, New York NY 10032</t>
  </si>
  <si>
    <t>9848 Linden St, New York NY 10011</t>
  </si>
  <si>
    <t>805 South Pilgrim Court, Brooklyn NY 11225</t>
  </si>
  <si>
    <t>9132 Redwood Rd, Bronx NY 10466</t>
  </si>
  <si>
    <t>3 Warren Drive, New York NY 10040</t>
  </si>
  <si>
    <t>402 Bridgeton Lane, Bronx NY 10468</t>
  </si>
  <si>
    <t>6 E. Nichols Ave, New York NY 10027</t>
  </si>
  <si>
    <t>323 North Edgewood St, Bronx NY 10457</t>
  </si>
  <si>
    <t>484 Thorne St, New York NY 10128</t>
  </si>
  <si>
    <t>861 Gonzales Lane, Bronx NY 10472</t>
  </si>
  <si>
    <t>267 Randall Mill Dr, New York NY 10033</t>
  </si>
  <si>
    <t>12 Lees Creek St, Brooklyn NY 11211</t>
  </si>
  <si>
    <t>240 W. Manhattan St, Bronx NY 10462</t>
  </si>
  <si>
    <t>62 Lower River Road, Staten Island, NY 10306</t>
  </si>
  <si>
    <t>48 S. Brandywine St, New York NY 10002</t>
  </si>
  <si>
    <t>5 Tallwood St, Brooklyn NY 11233</t>
  </si>
  <si>
    <t>77 Stillwater St, Brooklyn NY 11213</t>
  </si>
  <si>
    <t>7061 Bishop St, Yonkers NY 10701</t>
  </si>
  <si>
    <t>7223 Cedarwood Ave, Brooklyn NY 11221</t>
  </si>
  <si>
    <t>62 Lafayette Ave, Bronx NY 10462</t>
  </si>
  <si>
    <t>7839 Elm St, Staten Island NY 10306</t>
  </si>
  <si>
    <t>429 Stonybrook Dr, Brooklyn NY 11203</t>
  </si>
  <si>
    <t>640 Beechwood Dr, Bronx NY 10461</t>
  </si>
  <si>
    <t>9453 N. Wagon Lane, Brooklyn NY 11237</t>
  </si>
  <si>
    <t>81 San Carlos Road, Bronx NY 10463</t>
  </si>
  <si>
    <t>596 Coffee St, Bronx NY 10472</t>
  </si>
  <si>
    <t>92 Princess St, New York NY 10033</t>
  </si>
  <si>
    <t>9151 River St, Brooklyn NY 11230</t>
  </si>
  <si>
    <t>424 Hall Ave, New York NY 10128</t>
  </si>
  <si>
    <t>81 Crescent St, Brooklyn NY 11210</t>
  </si>
  <si>
    <t>7217 Birch Hill Dr, New York NY 10009</t>
  </si>
  <si>
    <t>7184 Center Court, Brooklyn NY 11208</t>
  </si>
  <si>
    <t>815 2nd St, New York NY 10028</t>
  </si>
  <si>
    <t>9875 Franklin Rd, Brooklyn NY 11223</t>
  </si>
  <si>
    <t>601 Bank Ave, Brooklyn NY 11218</t>
  </si>
  <si>
    <t>21 Yukon St, Bronx NY 10451</t>
  </si>
  <si>
    <t>18 N. Woodland Ave, New York NY 10025</t>
  </si>
  <si>
    <t>65 Lower River Ave, Bronx NY 10465</t>
  </si>
  <si>
    <t>8680 Alderwood St, New York NY 10032</t>
  </si>
  <si>
    <t>8388 Gonzales St, Brooklyn NY 11228</t>
  </si>
  <si>
    <t>9760 Taylor Dr, Brooklyn NY 11211</t>
  </si>
  <si>
    <t>419 E. Henry Ave, New York NY 10031</t>
  </si>
  <si>
    <t>8083 8th St, Brooklyn NY 11209</t>
  </si>
  <si>
    <t>2 Rock Maple Ave, New York NY 10029</t>
  </si>
  <si>
    <t>9577 Nicolls Ave, Staten Island NY 10312</t>
  </si>
  <si>
    <t>174 Del Monte St, Brooklyn NY 11224</t>
  </si>
  <si>
    <t>(880) 283-6803</t>
  </si>
  <si>
    <t>(711) 426-7350</t>
  </si>
  <si>
    <t>(952) 952-5573</t>
  </si>
  <si>
    <t>(491) 505-6064</t>
  </si>
  <si>
    <t>(412) 570-0596</t>
  </si>
  <si>
    <t>(594) 807-4187</t>
  </si>
  <si>
    <t>(678) 294-8103</t>
  </si>
  <si>
    <t>(305) 531-1310</t>
  </si>
  <si>
    <t>(697) 543-0310</t>
  </si>
  <si>
    <t>(277) 456-4626</t>
  </si>
  <si>
    <t>(459) 968-9453</t>
  </si>
  <si>
    <t>(313) 417-8968</t>
  </si>
  <si>
    <t>(876) 653-1727</t>
  </si>
  <si>
    <t>(628) 832-4986</t>
  </si>
  <si>
    <t>(220) 929-0797</t>
  </si>
  <si>
    <t>(248) 450-0797</t>
  </si>
  <si>
    <t>(964) 214-3742</t>
  </si>
  <si>
    <t>(831) 406-6300</t>
  </si>
  <si>
    <t>(778) 387-0744</t>
  </si>
  <si>
    <t>(617) 419-7996</t>
  </si>
  <si>
    <t>(349) 801-7566</t>
  </si>
  <si>
    <t>(784) 634-6873</t>
  </si>
  <si>
    <t>(938) 752-9381</t>
  </si>
  <si>
    <t>(253) 861-1301</t>
  </si>
  <si>
    <t>(939) 738-6471</t>
  </si>
  <si>
    <t>(754) 696-3109</t>
  </si>
  <si>
    <t>(967) 547-1542</t>
  </si>
  <si>
    <t>(743) 960-6716</t>
  </si>
  <si>
    <t>(845) 304-6511</t>
  </si>
  <si>
    <t>(886) 554-5339</t>
  </si>
  <si>
    <t>(831) 581-1892</t>
  </si>
  <si>
    <t>(571) 843-1746</t>
  </si>
  <si>
    <t>(924) 516-6566</t>
  </si>
  <si>
    <t>(247) 999-3394</t>
  </si>
  <si>
    <t>(920) 451-3973</t>
  </si>
  <si>
    <t>(258) 948-7479</t>
  </si>
  <si>
    <t>(357) 532-0838</t>
  </si>
  <si>
    <t>(454) 903-5770</t>
  </si>
  <si>
    <t>(336) 448-7026</t>
  </si>
  <si>
    <t>(242) 869-1226</t>
  </si>
  <si>
    <t>(485) 453-8693</t>
  </si>
  <si>
    <t>(691) 657-1498</t>
  </si>
  <si>
    <t>(462) 693-6254</t>
  </si>
  <si>
    <t>(881) 243-5276</t>
  </si>
  <si>
    <t>(680) 628-4625</t>
  </si>
  <si>
    <t>(685) 981-8556</t>
  </si>
  <si>
    <t>(828) 840-2736</t>
  </si>
  <si>
    <t>(931) 618-9558</t>
  </si>
  <si>
    <t>(261) 690-0303</t>
  </si>
  <si>
    <t>(597) 701-9429</t>
  </si>
  <si>
    <t>(609) 345-8163</t>
  </si>
  <si>
    <t>(381) 643-1230</t>
  </si>
  <si>
    <t>(293) 473-1512</t>
  </si>
  <si>
    <t>(459) 261-2301</t>
  </si>
  <si>
    <t>(936) 816-9148</t>
  </si>
  <si>
    <t>(201) 363-0653</t>
  </si>
  <si>
    <t>(237) 890-0247</t>
  </si>
  <si>
    <t>(488) 656-0761</t>
  </si>
  <si>
    <t>(650) 848-8284</t>
  </si>
  <si>
    <t>(980) 437-1451</t>
  </si>
  <si>
    <t>Bar</t>
  </si>
  <si>
    <t>Restaurant</t>
  </si>
  <si>
    <t>Club</t>
  </si>
  <si>
    <t>Hotel</t>
  </si>
  <si>
    <t>Yes</t>
  </si>
  <si>
    <t>No</t>
  </si>
  <si>
    <t>Sales Volume (cases)</t>
  </si>
  <si>
    <t>Product Lines</t>
  </si>
  <si>
    <t>Sugar Free</t>
  </si>
  <si>
    <t>Yellow Edition</t>
  </si>
  <si>
    <t>Regular</t>
  </si>
  <si>
    <t xml:space="preserve">CAGR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</si>
  <si>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</si>
  <si>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</si>
  <si>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</si>
  <si>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</si>
  <si>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</si>
  <si>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</si>
  <si>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</si>
  <si>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</si>
  <si>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</si>
  <si>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</si>
  <si>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</si>
  <si>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</si>
  <si>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</si>
  <si>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</si>
  <si>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</si>
  <si>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2017 Sales</t>
  </si>
  <si>
    <t>2018 Sales</t>
  </si>
  <si>
    <t>2019 Sales</t>
  </si>
  <si>
    <t>2020 Sales</t>
  </si>
  <si>
    <t>2021 Sales</t>
  </si>
  <si>
    <t>Nightclub</t>
  </si>
  <si>
    <t>Total Sales</t>
  </si>
  <si>
    <t>CAGR</t>
  </si>
  <si>
    <t>Top Perfomer</t>
  </si>
  <si>
    <t>Bottom Performer</t>
  </si>
  <si>
    <t>Column16</t>
  </si>
  <si>
    <t>Column17</t>
  </si>
  <si>
    <t>Product Count</t>
  </si>
  <si>
    <t>Avg Total Sales</t>
  </si>
  <si>
    <t>Number of Accounts</t>
  </si>
  <si>
    <t>Avg Sales with 1 Product</t>
  </si>
  <si>
    <t>2 Products</t>
  </si>
  <si>
    <t>3 Products</t>
  </si>
  <si>
    <t>Summary Tables for Each Promotion</t>
  </si>
  <si>
    <t>Digital Screen?</t>
  </si>
  <si>
    <t>Menu Inclusion?</t>
  </si>
  <si>
    <t>Resturant 5</t>
  </si>
  <si>
    <t>Resturant 12</t>
  </si>
  <si>
    <t>Resturant 8</t>
  </si>
  <si>
    <t>Resturant 11</t>
  </si>
  <si>
    <t>Product count 1 | 2| 3</t>
  </si>
  <si>
    <r>
      <rPr>
        <b/>
        <sz val="11"/>
        <color theme="1"/>
        <rFont val="Calibri"/>
        <family val="2"/>
        <scheme val="minor"/>
      </rPr>
      <t>Sales Individuals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</si>
</sst>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10" fontId="0" fillId="0" borderId="0" xfId="0" applyNumberFormat="1"/>
    <xf numFmtId="0" fontId="1" fillId="0" borderId="0" xfId="0" applyFont="1" applyAlignment="1">
      <alignment horizontal="right"/>
    </xf>
    <xf numFmtId="0" fontId="0" fillId="0" borderId="1" xfId="0" applyBorder="1"/>
    <xf numFmtId="0" fontId="0" fillId="5" borderId="1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2" xfId="0" applyNumberFormat="1" applyBorder="1"/>
    <xf numFmtId="10" fontId="0" fillId="5" borderId="2" xfId="0" applyNumberFormat="1" applyFill="1" applyBorder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3">
    <dxf>
      <alignment horizontal="right" vertical="bottom" textRotation="0" wrapText="0" indent="0" justifyLastLine="0" shrinkToFit="0" readingOrder="0"/>
    </dxf>
    <dxf>
      <numFmt numFmtId="14" formatCode="0.00%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baseline="0"/>
              <a:t>Visualize total Red Bull sales from 2017 to 2021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Bar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Sheet2!$H$3:$L$3</c:f>
              <c:numCache>
                <c:formatCode>General</c:formatCode>
                <c:ptCount val="5"/>
                <c:pt idx="0">
                  <c:v>51804</c:v>
                </c:pt>
                <c:pt idx="1">
                  <c:v>60121</c:v>
                </c:pt>
                <c:pt idx="2">
                  <c:v>60760</c:v>
                </c:pt>
                <c:pt idx="3">
                  <c:v>75991</c:v>
                </c:pt>
                <c:pt idx="4">
                  <c:v>94147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53D-8B4F-D5E950D40E4B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Restaurant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Sheet2!$H$4:$L$4</c:f>
              <c:numCache>
                <c:formatCode>General</c:formatCode>
                <c:ptCount val="5"/>
                <c:pt idx="0">
                  <c:v>46025</c:v>
                </c:pt>
                <c:pt idx="1">
                  <c:v>65032</c:v>
                </c:pt>
                <c:pt idx="2">
                  <c:v>77731</c:v>
                </c:pt>
                <c:pt idx="3">
                  <c:v>89595</c:v>
                </c:pt>
                <c:pt idx="4">
                  <c:v>102185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9-453D-8B4F-D5E950D40E4B}"/>
            </c:ext>
          </c:extLst>
        </c:ser>
        <c:ser>
          <c:idx val="2"/>
          <c:order val="2"/>
          <c:tx>
            <c:strRef>
              <c:f>Sheet2!$G$5</c:f>
              <c:strCache>
                <c:ptCount val="1"/>
                <c:pt idx="0">
                  <c:v>Nightclub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Sheet2!$H$5:$L$5</c:f>
              <c:numCache>
                <c:formatCode>General</c:formatCode>
                <c:ptCount val="5"/>
                <c:pt idx="0">
                  <c:v>47259</c:v>
                </c:pt>
                <c:pt idx="1">
                  <c:v>67275</c:v>
                </c:pt>
                <c:pt idx="2">
                  <c:v>79646</c:v>
                </c:pt>
                <c:pt idx="3">
                  <c:v>102065</c:v>
                </c:pt>
                <c:pt idx="4">
                  <c:v>112270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9-453D-8B4F-D5E950D40E4B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Hotel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Sheet2!$H$6:$L$6</c:f>
              <c:numCache>
                <c:formatCode>General</c:formatCode>
                <c:ptCount val="5"/>
                <c:pt idx="0">
                  <c:v>44888</c:v>
                </c:pt>
                <c:pt idx="1">
                  <c:v>50567</c:v>
                </c:pt>
                <c:pt idx="2">
                  <c:v>70312</c:v>
                </c:pt>
                <c:pt idx="3">
                  <c:v>82583</c:v>
                </c:pt>
                <c:pt idx="4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9-453D-8B4F-D5E950D40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325367023"/>
        <c:axId val="1325367503"/>
        <c:axId val="0"/>
      </c:bar3DChart>
      <c:catAx>
        <c:axId val="13253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67503"/>
        <c:crosses val="autoZero"/>
        <c:auto val="1"/>
        <c:lblAlgn val="ctr"/>
        <c:lblOffset val="100"/>
        <c:noMultiLvlLbl val="0"/>
      </c:catAx>
      <c:valAx>
        <c:axId val="13253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3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Avg Sales vs Product Assortment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Product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Sheet2!$A$15:$A$17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7-43D3-B545-4A75C2476A58}"/>
            </c:ext>
          </c:extLst>
        </c:ser>
        <c:ser>
          <c:idx val="1"/>
          <c:order val="1"/>
          <c:tx>
            <c:strRef>
              <c:f>Sheet2!$B$14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Sheet2!$B$15:$B$17</c:f>
              <c:numCache>
                <c:formatCode>General</c:formatCode>
                <c:ptCount val="3"/>
                <c:pt idx="0">
                  <c:v>21182</c:v>
                </c:pt>
                <c:pt idx="1">
                  <c:v>25447.166666666668</c:v>
                </c:pt>
                <c:pt idx="2">
                  <c:v>25673.482758620688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7-43D3-B545-4A75C247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202895"/>
        <c:axId val="1805201935"/>
        <c:axId val="0"/>
      </c:bar3DChart>
      <c:catAx>
        <c:axId val="180520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1935"/>
        <c:crosses val="autoZero"/>
        <c:auto val="1"/>
        <c:lblAlgn val="ctr"/>
        <c:lblOffset val="100"/>
        <c:noMultiLvlLbl val="0"/>
      </c:catAx>
      <c:valAx>
        <c:axId val="18052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Sales by Account Type with Product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Avg Sales with 1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Sheet2!$E$15:$E$18</c:f>
              <c:strCache>
                <c:ptCount val="4"/>
                <c:pt idx="0">
                  <c:v>Bar</c:v>
                </c:pt>
                <c:pt idx="1">
                  <c:v>Restaurant</c:v>
                </c:pt>
                <c:pt idx="2">
                  <c:v>Nightclub</c:v>
                </c:pt>
                <c:pt idx="3">
                  <c:v>Hotel</c:v>
                </c:pt>
              </c:strCache>
            </c:strRef>
          </c:cat>
          <c:val>
            <c:numRef>
              <c:f>Sheet2!$F$15:$F$18</c:f>
              <c:numCache>
                <c:formatCode>General</c:formatCode>
                <c:ptCount val="4"/>
                <c:pt idx="0">
                  <c:v>23343.5</c:v>
                </c:pt>
                <c:pt idx="1">
                  <c:v>22554</c:v>
                </c:pt>
                <c:pt idx="2">
                  <c:v>22490</c:v>
                </c:pt>
                <c:pt idx="3">
                  <c:v>17680.5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A-419A-8D2D-B674738DCFAB}"/>
            </c:ext>
          </c:extLst>
        </c:ser>
        <c:ser>
          <c:idx val="1"/>
          <c:order val="1"/>
          <c:tx>
            <c:strRef>
              <c:f>Sheet2!$G$14</c:f>
              <c:strCache>
                <c:ptCount val="1"/>
                <c:pt idx="0">
                  <c:v>2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Sheet2!$E$15:$E$18</c:f>
              <c:strCache>
                <c:ptCount val="4"/>
                <c:pt idx="0">
                  <c:v>Bar</c:v>
                </c:pt>
                <c:pt idx="1">
                  <c:v>Restaurant</c:v>
                </c:pt>
                <c:pt idx="2">
                  <c:v>Nightclub</c:v>
                </c:pt>
                <c:pt idx="3">
                  <c:v>Hotel</c:v>
                </c:pt>
              </c:strCache>
            </c:strRef>
          </c:cat>
          <c:val>
            <c:numRef>
              <c:f>Sheet2!$G$15:$G$18</c:f>
              <c:numCache>
                <c:formatCode>General</c:formatCode>
                <c:ptCount val="4"/>
                <c:pt idx="0">
                  <c:v>18481.666666666668</c:v>
                </c:pt>
                <c:pt idx="1">
                  <c:v>25804.615384615383</c:v>
                </c:pt>
                <c:pt idx="2">
                  <c:v>30193</c:v>
                </c:pt>
                <c:pt idx="3">
                  <c:v>36951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A-419A-8D2D-B674738DCFAB}"/>
            </c:ext>
          </c:extLst>
        </c:ser>
        <c:ser>
          <c:idx val="2"/>
          <c:order val="2"/>
          <c:tx>
            <c:strRef>
              <c:f>Sheet2!$H$14</c:f>
              <c:strCache>
                <c:ptCount val="1"/>
                <c:pt idx="0">
                  <c:v>3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Sheet2!$E$15:$E$18</c:f>
              <c:strCache>
                <c:ptCount val="4"/>
                <c:pt idx="0">
                  <c:v>Bar</c:v>
                </c:pt>
                <c:pt idx="1">
                  <c:v>Restaurant</c:v>
                </c:pt>
                <c:pt idx="2">
                  <c:v>Nightclub</c:v>
                </c:pt>
                <c:pt idx="3">
                  <c:v>Hotel</c:v>
                </c:pt>
              </c:strCache>
            </c:strRef>
          </c:cat>
          <c:val>
            <c:numRef>
              <c:f>Sheet2!$H$15:$H$18</c:f>
              <c:numCache>
                <c:formatCode>General</c:formatCode>
                <c:ptCount val="4"/>
                <c:pt idx="0">
                  <c:v>24250.5</c:v>
                </c:pt>
                <c:pt idx="1">
                  <c:v>0</c:v>
                </c:pt>
                <c:pt idx="2">
                  <c:v>28114.363636363636</c:v>
                </c:pt>
                <c:pt idx="3">
                  <c:v>24126.9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A-419A-8D2D-B674738D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24835903"/>
        <c:axId val="1324836383"/>
        <c:axId val="0"/>
      </c:bar3DChart>
      <c:catAx>
        <c:axId val="13248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36383"/>
        <c:crosses val="autoZero"/>
        <c:auto val="1"/>
        <c:lblAlgn val="ctr"/>
        <c:lblOffset val="100"/>
        <c:noMultiLvlLbl val="0"/>
      </c:catAx>
      <c:valAx>
        <c:axId val="13248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83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Impact of Cooler on Total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Sheet2!$K$14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Sheet2!$J$15:$J$16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Sheet2!$K$15:$K$16</c:f>
              <c:numCache>
                <c:formatCode>General</c:formatCode>
                <c:ptCount val="2"/>
                <c:pt idx="0">
                  <c:v>23132.961538461539</c:v>
                </c:pt>
                <c:pt idx="1">
                  <c:v>25864.441176470587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7-4B58-9B92-1D236C7D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196175"/>
        <c:axId val="1805196655"/>
        <c:axId val="0"/>
      </c:bar3DChart>
      <c:catAx>
        <c:axId val="180519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96655"/>
        <c:crosses val="autoZero"/>
        <c:auto val="1"/>
        <c:lblAlgn val="ctr"/>
        <c:lblOffset val="100"/>
        <c:noMultiLvlLbl val="0"/>
      </c:catAx>
      <c:valAx>
        <c:axId val="1805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9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Impact of Digital Screen on Total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Sheet2!$M$14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Sheet2!$L$15:$L$16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Sheet2!$M$15:$M$16</c:f>
              <c:numCache>
                <c:formatCode>General</c:formatCode>
                <c:ptCount val="2"/>
                <c:pt idx="0">
                  <c:v>23514.799999999999</c:v>
                </c:pt>
                <c:pt idx="1">
                  <c:v>25263.8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D-4741-8052-1B4898F7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120303"/>
        <c:axId val="1654103983"/>
        <c:axId val="0"/>
      </c:bar3DChart>
      <c:catAx>
        <c:axId val="16541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03983"/>
        <c:crosses val="autoZero"/>
        <c:auto val="1"/>
        <c:lblAlgn val="ctr"/>
        <c:lblOffset val="100"/>
        <c:noMultiLvlLbl val="0"/>
      </c:catAx>
      <c:valAx>
        <c:axId val="16541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2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Impact of Menu Inclusion on Total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Sheet2!$O$14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Sheet2!$N$15:$N$16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Sheet2!$O$15:$O$16</c:f>
              <c:numCache>
                <c:formatCode>General</c:formatCode>
                <c:ptCount val="2"/>
                <c:pt idx="0">
                  <c:v>24537.833333333332</c:v>
                </c:pt>
                <c:pt idx="1">
                  <c:v>25014.388888888891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D-45A7-9DCD-AB93EAEA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116943"/>
        <c:axId val="1654121743"/>
        <c:axId val="0"/>
      </c:bar3DChart>
      <c:catAx>
        <c:axId val="16541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21743"/>
        <c:crosses val="autoZero"/>
        <c:auto val="1"/>
        <c:lblAlgn val="ctr"/>
        <c:lblOffset val="100"/>
        <c:noMultiLvlLbl val="0"/>
      </c:catAx>
      <c:valAx>
        <c:axId val="165412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Impact of Posters on Total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Sheet2!$Q$14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Sheet2!$P$15:$P$16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Sheet2!$Q$15:$Q$16</c:f>
              <c:numCache>
                <c:formatCode>General</c:formatCode>
                <c:ptCount val="2"/>
                <c:pt idx="0">
                  <c:v>24224.823529411766</c:v>
                </c:pt>
                <c:pt idx="1">
                  <c:v>24861.069767441859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4-4596-8118-4FEEF39D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115983"/>
        <c:axId val="1654124623"/>
        <c:axId val="0"/>
      </c:bar3DChart>
      <c:catAx>
        <c:axId val="16541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24623"/>
        <c:crosses val="autoZero"/>
        <c:auto val="1"/>
        <c:lblAlgn val="ctr"/>
        <c:lblOffset val="100"/>
        <c:noMultiLvlLbl val="0"/>
      </c:catAx>
      <c:valAx>
        <c:axId val="16541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Cooler on Total Sales</a:t>
            </a:r>
            <a:endParaRPr lang="en-US" sz="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Sheet2!$K$14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Sheet2!$J$15:$J$16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Sheet2!$K$15:$K$16</c:f>
              <c:numCache>
                <c:formatCode>General</c:formatCode>
                <c:ptCount val="2"/>
                <c:pt idx="0">
                  <c:v>23132.961538461539</c:v>
                </c:pt>
                <c:pt idx="1">
                  <c:v>25864.441176470587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49D4-8FE7-8E082013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060479"/>
        <c:axId val="2011060959"/>
        <c:axId val="0"/>
      </c:bar3DChart>
      <c:catAx>
        <c:axId val="201106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60959"/>
        <c:crosses val="autoZero"/>
        <c:auto val="1"/>
        <c:lblAlgn val="ctr"/>
        <c:lblOffset val="100"/>
        <c:noMultiLvlLbl val="0"/>
      </c:catAx>
      <c:valAx>
        <c:axId val="201106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6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Digital Screen on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Sheet2!$M$14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Sheet2!$L$15:$L$16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Sheet2!$M$15:$M$16</c:f>
              <c:numCache>
                <c:formatCode>General</c:formatCode>
                <c:ptCount val="2"/>
                <c:pt idx="0">
                  <c:v>23514.799999999999</c:v>
                </c:pt>
                <c:pt idx="1">
                  <c:v>25263.8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8-4386-80D8-78857D6A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032639"/>
        <c:axId val="2011058559"/>
        <c:axId val="0"/>
      </c:bar3DChart>
      <c:catAx>
        <c:axId val="201103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58559"/>
        <c:crosses val="autoZero"/>
        <c:auto val="1"/>
        <c:lblAlgn val="ctr"/>
        <c:lblOffset val="100"/>
        <c:noMultiLvlLbl val="0"/>
      </c:catAx>
      <c:valAx>
        <c:axId val="20110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3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Menu Inclusion on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Sheet2!$O$14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Sheet2!$N$15:$N$16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Sheet2!$O$15:$O$16</c:f>
              <c:numCache>
                <c:formatCode>General</c:formatCode>
                <c:ptCount val="2"/>
                <c:pt idx="0">
                  <c:v>24537.833333333332</c:v>
                </c:pt>
                <c:pt idx="1">
                  <c:v>25014.388888888891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0-4863-AB27-05DE893E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123359"/>
        <c:axId val="2011119039"/>
        <c:axId val="0"/>
      </c:bar3DChart>
      <c:catAx>
        <c:axId val="201112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19039"/>
        <c:crosses val="autoZero"/>
        <c:auto val="1"/>
        <c:lblAlgn val="ctr"/>
        <c:lblOffset val="100"/>
        <c:noMultiLvlLbl val="0"/>
      </c:catAx>
      <c:valAx>
        <c:axId val="20111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Posters on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Sheet2!$Q$14</c:f>
              <c:strCache>
                <c:ptCount val="1"/>
                <c:pt idx="0">
                  <c:v>Avg 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Sheet2!$P$15:$P$16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Sheet2!$Q$15:$Q$16</c:f>
              <c:numCache>
                <c:formatCode>General</c:formatCode>
                <c:ptCount val="2"/>
                <c:pt idx="0">
                  <c:v>24224.823529411766</c:v>
                </c:pt>
                <c:pt idx="1">
                  <c:v>24861.069767441859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B-47C5-A3C2-EA24E066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006719"/>
        <c:axId val="2011030719"/>
        <c:axId val="0"/>
      </c:bar3DChart>
      <c:catAx>
        <c:axId val="201100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30719"/>
        <c:crosses val="autoZero"/>
        <c:auto val="1"/>
        <c:lblAlgn val="ctr"/>
        <c:lblOffset val="100"/>
        <c:noMultiLvlLbl val="0"/>
      </c:catAx>
      <c:valAx>
        <c:axId val="201103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0" normalizeH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Sales Growth/Trends </a:t>
            </a:r>
          </a:p>
          <a:p>
            <a:pPr>
              <a:defRPr/>
            </a:pPr>
            <a:r>
              <a:rPr lang="en-IN" sz="1400" b="1" i="0" u="none" strike="noStrike" kern="1200" cap="all" spc="0" normalizeH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by </a:t>
            </a:r>
            <a:r>
              <a:rPr lang="en-IN" sz="1400" b="1"/>
              <a:t>ACCOUNT</a:t>
            </a:r>
            <a:r>
              <a:rPr lang="en-IN" sz="1400" b="1" baseline="0"/>
              <a:t> TYPE</a:t>
            </a:r>
            <a:endParaRPr lang="en-IN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Sheet2!$H$3:$L$3</c:f>
              <c:numCache>
                <c:formatCode>General</c:formatCode>
                <c:ptCount val="5"/>
                <c:pt idx="0">
                  <c:v>51804</c:v>
                </c:pt>
                <c:pt idx="1">
                  <c:v>60121</c:v>
                </c:pt>
                <c:pt idx="2">
                  <c:v>60760</c:v>
                </c:pt>
                <c:pt idx="3">
                  <c:v>75991</c:v>
                </c:pt>
                <c:pt idx="4">
                  <c:v>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F-49BD-8CF4-92BE544D7BCB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Restaurant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Sheet2!$H$4:$L$4</c:f>
              <c:numCache>
                <c:formatCode>General</c:formatCode>
                <c:ptCount val="5"/>
                <c:pt idx="0">
                  <c:v>46025</c:v>
                </c:pt>
                <c:pt idx="1">
                  <c:v>65032</c:v>
                </c:pt>
                <c:pt idx="2">
                  <c:v>77731</c:v>
                </c:pt>
                <c:pt idx="3">
                  <c:v>89595</c:v>
                </c:pt>
                <c:pt idx="4">
                  <c:v>102185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F-49BD-8CF4-92BE544D7BCB}"/>
            </c:ext>
          </c:extLst>
        </c:ser>
        <c:ser>
          <c:idx val="2"/>
          <c:order val="2"/>
          <c:tx>
            <c:strRef>
              <c:f>Sheet2!$G$5</c:f>
              <c:strCache>
                <c:ptCount val="1"/>
                <c:pt idx="0">
                  <c:v>Nightclub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Sheet2!$H$5:$L$5</c:f>
              <c:numCache>
                <c:formatCode>General</c:formatCode>
                <c:ptCount val="5"/>
                <c:pt idx="0">
                  <c:v>47259</c:v>
                </c:pt>
                <c:pt idx="1">
                  <c:v>67275</c:v>
                </c:pt>
                <c:pt idx="2">
                  <c:v>79646</c:v>
                </c:pt>
                <c:pt idx="3">
                  <c:v>102065</c:v>
                </c:pt>
                <c:pt idx="4">
                  <c:v>112270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F-49BD-8CF4-92BE544D7BCB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Hotel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Sheet2!$H$6:$L$6</c:f>
              <c:numCache>
                <c:formatCode>General</c:formatCode>
                <c:ptCount val="5"/>
                <c:pt idx="0">
                  <c:v>44888</c:v>
                </c:pt>
                <c:pt idx="1">
                  <c:v>50567</c:v>
                </c:pt>
                <c:pt idx="2">
                  <c:v>70312</c:v>
                </c:pt>
                <c:pt idx="3">
                  <c:v>82583</c:v>
                </c:pt>
                <c:pt idx="4">
                  <c:v>100592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F-49BD-8CF4-92BE544D7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129423"/>
        <c:axId val="1654137103"/>
      </c:lineChart>
      <c:catAx>
        <c:axId val="165412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37103"/>
        <c:crosses val="autoZero"/>
        <c:auto val="1"/>
        <c:lblAlgn val="ctr"/>
        <c:lblOffset val="100"/>
        <c:noMultiLvlLbl val="0"/>
      </c:catAx>
      <c:valAx>
        <c:axId val="165413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2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normalizeH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Sales Growth/Trends by Year </a:t>
            </a:r>
          </a:p>
          <a:p>
            <a:pPr>
              <a:defRPr/>
            </a:pPr>
            <a:r>
              <a:rPr lang="en-IN" sz="900" b="1" i="0" u="none" strike="noStrike" cap="all" normalizeH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(Sales Growth/Trends by Year)</a:t>
            </a:r>
            <a:endParaRPr lang="en-US" sz="900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Total Sales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Sheet2!$H$7:$L$7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2-4F57-9B6A-2614B5D48A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83543647"/>
        <c:axId val="1283545567"/>
      </c:lineChart>
      <c:catAx>
        <c:axId val="12835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45567"/>
        <c:crosses val="autoZero"/>
        <c:auto val="1"/>
        <c:lblAlgn val="ctr"/>
        <c:lblOffset val="100"/>
        <c:noMultiLvlLbl val="0"/>
      </c:catAx>
      <c:valAx>
        <c:axId val="1283545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354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Total Sales Distribution by Year (2017-2021)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Sheet2!$G$7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D19-4954-A9A6-0AA9D6E1D9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D19-4954-A9A6-0AA9D6E1D9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D19-4954-A9A6-0AA9D6E1D9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D19-4954-A9A6-0AA9D6E1D9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D19-4954-A9A6-0AA9D6E1D94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Sheet2!$H$2:$L$2</c:f>
              <c:strCache>
                <c:ptCount val="5"/>
                <c:pt idx="0">
                  <c:v>2017 Sales</c:v>
                </c:pt>
                <c:pt idx="1">
                  <c:v>2018 Sales</c:v>
                </c:pt>
                <c:pt idx="2">
                  <c:v>2019 Sales</c:v>
                </c:pt>
                <c:pt idx="3">
                  <c:v>2020 Sales</c:v>
                </c:pt>
                <c:pt idx="4">
                  <c:v>2021 Sales</c:v>
                </c:pt>
              </c:strCache>
            </c:strRef>
          </c:cat>
          <c:val>
            <c:numRef>
              <c:f>Sheet2!$H$7:$L$7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19-4954-A9A6-0AA9D6E1D9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performer in every Account type (using CAGR)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069265076713672"/>
          <c:y val="0.29535463128466183"/>
          <c:w val="0.72499481080603434"/>
          <c:h val="0.5673885869937375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Sheet2!$A$3:$A$10</c:f>
              <c:strCache>
                <c:ptCount val="8"/>
                <c:pt idx="0">
                  <c:v>Bar 13</c:v>
                </c:pt>
                <c:pt idx="1">
                  <c:v>Bar 14</c:v>
                </c:pt>
                <c:pt idx="2">
                  <c:v>Resturant 5</c:v>
                </c:pt>
                <c:pt idx="3">
                  <c:v>Resturant 12</c:v>
                </c:pt>
                <c:pt idx="4">
                  <c:v>Nightclub 2</c:v>
                </c:pt>
                <c:pt idx="5">
                  <c:v>Nightclub 10</c:v>
                </c:pt>
                <c:pt idx="6">
                  <c:v>Event Venue 11</c:v>
                </c:pt>
                <c:pt idx="7">
                  <c:v>Event Venue 2</c:v>
                </c:pt>
              </c:strCache>
            </c:strRef>
          </c:cat>
          <c:val>
            <c:numRef>
              <c:f>Sheet2!$B$3:$B$10</c:f>
              <c:numCache>
                <c:formatCode>0.00%</c:formatCode>
                <c:ptCount val="8"/>
                <c:pt idx="0">
                  <c:v>2.2416999999999998</c:v>
                </c:pt>
                <c:pt idx="1">
                  <c:v>0.60850000000000004</c:v>
                </c:pt>
                <c:pt idx="2">
                  <c:v>1.5647</c:v>
                </c:pt>
                <c:pt idx="3">
                  <c:v>1.0949</c:v>
                </c:pt>
                <c:pt idx="4">
                  <c:v>1.2882</c:v>
                </c:pt>
                <c:pt idx="5">
                  <c:v>0.82340000000000002</c:v>
                </c:pt>
                <c:pt idx="6">
                  <c:v>1.1838</c:v>
                </c:pt>
                <c:pt idx="7">
                  <c:v>0.97920000000000007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2-48E4-A464-947476A69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0271679"/>
        <c:axId val="1890255359"/>
        <c:axId val="0"/>
      </c:bar3DChart>
      <c:catAx>
        <c:axId val="189027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5359"/>
        <c:crosses val="autoZero"/>
        <c:auto val="1"/>
        <c:lblAlgn val="ctr"/>
        <c:lblOffset val="100"/>
        <c:noMultiLvlLbl val="0"/>
      </c:catAx>
      <c:valAx>
        <c:axId val="18902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27000">
        <a:schemeClr val="tx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normalizeH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BOTTOM PERFORMERS IN EVERY ACCOUNT TYPE (CAGR)</a:t>
            </a:r>
          </a:p>
          <a:p>
            <a:pPr>
              <a:defRPr/>
            </a:pPr>
            <a:endParaRPr lang="en-US" sz="2400" b="0" i="0" u="none" strike="noStrike" kern="1200" spc="0" baseline="0" dirty="0">
              <a:solidFill>
                <a:prstClr val="black">
                  <a:lumMod val="65000"/>
                  <a:lumOff val="35000"/>
                </a:prstClr>
              </a:solidFill>
            </a:endParaRPr>
          </a:p>
        </c:rich>
      </c:tx>
      <c:layout>
        <c:manualLayout>
          <c:xMode val="edge"/>
          <c:yMode val="edge"/>
          <c:x val="0.13884448267495977"/>
          <c:y val="9.40171066716611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Sheet2!$D$3:$D$10</c:f>
              <c:strCache>
                <c:ptCount val="8"/>
                <c:pt idx="0">
                  <c:v>Bar 7</c:v>
                </c:pt>
                <c:pt idx="1">
                  <c:v>Bar 15</c:v>
                </c:pt>
                <c:pt idx="2">
                  <c:v>Resturant 8</c:v>
                </c:pt>
                <c:pt idx="3">
                  <c:v>Resturant 11</c:v>
                </c:pt>
                <c:pt idx="4">
                  <c:v>Nightclub 11</c:v>
                </c:pt>
                <c:pt idx="5">
                  <c:v>Nightclub 8</c:v>
                </c:pt>
                <c:pt idx="6">
                  <c:v>Event Venue 1</c:v>
                </c:pt>
                <c:pt idx="7">
                  <c:v>Event Venue 4</c:v>
                </c:pt>
              </c:strCache>
            </c:strRef>
          </c:cat>
          <c:val>
            <c:numRef>
              <c:f>Sheet2!$E$3:$E$10</c:f>
              <c:numCache>
                <c:formatCode>0.00%</c:formatCode>
                <c:ptCount val="8"/>
                <c:pt idx="0">
                  <c:v>-0.53049999999999997</c:v>
                </c:pt>
                <c:pt idx="1">
                  <c:v>-0.4728</c:v>
                </c:pt>
                <c:pt idx="2">
                  <c:v>-0.46210000000000001</c:v>
                </c:pt>
                <c:pt idx="3">
                  <c:v>-0.30909999999999999</c:v>
                </c:pt>
                <c:pt idx="4">
                  <c:v>-0.35039999999999999</c:v>
                </c:pt>
                <c:pt idx="5">
                  <c:v>-0.27789999999999998</c:v>
                </c:pt>
                <c:pt idx="6">
                  <c:v>-0.64810000000000001</c:v>
                </c:pt>
                <c:pt idx="7">
                  <c:v>-0.27500000000000002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E13-85F5-8D9474F9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071039"/>
        <c:axId val="2011065759"/>
        <c:axId val="0"/>
      </c:bar3DChart>
      <c:catAx>
        <c:axId val="201107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65759"/>
        <c:crosses val="autoZero"/>
        <c:auto val="1"/>
        <c:lblAlgn val="ctr"/>
        <c:lblOffset val="100"/>
        <c:noMultiLvlLbl val="0"/>
      </c:catAx>
      <c:valAx>
        <c:axId val="20110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baseline="0"/>
              <a:t>Top 5 Performing Accounts </a:t>
            </a:r>
          </a:p>
          <a:p>
            <a:pPr>
              <a:defRPr/>
            </a:pPr>
            <a:r>
              <a:rPr lang="en-IN" sz="1400" b="1" i="0" u="none" strike="noStrike" cap="all" baseline="0"/>
              <a:t>by CAGR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Sheet2!$O$2</c:f>
              <c:strCache>
                <c:ptCount val="1"/>
                <c:pt idx="0">
                  <c:v>CAGR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Sheet2!$N$3:$N$7</c:f>
              <c:strCache>
                <c:ptCount val="5"/>
                <c:pt idx="0">
                  <c:v>Bar 13</c:v>
                </c:pt>
                <c:pt idx="1">
                  <c:v>Bar 14</c:v>
                </c:pt>
                <c:pt idx="2">
                  <c:v>Bar 4</c:v>
                </c:pt>
                <c:pt idx="3">
                  <c:v>Bar 3</c:v>
                </c:pt>
                <c:pt idx="4">
                  <c:v>Bar 8</c:v>
                </c:pt>
              </c:strCache>
            </c:strRef>
          </c:cat>
          <c:val>
            <c:numRef>
              <c:f>Sheet2!$O$3:$O$7</c:f>
              <c:numCache>
                <c:formatCode>0.00%</c:formatCode>
                <c:ptCount val="5"/>
                <c:pt idx="0">
                  <c:v>2.24172824739003</c:v>
                </c:pt>
                <c:pt idx="1">
                  <c:v>0.60851341002213</c:v>
                </c:pt>
                <c:pt idx="2">
                  <c:v>0.59756403600546837</c:v>
                </c:pt>
                <c:pt idx="3">
                  <c:v>0.51871355792226703</c:v>
                </c:pt>
                <c:pt idx="4">
                  <c:v>0.43911231499610492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8-4CE2-8B13-9C4B05E0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557422927"/>
        <c:axId val="1557417167"/>
        <c:axId val="0"/>
      </c:bar3DChart>
      <c:catAx>
        <c:axId val="155742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17167"/>
        <c:crosses val="autoZero"/>
        <c:auto val="1"/>
        <c:lblAlgn val="ctr"/>
        <c:lblOffset val="100"/>
        <c:noMultiLvlLbl val="0"/>
      </c:catAx>
      <c:valAx>
        <c:axId val="15574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all" baseline="0"/>
              <a:t>Bottom 5 Performing Accounts by CAGR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CAGR</c:v>
                </c:pt>
              </c:strCache>
            </c:strRef>
          </c:tx>
          <c:spPr>
            <a:gradFill flip="none" rotWithShape="1"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108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Sheet2!$Q$3:$Q$7</c:f>
              <c:strCache>
                <c:ptCount val="5"/>
                <c:pt idx="0">
                  <c:v>Restaurant 8</c:v>
                </c:pt>
                <c:pt idx="1">
                  <c:v>Restaurant 11</c:v>
                </c:pt>
                <c:pt idx="2">
                  <c:v>Restaurant 4</c:v>
                </c:pt>
                <c:pt idx="3">
                  <c:v>Restaurant 13</c:v>
                </c:pt>
                <c:pt idx="4">
                  <c:v>Restaurant 2</c:v>
                </c:pt>
              </c:strCache>
            </c:strRef>
          </c:cat>
          <c:val>
            <c:numRef>
              <c:f>Sheet2!$R$3:$R$7</c:f>
              <c:numCache>
                <c:formatCode>0.00%</c:formatCode>
                <c:ptCount val="5"/>
                <c:pt idx="0">
                  <c:v>-0.4621429981676064</c:v>
                </c:pt>
                <c:pt idx="1">
                  <c:v>-0.30911616212185844</c:v>
                </c:pt>
                <c:pt idx="2">
                  <c:v>-0.17149844341981002</c:v>
                </c:pt>
                <c:pt idx="3">
                  <c:v>-9.372954427409963E-2</c:v>
                </c:pt>
                <c:pt idx="4">
                  <c:v>0.14145009299098632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9-42ED-8D61-2D943D55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654149583"/>
        <c:axId val="1654150063"/>
        <c:axId val="0"/>
      </c:bar3DChart>
      <c:catAx>
        <c:axId val="16541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50063"/>
        <c:crosses val="autoZero"/>
        <c:auto val="1"/>
        <c:lblAlgn val="ctr"/>
        <c:lblOffset val="100"/>
        <c:noMultiLvlLbl val="0"/>
      </c:catAx>
      <c:valAx>
        <c:axId val="165415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Distribution of Product Assortment Across Accounts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Product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Sheet2!$A$15:$A$17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9-45E0-9EB5-F5C7F447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165455"/>
        <c:axId val="1805165935"/>
        <c:axId val="0"/>
      </c:bar3DChart>
      <c:catAx>
        <c:axId val="18051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5935"/>
        <c:crosses val="autoZero"/>
        <c:auto val="1"/>
        <c:lblAlgn val="ctr"/>
        <c:lblOffset val="100"/>
        <c:noMultiLvlLbl val="0"/>
      </c:catAx>
      <c:valAx>
        <c:axId val="18051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 flip="none" rotWithShape="1"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10800000" scaled="1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84959</xdr:colOff>
      <xdr:row>2</xdr:row>
      <xdr:rowOff>16380</xdr:rowOff>
    </xdr:from>
    <xdr:to>
      <xdr:col>14</xdr:col>
      <xdr:colOff>151700</xdr:colOff>
      <xdr:row>14</xdr:row>
      <xdr:rowOff>105192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AD31D-17B8-4A5E-9664-71081034F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92579</xdr:colOff>
      <xdr:row>14</xdr:row>
      <xdr:rowOff>139482</xdr:rowOff>
    </xdr:from>
    <xdr:to>
      <xdr:col>14</xdr:col>
      <xdr:colOff>128840</xdr:colOff>
      <xdr:row>27</xdr:row>
      <xdr:rowOff>126475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1B045-95D9-4E11-80BD-43A8C7782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69719</xdr:colOff>
      <xdr:row>27</xdr:row>
      <xdr:rowOff>162867</xdr:rowOff>
    </xdr:from>
    <xdr:to>
      <xdr:col>14</xdr:col>
      <xdr:colOff>105980</xdr:colOff>
      <xdr:row>39</xdr:row>
      <xdr:rowOff>164050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CCE80-B831-485B-91C4-9B7A43501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280276</xdr:colOff>
      <xdr:row>2</xdr:row>
      <xdr:rowOff>0</xdr:rowOff>
    </xdr:from>
    <xdr:to>
      <xdr:col>7</xdr:col>
      <xdr:colOff>585077</xdr:colOff>
      <xdr:row>14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088E65-A305-46FD-A273-A23FD6911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294131</xdr:colOff>
      <xdr:row>14</xdr:row>
      <xdr:rowOff>75612</xdr:rowOff>
    </xdr:from>
    <xdr:to>
      <xdr:col>7</xdr:col>
      <xdr:colOff>598932</xdr:colOff>
      <xdr:row>27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C4802-9112-41AC-BC8D-B2B85789D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346363</xdr:colOff>
      <xdr:row>27</xdr:row>
      <xdr:rowOff>167895</xdr:rowOff>
    </xdr:from>
    <xdr:to>
      <xdr:col>8</xdr:col>
      <xdr:colOff>3463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0D6442-43C9-4656-B047-263348702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244532</xdr:colOff>
      <xdr:row>2</xdr:row>
      <xdr:rowOff>13855</xdr:rowOff>
    </xdr:from>
    <xdr:to>
      <xdr:col>20</xdr:col>
      <xdr:colOff>318892</xdr:colOff>
      <xdr:row>14</xdr:row>
      <xdr:rowOff>97818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278C5-74E3-4ED5-A3AB-2FB8AF7B5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221672</xdr:colOff>
      <xdr:row>15</xdr:row>
      <xdr:rowOff>5339</xdr:rowOff>
    </xdr:from>
    <xdr:to>
      <xdr:col>20</xdr:col>
      <xdr:colOff>349372</xdr:colOff>
      <xdr:row>27</xdr:row>
      <xdr:rowOff>177983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5ACB14-3E04-4FA4-9EBB-D7B44E74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416337</xdr:colOff>
      <xdr:row>15</xdr:row>
      <xdr:rowOff>11669</xdr:rowOff>
    </xdr:from>
    <xdr:to>
      <xdr:col>27</xdr:col>
      <xdr:colOff>204378</xdr:colOff>
      <xdr:row>27</xdr:row>
      <xdr:rowOff>108843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E5A4A9-9F46-4FCF-8ECA-E82137F01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415437</xdr:colOff>
      <xdr:row>2</xdr:row>
      <xdr:rowOff>32338</xdr:rowOff>
    </xdr:from>
    <xdr:to>
      <xdr:col>27</xdr:col>
      <xdr:colOff>205911</xdr:colOff>
      <xdr:row>14</xdr:row>
      <xdr:rowOff>75931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B29CBB-A5F1-4BB1-935E-44866FA61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221672</xdr:colOff>
      <xdr:row>28</xdr:row>
      <xdr:rowOff>69273</xdr:rowOff>
    </xdr:from>
    <xdr:to>
      <xdr:col>27</xdr:col>
      <xdr:colOff>152400</xdr:colOff>
      <xdr:row>41</xdr:row>
      <xdr:rowOff>124691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5E0691-3C06-4767-A3D4-6CCF8BEF6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3</xdr:col>
      <xdr:colOff>587105</xdr:colOff>
      <xdr:row>50</xdr:row>
      <xdr:rowOff>99551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5BAF63-B70B-40CA-BB26-641E8F98E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70433</xdr:colOff>
      <xdr:row>40</xdr:row>
      <xdr:rowOff>3719</xdr:rowOff>
    </xdr:from>
    <xdr:to>
      <xdr:col>7</xdr:col>
      <xdr:colOff>62678</xdr:colOff>
      <xdr:row>50</xdr:row>
      <xdr:rowOff>112563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B73B55-98AD-4A7E-B324-69F82BA7C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137020</xdr:colOff>
      <xdr:row>40</xdr:row>
      <xdr:rowOff>3717</xdr:rowOff>
    </xdr:from>
    <xdr:to>
      <xdr:col>10</xdr:col>
      <xdr:colOff>128946</xdr:colOff>
      <xdr:row>50</xdr:row>
      <xdr:rowOff>103268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A3E967-7C88-4403-BB4A-D5DF11096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221871</xdr:colOff>
      <xdr:row>40</xdr:row>
      <xdr:rowOff>13011</xdr:rowOff>
    </xdr:from>
    <xdr:to>
      <xdr:col>13</xdr:col>
      <xdr:colOff>204504</xdr:colOff>
      <xdr:row>50</xdr:row>
      <xdr:rowOff>112562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9D73CA-A12E-4F8D-A983-4B4636194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415637</xdr:colOff>
      <xdr:row>42</xdr:row>
      <xdr:rowOff>13854</xdr:rowOff>
    </xdr:from>
    <xdr:to>
      <xdr:col>27</xdr:col>
      <xdr:colOff>166255</xdr:colOff>
      <xdr:row>50</xdr:row>
      <xdr:rowOff>83127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260F4E-F70B-4DA0-80C7-63F2FC95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220240</xdr:colOff>
      <xdr:row>41</xdr:row>
      <xdr:rowOff>177636</xdr:rowOff>
    </xdr:from>
    <xdr:to>
      <xdr:col>23</xdr:col>
      <xdr:colOff>318655</xdr:colOff>
      <xdr:row>50</xdr:row>
      <xdr:rowOff>112186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7C5903-4981-4716-AFF5-1DE94663C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271996</xdr:colOff>
      <xdr:row>41</xdr:row>
      <xdr:rowOff>178435</xdr:rowOff>
    </xdr:from>
    <xdr:to>
      <xdr:col>16</xdr:col>
      <xdr:colOff>471055</xdr:colOff>
      <xdr:row>50</xdr:row>
      <xdr:rowOff>95466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ED31E2-1A23-4999-AA69-B0EC6C5A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566604</xdr:colOff>
      <xdr:row>42</xdr:row>
      <xdr:rowOff>4219</xdr:rowOff>
    </xdr:from>
    <xdr:to>
      <xdr:col>20</xdr:col>
      <xdr:colOff>180110</xdr:colOff>
      <xdr:row>50</xdr:row>
      <xdr:rowOff>101359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561077-9807-45EA-B179-72263D50C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6BF4D-5A6D-45C7-A754-E9687DE3ACDC}" name="Table1" displayName="Table1" ref="A3:T64" totalsRowShown="0" headerRowDxfId="2">
  <autoFilter ref="A3:T64" xr:uid="{E89B086C-A415-4735-B36A-95FDECF3BB02}"/>
  <sortState xmlns:xlrd2="http://schemas.microsoft.com/office/spreadsheetml/2017/richdata2" ref="A4:R64">
    <sortCondition ref="E3:E64"/>
  </sortState>
  <tableColumns count="20">
    <tableColumn id="1" xr3:uid="{2270C3DF-3DEF-4503-9CFC-723006F9C687}" name="Column1"/>
    <tableColumn id="2" xr3:uid="{1A756E97-1E3C-4BA3-BE1A-5EFF80E039F8}" name="Column2"/>
    <tableColumn id="3" xr3:uid="{30209E9D-71F7-4D48-8C27-1828C2386720}" name="Column3"/>
    <tableColumn id="4" xr3:uid="{9185B251-6408-4810-9630-511D087D8AFF}" name="Column4"/>
    <tableColumn id="5" xr3:uid="{56C95855-C9CD-481F-97B6-B78F1FBD66E9}" name="Column5"/>
    <tableColumn id="6" xr3:uid="{F1A0EDE7-B785-4D9A-89F3-2D8FBA8F85DF}" name="Product Lines"/>
    <tableColumn id="7" xr3:uid="{C5993C85-1D52-4C1A-B22F-41BACE58410B}" name="Column6"/>
    <tableColumn id="8" xr3:uid="{96242B27-5B87-4AD6-A332-5D178EEA0CDA}" name="Column7"/>
    <tableColumn id="9" xr3:uid="{73516D69-08BB-4428-8EBE-9144577F0C4A}" name="Marketing / Promotion Programs"/>
    <tableColumn id="10" xr3:uid="{54560ECD-7877-4399-8DF0-DC0A93902F48}" name="Column8"/>
    <tableColumn id="11" xr3:uid="{2268DD48-B5A4-45CD-95AE-7231C7327430}" name="Column9"/>
    <tableColumn id="12" xr3:uid="{BAE2DC7D-AA35-443C-BC05-18D7A49C75EC}" name="Column10"/>
    <tableColumn id="13" xr3:uid="{076AFD3D-A32B-4599-83BA-E5B952A0F6F4}" name="Sales Volume (cases)"/>
    <tableColumn id="14" xr3:uid="{700BFB1A-9DFB-4E97-AEA9-AD63F8E9123B}" name="Column11"/>
    <tableColumn id="15" xr3:uid="{38758E9D-910D-400B-BF20-BECD9058AD5B}" name="Column12"/>
    <tableColumn id="16" xr3:uid="{2FC252B0-12E4-4332-9DCD-42BB458C75AD}" name="Column13"/>
    <tableColumn id="17" xr3:uid="{2737A491-4E88-4058-9D04-F980E7E3A8B3}" name="Column14"/>
    <tableColumn id="18" xr3:uid="{E94001B0-FA72-4B73-BF55-9821EC63FE79}" name="Column15" dataDxfId="1"/>
    <tableColumn id="19" xr3:uid="{1897FDA4-254F-47A8-BD0C-4AFE292570FD}" name="Column16"/>
    <tableColumn id="20" xr3:uid="{6C9EA8BD-544F-4119-9336-B315C4C56598}" name="Column17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T64"/>
  <sheetViews>
    <sheetView topLeftCell="L1" zoomScale="87" zoomScaleNormal="87" workbookViewId="0">
      <selection activeCell="T21" sqref="T21"/>
    </sheetView>
  </sheetViews>
  <sheetFormatPr defaultRowHeight="14.4"/>
  <cols>
    <col min="1" max="1" width="16.6640625" customWidth="1"/>
    <col min="2" max="2" width="41.109375" customWidth="1"/>
    <col min="3" max="4" width="21.109375" customWidth="1"/>
    <col min="5" max="5" width="14" customWidth="1"/>
    <col min="6" max="6" width="14.21875" customWidth="1"/>
    <col min="7" max="7" width="11.44140625" customWidth="1"/>
    <col min="8" max="8" width="14.44140625" customWidth="1"/>
    <col min="9" max="9" width="30.77734375" customWidth="1"/>
    <col min="10" max="10" width="14.88671875" customWidth="1"/>
    <col min="11" max="11" width="16.88671875" customWidth="1"/>
    <col min="12" max="12" width="11.109375" customWidth="1"/>
    <col min="13" max="13" width="20.33203125" customWidth="1"/>
    <col min="14" max="18" width="11.109375" customWidth="1"/>
    <col min="19" max="19" width="11.77734375" bestFit="1" customWidth="1"/>
    <col min="20" max="20" width="8.88671875" style="17"/>
    <col min="45" max="45" width="11.5546875" bestFit="1" customWidth="1"/>
    <col min="49" max="49" width="11.88671875" customWidth="1"/>
    <col min="51" max="51" width="12.6640625" customWidth="1"/>
    <col min="52" max="52" width="14.109375" customWidth="1"/>
    <col min="59" max="59" width="12.44140625" bestFit="1" customWidth="1"/>
    <col min="61" max="61" width="6.6640625" bestFit="1" customWidth="1"/>
  </cols>
  <sheetData>
    <row r="1" spans="1:20" ht="18">
      <c r="A1" s="2" t="s">
        <v>140</v>
      </c>
    </row>
    <row r="3" spans="1:20">
      <c r="A3" s="1" t="s">
        <v>263</v>
      </c>
      <c r="B3" s="1" t="s">
        <v>264</v>
      </c>
      <c r="C3" s="1" t="s">
        <v>265</v>
      </c>
      <c r="D3" s="1" t="s">
        <v>266</v>
      </c>
      <c r="E3" s="1" t="s">
        <v>267</v>
      </c>
      <c r="F3" s="7" t="s">
        <v>258</v>
      </c>
      <c r="G3" t="s">
        <v>268</v>
      </c>
      <c r="H3" t="s">
        <v>269</v>
      </c>
      <c r="I3" s="3" t="s">
        <v>4</v>
      </c>
      <c r="J3" s="4" t="s">
        <v>270</v>
      </c>
      <c r="K3" s="4" t="s">
        <v>271</v>
      </c>
      <c r="L3" s="4" t="s">
        <v>272</v>
      </c>
      <c r="M3" s="5" t="s">
        <v>257</v>
      </c>
      <c r="N3" s="6" t="s">
        <v>273</v>
      </c>
      <c r="O3" s="6" t="s">
        <v>274</v>
      </c>
      <c r="P3" s="6" t="s">
        <v>275</v>
      </c>
      <c r="Q3" s="6" t="s">
        <v>276</v>
      </c>
      <c r="R3" t="s">
        <v>277</v>
      </c>
      <c r="S3" s="6" t="s">
        <v>288</v>
      </c>
      <c r="T3" s="18" t="s">
        <v>289</v>
      </c>
    </row>
    <row r="4" spans="1:20">
      <c r="A4" s="1" t="s">
        <v>0</v>
      </c>
      <c r="B4" s="1" t="s">
        <v>1</v>
      </c>
      <c r="C4" s="1" t="s">
        <v>2</v>
      </c>
      <c r="D4" s="1" t="s">
        <v>139</v>
      </c>
      <c r="E4" s="1" t="s">
        <v>3</v>
      </c>
      <c r="F4" s="1" t="s">
        <v>261</v>
      </c>
      <c r="G4" s="1" t="s">
        <v>259</v>
      </c>
      <c r="H4" s="1" t="s">
        <v>260</v>
      </c>
      <c r="I4" s="1" t="s">
        <v>5</v>
      </c>
      <c r="J4" s="1" t="s">
        <v>6</v>
      </c>
      <c r="K4" s="1" t="s">
        <v>7</v>
      </c>
      <c r="L4" s="1" t="s">
        <v>8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9" t="s">
        <v>262</v>
      </c>
      <c r="S4" s="9" t="s">
        <v>284</v>
      </c>
      <c r="T4" s="9" t="s">
        <v>290</v>
      </c>
    </row>
    <row r="5" spans="1:20">
      <c r="A5" t="s">
        <v>21</v>
      </c>
      <c r="B5" t="s">
        <v>143</v>
      </c>
      <c r="C5" t="s">
        <v>81</v>
      </c>
      <c r="D5" t="s">
        <v>203</v>
      </c>
      <c r="E5" t="s">
        <v>251</v>
      </c>
      <c r="F5" t="s">
        <v>255</v>
      </c>
      <c r="G5" t="s">
        <v>255</v>
      </c>
      <c r="H5" t="s">
        <v>255</v>
      </c>
      <c r="I5" t="s">
        <v>255</v>
      </c>
      <c r="J5" t="s">
        <v>255</v>
      </c>
      <c r="K5" t="s">
        <v>255</v>
      </c>
      <c r="L5" t="s">
        <v>255</v>
      </c>
      <c r="M5">
        <v>24</v>
      </c>
      <c r="N5">
        <v>1797</v>
      </c>
      <c r="O5">
        <v>3548</v>
      </c>
      <c r="P5">
        <v>3668</v>
      </c>
      <c r="Q5">
        <v>8592</v>
      </c>
      <c r="R5" s="8">
        <v>2.2417282473900286</v>
      </c>
      <c r="S5">
        <f>SUM(Table1[[#This Row],[Sales Volume (cases)]]+Table1[[#This Row],[Column11]]+Table1[[#This Row],[Column12]]+Table1[[#This Row],[Column13]]+Table1[[#This Row],[Column14]])</f>
        <v>17629</v>
      </c>
      <c r="T5" s="17">
        <f>COUNTIF(F5:H5,"Yes")</f>
        <v>3</v>
      </c>
    </row>
    <row r="6" spans="1:20">
      <c r="A6" t="s">
        <v>22</v>
      </c>
      <c r="B6" t="s">
        <v>144</v>
      </c>
      <c r="C6" t="s">
        <v>82</v>
      </c>
      <c r="D6" t="s">
        <v>204</v>
      </c>
      <c r="E6" t="s">
        <v>251</v>
      </c>
      <c r="F6" t="s">
        <v>255</v>
      </c>
      <c r="G6" t="s">
        <v>255</v>
      </c>
      <c r="H6" t="s">
        <v>255</v>
      </c>
      <c r="I6" t="s">
        <v>255</v>
      </c>
      <c r="J6" t="s">
        <v>255</v>
      </c>
      <c r="K6" t="s">
        <v>255</v>
      </c>
      <c r="L6" t="s">
        <v>255</v>
      </c>
      <c r="M6">
        <v>861</v>
      </c>
      <c r="N6">
        <v>1314</v>
      </c>
      <c r="O6">
        <v>1810</v>
      </c>
      <c r="P6">
        <v>6510</v>
      </c>
      <c r="Q6">
        <v>9271</v>
      </c>
      <c r="R6" s="8">
        <v>0.60851341002213</v>
      </c>
      <c r="S6">
        <f>SUM(Table1[[#This Row],[Sales Volume (cases)]]+Table1[[#This Row],[Column11]]+Table1[[#This Row],[Column12]]+Table1[[#This Row],[Column13]]+Table1[[#This Row],[Column14]])</f>
        <v>19766</v>
      </c>
      <c r="T6" s="17">
        <f t="shared" ref="T6:T64" si="0">COUNTIF(F6:H6,"Yes")</f>
        <v>3</v>
      </c>
    </row>
    <row r="7" spans="1:20">
      <c r="A7" t="s">
        <v>12</v>
      </c>
      <c r="B7" t="s">
        <v>132</v>
      </c>
      <c r="C7" t="s">
        <v>72</v>
      </c>
      <c r="D7" t="s">
        <v>194</v>
      </c>
      <c r="E7" t="s">
        <v>251</v>
      </c>
      <c r="F7" t="s">
        <v>255</v>
      </c>
      <c r="G7" t="s">
        <v>255</v>
      </c>
      <c r="H7" t="s">
        <v>255</v>
      </c>
      <c r="I7" t="s">
        <v>255</v>
      </c>
      <c r="J7" t="s">
        <v>255</v>
      </c>
      <c r="K7" t="s">
        <v>255</v>
      </c>
      <c r="L7" t="s">
        <v>255</v>
      </c>
      <c r="M7">
        <v>906</v>
      </c>
      <c r="N7">
        <v>1251</v>
      </c>
      <c r="O7">
        <v>2897</v>
      </c>
      <c r="P7">
        <v>4499</v>
      </c>
      <c r="Q7">
        <v>9428</v>
      </c>
      <c r="R7" s="8">
        <v>0.59756403600546837</v>
      </c>
      <c r="S7">
        <f>SUM(Table1[[#This Row],[Sales Volume (cases)]]+Table1[[#This Row],[Column11]]+Table1[[#This Row],[Column12]]+Table1[[#This Row],[Column13]]+Table1[[#This Row],[Column14]])</f>
        <v>18981</v>
      </c>
      <c r="T7" s="17">
        <f t="shared" si="0"/>
        <v>3</v>
      </c>
    </row>
    <row r="8" spans="1:20">
      <c r="A8" t="s">
        <v>11</v>
      </c>
      <c r="B8" t="s">
        <v>131</v>
      </c>
      <c r="C8" t="s">
        <v>71</v>
      </c>
      <c r="D8" t="s">
        <v>193</v>
      </c>
      <c r="E8" t="s">
        <v>251</v>
      </c>
      <c r="F8" t="s">
        <v>255</v>
      </c>
      <c r="G8" t="s">
        <v>255</v>
      </c>
      <c r="H8" t="s">
        <v>255</v>
      </c>
      <c r="I8" t="s">
        <v>255</v>
      </c>
      <c r="J8" t="s">
        <v>255</v>
      </c>
      <c r="K8" t="s">
        <v>255</v>
      </c>
      <c r="L8" t="s">
        <v>255</v>
      </c>
      <c r="M8">
        <v>1209</v>
      </c>
      <c r="N8">
        <v>1534</v>
      </c>
      <c r="O8">
        <v>1634</v>
      </c>
      <c r="P8">
        <v>4302</v>
      </c>
      <c r="Q8">
        <v>9768</v>
      </c>
      <c r="R8" s="8">
        <v>0.51871355792226703</v>
      </c>
      <c r="S8">
        <f>SUM(Table1[[#This Row],[Sales Volume (cases)]]+Table1[[#This Row],[Column11]]+Table1[[#This Row],[Column12]]+Table1[[#This Row],[Column13]]+Table1[[#This Row],[Column14]])</f>
        <v>18447</v>
      </c>
      <c r="T8" s="17">
        <f t="shared" si="0"/>
        <v>3</v>
      </c>
    </row>
    <row r="9" spans="1:20">
      <c r="A9" t="s">
        <v>16</v>
      </c>
      <c r="B9" t="s">
        <v>137</v>
      </c>
      <c r="C9" t="s">
        <v>76</v>
      </c>
      <c r="D9" t="s">
        <v>198</v>
      </c>
      <c r="E9" t="s">
        <v>251</v>
      </c>
      <c r="F9" t="s">
        <v>255</v>
      </c>
      <c r="G9" t="s">
        <v>255</v>
      </c>
      <c r="H9" t="s">
        <v>255</v>
      </c>
      <c r="I9" t="s">
        <v>255</v>
      </c>
      <c r="J9" t="s">
        <v>256</v>
      </c>
      <c r="K9" t="s">
        <v>255</v>
      </c>
      <c r="L9" t="s">
        <v>256</v>
      </c>
      <c r="M9">
        <v>1581</v>
      </c>
      <c r="N9">
        <v>4799</v>
      </c>
      <c r="O9">
        <v>6582</v>
      </c>
      <c r="P9">
        <v>9024</v>
      </c>
      <c r="Q9">
        <v>9759</v>
      </c>
      <c r="R9" s="8">
        <v>0.43911231499610492</v>
      </c>
      <c r="S9">
        <f>SUM(Table1[[#This Row],[Sales Volume (cases)]]+Table1[[#This Row],[Column11]]+Table1[[#This Row],[Column12]]+Table1[[#This Row],[Column13]]+Table1[[#This Row],[Column14]])</f>
        <v>31745</v>
      </c>
      <c r="T9" s="17">
        <f t="shared" si="0"/>
        <v>3</v>
      </c>
    </row>
    <row r="10" spans="1:20">
      <c r="A10" t="s">
        <v>9</v>
      </c>
      <c r="B10" t="s">
        <v>129</v>
      </c>
      <c r="C10" t="s">
        <v>69</v>
      </c>
      <c r="D10" t="s">
        <v>191</v>
      </c>
      <c r="E10" t="s">
        <v>251</v>
      </c>
      <c r="F10" t="s">
        <v>255</v>
      </c>
      <c r="G10" t="s">
        <v>255</v>
      </c>
      <c r="H10" t="s">
        <v>255</v>
      </c>
      <c r="I10" t="s">
        <v>255</v>
      </c>
      <c r="J10" t="s">
        <v>255</v>
      </c>
      <c r="K10" t="s">
        <v>255</v>
      </c>
      <c r="L10" t="s">
        <v>255</v>
      </c>
      <c r="M10">
        <v>1982</v>
      </c>
      <c r="N10">
        <v>5388</v>
      </c>
      <c r="O10">
        <v>7063</v>
      </c>
      <c r="P10">
        <v>7208</v>
      </c>
      <c r="Q10">
        <v>9093</v>
      </c>
      <c r="R10" s="8">
        <v>0.35619053226467301</v>
      </c>
      <c r="S10">
        <f>SUM(Table1[[#This Row],[Sales Volume (cases)]]+Table1[[#This Row],[Column11]]+Table1[[#This Row],[Column12]]+Table1[[#This Row],[Column13]]+Table1[[#This Row],[Column14]])</f>
        <v>30734</v>
      </c>
      <c r="T10" s="17">
        <f t="shared" si="0"/>
        <v>3</v>
      </c>
    </row>
    <row r="11" spans="1:20">
      <c r="A11" t="s">
        <v>13</v>
      </c>
      <c r="B11" t="s">
        <v>133</v>
      </c>
      <c r="C11" t="s">
        <v>73</v>
      </c>
      <c r="D11" t="s">
        <v>195</v>
      </c>
      <c r="E11" t="s">
        <v>251</v>
      </c>
      <c r="F11" t="s">
        <v>255</v>
      </c>
      <c r="G11" t="s">
        <v>255</v>
      </c>
      <c r="H11" t="s">
        <v>256</v>
      </c>
      <c r="I11" t="s">
        <v>255</v>
      </c>
      <c r="J11" t="s">
        <v>255</v>
      </c>
      <c r="K11" t="s">
        <v>255</v>
      </c>
      <c r="L11" t="s">
        <v>255</v>
      </c>
      <c r="M11">
        <v>1421</v>
      </c>
      <c r="N11">
        <v>1893</v>
      </c>
      <c r="O11">
        <v>2722</v>
      </c>
      <c r="P11">
        <v>4410</v>
      </c>
      <c r="Q11">
        <v>5873</v>
      </c>
      <c r="R11" s="8">
        <v>0.32816852649646844</v>
      </c>
      <c r="S11">
        <f>SUM(Table1[[#This Row],[Sales Volume (cases)]]+Table1[[#This Row],[Column11]]+Table1[[#This Row],[Column12]]+Table1[[#This Row],[Column13]]+Table1[[#This Row],[Column14]])</f>
        <v>16319</v>
      </c>
      <c r="T11" s="17">
        <f t="shared" si="0"/>
        <v>2</v>
      </c>
    </row>
    <row r="12" spans="1:20">
      <c r="A12" t="s">
        <v>18</v>
      </c>
      <c r="B12" t="s">
        <v>138</v>
      </c>
      <c r="C12" t="s">
        <v>78</v>
      </c>
      <c r="D12" t="s">
        <v>200</v>
      </c>
      <c r="E12" t="s">
        <v>251</v>
      </c>
      <c r="F12" t="s">
        <v>255</v>
      </c>
      <c r="G12" t="s">
        <v>255</v>
      </c>
      <c r="H12" t="s">
        <v>256</v>
      </c>
      <c r="I12" t="s">
        <v>255</v>
      </c>
      <c r="J12" t="s">
        <v>256</v>
      </c>
      <c r="K12" t="s">
        <v>255</v>
      </c>
      <c r="L12" t="s">
        <v>256</v>
      </c>
      <c r="M12">
        <v>1530</v>
      </c>
      <c r="N12">
        <v>1620</v>
      </c>
      <c r="O12">
        <v>2027</v>
      </c>
      <c r="P12">
        <v>4881</v>
      </c>
      <c r="Q12">
        <v>6002</v>
      </c>
      <c r="R12" s="8">
        <v>0.31437990899992707</v>
      </c>
      <c r="S12">
        <f>SUM(Table1[[#This Row],[Sales Volume (cases)]]+Table1[[#This Row],[Column11]]+Table1[[#This Row],[Column12]]+Table1[[#This Row],[Column13]]+Table1[[#This Row],[Column14]])</f>
        <v>16060</v>
      </c>
      <c r="T12" s="17">
        <f t="shared" si="0"/>
        <v>2</v>
      </c>
    </row>
    <row r="13" spans="1:20">
      <c r="A13" t="s">
        <v>14</v>
      </c>
      <c r="B13" t="s">
        <v>134</v>
      </c>
      <c r="C13" t="s">
        <v>74</v>
      </c>
      <c r="D13" t="s">
        <v>196</v>
      </c>
      <c r="E13" t="s">
        <v>251</v>
      </c>
      <c r="F13" t="s">
        <v>255</v>
      </c>
      <c r="G13" t="s">
        <v>255</v>
      </c>
      <c r="H13" t="s">
        <v>255</v>
      </c>
      <c r="I13" t="s">
        <v>256</v>
      </c>
      <c r="J13" t="s">
        <v>255</v>
      </c>
      <c r="K13" t="s">
        <v>255</v>
      </c>
      <c r="L13" t="s">
        <v>256</v>
      </c>
      <c r="M13">
        <v>2341</v>
      </c>
      <c r="N13">
        <v>6105</v>
      </c>
      <c r="O13">
        <v>7777</v>
      </c>
      <c r="P13">
        <v>7891</v>
      </c>
      <c r="Q13">
        <v>8758</v>
      </c>
      <c r="R13" s="8">
        <v>0.30196918487306212</v>
      </c>
      <c r="S13">
        <f>SUM(Table1[[#This Row],[Sales Volume (cases)]]+Table1[[#This Row],[Column11]]+Table1[[#This Row],[Column12]]+Table1[[#This Row],[Column13]]+Table1[[#This Row],[Column14]])</f>
        <v>32872</v>
      </c>
      <c r="T13" s="17">
        <f t="shared" si="0"/>
        <v>3</v>
      </c>
    </row>
    <row r="14" spans="1:20">
      <c r="A14" t="s">
        <v>20</v>
      </c>
      <c r="B14" t="s">
        <v>142</v>
      </c>
      <c r="C14" t="s">
        <v>80</v>
      </c>
      <c r="D14" t="s">
        <v>202</v>
      </c>
      <c r="E14" t="s">
        <v>251</v>
      </c>
      <c r="F14" t="s">
        <v>255</v>
      </c>
      <c r="G14" t="s">
        <v>256</v>
      </c>
      <c r="H14" t="s">
        <v>256</v>
      </c>
      <c r="I14" t="s">
        <v>256</v>
      </c>
      <c r="J14" t="s">
        <v>256</v>
      </c>
      <c r="K14" t="s">
        <v>256</v>
      </c>
      <c r="L14" t="s">
        <v>256</v>
      </c>
      <c r="M14">
        <v>1532</v>
      </c>
      <c r="N14">
        <v>2678</v>
      </c>
      <c r="O14">
        <v>4068</v>
      </c>
      <c r="P14">
        <v>4278</v>
      </c>
      <c r="Q14">
        <v>5382</v>
      </c>
      <c r="R14" s="8">
        <v>0.28569213036906493</v>
      </c>
      <c r="S14">
        <f>SUM(Table1[[#This Row],[Sales Volume (cases)]]+Table1[[#This Row],[Column11]]+Table1[[#This Row],[Column12]]+Table1[[#This Row],[Column13]]+Table1[[#This Row],[Column14]])</f>
        <v>17938</v>
      </c>
      <c r="T14" s="17">
        <f t="shared" si="0"/>
        <v>1</v>
      </c>
    </row>
    <row r="15" spans="1:20">
      <c r="A15" t="s">
        <v>10</v>
      </c>
      <c r="B15" t="s">
        <v>130</v>
      </c>
      <c r="C15" t="s">
        <v>70</v>
      </c>
      <c r="D15" t="s">
        <v>192</v>
      </c>
      <c r="E15" t="s">
        <v>251</v>
      </c>
      <c r="F15" t="s">
        <v>255</v>
      </c>
      <c r="G15" t="s">
        <v>255</v>
      </c>
      <c r="H15" t="s">
        <v>255</v>
      </c>
      <c r="I15" t="s">
        <v>256</v>
      </c>
      <c r="J15" t="s">
        <v>255</v>
      </c>
      <c r="K15" t="s">
        <v>255</v>
      </c>
      <c r="L15" t="s">
        <v>255</v>
      </c>
      <c r="M15">
        <v>2786</v>
      </c>
      <c r="N15">
        <v>3804</v>
      </c>
      <c r="O15">
        <v>4121</v>
      </c>
      <c r="P15">
        <v>6210</v>
      </c>
      <c r="Q15">
        <v>6909</v>
      </c>
      <c r="R15" s="8">
        <v>0.19918673575040846</v>
      </c>
      <c r="S15">
        <f>SUM(Table1[[#This Row],[Sales Volume (cases)]]+Table1[[#This Row],[Column11]]+Table1[[#This Row],[Column12]]+Table1[[#This Row],[Column13]]+Table1[[#This Row],[Column14]])</f>
        <v>23830</v>
      </c>
      <c r="T15" s="17">
        <f t="shared" si="0"/>
        <v>3</v>
      </c>
    </row>
    <row r="16" spans="1:20">
      <c r="A16" t="s">
        <v>19</v>
      </c>
      <c r="B16" t="s">
        <v>141</v>
      </c>
      <c r="C16" t="s">
        <v>79</v>
      </c>
      <c r="D16" t="s">
        <v>201</v>
      </c>
      <c r="E16" t="s">
        <v>251</v>
      </c>
      <c r="F16" t="s">
        <v>255</v>
      </c>
      <c r="G16" t="s">
        <v>256</v>
      </c>
      <c r="H16" t="s">
        <v>256</v>
      </c>
      <c r="I16" t="s">
        <v>256</v>
      </c>
      <c r="J16" t="s">
        <v>256</v>
      </c>
      <c r="K16" t="s">
        <v>256</v>
      </c>
      <c r="L16" t="s">
        <v>256</v>
      </c>
      <c r="M16">
        <v>7555</v>
      </c>
      <c r="N16">
        <v>6551</v>
      </c>
      <c r="O16">
        <v>5188</v>
      </c>
      <c r="P16">
        <v>3436</v>
      </c>
      <c r="Q16">
        <v>2359</v>
      </c>
      <c r="R16" s="8">
        <v>-0.2076835105195487</v>
      </c>
      <c r="S16">
        <f>SUM(Table1[[#This Row],[Sales Volume (cases)]]+Table1[[#This Row],[Column11]]+Table1[[#This Row],[Column12]]+Table1[[#This Row],[Column13]]+Table1[[#This Row],[Column14]])</f>
        <v>25089</v>
      </c>
      <c r="T16" s="17">
        <f t="shared" si="0"/>
        <v>1</v>
      </c>
    </row>
    <row r="17" spans="1:20">
      <c r="A17" t="s">
        <v>17</v>
      </c>
      <c r="B17" t="s">
        <v>136</v>
      </c>
      <c r="C17" t="s">
        <v>77</v>
      </c>
      <c r="D17" t="s">
        <v>199</v>
      </c>
      <c r="E17" t="s">
        <v>251</v>
      </c>
      <c r="F17" t="s">
        <v>255</v>
      </c>
      <c r="G17" t="s">
        <v>256</v>
      </c>
      <c r="H17" t="s">
        <v>256</v>
      </c>
      <c r="I17" t="s">
        <v>256</v>
      </c>
      <c r="J17" t="s">
        <v>256</v>
      </c>
      <c r="K17" t="s">
        <v>255</v>
      </c>
      <c r="L17" t="s">
        <v>256</v>
      </c>
      <c r="M17">
        <v>9766</v>
      </c>
      <c r="N17">
        <v>8049</v>
      </c>
      <c r="O17">
        <v>5556</v>
      </c>
      <c r="P17">
        <v>5202</v>
      </c>
      <c r="Q17">
        <v>2373</v>
      </c>
      <c r="R17" s="8">
        <v>-0.24644283485137131</v>
      </c>
      <c r="S17">
        <f>SUM(Table1[[#This Row],[Sales Volume (cases)]]+Table1[[#This Row],[Column11]]+Table1[[#This Row],[Column12]]+Table1[[#This Row],[Column13]]+Table1[[#This Row],[Column14]])</f>
        <v>30946</v>
      </c>
      <c r="T17" s="17">
        <f t="shared" si="0"/>
        <v>1</v>
      </c>
    </row>
    <row r="18" spans="1:20">
      <c r="A18" t="s">
        <v>23</v>
      </c>
      <c r="B18" t="s">
        <v>145</v>
      </c>
      <c r="C18" t="s">
        <v>83</v>
      </c>
      <c r="D18" t="s">
        <v>205</v>
      </c>
      <c r="E18" t="s">
        <v>251</v>
      </c>
      <c r="F18" t="s">
        <v>255</v>
      </c>
      <c r="G18" t="s">
        <v>255</v>
      </c>
      <c r="H18" t="s">
        <v>256</v>
      </c>
      <c r="I18" t="s">
        <v>256</v>
      </c>
      <c r="J18" t="s">
        <v>256</v>
      </c>
      <c r="K18" t="s">
        <v>256</v>
      </c>
      <c r="L18" t="s">
        <v>256</v>
      </c>
      <c r="M18">
        <v>9058</v>
      </c>
      <c r="N18">
        <v>4839</v>
      </c>
      <c r="O18">
        <v>4776</v>
      </c>
      <c r="P18">
        <v>4024</v>
      </c>
      <c r="Q18">
        <v>369</v>
      </c>
      <c r="R18" s="8">
        <v>-0.47277158327084157</v>
      </c>
      <c r="S18">
        <f>SUM(Table1[[#This Row],[Sales Volume (cases)]]+Table1[[#This Row],[Column11]]+Table1[[#This Row],[Column12]]+Table1[[#This Row],[Column13]]+Table1[[#This Row],[Column14]])</f>
        <v>23066</v>
      </c>
      <c r="T18" s="17">
        <f t="shared" si="0"/>
        <v>2</v>
      </c>
    </row>
    <row r="19" spans="1:20">
      <c r="A19" t="s">
        <v>15</v>
      </c>
      <c r="B19" t="s">
        <v>135</v>
      </c>
      <c r="C19" t="s">
        <v>75</v>
      </c>
      <c r="D19" t="s">
        <v>197</v>
      </c>
      <c r="E19" t="s">
        <v>251</v>
      </c>
      <c r="F19" t="s">
        <v>255</v>
      </c>
      <c r="G19" t="s">
        <v>256</v>
      </c>
      <c r="H19" t="s">
        <v>256</v>
      </c>
      <c r="I19" t="s">
        <v>256</v>
      </c>
      <c r="J19" t="s">
        <v>256</v>
      </c>
      <c r="K19" t="s">
        <v>255</v>
      </c>
      <c r="L19" t="s">
        <v>256</v>
      </c>
      <c r="M19">
        <v>9252</v>
      </c>
      <c r="N19">
        <v>8499</v>
      </c>
      <c r="O19">
        <v>991</v>
      </c>
      <c r="P19">
        <v>448</v>
      </c>
      <c r="Q19">
        <v>211</v>
      </c>
      <c r="R19" s="8">
        <v>-0.53052835583623759</v>
      </c>
      <c r="S19">
        <f>SUM(Table1[[#This Row],[Sales Volume (cases)]]+Table1[[#This Row],[Column11]]+Table1[[#This Row],[Column12]]+Table1[[#This Row],[Column13]]+Table1[[#This Row],[Column14]])</f>
        <v>19401</v>
      </c>
      <c r="T19" s="17">
        <f t="shared" si="0"/>
        <v>1</v>
      </c>
    </row>
    <row r="20" spans="1:20">
      <c r="A20" t="s">
        <v>40</v>
      </c>
      <c r="B20" t="s">
        <v>162</v>
      </c>
      <c r="C20" t="s">
        <v>100</v>
      </c>
      <c r="D20" t="s">
        <v>222</v>
      </c>
      <c r="E20" t="s">
        <v>253</v>
      </c>
      <c r="F20" t="s">
        <v>255</v>
      </c>
      <c r="G20" t="s">
        <v>255</v>
      </c>
      <c r="H20" t="s">
        <v>255</v>
      </c>
      <c r="I20" t="s">
        <v>255</v>
      </c>
      <c r="J20" t="s">
        <v>255</v>
      </c>
      <c r="K20" t="s">
        <v>255</v>
      </c>
      <c r="L20" t="s">
        <v>256</v>
      </c>
      <c r="M20">
        <v>138</v>
      </c>
      <c r="N20">
        <v>286</v>
      </c>
      <c r="O20">
        <v>6750</v>
      </c>
      <c r="P20">
        <v>8254</v>
      </c>
      <c r="Q20">
        <v>8656</v>
      </c>
      <c r="R20" s="8">
        <v>1.2881665488224225</v>
      </c>
      <c r="S20">
        <f>SUM(Table1[[#This Row],[Sales Volume (cases)]]+Table1[[#This Row],[Column11]]+Table1[[#This Row],[Column12]]+Table1[[#This Row],[Column13]]+Table1[[#This Row],[Column14]])</f>
        <v>24084</v>
      </c>
      <c r="T20" s="17">
        <f>Sheet3!G4</f>
        <v>0</v>
      </c>
    </row>
    <row r="21" spans="1:20">
      <c r="A21" t="s">
        <v>48</v>
      </c>
      <c r="B21" t="s">
        <v>170</v>
      </c>
      <c r="C21" t="s">
        <v>108</v>
      </c>
      <c r="D21" t="s">
        <v>230</v>
      </c>
      <c r="E21" t="s">
        <v>253</v>
      </c>
      <c r="F21" t="s">
        <v>255</v>
      </c>
      <c r="G21" t="s">
        <v>255</v>
      </c>
      <c r="H21" t="s">
        <v>255</v>
      </c>
      <c r="I21" t="s">
        <v>255</v>
      </c>
      <c r="J21" t="s">
        <v>255</v>
      </c>
      <c r="K21" t="s">
        <v>255</v>
      </c>
      <c r="L21" t="s">
        <v>255</v>
      </c>
      <c r="M21">
        <v>376</v>
      </c>
      <c r="N21">
        <v>889</v>
      </c>
      <c r="O21">
        <v>4373</v>
      </c>
      <c r="P21">
        <v>6803</v>
      </c>
      <c r="Q21">
        <v>7578</v>
      </c>
      <c r="R21" s="8">
        <v>0.8233638960693328</v>
      </c>
      <c r="S21">
        <f>SUM(Table1[[#This Row],[Sales Volume (cases)]]+Table1[[#This Row],[Column11]]+Table1[[#This Row],[Column12]]+Table1[[#This Row],[Column13]]+Table1[[#This Row],[Column14]])</f>
        <v>20019</v>
      </c>
      <c r="T21" s="17">
        <f t="shared" si="0"/>
        <v>3</v>
      </c>
    </row>
    <row r="22" spans="1:20">
      <c r="A22" t="s">
        <v>53</v>
      </c>
      <c r="B22" t="s">
        <v>175</v>
      </c>
      <c r="C22" t="s">
        <v>113</v>
      </c>
      <c r="D22" t="s">
        <v>235</v>
      </c>
      <c r="E22" t="s">
        <v>253</v>
      </c>
      <c r="F22" t="s">
        <v>255</v>
      </c>
      <c r="G22" t="s">
        <v>255</v>
      </c>
      <c r="H22" t="s">
        <v>255</v>
      </c>
      <c r="I22" t="s">
        <v>255</v>
      </c>
      <c r="J22" t="s">
        <v>255</v>
      </c>
      <c r="K22" t="s">
        <v>256</v>
      </c>
      <c r="L22" t="s">
        <v>256</v>
      </c>
      <c r="M22">
        <v>431</v>
      </c>
      <c r="N22">
        <v>6231</v>
      </c>
      <c r="O22">
        <v>7478</v>
      </c>
      <c r="P22">
        <v>8039</v>
      </c>
      <c r="Q22">
        <v>8271</v>
      </c>
      <c r="R22" s="8">
        <v>0.80557756627518251</v>
      </c>
      <c r="S22">
        <f>SUM(Table1[[#This Row],[Sales Volume (cases)]]+Table1[[#This Row],[Column11]]+Table1[[#This Row],[Column12]]+Table1[[#This Row],[Column13]]+Table1[[#This Row],[Column14]])</f>
        <v>30450</v>
      </c>
      <c r="T22" s="17">
        <f t="shared" si="0"/>
        <v>3</v>
      </c>
    </row>
    <row r="23" spans="1:20">
      <c r="A23" t="s">
        <v>47</v>
      </c>
      <c r="B23" t="s">
        <v>169</v>
      </c>
      <c r="C23" t="s">
        <v>107</v>
      </c>
      <c r="D23" t="s">
        <v>229</v>
      </c>
      <c r="E23" t="s">
        <v>253</v>
      </c>
      <c r="F23" t="s">
        <v>255</v>
      </c>
      <c r="G23" t="s">
        <v>255</v>
      </c>
      <c r="H23" t="s">
        <v>255</v>
      </c>
      <c r="I23" t="s">
        <v>255</v>
      </c>
      <c r="J23" t="s">
        <v>255</v>
      </c>
      <c r="K23" t="s">
        <v>255</v>
      </c>
      <c r="L23" t="s">
        <v>255</v>
      </c>
      <c r="M23">
        <v>488</v>
      </c>
      <c r="N23">
        <v>5535</v>
      </c>
      <c r="O23">
        <v>5775</v>
      </c>
      <c r="P23">
        <v>7661</v>
      </c>
      <c r="Q23">
        <v>9206</v>
      </c>
      <c r="R23" s="8">
        <v>0.79941041442458327</v>
      </c>
      <c r="S23">
        <f>SUM(Table1[[#This Row],[Sales Volume (cases)]]+Table1[[#This Row],[Column11]]+Table1[[#This Row],[Column12]]+Table1[[#This Row],[Column13]]+Table1[[#This Row],[Column14]])</f>
        <v>28665</v>
      </c>
      <c r="T23" s="17">
        <f t="shared" si="0"/>
        <v>3</v>
      </c>
    </row>
    <row r="24" spans="1:20">
      <c r="A24" t="s">
        <v>45</v>
      </c>
      <c r="B24" t="s">
        <v>167</v>
      </c>
      <c r="C24" t="s">
        <v>105</v>
      </c>
      <c r="D24" t="s">
        <v>227</v>
      </c>
      <c r="E24" t="s">
        <v>253</v>
      </c>
      <c r="F24" t="s">
        <v>255</v>
      </c>
      <c r="G24" t="s">
        <v>255</v>
      </c>
      <c r="H24" t="s">
        <v>255</v>
      </c>
      <c r="I24" t="s">
        <v>255</v>
      </c>
      <c r="J24" t="s">
        <v>255</v>
      </c>
      <c r="K24" t="s">
        <v>255</v>
      </c>
      <c r="L24" t="s">
        <v>255</v>
      </c>
      <c r="M24">
        <v>742</v>
      </c>
      <c r="N24">
        <v>3751</v>
      </c>
      <c r="O24">
        <v>4423</v>
      </c>
      <c r="P24">
        <v>8733</v>
      </c>
      <c r="Q24">
        <v>9909</v>
      </c>
      <c r="R24" s="8">
        <v>0.67928800020081637</v>
      </c>
      <c r="S24">
        <f>SUM(Table1[[#This Row],[Sales Volume (cases)]]+Table1[[#This Row],[Column11]]+Table1[[#This Row],[Column12]]+Table1[[#This Row],[Column13]]+Table1[[#This Row],[Column14]])</f>
        <v>27558</v>
      </c>
      <c r="T24" s="17">
        <f t="shared" si="0"/>
        <v>3</v>
      </c>
    </row>
    <row r="25" spans="1:20">
      <c r="A25" t="s">
        <v>50</v>
      </c>
      <c r="B25" t="s">
        <v>172</v>
      </c>
      <c r="C25" t="s">
        <v>110</v>
      </c>
      <c r="D25" t="s">
        <v>232</v>
      </c>
      <c r="E25" t="s">
        <v>253</v>
      </c>
      <c r="F25" t="s">
        <v>255</v>
      </c>
      <c r="G25" t="s">
        <v>255</v>
      </c>
      <c r="H25" t="s">
        <v>255</v>
      </c>
      <c r="I25" t="s">
        <v>255</v>
      </c>
      <c r="J25" t="s">
        <v>255</v>
      </c>
      <c r="K25" t="s">
        <v>255</v>
      </c>
      <c r="L25" t="s">
        <v>255</v>
      </c>
      <c r="M25">
        <v>1038</v>
      </c>
      <c r="N25">
        <v>3615</v>
      </c>
      <c r="O25">
        <v>3712</v>
      </c>
      <c r="P25">
        <v>5819</v>
      </c>
      <c r="Q25">
        <v>9589</v>
      </c>
      <c r="R25" s="8">
        <v>0.55996621610745612</v>
      </c>
      <c r="S25">
        <f>SUM(Table1[[#This Row],[Sales Volume (cases)]]+Table1[[#This Row],[Column11]]+Table1[[#This Row],[Column12]]+Table1[[#This Row],[Column13]]+Table1[[#This Row],[Column14]])</f>
        <v>23773</v>
      </c>
      <c r="T25" s="17">
        <f t="shared" si="0"/>
        <v>3</v>
      </c>
    </row>
    <row r="26" spans="1:20">
      <c r="A26" t="s">
        <v>43</v>
      </c>
      <c r="B26" t="s">
        <v>165</v>
      </c>
      <c r="C26" t="s">
        <v>103</v>
      </c>
      <c r="D26" t="s">
        <v>225</v>
      </c>
      <c r="E26" t="s">
        <v>253</v>
      </c>
      <c r="F26" t="s">
        <v>255</v>
      </c>
      <c r="G26" t="s">
        <v>255</v>
      </c>
      <c r="H26" t="s">
        <v>255</v>
      </c>
      <c r="I26" t="s">
        <v>255</v>
      </c>
      <c r="J26" t="s">
        <v>255</v>
      </c>
      <c r="K26" t="s">
        <v>255</v>
      </c>
      <c r="L26" t="s">
        <v>255</v>
      </c>
      <c r="M26">
        <v>1092</v>
      </c>
      <c r="N26">
        <v>3140</v>
      </c>
      <c r="O26">
        <v>4123</v>
      </c>
      <c r="P26">
        <v>4366</v>
      </c>
      <c r="Q26">
        <v>9482</v>
      </c>
      <c r="R26" s="8">
        <v>0.54076165823872469</v>
      </c>
      <c r="S26">
        <f>SUM(Table1[[#This Row],[Sales Volume (cases)]]+Table1[[#This Row],[Column11]]+Table1[[#This Row],[Column12]]+Table1[[#This Row],[Column13]]+Table1[[#This Row],[Column14]])</f>
        <v>22203</v>
      </c>
      <c r="T26" s="17">
        <f t="shared" si="0"/>
        <v>3</v>
      </c>
    </row>
    <row r="27" spans="1:20">
      <c r="A27" t="s">
        <v>52</v>
      </c>
      <c r="B27" t="s">
        <v>174</v>
      </c>
      <c r="C27" t="s">
        <v>112</v>
      </c>
      <c r="D27" t="s">
        <v>234</v>
      </c>
      <c r="E27" t="s">
        <v>253</v>
      </c>
      <c r="F27" t="s">
        <v>255</v>
      </c>
      <c r="G27" t="s">
        <v>255</v>
      </c>
      <c r="H27" t="s">
        <v>255</v>
      </c>
      <c r="I27" t="s">
        <v>255</v>
      </c>
      <c r="J27" t="s">
        <v>256</v>
      </c>
      <c r="K27" t="s">
        <v>256</v>
      </c>
      <c r="L27" t="s">
        <v>256</v>
      </c>
      <c r="M27">
        <v>1290</v>
      </c>
      <c r="N27">
        <v>4033</v>
      </c>
      <c r="O27">
        <v>6956</v>
      </c>
      <c r="P27">
        <v>7929</v>
      </c>
      <c r="Q27">
        <v>8834</v>
      </c>
      <c r="R27" s="8">
        <v>0.4693103469357589</v>
      </c>
      <c r="S27">
        <f>SUM(Table1[[#This Row],[Sales Volume (cases)]]+Table1[[#This Row],[Column11]]+Table1[[#This Row],[Column12]]+Table1[[#This Row],[Column13]]+Table1[[#This Row],[Column14]])</f>
        <v>29042</v>
      </c>
      <c r="T27" s="17">
        <f t="shared" si="0"/>
        <v>3</v>
      </c>
    </row>
    <row r="28" spans="1:20">
      <c r="A28" t="s">
        <v>44</v>
      </c>
      <c r="B28" t="s">
        <v>166</v>
      </c>
      <c r="C28" t="s">
        <v>104</v>
      </c>
      <c r="D28" t="s">
        <v>226</v>
      </c>
      <c r="E28" t="s">
        <v>253</v>
      </c>
      <c r="F28" t="s">
        <v>255</v>
      </c>
      <c r="G28" t="s">
        <v>255</v>
      </c>
      <c r="H28" t="s">
        <v>255</v>
      </c>
      <c r="I28" t="s">
        <v>256</v>
      </c>
      <c r="J28" t="s">
        <v>256</v>
      </c>
      <c r="K28" t="s">
        <v>255</v>
      </c>
      <c r="L28" t="s">
        <v>255</v>
      </c>
      <c r="M28">
        <v>2541</v>
      </c>
      <c r="N28">
        <v>3794</v>
      </c>
      <c r="O28">
        <v>3984</v>
      </c>
      <c r="P28">
        <v>8803</v>
      </c>
      <c r="Q28">
        <v>9338</v>
      </c>
      <c r="R28" s="8">
        <v>0.29732814762537663</v>
      </c>
      <c r="S28">
        <f>SUM(Table1[[#This Row],[Sales Volume (cases)]]+Table1[[#This Row],[Column11]]+Table1[[#This Row],[Column12]]+Table1[[#This Row],[Column13]]+Table1[[#This Row],[Column14]])</f>
        <v>28460</v>
      </c>
      <c r="T28" s="17">
        <f t="shared" si="0"/>
        <v>3</v>
      </c>
    </row>
    <row r="29" spans="1:20">
      <c r="A29" t="s">
        <v>39</v>
      </c>
      <c r="B29" t="s">
        <v>161</v>
      </c>
      <c r="C29" t="s">
        <v>99</v>
      </c>
      <c r="D29" t="s">
        <v>221</v>
      </c>
      <c r="E29" t="s">
        <v>253</v>
      </c>
      <c r="F29" t="s">
        <v>255</v>
      </c>
      <c r="G29" t="s">
        <v>255</v>
      </c>
      <c r="H29" t="s">
        <v>255</v>
      </c>
      <c r="I29" t="s">
        <v>256</v>
      </c>
      <c r="J29" t="s">
        <v>256</v>
      </c>
      <c r="K29" t="s">
        <v>255</v>
      </c>
      <c r="L29" t="s">
        <v>256</v>
      </c>
      <c r="M29">
        <v>2519</v>
      </c>
      <c r="N29">
        <v>3938</v>
      </c>
      <c r="O29">
        <v>5190</v>
      </c>
      <c r="P29">
        <v>8203</v>
      </c>
      <c r="Q29">
        <v>8780</v>
      </c>
      <c r="R29" s="8">
        <v>0.28366963950173796</v>
      </c>
      <c r="S29">
        <f>SUM(Table1[[#This Row],[Sales Volume (cases)]]+Table1[[#This Row],[Column11]]+Table1[[#This Row],[Column12]]+Table1[[#This Row],[Column13]]+Table1[[#This Row],[Column14]])</f>
        <v>28630</v>
      </c>
      <c r="T29" s="17">
        <f t="shared" si="0"/>
        <v>3</v>
      </c>
    </row>
    <row r="30" spans="1:20">
      <c r="A30" t="s">
        <v>42</v>
      </c>
      <c r="B30" t="s">
        <v>164</v>
      </c>
      <c r="C30" t="s">
        <v>102</v>
      </c>
      <c r="D30" t="s">
        <v>224</v>
      </c>
      <c r="E30" t="s">
        <v>253</v>
      </c>
      <c r="F30" t="s">
        <v>255</v>
      </c>
      <c r="G30" t="s">
        <v>255</v>
      </c>
      <c r="H30" t="s">
        <v>255</v>
      </c>
      <c r="I30" t="s">
        <v>256</v>
      </c>
      <c r="J30" t="s">
        <v>256</v>
      </c>
      <c r="K30" t="s">
        <v>255</v>
      </c>
      <c r="L30" t="s">
        <v>255</v>
      </c>
      <c r="M30">
        <v>3297</v>
      </c>
      <c r="N30">
        <v>4866</v>
      </c>
      <c r="O30">
        <v>4928</v>
      </c>
      <c r="P30">
        <v>8451</v>
      </c>
      <c r="Q30">
        <v>9585</v>
      </c>
      <c r="R30" s="8">
        <v>0.23792585619569206</v>
      </c>
      <c r="S30">
        <f>SUM(Table1[[#This Row],[Sales Volume (cases)]]+Table1[[#This Row],[Column11]]+Table1[[#This Row],[Column12]]+Table1[[#This Row],[Column13]]+Table1[[#This Row],[Column14]])</f>
        <v>31127</v>
      </c>
      <c r="T30" s="17">
        <f t="shared" si="0"/>
        <v>3</v>
      </c>
    </row>
    <row r="31" spans="1:20">
      <c r="A31" t="s">
        <v>41</v>
      </c>
      <c r="B31" t="s">
        <v>163</v>
      </c>
      <c r="C31" t="s">
        <v>101</v>
      </c>
      <c r="D31" t="s">
        <v>223</v>
      </c>
      <c r="E31" t="s">
        <v>253</v>
      </c>
      <c r="F31" t="s">
        <v>255</v>
      </c>
      <c r="G31" t="s">
        <v>255</v>
      </c>
      <c r="H31" t="s">
        <v>255</v>
      </c>
      <c r="I31" t="s">
        <v>256</v>
      </c>
      <c r="J31" t="s">
        <v>256</v>
      </c>
      <c r="K31" t="s">
        <v>255</v>
      </c>
      <c r="L31" t="s">
        <v>255</v>
      </c>
      <c r="M31">
        <v>8873</v>
      </c>
      <c r="N31">
        <v>8484</v>
      </c>
      <c r="O31">
        <v>7883</v>
      </c>
      <c r="P31">
        <v>7499</v>
      </c>
      <c r="Q31">
        <v>6592</v>
      </c>
      <c r="R31" s="8">
        <v>-5.7699669516278251E-2</v>
      </c>
      <c r="S31">
        <f>SUM(Table1[[#This Row],[Sales Volume (cases)]]+Table1[[#This Row],[Column11]]+Table1[[#This Row],[Column12]]+Table1[[#This Row],[Column13]]+Table1[[#This Row],[Column14]])</f>
        <v>39331</v>
      </c>
      <c r="T31" s="17">
        <f t="shared" si="0"/>
        <v>3</v>
      </c>
    </row>
    <row r="32" spans="1:20">
      <c r="A32" t="s">
        <v>51</v>
      </c>
      <c r="B32" t="s">
        <v>173</v>
      </c>
      <c r="C32" t="s">
        <v>111</v>
      </c>
      <c r="D32" t="s">
        <v>233</v>
      </c>
      <c r="E32" t="s">
        <v>253</v>
      </c>
      <c r="F32" t="s">
        <v>255</v>
      </c>
      <c r="G32" t="s">
        <v>255</v>
      </c>
      <c r="H32" t="s">
        <v>256</v>
      </c>
      <c r="I32" t="s">
        <v>256</v>
      </c>
      <c r="J32" t="s">
        <v>256</v>
      </c>
      <c r="K32" t="s">
        <v>256</v>
      </c>
      <c r="L32" t="s">
        <v>256</v>
      </c>
      <c r="M32">
        <v>8891</v>
      </c>
      <c r="N32">
        <v>5952</v>
      </c>
      <c r="O32">
        <v>5914</v>
      </c>
      <c r="P32">
        <v>5405</v>
      </c>
      <c r="Q32">
        <v>4031</v>
      </c>
      <c r="R32" s="8">
        <v>-0.14632524698028038</v>
      </c>
      <c r="S32">
        <f>SUM(Table1[[#This Row],[Sales Volume (cases)]]+Table1[[#This Row],[Column11]]+Table1[[#This Row],[Column12]]+Table1[[#This Row],[Column13]]+Table1[[#This Row],[Column14]])</f>
        <v>30193</v>
      </c>
      <c r="T32" s="17">
        <f t="shared" si="0"/>
        <v>2</v>
      </c>
    </row>
    <row r="33" spans="1:20">
      <c r="A33" t="s">
        <v>46</v>
      </c>
      <c r="B33" t="s">
        <v>168</v>
      </c>
      <c r="C33" t="s">
        <v>106</v>
      </c>
      <c r="D33" t="s">
        <v>228</v>
      </c>
      <c r="E33" t="s">
        <v>253</v>
      </c>
      <c r="F33" t="s">
        <v>255</v>
      </c>
      <c r="G33" t="s">
        <v>256</v>
      </c>
      <c r="H33" t="s">
        <v>256</v>
      </c>
      <c r="I33" t="s">
        <v>256</v>
      </c>
      <c r="J33" t="s">
        <v>256</v>
      </c>
      <c r="K33" t="s">
        <v>255</v>
      </c>
      <c r="L33" t="s">
        <v>255</v>
      </c>
      <c r="M33">
        <v>7703</v>
      </c>
      <c r="N33">
        <v>6957</v>
      </c>
      <c r="O33">
        <v>3898</v>
      </c>
      <c r="P33">
        <v>1857</v>
      </c>
      <c r="Q33">
        <v>1512</v>
      </c>
      <c r="R33" s="8">
        <v>-0.27793153457210906</v>
      </c>
      <c r="S33">
        <f>SUM(Table1[[#This Row],[Sales Volume (cases)]]+Table1[[#This Row],[Column11]]+Table1[[#This Row],[Column12]]+Table1[[#This Row],[Column13]]+Table1[[#This Row],[Column14]])</f>
        <v>21927</v>
      </c>
      <c r="T33" s="17">
        <f t="shared" si="0"/>
        <v>1</v>
      </c>
    </row>
    <row r="34" spans="1:20">
      <c r="A34" t="s">
        <v>49</v>
      </c>
      <c r="B34" t="s">
        <v>171</v>
      </c>
      <c r="C34" t="s">
        <v>109</v>
      </c>
      <c r="D34" t="s">
        <v>231</v>
      </c>
      <c r="E34" t="s">
        <v>253</v>
      </c>
      <c r="F34" t="s">
        <v>255</v>
      </c>
      <c r="G34" t="s">
        <v>256</v>
      </c>
      <c r="H34" t="s">
        <v>256</v>
      </c>
      <c r="I34" t="s">
        <v>256</v>
      </c>
      <c r="J34" t="s">
        <v>256</v>
      </c>
      <c r="K34" t="s">
        <v>255</v>
      </c>
      <c r="L34" t="s">
        <v>255</v>
      </c>
      <c r="M34">
        <v>7840</v>
      </c>
      <c r="N34">
        <v>5804</v>
      </c>
      <c r="O34">
        <v>4259</v>
      </c>
      <c r="P34">
        <v>4243</v>
      </c>
      <c r="Q34">
        <v>907</v>
      </c>
      <c r="R34" s="8">
        <v>-0.35038170863775375</v>
      </c>
      <c r="S34">
        <f>SUM(Table1[[#This Row],[Sales Volume (cases)]]+Table1[[#This Row],[Column11]]+Table1[[#This Row],[Column12]]+Table1[[#This Row],[Column13]]+Table1[[#This Row],[Column14]])</f>
        <v>23053</v>
      </c>
      <c r="T34" s="17">
        <f t="shared" si="0"/>
        <v>1</v>
      </c>
    </row>
    <row r="35" spans="1:20">
      <c r="A35" t="s">
        <v>64</v>
      </c>
      <c r="B35" t="s">
        <v>186</v>
      </c>
      <c r="C35" t="s">
        <v>124</v>
      </c>
      <c r="D35" t="s">
        <v>246</v>
      </c>
      <c r="E35" t="s">
        <v>254</v>
      </c>
      <c r="F35" t="s">
        <v>255</v>
      </c>
      <c r="G35" t="s">
        <v>255</v>
      </c>
      <c r="H35" t="s">
        <v>255</v>
      </c>
      <c r="I35" t="s">
        <v>255</v>
      </c>
      <c r="J35" t="s">
        <v>256</v>
      </c>
      <c r="K35" t="s">
        <v>256</v>
      </c>
      <c r="L35" t="s">
        <v>256</v>
      </c>
      <c r="M35">
        <v>128</v>
      </c>
      <c r="N35">
        <v>416</v>
      </c>
      <c r="O35">
        <v>747</v>
      </c>
      <c r="P35">
        <v>1028</v>
      </c>
      <c r="Q35">
        <v>6357</v>
      </c>
      <c r="R35" s="8">
        <v>1.1837778083492312</v>
      </c>
      <c r="S35">
        <f>SUM(Table1[[#This Row],[Sales Volume (cases)]]+Table1[[#This Row],[Column11]]+Table1[[#This Row],[Column12]]+Table1[[#This Row],[Column13]]+Table1[[#This Row],[Column14]])</f>
        <v>8676</v>
      </c>
      <c r="T35" s="17">
        <f t="shared" si="0"/>
        <v>3</v>
      </c>
    </row>
    <row r="36" spans="1:20">
      <c r="A36" t="s">
        <v>55</v>
      </c>
      <c r="B36" t="s">
        <v>177</v>
      </c>
      <c r="C36" t="s">
        <v>115</v>
      </c>
      <c r="D36" t="s">
        <v>237</v>
      </c>
      <c r="E36" t="s">
        <v>254</v>
      </c>
      <c r="F36" t="s">
        <v>255</v>
      </c>
      <c r="G36" t="s">
        <v>255</v>
      </c>
      <c r="H36" t="s">
        <v>255</v>
      </c>
      <c r="I36" t="s">
        <v>255</v>
      </c>
      <c r="J36" t="s">
        <v>256</v>
      </c>
      <c r="K36" t="s">
        <v>255</v>
      </c>
      <c r="L36" t="s">
        <v>256</v>
      </c>
      <c r="M36">
        <v>299</v>
      </c>
      <c r="N36">
        <v>657</v>
      </c>
      <c r="O36">
        <v>6238</v>
      </c>
      <c r="P36">
        <v>8922</v>
      </c>
      <c r="Q36">
        <v>9081</v>
      </c>
      <c r="R36" s="8">
        <v>0.9792128296192284</v>
      </c>
      <c r="S36">
        <f>SUM(Table1[[#This Row],[Sales Volume (cases)]]+Table1[[#This Row],[Column11]]+Table1[[#This Row],[Column12]]+Table1[[#This Row],[Column13]]+Table1[[#This Row],[Column14]])</f>
        <v>25197</v>
      </c>
      <c r="T36" s="17">
        <f t="shared" si="0"/>
        <v>3</v>
      </c>
    </row>
    <row r="37" spans="1:20">
      <c r="A37" t="s">
        <v>58</v>
      </c>
      <c r="B37" t="s">
        <v>180</v>
      </c>
      <c r="C37" t="s">
        <v>118</v>
      </c>
      <c r="D37" t="s">
        <v>240</v>
      </c>
      <c r="E37" t="s">
        <v>254</v>
      </c>
      <c r="F37" t="s">
        <v>255</v>
      </c>
      <c r="G37" t="s">
        <v>255</v>
      </c>
      <c r="H37" t="s">
        <v>255</v>
      </c>
      <c r="I37" t="s">
        <v>256</v>
      </c>
      <c r="J37" t="s">
        <v>256</v>
      </c>
      <c r="K37" t="s">
        <v>255</v>
      </c>
      <c r="L37" t="s">
        <v>256</v>
      </c>
      <c r="M37">
        <v>870</v>
      </c>
      <c r="N37">
        <v>2428</v>
      </c>
      <c r="O37">
        <v>7386</v>
      </c>
      <c r="P37">
        <v>8835</v>
      </c>
      <c r="Q37">
        <v>9766</v>
      </c>
      <c r="R37" s="8">
        <v>0.62195758671656565</v>
      </c>
      <c r="S37">
        <f>SUM(Table1[[#This Row],[Sales Volume (cases)]]+Table1[[#This Row],[Column11]]+Table1[[#This Row],[Column12]]+Table1[[#This Row],[Column13]]+Table1[[#This Row],[Column14]])</f>
        <v>29285</v>
      </c>
      <c r="T37" s="17">
        <f t="shared" si="0"/>
        <v>3</v>
      </c>
    </row>
    <row r="38" spans="1:20">
      <c r="A38" t="s">
        <v>63</v>
      </c>
      <c r="B38" t="s">
        <v>185</v>
      </c>
      <c r="C38" t="s">
        <v>123</v>
      </c>
      <c r="D38" t="s">
        <v>245</v>
      </c>
      <c r="E38" t="s">
        <v>254</v>
      </c>
      <c r="F38" t="s">
        <v>255</v>
      </c>
      <c r="G38" t="s">
        <v>256</v>
      </c>
      <c r="H38" t="s">
        <v>256</v>
      </c>
      <c r="I38" t="s">
        <v>256</v>
      </c>
      <c r="J38" t="s">
        <v>256</v>
      </c>
      <c r="K38" t="s">
        <v>255</v>
      </c>
      <c r="L38" t="s">
        <v>256</v>
      </c>
      <c r="M38">
        <v>576</v>
      </c>
      <c r="N38">
        <v>2628</v>
      </c>
      <c r="O38">
        <v>3612</v>
      </c>
      <c r="P38">
        <v>5066</v>
      </c>
      <c r="Q38">
        <v>5156</v>
      </c>
      <c r="R38" s="8">
        <v>0.55016556394106075</v>
      </c>
      <c r="S38">
        <f>SUM(Table1[[#This Row],[Sales Volume (cases)]]+Table1[[#This Row],[Column11]]+Table1[[#This Row],[Column12]]+Table1[[#This Row],[Column13]]+Table1[[#This Row],[Column14]])</f>
        <v>17038</v>
      </c>
      <c r="T38" s="17">
        <f t="shared" si="0"/>
        <v>1</v>
      </c>
    </row>
    <row r="39" spans="1:20">
      <c r="A39" t="s">
        <v>60</v>
      </c>
      <c r="B39" t="s">
        <v>182</v>
      </c>
      <c r="C39" t="s">
        <v>120</v>
      </c>
      <c r="D39" t="s">
        <v>242</v>
      </c>
      <c r="E39" t="s">
        <v>254</v>
      </c>
      <c r="F39" t="s">
        <v>255</v>
      </c>
      <c r="G39" t="s">
        <v>255</v>
      </c>
      <c r="H39" t="s">
        <v>255</v>
      </c>
      <c r="I39" t="s">
        <v>256</v>
      </c>
      <c r="J39" t="s">
        <v>256</v>
      </c>
      <c r="K39" t="s">
        <v>255</v>
      </c>
      <c r="L39" t="s">
        <v>256</v>
      </c>
      <c r="M39">
        <v>1082</v>
      </c>
      <c r="N39">
        <v>3353</v>
      </c>
      <c r="O39">
        <v>6351</v>
      </c>
      <c r="P39">
        <v>8550</v>
      </c>
      <c r="Q39">
        <v>9272</v>
      </c>
      <c r="R39" s="8">
        <v>0.53670049949440091</v>
      </c>
      <c r="S39">
        <f>SUM(Table1[[#This Row],[Sales Volume (cases)]]+Table1[[#This Row],[Column11]]+Table1[[#This Row],[Column12]]+Table1[[#This Row],[Column13]]+Table1[[#This Row],[Column14]])</f>
        <v>28608</v>
      </c>
      <c r="T39" s="17">
        <f t="shared" si="0"/>
        <v>3</v>
      </c>
    </row>
    <row r="40" spans="1:20">
      <c r="A40" t="s">
        <v>66</v>
      </c>
      <c r="B40" t="s">
        <v>188</v>
      </c>
      <c r="C40" t="s">
        <v>126</v>
      </c>
      <c r="D40" t="s">
        <v>248</v>
      </c>
      <c r="E40" t="s">
        <v>254</v>
      </c>
      <c r="F40" t="s">
        <v>255</v>
      </c>
      <c r="G40" t="s">
        <v>255</v>
      </c>
      <c r="H40" t="s">
        <v>255</v>
      </c>
      <c r="I40" t="s">
        <v>256</v>
      </c>
      <c r="J40" t="s">
        <v>256</v>
      </c>
      <c r="K40" t="s">
        <v>256</v>
      </c>
      <c r="L40" t="s">
        <v>256</v>
      </c>
      <c r="M40">
        <v>1263</v>
      </c>
      <c r="N40">
        <v>2517</v>
      </c>
      <c r="O40">
        <v>8042</v>
      </c>
      <c r="P40">
        <v>8222</v>
      </c>
      <c r="Q40">
        <v>9686</v>
      </c>
      <c r="R40" s="8">
        <v>0.50296277017670943</v>
      </c>
      <c r="S40">
        <f>SUM(Table1[[#This Row],[Sales Volume (cases)]]+Table1[[#This Row],[Column11]]+Table1[[#This Row],[Column12]]+Table1[[#This Row],[Column13]]+Table1[[#This Row],[Column14]])</f>
        <v>29730</v>
      </c>
      <c r="T40" s="17">
        <f t="shared" si="0"/>
        <v>3</v>
      </c>
    </row>
    <row r="41" spans="1:20">
      <c r="A41" t="s">
        <v>68</v>
      </c>
      <c r="B41" t="s">
        <v>190</v>
      </c>
      <c r="C41" t="s">
        <v>128</v>
      </c>
      <c r="D41" t="s">
        <v>250</v>
      </c>
      <c r="E41" t="s">
        <v>254</v>
      </c>
      <c r="F41" t="s">
        <v>255</v>
      </c>
      <c r="G41" t="s">
        <v>255</v>
      </c>
      <c r="H41" t="s">
        <v>255</v>
      </c>
      <c r="I41" t="s">
        <v>256</v>
      </c>
      <c r="J41" t="s">
        <v>256</v>
      </c>
      <c r="K41" t="s">
        <v>256</v>
      </c>
      <c r="L41" t="s">
        <v>256</v>
      </c>
      <c r="M41">
        <v>1014</v>
      </c>
      <c r="N41">
        <v>2254</v>
      </c>
      <c r="O41">
        <v>4534</v>
      </c>
      <c r="P41">
        <v>6796</v>
      </c>
      <c r="Q41">
        <v>7730</v>
      </c>
      <c r="R41" s="8">
        <v>0.50116457691279459</v>
      </c>
      <c r="S41">
        <f>SUM(Table1[[#This Row],[Sales Volume (cases)]]+Table1[[#This Row],[Column11]]+Table1[[#This Row],[Column12]]+Table1[[#This Row],[Column13]]+Table1[[#This Row],[Column14]])</f>
        <v>22328</v>
      </c>
      <c r="T41" s="17">
        <f t="shared" si="0"/>
        <v>3</v>
      </c>
    </row>
    <row r="42" spans="1:20">
      <c r="A42" t="s">
        <v>62</v>
      </c>
      <c r="B42" t="s">
        <v>184</v>
      </c>
      <c r="C42" t="s">
        <v>122</v>
      </c>
      <c r="D42" t="s">
        <v>244</v>
      </c>
      <c r="E42" t="s">
        <v>254</v>
      </c>
      <c r="F42" t="s">
        <v>255</v>
      </c>
      <c r="G42" t="s">
        <v>255</v>
      </c>
      <c r="H42" t="s">
        <v>255</v>
      </c>
      <c r="I42" t="s">
        <v>256</v>
      </c>
      <c r="J42" t="s">
        <v>256</v>
      </c>
      <c r="K42" t="s">
        <v>255</v>
      </c>
      <c r="L42" t="s">
        <v>256</v>
      </c>
      <c r="M42">
        <v>1357</v>
      </c>
      <c r="N42">
        <v>4189</v>
      </c>
      <c r="O42">
        <v>5407</v>
      </c>
      <c r="P42">
        <v>6233</v>
      </c>
      <c r="Q42">
        <v>9681</v>
      </c>
      <c r="R42" s="8">
        <v>0.48138544913845771</v>
      </c>
      <c r="S42">
        <f>SUM(Table1[[#This Row],[Sales Volume (cases)]]+Table1[[#This Row],[Column11]]+Table1[[#This Row],[Column12]]+Table1[[#This Row],[Column13]]+Table1[[#This Row],[Column14]])</f>
        <v>26867</v>
      </c>
      <c r="T42" s="17">
        <f t="shared" si="0"/>
        <v>3</v>
      </c>
    </row>
    <row r="43" spans="1:20">
      <c r="A43" t="s">
        <v>59</v>
      </c>
      <c r="B43" t="s">
        <v>181</v>
      </c>
      <c r="C43" t="s">
        <v>119</v>
      </c>
      <c r="D43" t="s">
        <v>241</v>
      </c>
      <c r="E43" t="s">
        <v>254</v>
      </c>
      <c r="F43" t="s">
        <v>255</v>
      </c>
      <c r="G43" t="s">
        <v>255</v>
      </c>
      <c r="H43" t="s">
        <v>255</v>
      </c>
      <c r="I43" t="s">
        <v>256</v>
      </c>
      <c r="J43" t="s">
        <v>256</v>
      </c>
      <c r="K43" t="s">
        <v>255</v>
      </c>
      <c r="L43" t="s">
        <v>256</v>
      </c>
      <c r="M43">
        <v>1497</v>
      </c>
      <c r="N43">
        <v>1768</v>
      </c>
      <c r="O43">
        <v>2804</v>
      </c>
      <c r="P43">
        <v>5718</v>
      </c>
      <c r="Q43">
        <v>9822</v>
      </c>
      <c r="R43" s="8">
        <v>0.45678555299281132</v>
      </c>
      <c r="S43">
        <f>SUM(Table1[[#This Row],[Sales Volume (cases)]]+Table1[[#This Row],[Column11]]+Table1[[#This Row],[Column12]]+Table1[[#This Row],[Column13]]+Table1[[#This Row],[Column14]])</f>
        <v>21609</v>
      </c>
      <c r="T43" s="17">
        <f t="shared" si="0"/>
        <v>3</v>
      </c>
    </row>
    <row r="44" spans="1:20">
      <c r="A44" t="s">
        <v>67</v>
      </c>
      <c r="B44" t="s">
        <v>189</v>
      </c>
      <c r="C44" t="s">
        <v>127</v>
      </c>
      <c r="D44" t="s">
        <v>249</v>
      </c>
      <c r="E44" t="s">
        <v>254</v>
      </c>
      <c r="F44" t="s">
        <v>255</v>
      </c>
      <c r="G44" t="s">
        <v>255</v>
      </c>
      <c r="H44" t="s">
        <v>255</v>
      </c>
      <c r="I44" t="s">
        <v>256</v>
      </c>
      <c r="J44" t="s">
        <v>256</v>
      </c>
      <c r="K44" t="s">
        <v>256</v>
      </c>
      <c r="L44" t="s">
        <v>256</v>
      </c>
      <c r="M44">
        <v>1032</v>
      </c>
      <c r="N44">
        <v>3919</v>
      </c>
      <c r="O44">
        <v>4466</v>
      </c>
      <c r="P44">
        <v>5568</v>
      </c>
      <c r="Q44">
        <v>6476</v>
      </c>
      <c r="R44" s="8">
        <v>0.44386114193401105</v>
      </c>
      <c r="S44">
        <f>SUM(Table1[[#This Row],[Sales Volume (cases)]]+Table1[[#This Row],[Column11]]+Table1[[#This Row],[Column12]]+Table1[[#This Row],[Column13]]+Table1[[#This Row],[Column14]])</f>
        <v>21461</v>
      </c>
      <c r="T44" s="17">
        <f t="shared" si="0"/>
        <v>3</v>
      </c>
    </row>
    <row r="45" spans="1:20">
      <c r="A45" t="s">
        <v>56</v>
      </c>
      <c r="B45" t="s">
        <v>178</v>
      </c>
      <c r="C45" t="s">
        <v>116</v>
      </c>
      <c r="D45" t="s">
        <v>238</v>
      </c>
      <c r="E45" t="s">
        <v>254</v>
      </c>
      <c r="F45" t="s">
        <v>255</v>
      </c>
      <c r="G45" t="s">
        <v>255</v>
      </c>
      <c r="H45" t="s">
        <v>255</v>
      </c>
      <c r="I45" t="s">
        <v>256</v>
      </c>
      <c r="J45" t="s">
        <v>256</v>
      </c>
      <c r="K45" t="s">
        <v>255</v>
      </c>
      <c r="L45" t="s">
        <v>256</v>
      </c>
      <c r="M45">
        <v>1323</v>
      </c>
      <c r="N45">
        <v>4963</v>
      </c>
      <c r="O45">
        <v>6292</v>
      </c>
      <c r="P45">
        <v>6728</v>
      </c>
      <c r="Q45">
        <v>8202</v>
      </c>
      <c r="R45" s="8">
        <v>0.44036309105086757</v>
      </c>
      <c r="S45">
        <f>SUM(Table1[[#This Row],[Sales Volume (cases)]]+Table1[[#This Row],[Column11]]+Table1[[#This Row],[Column12]]+Table1[[#This Row],[Column13]]+Table1[[#This Row],[Column14]])</f>
        <v>27508</v>
      </c>
      <c r="T45" s="17">
        <f t="shared" si="0"/>
        <v>3</v>
      </c>
    </row>
    <row r="46" spans="1:20">
      <c r="A46" t="s">
        <v>61</v>
      </c>
      <c r="B46" t="s">
        <v>183</v>
      </c>
      <c r="C46" t="s">
        <v>121</v>
      </c>
      <c r="D46" t="s">
        <v>243</v>
      </c>
      <c r="E46" t="s">
        <v>254</v>
      </c>
      <c r="F46" t="s">
        <v>255</v>
      </c>
      <c r="G46" t="s">
        <v>255</v>
      </c>
      <c r="H46" t="s">
        <v>256</v>
      </c>
      <c r="I46" t="s">
        <v>256</v>
      </c>
      <c r="J46" t="s">
        <v>256</v>
      </c>
      <c r="K46" t="s">
        <v>255</v>
      </c>
      <c r="L46" t="s">
        <v>256</v>
      </c>
      <c r="M46">
        <v>9791</v>
      </c>
      <c r="N46">
        <v>9610</v>
      </c>
      <c r="O46">
        <v>7534</v>
      </c>
      <c r="P46">
        <v>5080</v>
      </c>
      <c r="Q46">
        <v>4936</v>
      </c>
      <c r="R46" s="8">
        <v>-0.12801378349095649</v>
      </c>
      <c r="S46">
        <f>SUM(Table1[[#This Row],[Sales Volume (cases)]]+Table1[[#This Row],[Column11]]+Table1[[#This Row],[Column12]]+Table1[[#This Row],[Column13]]+Table1[[#This Row],[Column14]])</f>
        <v>36951</v>
      </c>
      <c r="T46" s="17">
        <f t="shared" si="0"/>
        <v>2</v>
      </c>
    </row>
    <row r="47" spans="1:20">
      <c r="A47" t="s">
        <v>65</v>
      </c>
      <c r="B47" t="s">
        <v>187</v>
      </c>
      <c r="C47" t="s">
        <v>125</v>
      </c>
      <c r="D47" t="s">
        <v>247</v>
      </c>
      <c r="E47" t="s">
        <v>254</v>
      </c>
      <c r="F47" t="s">
        <v>255</v>
      </c>
      <c r="G47" t="s">
        <v>256</v>
      </c>
      <c r="H47" t="s">
        <v>256</v>
      </c>
      <c r="I47" t="s">
        <v>256</v>
      </c>
      <c r="J47" t="s">
        <v>256</v>
      </c>
      <c r="K47" t="s">
        <v>256</v>
      </c>
      <c r="L47" t="s">
        <v>256</v>
      </c>
      <c r="M47">
        <v>8034</v>
      </c>
      <c r="N47">
        <v>6541</v>
      </c>
      <c r="O47">
        <v>3311</v>
      </c>
      <c r="P47">
        <v>3254</v>
      </c>
      <c r="Q47">
        <v>2687</v>
      </c>
      <c r="R47" s="8">
        <v>-0.19671960466548288</v>
      </c>
      <c r="S47">
        <f>SUM(Table1[[#This Row],[Sales Volume (cases)]]+Table1[[#This Row],[Column11]]+Table1[[#This Row],[Column12]]+Table1[[#This Row],[Column13]]+Table1[[#This Row],[Column14]])</f>
        <v>23827</v>
      </c>
      <c r="T47" s="17">
        <f t="shared" si="0"/>
        <v>1</v>
      </c>
    </row>
    <row r="48" spans="1:20">
      <c r="A48" t="s">
        <v>57</v>
      </c>
      <c r="B48" t="s">
        <v>179</v>
      </c>
      <c r="C48" t="s">
        <v>117</v>
      </c>
      <c r="D48" t="s">
        <v>239</v>
      </c>
      <c r="E48" t="s">
        <v>254</v>
      </c>
      <c r="F48" t="s">
        <v>255</v>
      </c>
      <c r="G48" t="s">
        <v>256</v>
      </c>
      <c r="H48" t="s">
        <v>256</v>
      </c>
      <c r="I48" t="s">
        <v>256</v>
      </c>
      <c r="J48" t="s">
        <v>256</v>
      </c>
      <c r="K48" t="s">
        <v>255</v>
      </c>
      <c r="L48" t="s">
        <v>256</v>
      </c>
      <c r="M48">
        <v>8466</v>
      </c>
      <c r="N48">
        <v>4079</v>
      </c>
      <c r="O48">
        <v>2797</v>
      </c>
      <c r="P48">
        <v>2245</v>
      </c>
      <c r="Q48">
        <v>1696</v>
      </c>
      <c r="R48" s="8">
        <v>-0.27498078493866884</v>
      </c>
      <c r="S48">
        <f>SUM(Table1[[#This Row],[Sales Volume (cases)]]+Table1[[#This Row],[Column11]]+Table1[[#This Row],[Column12]]+Table1[[#This Row],[Column13]]+Table1[[#This Row],[Column14]])</f>
        <v>19283</v>
      </c>
      <c r="T48" s="17">
        <f t="shared" si="0"/>
        <v>1</v>
      </c>
    </row>
    <row r="49" spans="1:20">
      <c r="A49" t="s">
        <v>54</v>
      </c>
      <c r="B49" t="s">
        <v>176</v>
      </c>
      <c r="C49" t="s">
        <v>114</v>
      </c>
      <c r="D49" t="s">
        <v>236</v>
      </c>
      <c r="E49" t="s">
        <v>254</v>
      </c>
      <c r="F49" t="s">
        <v>255</v>
      </c>
      <c r="G49" t="s">
        <v>256</v>
      </c>
      <c r="H49" t="s">
        <v>256</v>
      </c>
      <c r="I49" t="s">
        <v>256</v>
      </c>
      <c r="J49" t="s">
        <v>256</v>
      </c>
      <c r="K49" t="s">
        <v>255</v>
      </c>
      <c r="L49" t="s">
        <v>256</v>
      </c>
      <c r="M49">
        <v>8156</v>
      </c>
      <c r="N49">
        <v>1245</v>
      </c>
      <c r="O49">
        <v>791</v>
      </c>
      <c r="P49">
        <v>338</v>
      </c>
      <c r="Q49">
        <v>44</v>
      </c>
      <c r="R49" s="8">
        <v>-0.64811958793334279</v>
      </c>
      <c r="S49">
        <f>SUM(Table1[[#This Row],[Sales Volume (cases)]]+Table1[[#This Row],[Column11]]+Table1[[#This Row],[Column12]]+Table1[[#This Row],[Column13]]+Table1[[#This Row],[Column14]])</f>
        <v>10574</v>
      </c>
      <c r="T49" s="17">
        <f t="shared" si="0"/>
        <v>1</v>
      </c>
    </row>
    <row r="50" spans="1:20">
      <c r="A50" t="s">
        <v>28</v>
      </c>
      <c r="B50" t="s">
        <v>150</v>
      </c>
      <c r="C50" t="s">
        <v>88</v>
      </c>
      <c r="D50" t="s">
        <v>210</v>
      </c>
      <c r="E50" t="s">
        <v>252</v>
      </c>
      <c r="F50" t="s">
        <v>255</v>
      </c>
      <c r="G50" t="s">
        <v>255</v>
      </c>
      <c r="H50" t="s">
        <v>256</v>
      </c>
      <c r="I50" t="s">
        <v>255</v>
      </c>
      <c r="J50" t="s">
        <v>256</v>
      </c>
      <c r="K50" t="s">
        <v>255</v>
      </c>
      <c r="L50" t="s">
        <v>256</v>
      </c>
      <c r="M50">
        <v>73</v>
      </c>
      <c r="N50">
        <v>3485</v>
      </c>
      <c r="O50">
        <v>4592</v>
      </c>
      <c r="P50">
        <v>5143</v>
      </c>
      <c r="Q50">
        <v>8100</v>
      </c>
      <c r="R50" s="8">
        <v>1.5646755513040227</v>
      </c>
      <c r="S50">
        <f>SUM(Table1[[#This Row],[Sales Volume (cases)]]+Table1[[#This Row],[Column11]]+Table1[[#This Row],[Column12]]+Table1[[#This Row],[Column13]]+Table1[[#This Row],[Column14]])</f>
        <v>21393</v>
      </c>
      <c r="T50" s="17">
        <f t="shared" si="0"/>
        <v>2</v>
      </c>
    </row>
    <row r="51" spans="1:20">
      <c r="A51" t="s">
        <v>35</v>
      </c>
      <c r="B51" t="s">
        <v>157</v>
      </c>
      <c r="C51" t="s">
        <v>95</v>
      </c>
      <c r="D51" t="s">
        <v>217</v>
      </c>
      <c r="E51" t="s">
        <v>252</v>
      </c>
      <c r="F51" t="s">
        <v>255</v>
      </c>
      <c r="G51" t="s">
        <v>255</v>
      </c>
      <c r="H51" t="s">
        <v>256</v>
      </c>
      <c r="I51" t="s">
        <v>255</v>
      </c>
      <c r="J51" t="s">
        <v>255</v>
      </c>
      <c r="K51" t="s">
        <v>255</v>
      </c>
      <c r="L51" t="s">
        <v>256</v>
      </c>
      <c r="M51">
        <v>209</v>
      </c>
      <c r="N51">
        <v>621</v>
      </c>
      <c r="O51">
        <v>3098</v>
      </c>
      <c r="P51">
        <v>7118</v>
      </c>
      <c r="Q51">
        <v>8433</v>
      </c>
      <c r="R51" s="8">
        <v>1.0949186488492955</v>
      </c>
      <c r="S51">
        <f>SUM(Table1[[#This Row],[Sales Volume (cases)]]+Table1[[#This Row],[Column11]]+Table1[[#This Row],[Column12]]+Table1[[#This Row],[Column13]]+Table1[[#This Row],[Column14]])</f>
        <v>19479</v>
      </c>
      <c r="T51" s="17">
        <f t="shared" si="0"/>
        <v>2</v>
      </c>
    </row>
    <row r="52" spans="1:20">
      <c r="A52" t="s">
        <v>29</v>
      </c>
      <c r="B52" t="s">
        <v>151</v>
      </c>
      <c r="C52" t="s">
        <v>89</v>
      </c>
      <c r="D52" t="s">
        <v>211</v>
      </c>
      <c r="E52" t="s">
        <v>252</v>
      </c>
      <c r="F52" t="s">
        <v>255</v>
      </c>
      <c r="G52" t="s">
        <v>255</v>
      </c>
      <c r="H52" t="s">
        <v>256</v>
      </c>
      <c r="I52" t="s">
        <v>255</v>
      </c>
      <c r="J52" t="s">
        <v>256</v>
      </c>
      <c r="K52" t="s">
        <v>255</v>
      </c>
      <c r="L52" t="s">
        <v>256</v>
      </c>
      <c r="M52">
        <v>238</v>
      </c>
      <c r="N52">
        <v>1235</v>
      </c>
      <c r="O52">
        <v>1822</v>
      </c>
      <c r="P52">
        <v>7074</v>
      </c>
      <c r="Q52">
        <v>8207</v>
      </c>
      <c r="R52" s="8">
        <v>1.0301189974956895</v>
      </c>
      <c r="S52">
        <f>SUM(Table1[[#This Row],[Sales Volume (cases)]]+Table1[[#This Row],[Column11]]+Table1[[#This Row],[Column12]]+Table1[[#This Row],[Column13]]+Table1[[#This Row],[Column14]])</f>
        <v>18576</v>
      </c>
      <c r="T52" s="17">
        <f t="shared" si="0"/>
        <v>2</v>
      </c>
    </row>
    <row r="53" spans="1:20">
      <c r="A53" t="s">
        <v>33</v>
      </c>
      <c r="B53" t="s">
        <v>155</v>
      </c>
      <c r="C53" t="s">
        <v>93</v>
      </c>
      <c r="D53" t="s">
        <v>215</v>
      </c>
      <c r="E53" t="s">
        <v>252</v>
      </c>
      <c r="F53" t="s">
        <v>255</v>
      </c>
      <c r="G53" t="s">
        <v>255</v>
      </c>
      <c r="H53" t="s">
        <v>256</v>
      </c>
      <c r="I53" t="s">
        <v>255</v>
      </c>
      <c r="J53" t="s">
        <v>255</v>
      </c>
      <c r="K53" t="s">
        <v>255</v>
      </c>
      <c r="L53" t="s">
        <v>256</v>
      </c>
      <c r="M53">
        <v>570</v>
      </c>
      <c r="N53">
        <v>1322</v>
      </c>
      <c r="O53">
        <v>7279</v>
      </c>
      <c r="P53">
        <v>8443</v>
      </c>
      <c r="Q53">
        <v>9571</v>
      </c>
      <c r="R53" s="8">
        <v>0.7579903714787859</v>
      </c>
      <c r="S53">
        <f>SUM(Table1[[#This Row],[Sales Volume (cases)]]+Table1[[#This Row],[Column11]]+Table1[[#This Row],[Column12]]+Table1[[#This Row],[Column13]]+Table1[[#This Row],[Column14]])</f>
        <v>27185</v>
      </c>
      <c r="T53" s="17">
        <f t="shared" si="0"/>
        <v>2</v>
      </c>
    </row>
    <row r="54" spans="1:20">
      <c r="A54" t="s">
        <v>26</v>
      </c>
      <c r="B54" t="s">
        <v>148</v>
      </c>
      <c r="C54" t="s">
        <v>86</v>
      </c>
      <c r="D54" t="s">
        <v>208</v>
      </c>
      <c r="E54" t="s">
        <v>252</v>
      </c>
      <c r="F54" t="s">
        <v>255</v>
      </c>
      <c r="G54" t="s">
        <v>255</v>
      </c>
      <c r="H54" t="s">
        <v>256</v>
      </c>
      <c r="I54" t="s">
        <v>255</v>
      </c>
      <c r="J54" t="s">
        <v>256</v>
      </c>
      <c r="K54" t="s">
        <v>255</v>
      </c>
      <c r="L54" t="s">
        <v>256</v>
      </c>
      <c r="M54">
        <v>700</v>
      </c>
      <c r="N54">
        <v>5721</v>
      </c>
      <c r="O54">
        <v>6247</v>
      </c>
      <c r="P54">
        <v>8495</v>
      </c>
      <c r="Q54">
        <v>9236</v>
      </c>
      <c r="R54" s="8">
        <v>0.67524055030166985</v>
      </c>
      <c r="S54">
        <f>SUM(Table1[[#This Row],[Sales Volume (cases)]]+Table1[[#This Row],[Column11]]+Table1[[#This Row],[Column12]]+Table1[[#This Row],[Column13]]+Table1[[#This Row],[Column14]])</f>
        <v>30399</v>
      </c>
      <c r="T54" s="17">
        <f t="shared" si="0"/>
        <v>2</v>
      </c>
    </row>
    <row r="55" spans="1:20">
      <c r="A55" t="s">
        <v>37</v>
      </c>
      <c r="B55" t="s">
        <v>159</v>
      </c>
      <c r="C55" t="s">
        <v>97</v>
      </c>
      <c r="D55" t="s">
        <v>219</v>
      </c>
      <c r="E55" t="s">
        <v>252</v>
      </c>
      <c r="F55" t="s">
        <v>255</v>
      </c>
      <c r="G55" t="s">
        <v>255</v>
      </c>
      <c r="H55" t="s">
        <v>256</v>
      </c>
      <c r="I55" t="s">
        <v>255</v>
      </c>
      <c r="J55" t="s">
        <v>256</v>
      </c>
      <c r="K55" t="s">
        <v>255</v>
      </c>
      <c r="L55" t="s">
        <v>256</v>
      </c>
      <c r="M55">
        <v>712</v>
      </c>
      <c r="N55">
        <v>4182</v>
      </c>
      <c r="O55">
        <v>6087</v>
      </c>
      <c r="P55">
        <v>7494</v>
      </c>
      <c r="Q55">
        <v>8599</v>
      </c>
      <c r="R55" s="8">
        <v>0.64586265484059613</v>
      </c>
      <c r="S55">
        <f>SUM(Table1[[#This Row],[Sales Volume (cases)]]+Table1[[#This Row],[Column11]]+Table1[[#This Row],[Column12]]+Table1[[#This Row],[Column13]]+Table1[[#This Row],[Column14]])</f>
        <v>27074</v>
      </c>
      <c r="T55" s="17">
        <f t="shared" si="0"/>
        <v>2</v>
      </c>
    </row>
    <row r="56" spans="1:20">
      <c r="A56" t="s">
        <v>30</v>
      </c>
      <c r="B56" t="s">
        <v>152</v>
      </c>
      <c r="C56" t="s">
        <v>90</v>
      </c>
      <c r="D56" t="s">
        <v>212</v>
      </c>
      <c r="E56" t="s">
        <v>252</v>
      </c>
      <c r="F56" t="s">
        <v>255</v>
      </c>
      <c r="G56" t="s">
        <v>255</v>
      </c>
      <c r="H56" t="s">
        <v>256</v>
      </c>
      <c r="I56" t="s">
        <v>255</v>
      </c>
      <c r="J56" t="s">
        <v>256</v>
      </c>
      <c r="K56" t="s">
        <v>255</v>
      </c>
      <c r="L56" t="s">
        <v>256</v>
      </c>
      <c r="M56">
        <v>1368</v>
      </c>
      <c r="N56">
        <v>3447</v>
      </c>
      <c r="O56">
        <v>4535</v>
      </c>
      <c r="P56">
        <v>5476</v>
      </c>
      <c r="Q56">
        <v>9983</v>
      </c>
      <c r="R56" s="8">
        <v>0.48810986163702852</v>
      </c>
      <c r="S56">
        <f>SUM(Table1[[#This Row],[Sales Volume (cases)]]+Table1[[#This Row],[Column11]]+Table1[[#This Row],[Column12]]+Table1[[#This Row],[Column13]]+Table1[[#This Row],[Column14]])</f>
        <v>24809</v>
      </c>
      <c r="T56" s="17">
        <f t="shared" si="0"/>
        <v>2</v>
      </c>
    </row>
    <row r="57" spans="1:20">
      <c r="A57" t="s">
        <v>32</v>
      </c>
      <c r="B57" t="s">
        <v>154</v>
      </c>
      <c r="C57" t="s">
        <v>92</v>
      </c>
      <c r="D57" t="s">
        <v>214</v>
      </c>
      <c r="E57" t="s">
        <v>252</v>
      </c>
      <c r="F57" t="s">
        <v>255</v>
      </c>
      <c r="G57" t="s">
        <v>255</v>
      </c>
      <c r="H57" t="s">
        <v>256</v>
      </c>
      <c r="I57" t="s">
        <v>255</v>
      </c>
      <c r="J57" t="s">
        <v>255</v>
      </c>
      <c r="K57" t="s">
        <v>255</v>
      </c>
      <c r="L57" t="s">
        <v>256</v>
      </c>
      <c r="M57">
        <v>1779</v>
      </c>
      <c r="N57">
        <v>2124</v>
      </c>
      <c r="O57">
        <v>2844</v>
      </c>
      <c r="P57">
        <v>6877</v>
      </c>
      <c r="Q57">
        <v>9570</v>
      </c>
      <c r="R57" s="8">
        <v>0.40006177319181924</v>
      </c>
      <c r="S57">
        <f>SUM(Table1[[#This Row],[Sales Volume (cases)]]+Table1[[#This Row],[Column11]]+Table1[[#This Row],[Column12]]+Table1[[#This Row],[Column13]]+Table1[[#This Row],[Column14]])</f>
        <v>23194</v>
      </c>
      <c r="T57" s="17">
        <f t="shared" si="0"/>
        <v>2</v>
      </c>
    </row>
    <row r="58" spans="1:20">
      <c r="A58" t="s">
        <v>24</v>
      </c>
      <c r="B58" t="s">
        <v>146</v>
      </c>
      <c r="C58" t="s">
        <v>84</v>
      </c>
      <c r="D58" t="s">
        <v>206</v>
      </c>
      <c r="E58" t="s">
        <v>252</v>
      </c>
      <c r="F58" t="s">
        <v>255</v>
      </c>
      <c r="G58" t="s">
        <v>255</v>
      </c>
      <c r="H58" t="s">
        <v>256</v>
      </c>
      <c r="I58" t="s">
        <v>256</v>
      </c>
      <c r="J58" t="s">
        <v>256</v>
      </c>
      <c r="K58" t="s">
        <v>256</v>
      </c>
      <c r="L58" t="s">
        <v>256</v>
      </c>
      <c r="M58">
        <v>3501</v>
      </c>
      <c r="N58">
        <v>7079</v>
      </c>
      <c r="O58">
        <v>7438</v>
      </c>
      <c r="P58">
        <v>7443</v>
      </c>
      <c r="Q58">
        <v>9225</v>
      </c>
      <c r="R58" s="8">
        <v>0.2138215756945514</v>
      </c>
      <c r="S58">
        <f>SUM(Table1[[#This Row],[Sales Volume (cases)]]+Table1[[#This Row],[Column11]]+Table1[[#This Row],[Column12]]+Table1[[#This Row],[Column13]]+Table1[[#This Row],[Column14]])</f>
        <v>34686</v>
      </c>
      <c r="T58" s="17">
        <f t="shared" si="0"/>
        <v>2</v>
      </c>
    </row>
    <row r="59" spans="1:20">
      <c r="A59" t="s">
        <v>38</v>
      </c>
      <c r="B59" t="s">
        <v>160</v>
      </c>
      <c r="C59" t="s">
        <v>98</v>
      </c>
      <c r="D59" t="s">
        <v>220</v>
      </c>
      <c r="E59" t="s">
        <v>252</v>
      </c>
      <c r="F59" t="s">
        <v>255</v>
      </c>
      <c r="G59" t="s">
        <v>255</v>
      </c>
      <c r="H59" t="s">
        <v>256</v>
      </c>
      <c r="I59" t="s">
        <v>256</v>
      </c>
      <c r="J59" t="s">
        <v>256</v>
      </c>
      <c r="K59" t="s">
        <v>256</v>
      </c>
      <c r="L59" t="s">
        <v>256</v>
      </c>
      <c r="M59">
        <v>2390</v>
      </c>
      <c r="N59">
        <v>2415</v>
      </c>
      <c r="O59">
        <v>3461</v>
      </c>
      <c r="P59">
        <v>3850</v>
      </c>
      <c r="Q59">
        <v>4657</v>
      </c>
      <c r="R59" s="8">
        <v>0.14272483850088946</v>
      </c>
      <c r="S59">
        <f>SUM(Table1[[#This Row],[Sales Volume (cases)]]+Table1[[#This Row],[Column11]]+Table1[[#This Row],[Column12]]+Table1[[#This Row],[Column13]]+Table1[[#This Row],[Column14]])</f>
        <v>16773</v>
      </c>
      <c r="T59" s="17">
        <f t="shared" si="0"/>
        <v>2</v>
      </c>
    </row>
    <row r="60" spans="1:20">
      <c r="A60" t="s">
        <v>25</v>
      </c>
      <c r="B60" t="s">
        <v>147</v>
      </c>
      <c r="C60" t="s">
        <v>85</v>
      </c>
      <c r="D60" t="s">
        <v>207</v>
      </c>
      <c r="E60" t="s">
        <v>252</v>
      </c>
      <c r="F60" t="s">
        <v>255</v>
      </c>
      <c r="G60" t="s">
        <v>255</v>
      </c>
      <c r="H60" t="s">
        <v>256</v>
      </c>
      <c r="I60" t="s">
        <v>256</v>
      </c>
      <c r="J60" t="s">
        <v>256</v>
      </c>
      <c r="K60" t="s">
        <v>256</v>
      </c>
      <c r="L60" t="s">
        <v>256</v>
      </c>
      <c r="M60">
        <v>3916</v>
      </c>
      <c r="N60">
        <v>4218</v>
      </c>
      <c r="O60">
        <v>5072</v>
      </c>
      <c r="P60">
        <v>5201</v>
      </c>
      <c r="Q60">
        <v>7588</v>
      </c>
      <c r="R60" s="8">
        <v>0.14145009299098632</v>
      </c>
      <c r="S60">
        <f>SUM(Table1[[#This Row],[Sales Volume (cases)]]+Table1[[#This Row],[Column11]]+Table1[[#This Row],[Column12]]+Table1[[#This Row],[Column13]]+Table1[[#This Row],[Column14]])</f>
        <v>25995</v>
      </c>
      <c r="T60" s="17">
        <f t="shared" si="0"/>
        <v>2</v>
      </c>
    </row>
    <row r="61" spans="1:20">
      <c r="A61" t="s">
        <v>36</v>
      </c>
      <c r="B61" t="s">
        <v>158</v>
      </c>
      <c r="C61" t="s">
        <v>96</v>
      </c>
      <c r="D61" t="s">
        <v>218</v>
      </c>
      <c r="E61" t="s">
        <v>252</v>
      </c>
      <c r="F61" t="s">
        <v>255</v>
      </c>
      <c r="G61" t="s">
        <v>255</v>
      </c>
      <c r="H61" t="s">
        <v>256</v>
      </c>
      <c r="I61" t="s">
        <v>256</v>
      </c>
      <c r="J61" t="s">
        <v>256</v>
      </c>
      <c r="K61" t="s">
        <v>256</v>
      </c>
      <c r="L61" t="s">
        <v>256</v>
      </c>
      <c r="M61">
        <v>6309</v>
      </c>
      <c r="N61">
        <v>6227</v>
      </c>
      <c r="O61">
        <v>5123</v>
      </c>
      <c r="P61">
        <v>4968</v>
      </c>
      <c r="Q61">
        <v>3857</v>
      </c>
      <c r="R61" s="8">
        <v>-9.372954427409963E-2</v>
      </c>
      <c r="S61">
        <f>SUM(Table1[[#This Row],[Sales Volume (cases)]]+Table1[[#This Row],[Column11]]+Table1[[#This Row],[Column12]]+Table1[[#This Row],[Column13]]+Table1[[#This Row],[Column14]])</f>
        <v>26484</v>
      </c>
      <c r="T61" s="17">
        <f t="shared" si="0"/>
        <v>2</v>
      </c>
    </row>
    <row r="62" spans="1:20">
      <c r="A62" t="s">
        <v>27</v>
      </c>
      <c r="B62" t="s">
        <v>149</v>
      </c>
      <c r="C62" t="s">
        <v>87</v>
      </c>
      <c r="D62" t="s">
        <v>209</v>
      </c>
      <c r="E62" t="s">
        <v>252</v>
      </c>
      <c r="F62" t="s">
        <v>255</v>
      </c>
      <c r="G62" t="s">
        <v>255</v>
      </c>
      <c r="H62" t="s">
        <v>256</v>
      </c>
      <c r="I62" t="s">
        <v>256</v>
      </c>
      <c r="J62" t="s">
        <v>256</v>
      </c>
      <c r="K62" t="s">
        <v>256</v>
      </c>
      <c r="L62" t="s">
        <v>256</v>
      </c>
      <c r="M62">
        <v>9773</v>
      </c>
      <c r="N62">
        <v>9179</v>
      </c>
      <c r="O62">
        <v>8390</v>
      </c>
      <c r="P62">
        <v>8256</v>
      </c>
      <c r="Q62">
        <v>3815</v>
      </c>
      <c r="R62" s="8">
        <v>-0.17149844341981002</v>
      </c>
      <c r="S62">
        <f>SUM(Table1[[#This Row],[Sales Volume (cases)]]+Table1[[#This Row],[Column11]]+Table1[[#This Row],[Column12]]+Table1[[#This Row],[Column13]]+Table1[[#This Row],[Column14]])</f>
        <v>39413</v>
      </c>
      <c r="T62" s="17">
        <f t="shared" si="0"/>
        <v>2</v>
      </c>
    </row>
    <row r="63" spans="1:20">
      <c r="A63" t="s">
        <v>34</v>
      </c>
      <c r="B63" t="s">
        <v>156</v>
      </c>
      <c r="C63" t="s">
        <v>94</v>
      </c>
      <c r="D63" t="s">
        <v>216</v>
      </c>
      <c r="E63" t="s">
        <v>252</v>
      </c>
      <c r="F63" t="s">
        <v>255</v>
      </c>
      <c r="G63" t="s">
        <v>256</v>
      </c>
      <c r="H63" t="s">
        <v>256</v>
      </c>
      <c r="I63" t="s">
        <v>256</v>
      </c>
      <c r="J63" t="s">
        <v>255</v>
      </c>
      <c r="K63" t="s">
        <v>256</v>
      </c>
      <c r="L63" t="s">
        <v>256</v>
      </c>
      <c r="M63">
        <v>6156</v>
      </c>
      <c r="N63">
        <v>6110</v>
      </c>
      <c r="O63">
        <v>5791</v>
      </c>
      <c r="P63">
        <v>1759</v>
      </c>
      <c r="Q63">
        <v>969</v>
      </c>
      <c r="R63" s="8">
        <v>-0.30911616212185844</v>
      </c>
      <c r="S63">
        <f>SUM(Table1[[#This Row],[Sales Volume (cases)]]+Table1[[#This Row],[Column11]]+Table1[[#This Row],[Column12]]+Table1[[#This Row],[Column13]]+Table1[[#This Row],[Column14]])</f>
        <v>20785</v>
      </c>
      <c r="T63" s="17">
        <f t="shared" si="0"/>
        <v>1</v>
      </c>
    </row>
    <row r="64" spans="1:20">
      <c r="A64" t="s">
        <v>31</v>
      </c>
      <c r="B64" t="s">
        <v>153</v>
      </c>
      <c r="C64" t="s">
        <v>91</v>
      </c>
      <c r="D64" t="s">
        <v>213</v>
      </c>
      <c r="E64" t="s">
        <v>252</v>
      </c>
      <c r="F64" t="s">
        <v>255</v>
      </c>
      <c r="G64" t="s">
        <v>256</v>
      </c>
      <c r="H64" t="s">
        <v>256</v>
      </c>
      <c r="I64" t="s">
        <v>256</v>
      </c>
      <c r="J64" t="s">
        <v>255</v>
      </c>
      <c r="K64" t="s">
        <v>256</v>
      </c>
      <c r="L64" t="s">
        <v>256</v>
      </c>
      <c r="M64">
        <v>8331</v>
      </c>
      <c r="N64">
        <v>7667</v>
      </c>
      <c r="O64">
        <v>5952</v>
      </c>
      <c r="P64">
        <v>1998</v>
      </c>
      <c r="Q64">
        <v>375</v>
      </c>
      <c r="R64" s="8">
        <v>-0.4621429981676064</v>
      </c>
      <c r="S64">
        <f>SUM(Table1[[#This Row],[Sales Volume (cases)]]+Table1[[#This Row],[Column11]]+Table1[[#This Row],[Column12]]+Table1[[#This Row],[Column13]]+Table1[[#This Row],[Column14]])</f>
        <v>24323</v>
      </c>
      <c r="T64" s="17">
        <f t="shared" si="0"/>
        <v>1</v>
      </c>
    </row>
  </sheetData>
  <sortState xmlns:xlrd2="http://schemas.microsoft.com/office/spreadsheetml/2017/richdata2" columnSort="1" ref="M64:Q64">
    <sortCondition ref="M64:Q64"/>
  </sortState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AFB6-A1E1-4DAE-94E5-7B4E24EBEBFE}">
  <dimension ref="A1:R18"/>
  <sheetViews>
    <sheetView workbookViewId="0">
      <selection activeCell="L4" sqref="L4"/>
    </sheetView>
  </sheetViews>
  <sheetFormatPr defaultRowHeight="14.4"/>
  <cols>
    <col min="7" max="7" width="11.5546875" bestFit="1" customWidth="1"/>
    <col min="11" max="11" width="11.5546875" bestFit="1" customWidth="1"/>
  </cols>
  <sheetData>
    <row r="1" spans="1:18">
      <c r="A1" s="19" t="s">
        <v>286</v>
      </c>
      <c r="B1" s="20"/>
      <c r="D1" s="19" t="s">
        <v>287</v>
      </c>
      <c r="E1" s="20"/>
      <c r="G1" s="20" t="s">
        <v>304</v>
      </c>
      <c r="H1" s="20"/>
      <c r="I1" s="20"/>
      <c r="J1" s="20"/>
      <c r="K1" s="20"/>
      <c r="L1" s="20"/>
      <c r="N1" s="19" t="s">
        <v>286</v>
      </c>
      <c r="O1" s="20"/>
      <c r="Q1" s="19" t="s">
        <v>287</v>
      </c>
      <c r="R1" s="20"/>
    </row>
    <row r="2" spans="1:18" ht="28.8">
      <c r="A2" s="12" t="s">
        <v>0</v>
      </c>
      <c r="B2" s="12" t="s">
        <v>285</v>
      </c>
      <c r="D2" s="12" t="s">
        <v>0</v>
      </c>
      <c r="E2" s="12" t="s">
        <v>285</v>
      </c>
      <c r="G2" s="12" t="s">
        <v>3</v>
      </c>
      <c r="H2" s="12" t="s">
        <v>278</v>
      </c>
      <c r="I2" s="12" t="s">
        <v>279</v>
      </c>
      <c r="J2" s="12" t="s">
        <v>280</v>
      </c>
      <c r="K2" s="12" t="s">
        <v>281</v>
      </c>
      <c r="L2" s="12" t="s">
        <v>282</v>
      </c>
      <c r="N2" s="12" t="s">
        <v>0</v>
      </c>
      <c r="O2" s="12" t="s">
        <v>285</v>
      </c>
      <c r="Q2" s="12" t="s">
        <v>0</v>
      </c>
      <c r="R2" s="12" t="s">
        <v>285</v>
      </c>
    </row>
    <row r="3" spans="1:18">
      <c r="A3" t="s">
        <v>21</v>
      </c>
      <c r="B3" s="8">
        <v>2.2416999999999998</v>
      </c>
      <c r="D3" t="s">
        <v>15</v>
      </c>
      <c r="E3" s="8">
        <v>-0.53049999999999997</v>
      </c>
      <c r="G3" s="13" t="s">
        <v>251</v>
      </c>
      <c r="H3" s="13">
        <f>SUMIFS(Sheet1!M5:M19, Sheet1!E5:E19, "Bar")</f>
        <v>51804</v>
      </c>
      <c r="I3" s="13">
        <f>SUMIFS(Sheet1!N5:N19,Sheet1!E5:E19,"Bar")</f>
        <v>60121</v>
      </c>
      <c r="J3" s="13">
        <f>SUMIFS(Sheet1!O5:O19,Sheet1!E5:E19,"Bar")</f>
        <v>60760</v>
      </c>
      <c r="K3" s="13">
        <f>SUMIFS(Sheet1!P5:P19,Sheet1!E5:E19,"Bar")</f>
        <v>75991</v>
      </c>
      <c r="L3" s="13">
        <f>SUMIFS(Sheet1!Q5:Q19,Sheet1!E5:E19,"Bar")</f>
        <v>94147</v>
      </c>
      <c r="N3" s="10" t="s">
        <v>21</v>
      </c>
      <c r="O3" s="14">
        <v>2.24172824739003</v>
      </c>
      <c r="Q3" s="11" t="s">
        <v>31</v>
      </c>
      <c r="R3" s="15">
        <v>-0.4621429981676064</v>
      </c>
    </row>
    <row r="4" spans="1:18">
      <c r="A4" t="s">
        <v>22</v>
      </c>
      <c r="B4" s="8">
        <v>0.60850000000000004</v>
      </c>
      <c r="D4" t="s">
        <v>23</v>
      </c>
      <c r="E4" s="8">
        <v>-0.4728</v>
      </c>
      <c r="G4" s="13" t="s">
        <v>252</v>
      </c>
      <c r="H4" s="13">
        <f>SUMIFS(Sheet1!M50:M64, Sheet1!E50:E64, "Restaurant")</f>
        <v>46025</v>
      </c>
      <c r="I4" s="13">
        <f>SUMIFS(Sheet1!N50:N64,Sheet1!E50:E64,"Restaurant")</f>
        <v>65032</v>
      </c>
      <c r="J4" s="13">
        <f>SUMIFS(Sheet1!O50:O64,Sheet1!E50:E64,"Restaurant")</f>
        <v>77731</v>
      </c>
      <c r="K4" s="13">
        <f>SUMIFS(Sheet1!P50:P64,Sheet1!E50:E64,"Restaurant")</f>
        <v>89595</v>
      </c>
      <c r="L4" s="13">
        <f>SUMIFS(Sheet1!Q50:Q64,Sheet1!E50:E64,"Restaurant")</f>
        <v>102185</v>
      </c>
      <c r="N4" s="11" t="s">
        <v>22</v>
      </c>
      <c r="O4" s="15">
        <v>0.60851341002213</v>
      </c>
      <c r="Q4" s="10" t="s">
        <v>34</v>
      </c>
      <c r="R4" s="14">
        <v>-0.30911616212185844</v>
      </c>
    </row>
    <row r="5" spans="1:18">
      <c r="A5" t="s">
        <v>299</v>
      </c>
      <c r="B5" s="8">
        <v>1.5647</v>
      </c>
      <c r="D5" t="s">
        <v>301</v>
      </c>
      <c r="E5" s="8">
        <v>-0.46210000000000001</v>
      </c>
      <c r="G5" s="13" t="s">
        <v>283</v>
      </c>
      <c r="H5" s="13">
        <f>SUMIFS(Sheet1!M20:M34,Sheet1!E20:E34,"Club")</f>
        <v>47259</v>
      </c>
      <c r="I5" s="13">
        <f>SUMIFS(Sheet1!N20:N34,Sheet1!E20:E34,"Club")</f>
        <v>67275</v>
      </c>
      <c r="J5" s="13">
        <f>SUMIFS(Sheet1!O20:O34,Sheet1!E20:E34,"Club")</f>
        <v>79646</v>
      </c>
      <c r="K5" s="13">
        <f>SUMIFS(Sheet1!P20:P34,Sheet1!E20:E34,"Club")</f>
        <v>102065</v>
      </c>
      <c r="L5" s="13">
        <f>SUMIFS(Sheet1!Q20:Q34,Sheet1!E20:E34,"Club")</f>
        <v>112270</v>
      </c>
      <c r="N5" s="10" t="s">
        <v>12</v>
      </c>
      <c r="O5" s="14">
        <v>0.59756403600546837</v>
      </c>
      <c r="Q5" s="11" t="s">
        <v>27</v>
      </c>
      <c r="R5" s="15">
        <v>-0.17149844341981002</v>
      </c>
    </row>
    <row r="6" spans="1:18">
      <c r="A6" t="s">
        <v>300</v>
      </c>
      <c r="B6" s="8">
        <v>1.0949</v>
      </c>
      <c r="D6" t="s">
        <v>302</v>
      </c>
      <c r="E6" s="8">
        <v>-0.30909999999999999</v>
      </c>
      <c r="G6" s="13" t="s">
        <v>254</v>
      </c>
      <c r="H6">
        <f>SUMIFS(Sheet1!M35:M49,Sheet1!E35:E49,"Hotel")</f>
        <v>44888</v>
      </c>
      <c r="I6">
        <f>SUMIFS(Sheet1!N35:N49,Sheet1!E35:E49,"Hotel")</f>
        <v>50567</v>
      </c>
      <c r="J6">
        <f>SUMIFS(Sheet1!O35:O49,Sheet1!E35:E49,"Hotel")</f>
        <v>70312</v>
      </c>
      <c r="K6">
        <f>SUMIFS(Sheet1!P35:P49,Sheet1!E35:E49,"Hotel")</f>
        <v>82583</v>
      </c>
      <c r="L6">
        <f>SUMIFS(Sheet1!Q35:Q49,Sheet1!E35:E49,"Hotel")</f>
        <v>100592</v>
      </c>
      <c r="N6" s="11" t="s">
        <v>11</v>
      </c>
      <c r="O6" s="15">
        <v>0.51871355792226703</v>
      </c>
      <c r="Q6" s="10" t="s">
        <v>36</v>
      </c>
      <c r="R6" s="14">
        <v>-9.372954427409963E-2</v>
      </c>
    </row>
    <row r="7" spans="1:18">
      <c r="A7" t="s">
        <v>40</v>
      </c>
      <c r="B7" s="8">
        <v>1.2882</v>
      </c>
      <c r="D7" t="s">
        <v>49</v>
      </c>
      <c r="E7" s="8">
        <v>-0.35039999999999999</v>
      </c>
      <c r="G7" s="13" t="s">
        <v>284</v>
      </c>
      <c r="H7">
        <f>SUM(H3+H4+H5+H6)</f>
        <v>189976</v>
      </c>
      <c r="I7">
        <f>SUM(I3+I4+I5+I6)</f>
        <v>242995</v>
      </c>
      <c r="J7">
        <f>SUM(J3+J4+J5+J6)</f>
        <v>288449</v>
      </c>
      <c r="K7">
        <f>SUM(K3+K4+K5+K6)</f>
        <v>350234</v>
      </c>
      <c r="L7">
        <f>SUM(L3+L4+L5+L6)</f>
        <v>409194</v>
      </c>
      <c r="N7" s="10" t="s">
        <v>16</v>
      </c>
      <c r="O7" s="14">
        <v>0.43911231499610492</v>
      </c>
      <c r="Q7" s="11" t="s">
        <v>25</v>
      </c>
      <c r="R7" s="15">
        <v>0.14145009299098632</v>
      </c>
    </row>
    <row r="8" spans="1:18">
      <c r="A8" t="s">
        <v>48</v>
      </c>
      <c r="B8" s="8">
        <v>0.82340000000000002</v>
      </c>
      <c r="D8" t="s">
        <v>46</v>
      </c>
      <c r="E8" s="8">
        <v>-0.27789999999999998</v>
      </c>
    </row>
    <row r="9" spans="1:18">
      <c r="A9" t="s">
        <v>64</v>
      </c>
      <c r="B9" s="8">
        <v>1.1838</v>
      </c>
      <c r="D9" t="s">
        <v>54</v>
      </c>
      <c r="E9" s="8">
        <v>-0.64810000000000001</v>
      </c>
    </row>
    <row r="10" spans="1:18">
      <c r="A10" t="s">
        <v>55</v>
      </c>
      <c r="B10" s="8">
        <v>0.97920000000000007</v>
      </c>
      <c r="D10" t="s">
        <v>57</v>
      </c>
      <c r="E10" s="8">
        <v>-0.27500000000000002</v>
      </c>
    </row>
    <row r="13" spans="1:18">
      <c r="A13" s="19" t="s">
        <v>303</v>
      </c>
      <c r="B13" s="20"/>
      <c r="C13" s="20"/>
      <c r="D13" s="20"/>
      <c r="E13" s="20"/>
      <c r="F13" s="20"/>
      <c r="G13" s="20"/>
      <c r="H13" s="20"/>
      <c r="J13" s="19" t="s">
        <v>296</v>
      </c>
      <c r="K13" s="20"/>
      <c r="L13" s="20"/>
      <c r="M13" s="20"/>
      <c r="N13" s="20"/>
      <c r="O13" s="20"/>
      <c r="P13" s="20"/>
      <c r="Q13" s="20"/>
    </row>
    <row r="14" spans="1:18" ht="43.2">
      <c r="A14" s="12" t="s">
        <v>290</v>
      </c>
      <c r="B14" s="12" t="s">
        <v>291</v>
      </c>
      <c r="C14" s="1" t="s">
        <v>292</v>
      </c>
      <c r="E14" s="12" t="s">
        <v>3</v>
      </c>
      <c r="F14" s="12" t="s">
        <v>293</v>
      </c>
      <c r="G14" s="12" t="s">
        <v>294</v>
      </c>
      <c r="H14" s="12" t="s">
        <v>295</v>
      </c>
      <c r="J14" s="12" t="s">
        <v>5</v>
      </c>
      <c r="K14" s="12" t="s">
        <v>291</v>
      </c>
      <c r="L14" s="12" t="s">
        <v>297</v>
      </c>
      <c r="M14" s="12" t="s">
        <v>291</v>
      </c>
      <c r="N14" s="12" t="s">
        <v>298</v>
      </c>
      <c r="O14" s="12" t="s">
        <v>291</v>
      </c>
      <c r="P14" s="12" t="s">
        <v>8</v>
      </c>
      <c r="Q14" s="12" t="s">
        <v>291</v>
      </c>
    </row>
    <row r="15" spans="1:18">
      <c r="A15" s="13">
        <v>1</v>
      </c>
      <c r="B15" s="13">
        <f>AVERAGEIF(Sheet1!T:T,1,Sheet1!S:S)</f>
        <v>21182</v>
      </c>
      <c r="C15">
        <f>COUNTIF(Sheet1!T:T,1)</f>
        <v>12</v>
      </c>
      <c r="E15" s="13" t="s">
        <v>251</v>
      </c>
      <c r="F15" s="13">
        <f>AVERAGEIFS(Sheet1!S:S, Sheet1!E:E, "Bar", Sheet1!T:T, 1)</f>
        <v>23343.5</v>
      </c>
      <c r="G15" s="13">
        <f>AVERAGEIFS(Sheet1!S:S, Sheet1!E:E, "Bar", Sheet1!T:T, 2)</f>
        <v>18481.666666666668</v>
      </c>
      <c r="H15" s="13">
        <f>AVERAGEIFS(Sheet1!S:S, Sheet1!E:E, "Bar", Sheet1!T:T, 3)</f>
        <v>24250.5</v>
      </c>
      <c r="J15" s="13" t="s">
        <v>255</v>
      </c>
      <c r="K15" s="16">
        <f>AVERAGEIF(Sheet1!I:I,"Yes",Sheet1!S:S)</f>
        <v>23132.961538461539</v>
      </c>
      <c r="L15" t="s">
        <v>255</v>
      </c>
      <c r="M15">
        <f>AVERAGEIF(Sheet1!J:J,"Yes",Sheet1!S:S)</f>
        <v>23514.799999999999</v>
      </c>
      <c r="N15" t="s">
        <v>255</v>
      </c>
      <c r="O15">
        <f>AVERAGEIF(Sheet1!K:K,"Yes",Sheet1!S:S)</f>
        <v>24537.833333333332</v>
      </c>
      <c r="P15" t="s">
        <v>255</v>
      </c>
      <c r="Q15">
        <f>AVERAGEIF(Sheet1!L:L,"Yes",Sheet1!S:S)</f>
        <v>24224.823529411766</v>
      </c>
    </row>
    <row r="16" spans="1:18" ht="28.8">
      <c r="A16" s="13">
        <v>2</v>
      </c>
      <c r="B16" s="13">
        <f>AVERAGEIF(Sheet1!T:T,2,Sheet1!S:S)</f>
        <v>25447.166666666668</v>
      </c>
      <c r="C16">
        <f>COUNTIF(Sheet1!T:T,2)</f>
        <v>18</v>
      </c>
      <c r="E16" s="13" t="s">
        <v>252</v>
      </c>
      <c r="F16" s="13">
        <f>AVERAGEIFS(Sheet1!S:S, Sheet1!E:E, "Restaurant", Sheet1!T:T, 1)</f>
        <v>22554</v>
      </c>
      <c r="G16" s="13">
        <f>AVERAGEIFS(Sheet1!S:S, Sheet1!E:E, "Restaurant", Sheet1!T:T, 2)</f>
        <v>25804.615384615383</v>
      </c>
      <c r="H16" s="13">
        <v>0</v>
      </c>
      <c r="J16" s="13" t="s">
        <v>256</v>
      </c>
      <c r="K16" s="16">
        <f>AVERAGEIF(Sheet1!I:I,"No",Sheet1!S:S)</f>
        <v>25864.441176470587</v>
      </c>
      <c r="L16" t="s">
        <v>256</v>
      </c>
      <c r="M16">
        <f>AVERAGEIF(Sheet1!J:J,"No",Sheet1!S:S)</f>
        <v>25263.8</v>
      </c>
      <c r="N16" t="s">
        <v>256</v>
      </c>
      <c r="O16">
        <f>AVERAGEIF(Sheet1!K:K,"No",Sheet1!S:S)</f>
        <v>25014.388888888891</v>
      </c>
      <c r="P16" t="s">
        <v>256</v>
      </c>
      <c r="Q16">
        <f>AVERAGEIF(Sheet1!L:L,"No",Sheet1!S:S)</f>
        <v>24861.069767441859</v>
      </c>
    </row>
    <row r="17" spans="1:8">
      <c r="A17" s="13">
        <v>3</v>
      </c>
      <c r="B17" s="13">
        <f>AVERAGEIF(Sheet1!T:T,3,Sheet1!S:S)</f>
        <v>25673.482758620688</v>
      </c>
      <c r="C17">
        <f>COUNTIF(Sheet1!T:T,3)</f>
        <v>29</v>
      </c>
      <c r="E17" s="13" t="s">
        <v>283</v>
      </c>
      <c r="F17" s="13">
        <f>AVERAGEIFS(Sheet1!S:S, Sheet1!E:E, "Club", Sheet1!T:T, 1)</f>
        <v>22490</v>
      </c>
      <c r="G17" s="13">
        <f>AVERAGEIFS(Sheet1!S:S, Sheet1!E:E, "Club", Sheet1!T:T, 2)</f>
        <v>30193</v>
      </c>
      <c r="H17" s="13">
        <f>AVERAGEIFS(Sheet1!S:S, Sheet1!E:E, "Club", Sheet1!T:T, 3)</f>
        <v>28114.363636363636</v>
      </c>
    </row>
    <row r="18" spans="1:8">
      <c r="E18" s="13" t="s">
        <v>254</v>
      </c>
      <c r="F18">
        <f>AVERAGEIFS(Sheet1!S:S, Sheet1!E:E, "Hotel", Sheet1!T:T, 1)</f>
        <v>17680.5</v>
      </c>
      <c r="G18">
        <f>AVERAGEIFS(Sheet1!S:S, Sheet1!E:E, "Hotel", Sheet1!T:T, 2)</f>
        <v>36951</v>
      </c>
      <c r="H18">
        <f>AVERAGEIFS(Sheet1!S:S, Sheet1!E:E, "Hotel", Sheet1!T:T, 3)</f>
        <v>24126.9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0BAD-B0BF-44DC-B514-D9CF61303C2F}">
  <dimension ref="A1"/>
  <sheetViews>
    <sheetView tabSelected="1" topLeftCell="A16" zoomScale="65" zoomScaleNormal="55" workbookViewId="0">
      <selection activeCell="AG26" sqref="AG26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Sunil Prajapati</cp:lastModifiedBy>
  <dcterms:created xsi:type="dcterms:W3CDTF">2022-01-18T02:47:06Z</dcterms:created>
  <dcterms:modified xsi:type="dcterms:W3CDTF">2025-07-01T03:59:06Z</dcterms:modified>
</cp:coreProperties>
</file>