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n\Desktop\岩石圈地幔氧逸度计算excel\"/>
    </mc:Choice>
  </mc:AlternateContent>
  <xr:revisionPtr revIDLastSave="0" documentId="13_ncr:1_{D20B4EFA-A044-4C2C-8982-2191522CA8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捕虏体氧逸度计算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3" i="5" l="1"/>
  <c r="AL13" i="5" s="1"/>
  <c r="AK14" i="5"/>
  <c r="AL14" i="5" s="1"/>
  <c r="AK15" i="5"/>
  <c r="AL15" i="5" s="1"/>
  <c r="EH13" i="5" l="1"/>
  <c r="EI13" i="5"/>
  <c r="EJ13" i="5"/>
  <c r="EM13" i="5"/>
  <c r="EN13" i="5"/>
  <c r="EO13" i="5"/>
  <c r="EH14" i="5"/>
  <c r="EI14" i="5"/>
  <c r="EJ14" i="5"/>
  <c r="EM14" i="5"/>
  <c r="EN14" i="5"/>
  <c r="EO14" i="5"/>
  <c r="EH15" i="5"/>
  <c r="EI15" i="5"/>
  <c r="EJ15" i="5"/>
  <c r="EM15" i="5"/>
  <c r="EN15" i="5"/>
  <c r="EO15" i="5"/>
  <c r="MO15" i="5"/>
  <c r="LI15" i="5" s="1"/>
  <c r="LH15" i="5"/>
  <c r="JH15" i="5"/>
  <c r="JT15" i="5" s="1"/>
  <c r="JG15" i="5"/>
  <c r="JS15" i="5" s="1"/>
  <c r="JF15" i="5"/>
  <c r="JR15" i="5" s="1"/>
  <c r="JE15" i="5"/>
  <c r="JQ15" i="5" s="1"/>
  <c r="JD15" i="5"/>
  <c r="JC15" i="5"/>
  <c r="JO15" i="5" s="1"/>
  <c r="JB15" i="5"/>
  <c r="JA15" i="5"/>
  <c r="JM15" i="5" s="1"/>
  <c r="IZ15" i="5"/>
  <c r="JL15" i="5" s="1"/>
  <c r="GX15" i="5"/>
  <c r="HJ15" i="5" s="1"/>
  <c r="GW15" i="5"/>
  <c r="GV15" i="5"/>
  <c r="HH15" i="5" s="1"/>
  <c r="GU15" i="5"/>
  <c r="GT15" i="5"/>
  <c r="HF15" i="5" s="1"/>
  <c r="GS15" i="5"/>
  <c r="HE15" i="5" s="1"/>
  <c r="GR15" i="5"/>
  <c r="HD15" i="5" s="1"/>
  <c r="GQ15" i="5"/>
  <c r="GP15" i="5"/>
  <c r="HB15" i="5" s="1"/>
  <c r="CK15" i="5"/>
  <c r="CS15" i="5" s="1"/>
  <c r="CJ15" i="5"/>
  <c r="CR15" i="5" s="1"/>
  <c r="CI15" i="5"/>
  <c r="CQ15" i="5" s="1"/>
  <c r="CH15" i="5"/>
  <c r="CP15" i="5" s="1"/>
  <c r="CG15" i="5"/>
  <c r="CO15" i="5" s="1"/>
  <c r="CF15" i="5"/>
  <c r="CN15" i="5" s="1"/>
  <c r="CE15" i="5"/>
  <c r="CM15" i="5" s="1"/>
  <c r="MO14" i="5"/>
  <c r="LI14" i="5" s="1"/>
  <c r="LH14" i="5"/>
  <c r="JH14" i="5"/>
  <c r="JG14" i="5"/>
  <c r="JF14" i="5"/>
  <c r="JE14" i="5"/>
  <c r="JQ14" i="5" s="1"/>
  <c r="JD14" i="5"/>
  <c r="JC14" i="5"/>
  <c r="JO14" i="5" s="1"/>
  <c r="JB14" i="5"/>
  <c r="JN14" i="5" s="1"/>
  <c r="JA14" i="5"/>
  <c r="JM14" i="5" s="1"/>
  <c r="IZ14" i="5"/>
  <c r="JL14" i="5" s="1"/>
  <c r="GX14" i="5"/>
  <c r="HJ14" i="5" s="1"/>
  <c r="GW14" i="5"/>
  <c r="GV14" i="5"/>
  <c r="HH14" i="5" s="1"/>
  <c r="GU14" i="5"/>
  <c r="GT14" i="5"/>
  <c r="HF14" i="5" s="1"/>
  <c r="GS14" i="5"/>
  <c r="HE14" i="5" s="1"/>
  <c r="GR14" i="5"/>
  <c r="GQ14" i="5"/>
  <c r="GP14" i="5"/>
  <c r="HB14" i="5" s="1"/>
  <c r="CK14" i="5"/>
  <c r="CS14" i="5" s="1"/>
  <c r="CJ14" i="5"/>
  <c r="CR14" i="5" s="1"/>
  <c r="CI14" i="5"/>
  <c r="CQ14" i="5" s="1"/>
  <c r="CH14" i="5"/>
  <c r="CP14" i="5" s="1"/>
  <c r="CG14" i="5"/>
  <c r="CO14" i="5" s="1"/>
  <c r="CF14" i="5"/>
  <c r="CN14" i="5" s="1"/>
  <c r="CE14" i="5"/>
  <c r="CM14" i="5" s="1"/>
  <c r="MO13" i="5"/>
  <c r="LI13" i="5" s="1"/>
  <c r="LH13" i="5"/>
  <c r="JH13" i="5"/>
  <c r="JT13" i="5" s="1"/>
  <c r="JG13" i="5"/>
  <c r="JF13" i="5"/>
  <c r="JR13" i="5" s="1"/>
  <c r="JE13" i="5"/>
  <c r="JQ13" i="5" s="1"/>
  <c r="JD13" i="5"/>
  <c r="JC13" i="5"/>
  <c r="JO13" i="5" s="1"/>
  <c r="JB13" i="5"/>
  <c r="JN13" i="5" s="1"/>
  <c r="JA13" i="5"/>
  <c r="JM13" i="5" s="1"/>
  <c r="IZ13" i="5"/>
  <c r="GX13" i="5"/>
  <c r="HJ13" i="5" s="1"/>
  <c r="GW13" i="5"/>
  <c r="GV13" i="5"/>
  <c r="HH13" i="5" s="1"/>
  <c r="GU13" i="5"/>
  <c r="HG13" i="5" s="1"/>
  <c r="GT13" i="5"/>
  <c r="HF13" i="5" s="1"/>
  <c r="GS13" i="5"/>
  <c r="GR13" i="5"/>
  <c r="HD13" i="5" s="1"/>
  <c r="GQ13" i="5"/>
  <c r="GP13" i="5"/>
  <c r="HB13" i="5" s="1"/>
  <c r="CK13" i="5"/>
  <c r="CS13" i="5" s="1"/>
  <c r="CJ13" i="5"/>
  <c r="CR13" i="5" s="1"/>
  <c r="CI13" i="5"/>
  <c r="CQ13" i="5" s="1"/>
  <c r="CH13" i="5"/>
  <c r="CP13" i="5" s="1"/>
  <c r="CG13" i="5"/>
  <c r="CO13" i="5" s="1"/>
  <c r="CF13" i="5"/>
  <c r="CN13" i="5" s="1"/>
  <c r="CE13" i="5"/>
  <c r="CM13" i="5" s="1"/>
  <c r="LZ8" i="5"/>
  <c r="LO8" i="5"/>
  <c r="LZ7" i="5"/>
  <c r="LO7" i="5"/>
  <c r="LZ6" i="5"/>
  <c r="LO6" i="5"/>
  <c r="GY6" i="5"/>
  <c r="LZ1" i="5"/>
  <c r="LO1" i="5"/>
  <c r="GB13" i="5" l="1"/>
  <c r="GB15" i="5"/>
  <c r="GY14" i="5"/>
  <c r="GZ14" i="5" s="1"/>
  <c r="GY15" i="5"/>
  <c r="HK15" i="5" s="1"/>
  <c r="HE13" i="5"/>
  <c r="HI13" i="5"/>
  <c r="MC13" i="5"/>
  <c r="MD13" i="5"/>
  <c r="MB13" i="5"/>
  <c r="JR14" i="5"/>
  <c r="MC15" i="5"/>
  <c r="MB15" i="5"/>
  <c r="CT14" i="5"/>
  <c r="CV14" i="5" s="1"/>
  <c r="DA14" i="5" s="1"/>
  <c r="DJ14" i="5" s="1"/>
  <c r="HC14" i="5"/>
  <c r="HG14" i="5"/>
  <c r="GB14" i="5"/>
  <c r="HC15" i="5"/>
  <c r="HG15" i="5"/>
  <c r="JN15" i="5"/>
  <c r="MD15" i="5"/>
  <c r="JL13" i="5"/>
  <c r="JP13" i="5"/>
  <c r="JS13" i="5"/>
  <c r="HD14" i="5"/>
  <c r="JS14" i="5"/>
  <c r="CT15" i="5"/>
  <c r="CV15" i="5" s="1"/>
  <c r="CX15" i="5" s="1"/>
  <c r="DG15" i="5" s="1"/>
  <c r="CT13" i="5"/>
  <c r="CV13" i="5" s="1"/>
  <c r="DB13" i="5" s="1"/>
  <c r="DK13" i="5" s="1"/>
  <c r="JT14" i="5"/>
  <c r="MC14" i="5"/>
  <c r="MB14" i="5"/>
  <c r="JI15" i="5"/>
  <c r="JJ15" i="5" s="1"/>
  <c r="JI14" i="5"/>
  <c r="JJ14" i="5" s="1"/>
  <c r="JI13" i="5"/>
  <c r="HC13" i="5"/>
  <c r="GY13" i="5"/>
  <c r="HI14" i="5"/>
  <c r="JP14" i="5"/>
  <c r="MD14" i="5"/>
  <c r="HI15" i="5"/>
  <c r="JP15" i="5"/>
  <c r="GZ15" i="5" l="1"/>
  <c r="HK14" i="5"/>
  <c r="HL14" i="5" s="1"/>
  <c r="HM14" i="5" s="1"/>
  <c r="DD15" i="5"/>
  <c r="DM15" i="5" s="1"/>
  <c r="DA15" i="5"/>
  <c r="DJ15" i="5" s="1"/>
  <c r="HL15" i="5"/>
  <c r="HM15" i="5" s="1"/>
  <c r="HY15" i="5" s="1"/>
  <c r="CZ15" i="5"/>
  <c r="DI15" i="5" s="1"/>
  <c r="DC13" i="5"/>
  <c r="DL13" i="5" s="1"/>
  <c r="CY15" i="5"/>
  <c r="DH15" i="5" s="1"/>
  <c r="DA13" i="5"/>
  <c r="DJ13" i="5" s="1"/>
  <c r="DD13" i="5"/>
  <c r="DM13" i="5" s="1"/>
  <c r="CX14" i="5"/>
  <c r="DG14" i="5" s="1"/>
  <c r="CZ14" i="5"/>
  <c r="DI14" i="5" s="1"/>
  <c r="DC14" i="5"/>
  <c r="DL14" i="5" s="1"/>
  <c r="CX13" i="5"/>
  <c r="DG13" i="5" s="1"/>
  <c r="CY13" i="5"/>
  <c r="DH13" i="5" s="1"/>
  <c r="CZ13" i="5"/>
  <c r="DI13" i="5" s="1"/>
  <c r="CY14" i="5"/>
  <c r="DH14" i="5" s="1"/>
  <c r="DB14" i="5"/>
  <c r="DK14" i="5" s="1"/>
  <c r="DB15" i="5"/>
  <c r="DK15" i="5" s="1"/>
  <c r="DD14" i="5"/>
  <c r="DM14" i="5" s="1"/>
  <c r="DC15" i="5"/>
  <c r="DL15" i="5" s="1"/>
  <c r="HK13" i="5"/>
  <c r="HL13" i="5" s="1"/>
  <c r="HM13" i="5" s="1"/>
  <c r="JU13" i="5"/>
  <c r="JV13" i="5" s="1"/>
  <c r="JW13" i="5" s="1"/>
  <c r="JU14" i="5"/>
  <c r="JV14" i="5" s="1"/>
  <c r="JW14" i="5" s="1"/>
  <c r="GZ13" i="5"/>
  <c r="JU15" i="5"/>
  <c r="JV15" i="5" s="1"/>
  <c r="JW15" i="5" s="1"/>
  <c r="JJ13" i="5"/>
  <c r="HX15" i="5" l="1"/>
  <c r="HS15" i="5"/>
  <c r="HZ15" i="5"/>
  <c r="IG15" i="5" s="1"/>
  <c r="HU15" i="5"/>
  <c r="DN15" i="5"/>
  <c r="DN14" i="5"/>
  <c r="DN13" i="5"/>
  <c r="DE14" i="5"/>
  <c r="HT15" i="5"/>
  <c r="HV15" i="5"/>
  <c r="HO15" i="5"/>
  <c r="HQ15" i="5" s="1"/>
  <c r="HW15" i="5"/>
  <c r="HP15" i="5"/>
  <c r="DE15" i="5"/>
  <c r="DE13" i="5"/>
  <c r="KF14" i="5"/>
  <c r="JZ14" i="5"/>
  <c r="KO14" i="5" s="1"/>
  <c r="JY14" i="5"/>
  <c r="KG14" i="5"/>
  <c r="KD14" i="5"/>
  <c r="KE14" i="5"/>
  <c r="KH14" i="5"/>
  <c r="KC14" i="5"/>
  <c r="KI14" i="5"/>
  <c r="KJ14" i="5"/>
  <c r="KP14" i="5" s="1"/>
  <c r="HU13" i="5"/>
  <c r="HO13" i="5"/>
  <c r="HY13" i="5"/>
  <c r="HV13" i="5"/>
  <c r="HW13" i="5"/>
  <c r="HX13" i="5"/>
  <c r="HP13" i="5"/>
  <c r="HS13" i="5"/>
  <c r="HT13" i="5"/>
  <c r="HZ13" i="5"/>
  <c r="IG13" i="5" s="1"/>
  <c r="KG13" i="5"/>
  <c r="KF13" i="5"/>
  <c r="JZ13" i="5"/>
  <c r="KO13" i="5" s="1"/>
  <c r="JY13" i="5"/>
  <c r="KH13" i="5"/>
  <c r="KE13" i="5"/>
  <c r="KC13" i="5"/>
  <c r="KD13" i="5"/>
  <c r="KI13" i="5"/>
  <c r="KF15" i="5"/>
  <c r="JZ15" i="5"/>
  <c r="KO15" i="5" s="1"/>
  <c r="KH15" i="5"/>
  <c r="KD15" i="5"/>
  <c r="JY15" i="5"/>
  <c r="KC15" i="5"/>
  <c r="KE15" i="5"/>
  <c r="KG15" i="5"/>
  <c r="KI15" i="5"/>
  <c r="KJ13" i="5"/>
  <c r="KP13" i="5" s="1"/>
  <c r="KJ15" i="5"/>
  <c r="KP15" i="5" s="1"/>
  <c r="HU14" i="5"/>
  <c r="HO14" i="5"/>
  <c r="HY14" i="5"/>
  <c r="HW14" i="5"/>
  <c r="HP14" i="5"/>
  <c r="HX14" i="5"/>
  <c r="HZ14" i="5"/>
  <c r="IG14" i="5" s="1"/>
  <c r="HV14" i="5"/>
  <c r="HS14" i="5"/>
  <c r="HT14" i="5"/>
  <c r="LK15" i="5" l="1"/>
  <c r="LL15" i="5" s="1"/>
  <c r="GL15" i="5"/>
  <c r="IA15" i="5"/>
  <c r="IC15" i="5" s="1"/>
  <c r="DO14" i="5"/>
  <c r="DT14" i="5" s="1"/>
  <c r="ED14" i="5"/>
  <c r="DO13" i="5"/>
  <c r="DU13" i="5" s="1"/>
  <c r="EW13" i="5" s="1"/>
  <c r="FV13" i="5" s="1"/>
  <c r="ED13" i="5"/>
  <c r="DO15" i="5"/>
  <c r="DQ15" i="5" s="1"/>
  <c r="ER15" i="5" s="1"/>
  <c r="FQ15" i="5" s="1"/>
  <c r="ED15" i="5"/>
  <c r="MI14" i="5"/>
  <c r="KN14" i="5"/>
  <c r="KA13" i="5"/>
  <c r="KB13" i="5" s="1"/>
  <c r="KL13" i="5" s="1"/>
  <c r="KK13" i="5"/>
  <c r="KM13" i="5" s="1"/>
  <c r="GL14" i="5"/>
  <c r="IA14" i="5"/>
  <c r="IC14" i="5" s="1"/>
  <c r="HQ14" i="5"/>
  <c r="HR14" i="5" s="1"/>
  <c r="LY15" i="5"/>
  <c r="LZ15" i="5"/>
  <c r="GN15" i="5"/>
  <c r="KR15" i="5"/>
  <c r="MH15" i="5"/>
  <c r="HR15" i="5"/>
  <c r="IB15" i="5" s="1"/>
  <c r="KA14" i="5"/>
  <c r="KB14" i="5" s="1"/>
  <c r="KK14" i="5"/>
  <c r="KM14" i="5" s="1"/>
  <c r="LK14" i="5"/>
  <c r="LL14" i="5" s="1"/>
  <c r="KN15" i="5"/>
  <c r="MI15" i="5"/>
  <c r="KN13" i="5"/>
  <c r="MI13" i="5"/>
  <c r="KR13" i="5"/>
  <c r="LY13" i="5"/>
  <c r="LZ13" i="5"/>
  <c r="GN13" i="5"/>
  <c r="MH13" i="5"/>
  <c r="IA13" i="5"/>
  <c r="IC13" i="5" s="1"/>
  <c r="HQ13" i="5"/>
  <c r="GL13" i="5"/>
  <c r="KA15" i="5"/>
  <c r="KB15" i="5" s="1"/>
  <c r="KK15" i="5"/>
  <c r="KM15" i="5" s="1"/>
  <c r="LK13" i="5"/>
  <c r="LL13" i="5" s="1"/>
  <c r="LZ14" i="5"/>
  <c r="KR14" i="5"/>
  <c r="GN14" i="5"/>
  <c r="LY14" i="5"/>
  <c r="MH14" i="5"/>
  <c r="DV15" i="5" l="1"/>
  <c r="EX15" i="5" s="1"/>
  <c r="FW15" i="5" s="1"/>
  <c r="DT13" i="5"/>
  <c r="EC13" i="5" s="1"/>
  <c r="DS15" i="5"/>
  <c r="ET15" i="5" s="1"/>
  <c r="FS15" i="5" s="1"/>
  <c r="EU15" i="5"/>
  <c r="FT15" i="5" s="1"/>
  <c r="EU13" i="5"/>
  <c r="FT13" i="5" s="1"/>
  <c r="EU14" i="5"/>
  <c r="FT14" i="5" s="1"/>
  <c r="EC14" i="5"/>
  <c r="EE14" i="5" s="1"/>
  <c r="EL14" i="5" s="1"/>
  <c r="DV14" i="5"/>
  <c r="DR13" i="5"/>
  <c r="ES13" i="5" s="1"/>
  <c r="FR13" i="5" s="1"/>
  <c r="DQ13" i="5"/>
  <c r="ER13" i="5" s="1"/>
  <c r="FQ13" i="5" s="1"/>
  <c r="DR14" i="5"/>
  <c r="ES14" i="5" s="1"/>
  <c r="FR14" i="5" s="1"/>
  <c r="DU15" i="5"/>
  <c r="EW15" i="5" s="1"/>
  <c r="FV15" i="5" s="1"/>
  <c r="DW13" i="5"/>
  <c r="EY13" i="5" s="1"/>
  <c r="FX13" i="5" s="1"/>
  <c r="DW15" i="5"/>
  <c r="DT15" i="5"/>
  <c r="EC15" i="5" s="1"/>
  <c r="EV15" i="5" s="1"/>
  <c r="FU15" i="5" s="1"/>
  <c r="DU14" i="5"/>
  <c r="DS14" i="5"/>
  <c r="ET14" i="5" s="1"/>
  <c r="FS14" i="5" s="1"/>
  <c r="DS13" i="5"/>
  <c r="DR15" i="5"/>
  <c r="ES15" i="5" s="1"/>
  <c r="FR15" i="5" s="1"/>
  <c r="DV13" i="5"/>
  <c r="EX13" i="5" s="1"/>
  <c r="FW13" i="5" s="1"/>
  <c r="DW14" i="5"/>
  <c r="DQ14" i="5"/>
  <c r="ER14" i="5" s="1"/>
  <c r="FQ14" i="5" s="1"/>
  <c r="KZ13" i="5"/>
  <c r="LB13" i="5" s="1"/>
  <c r="KX13" i="5"/>
  <c r="KV13" i="5"/>
  <c r="KY13" i="5"/>
  <c r="LW15" i="5"/>
  <c r="KQ15" i="5"/>
  <c r="KS15" i="5" s="1"/>
  <c r="KL15" i="5"/>
  <c r="IE15" i="5"/>
  <c r="ID15" i="5"/>
  <c r="IY15" i="5"/>
  <c r="IA11" i="5"/>
  <c r="KU13" i="5"/>
  <c r="IE14" i="5"/>
  <c r="IF14" i="5" s="1"/>
  <c r="IH14" i="5" s="1"/>
  <c r="II14" i="5" s="1"/>
  <c r="ID14" i="5"/>
  <c r="IB14" i="5"/>
  <c r="KL14" i="5"/>
  <c r="KU14" i="5"/>
  <c r="HR13" i="5"/>
  <c r="IY13" i="5" s="1"/>
  <c r="IY14" i="5"/>
  <c r="KK11" i="5"/>
  <c r="IR15" i="5"/>
  <c r="IS15" i="5"/>
  <c r="IP15" i="5"/>
  <c r="IO15" i="5" s="1"/>
  <c r="IT15" i="5" s="1"/>
  <c r="IQ15" i="5"/>
  <c r="LW14" i="5"/>
  <c r="KQ14" i="5"/>
  <c r="KS14" i="5" s="1"/>
  <c r="KU15" i="5"/>
  <c r="LW13" i="5"/>
  <c r="KQ13" i="5"/>
  <c r="KS13" i="5" s="1"/>
  <c r="FB15" i="5" l="1"/>
  <c r="EE13" i="5"/>
  <c r="EL13" i="5" s="1"/>
  <c r="EF13" i="5"/>
  <c r="EK13" i="5" s="1"/>
  <c r="DZ13" i="5"/>
  <c r="LF14" i="5"/>
  <c r="EV13" i="5"/>
  <c r="FU13" i="5" s="1"/>
  <c r="DX15" i="5"/>
  <c r="EA14" i="5"/>
  <c r="EY14" i="5"/>
  <c r="FX14" i="5" s="1"/>
  <c r="DX14" i="5"/>
  <c r="EW14" i="5"/>
  <c r="FV14" i="5" s="1"/>
  <c r="EV14" i="5"/>
  <c r="FU14" i="5" s="1"/>
  <c r="EF14" i="5"/>
  <c r="EK14" i="5" s="1"/>
  <c r="EP14" i="5" s="1"/>
  <c r="DX13" i="5"/>
  <c r="ET13" i="5"/>
  <c r="FS13" i="5" s="1"/>
  <c r="EA15" i="5"/>
  <c r="EY15" i="5"/>
  <c r="FX15" i="5" s="1"/>
  <c r="DZ14" i="5"/>
  <c r="EX14" i="5"/>
  <c r="FW14" i="5" s="1"/>
  <c r="EE15" i="5"/>
  <c r="EL15" i="5" s="1"/>
  <c r="EF15" i="5"/>
  <c r="EK15" i="5" s="1"/>
  <c r="EA13" i="5"/>
  <c r="DZ15" i="5"/>
  <c r="LF15" i="5"/>
  <c r="IJ14" i="5"/>
  <c r="KY15" i="5"/>
  <c r="KX15" i="5"/>
  <c r="KZ15" i="5"/>
  <c r="LA15" i="5" s="1"/>
  <c r="KV15" i="5"/>
  <c r="KZ14" i="5"/>
  <c r="LA14" i="5" s="1"/>
  <c r="KX14" i="5"/>
  <c r="KY14" i="5"/>
  <c r="KV14" i="5"/>
  <c r="LA9" i="5"/>
  <c r="KT14" i="5"/>
  <c r="IE13" i="5"/>
  <c r="ID13" i="5"/>
  <c r="IB13" i="5"/>
  <c r="LD13" i="5"/>
  <c r="LC13" i="5"/>
  <c r="KT13" i="5"/>
  <c r="GG13" i="5" s="1"/>
  <c r="MM13" i="5" s="1"/>
  <c r="MN13" i="5" s="1"/>
  <c r="IW15" i="5"/>
  <c r="IV15" i="5"/>
  <c r="IM14" i="5"/>
  <c r="LP14" i="5" s="1"/>
  <c r="KT15" i="5"/>
  <c r="LF13" i="5"/>
  <c r="IU15" i="5"/>
  <c r="IQ14" i="5"/>
  <c r="IR14" i="5"/>
  <c r="IP14" i="5"/>
  <c r="IO14" i="5" s="1"/>
  <c r="IT14" i="5" s="1"/>
  <c r="IS14" i="5"/>
  <c r="IL14" i="5"/>
  <c r="IF15" i="5"/>
  <c r="IH15" i="5" s="1"/>
  <c r="II15" i="5" s="1"/>
  <c r="LA13" i="5"/>
  <c r="FM13" i="5" l="1"/>
  <c r="FH13" i="5" s="1"/>
  <c r="FM15" i="5"/>
  <c r="FM14" i="5"/>
  <c r="FL14" i="5" s="1"/>
  <c r="FD14" i="5"/>
  <c r="FD13" i="5"/>
  <c r="FD15" i="5"/>
  <c r="FB13" i="5"/>
  <c r="EP13" i="5"/>
  <c r="FB14" i="5"/>
  <c r="EZ13" i="5"/>
  <c r="EP15" i="5"/>
  <c r="EZ14" i="5"/>
  <c r="FC14" i="5"/>
  <c r="FC15" i="5"/>
  <c r="EZ15" i="5"/>
  <c r="FC13" i="5"/>
  <c r="LB14" i="5"/>
  <c r="IX15" i="5"/>
  <c r="IL15" i="5"/>
  <c r="IM15" i="5"/>
  <c r="LP15" i="5" s="1"/>
  <c r="LE13" i="5"/>
  <c r="KW13" i="5"/>
  <c r="GG14" i="5"/>
  <c r="MM14" i="5" s="1"/>
  <c r="MN14" i="5" s="1"/>
  <c r="KZ9" i="5"/>
  <c r="IK14" i="5"/>
  <c r="LQ14" i="5" s="1"/>
  <c r="LN14" i="5"/>
  <c r="LD15" i="5"/>
  <c r="LC15" i="5"/>
  <c r="IW14" i="5"/>
  <c r="IV14" i="5"/>
  <c r="IU14" i="5"/>
  <c r="IF13" i="5"/>
  <c r="IH13" i="5" s="1"/>
  <c r="II13" i="5" s="1"/>
  <c r="IJ15" i="5"/>
  <c r="GG15" i="5"/>
  <c r="MM15" i="5" s="1"/>
  <c r="MN15" i="5" s="1"/>
  <c r="IQ13" i="5"/>
  <c r="IP13" i="5"/>
  <c r="IO13" i="5" s="1"/>
  <c r="IT13" i="5" s="1"/>
  <c r="IR13" i="5"/>
  <c r="IS13" i="5"/>
  <c r="LD14" i="5"/>
  <c r="LC14" i="5"/>
  <c r="LB15" i="5"/>
  <c r="FI14" i="5" l="1"/>
  <c r="FH14" i="5"/>
  <c r="FG14" i="5"/>
  <c r="FK15" i="5"/>
  <c r="FG15" i="5"/>
  <c r="FJ15" i="5"/>
  <c r="FI15" i="5"/>
  <c r="FH15" i="5"/>
  <c r="FL15" i="5"/>
  <c r="FK13" i="5"/>
  <c r="FI13" i="5"/>
  <c r="FL13" i="5"/>
  <c r="FG13" i="5"/>
  <c r="FK14" i="5"/>
  <c r="FJ14" i="5"/>
  <c r="FJ13" i="5"/>
  <c r="LN15" i="5"/>
  <c r="IK15" i="5"/>
  <c r="LO15" i="5" s="1"/>
  <c r="IL13" i="5"/>
  <c r="IU13" i="5"/>
  <c r="IM13" i="5"/>
  <c r="IJ13" i="5"/>
  <c r="LE14" i="5"/>
  <c r="KW14" i="5"/>
  <c r="LT14" i="5" s="1"/>
  <c r="IW13" i="5"/>
  <c r="IV13" i="5"/>
  <c r="LF11" i="5"/>
  <c r="IX14" i="5"/>
  <c r="LE15" i="5"/>
  <c r="KW15" i="5"/>
  <c r="LO14" i="5"/>
  <c r="LT13" i="5"/>
  <c r="FN13" i="5" l="1"/>
  <c r="FN14" i="5"/>
  <c r="FO15" i="5"/>
  <c r="FN15" i="5"/>
  <c r="FO13" i="5"/>
  <c r="FO14" i="5"/>
  <c r="LQ15" i="5"/>
  <c r="IL11" i="5"/>
  <c r="LT15" i="5"/>
  <c r="ME15" i="5"/>
  <c r="IK13" i="5"/>
  <c r="LN13" i="5"/>
  <c r="LP13" i="5"/>
  <c r="LV15" i="5"/>
  <c r="GI15" i="5" s="1"/>
  <c r="LR15" i="5"/>
  <c r="LS15" i="5" s="1"/>
  <c r="MK15" i="5"/>
  <c r="GJ15" i="5" s="1"/>
  <c r="MF15" i="5"/>
  <c r="LR14" i="5"/>
  <c r="LS14" i="5" s="1"/>
  <c r="LV14" i="5"/>
  <c r="GI14" i="5" s="1"/>
  <c r="MF14" i="5"/>
  <c r="MK14" i="5"/>
  <c r="GJ14" i="5" s="1"/>
  <c r="ME14" i="5"/>
  <c r="IX13" i="5"/>
  <c r="BD15" i="5" l="1"/>
  <c r="BF15" i="5" s="1"/>
  <c r="BA15" i="5"/>
  <c r="BD14" i="5"/>
  <c r="BF14" i="5" s="1"/>
  <c r="BA14" i="5"/>
  <c r="BI14" i="5"/>
  <c r="AX14" i="5"/>
  <c r="BI15" i="5"/>
  <c r="AX15" i="5"/>
  <c r="LO13" i="5"/>
  <c r="LR13" i="5"/>
  <c r="LS13" i="5" s="1"/>
  <c r="LV13" i="5"/>
  <c r="GI13" i="5" s="1"/>
  <c r="MF13" i="5"/>
  <c r="MK13" i="5"/>
  <c r="GJ13" i="5" s="1"/>
  <c r="ME13" i="5"/>
  <c r="LQ13" i="5"/>
  <c r="BP14" i="5" l="1"/>
  <c r="BP15" i="5"/>
  <c r="BM15" i="5"/>
  <c r="BM14" i="5"/>
  <c r="BD13" i="5"/>
  <c r="BF13" i="5" s="1"/>
  <c r="BA13" i="5"/>
  <c r="BI13" i="5"/>
  <c r="AX13" i="5"/>
  <c r="BS15" i="5"/>
  <c r="BS14" i="5"/>
  <c r="BM13" i="5" l="1"/>
  <c r="BP13" i="5"/>
  <c r="BS13" i="5"/>
  <c r="BT15" i="5"/>
  <c r="BN15" i="5"/>
  <c r="BJ15" i="5"/>
  <c r="BQ15" i="5"/>
  <c r="GF13" i="5"/>
  <c r="GK13" i="5"/>
  <c r="GF14" i="5"/>
  <c r="GK14" i="5"/>
  <c r="AY13" i="5"/>
  <c r="BE13" i="5"/>
  <c r="BB13" i="5"/>
  <c r="BG13" i="5"/>
  <c r="BT13" i="5"/>
  <c r="BQ13" i="5"/>
  <c r="GE13" i="5"/>
  <c r="FZ13" i="5"/>
  <c r="GH13" i="5"/>
  <c r="GA13" i="5"/>
  <c r="GC13" i="5"/>
  <c r="BJ13" i="5"/>
  <c r="BN13" i="5"/>
  <c r="BQ14" i="5"/>
  <c r="BT14" i="5"/>
  <c r="BJ14" i="5"/>
  <c r="BN14" i="5"/>
  <c r="BG15" i="5"/>
  <c r="BE15" i="5"/>
  <c r="AY15" i="5"/>
  <c r="GC15" i="5"/>
  <c r="BB15" i="5"/>
  <c r="BG14" i="5"/>
  <c r="BE14" i="5"/>
  <c r="BB14" i="5"/>
  <c r="GE14" i="5"/>
  <c r="FZ14" i="5"/>
  <c r="GH14" i="5"/>
  <c r="GA14" i="5"/>
  <c r="GC14" i="5"/>
  <c r="AY14" i="5"/>
  <c r="GK15" i="5"/>
  <c r="GE15" i="5"/>
  <c r="FZ15" i="5"/>
  <c r="GH15" i="5"/>
  <c r="GA15" i="5"/>
  <c r="GF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Putirka</author>
    <author>Wang</author>
  </authors>
  <commentList>
    <comment ref="GL10" authorId="0" shapeId="0" xr:uid="{48E67030-45D1-4FD5-BA8F-25A3A7DB2DFB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For subsolidus systems, a value of 0.7±0.2 is probably better. The 1.09 value is calibrated on both subsolidus and (mostly) igneous systems.</t>
        </r>
      </text>
    </comment>
    <comment ref="CE11" authorId="1" shapeId="0" xr:uid="{506EE593-FD5A-460C-8965-9FC7424AD6B1}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摩尔数=质量数/分子量</t>
        </r>
      </text>
    </comment>
    <comment ref="CM11" authorId="1" shapeId="0" xr:uid="{2E5478F4-6F76-4EBF-A83C-EDBAEA6931DC}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O原子数</t>
        </r>
      </text>
    </comment>
    <comment ref="GE11" authorId="0" shapeId="0" xr:uid="{4C6FEB21-CD73-4028-A765-40FE655A8F45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This Eqn. is for cases where Mg#(cpx)&gt;0.75 (see column AE)</t>
        </r>
      </text>
    </comment>
    <comment ref="GF11" authorId="0" shapeId="0" xr:uid="{0831B00C-0E85-4E13-8666-E98C394A84D7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Eqn., 37 is for low Mg# cpx; use Eqn. 37 when Mg#(cpx)&lt;0.75 (See column AE). There is a typogrpahical error in the RiMG v. 69 Ch. 2.</t>
        </r>
      </text>
    </comment>
    <comment ref="GK11" authorId="0" shapeId="0" xr:uid="{59D4E47F-674D-4A44-B4B0-089F49CA43D5}">
      <text>
        <r>
          <rPr>
            <b/>
            <sz val="9"/>
            <color indexed="81"/>
            <rFont val="Verdana"/>
            <family val="2"/>
          </rPr>
          <t>Keith Putirka: This is a modified form of Eqn. 32; here the P coefficient is changed from 544 to 755 and the coefficient for the En activity term is changed from 0.395 to 3.5; these changes provide a much better fit to subsolidus T estimates, but provide poorer fits to pyroxenes from volcanic systems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<sst xmlns="http://schemas.openxmlformats.org/spreadsheetml/2006/main" count="429" uniqueCount="203">
  <si>
    <t>SiO2</t>
  </si>
  <si>
    <t>TiO2</t>
  </si>
  <si>
    <t>Al2O3</t>
  </si>
  <si>
    <t>Cr2O3</t>
  </si>
  <si>
    <t>FeO</t>
  </si>
  <si>
    <t>MnO</t>
  </si>
  <si>
    <t>MgO</t>
  </si>
  <si>
    <t>CaO</t>
  </si>
  <si>
    <t>TOTAL</t>
  </si>
  <si>
    <t>Al</t>
  </si>
  <si>
    <t>Cr</t>
  </si>
  <si>
    <t>Fe(iii)</t>
  </si>
  <si>
    <t>Fe(ii)</t>
  </si>
  <si>
    <t>Mn</t>
  </si>
  <si>
    <t>Mg</t>
  </si>
  <si>
    <t>Na2O</t>
  </si>
  <si>
    <t>R</t>
  </si>
  <si>
    <t>NOTE: WOOD AND BANNO AND WELLS MODELS WORK BETTER IF USE Al-TOT</t>
  </si>
  <si>
    <t>Gray field = input</t>
  </si>
  <si>
    <t>Blue field = output</t>
  </si>
  <si>
    <t>INSTEAD OF Al(VI) FOR CALC OF a(En)-cpx, and use Al(VI) for calc of a(En)-opx</t>
  </si>
  <si>
    <t>K2O</t>
  </si>
  <si>
    <t>Barometers and Thermometers</t>
  </si>
  <si>
    <t>Models</t>
  </si>
  <si>
    <t>Enter Clinopyroxene Composition Here</t>
    <phoneticPr fontId="8"/>
  </si>
  <si>
    <t>Enter Orthopyroxene Composition Here</t>
    <phoneticPr fontId="8"/>
  </si>
  <si>
    <t>Enter Olivine Composition Here</t>
    <phoneticPr fontId="8"/>
  </si>
  <si>
    <t>Enter Spinel Composition Here</t>
    <phoneticPr fontId="8"/>
  </si>
  <si>
    <t>Test for Equilibrium</t>
    <phoneticPr fontId="8"/>
  </si>
  <si>
    <t>Wood and Banno Activities (modified))</t>
  </si>
  <si>
    <t>Wood and Banno (original)</t>
  </si>
  <si>
    <t>Putirka (2008) RiMG</t>
  </si>
  <si>
    <t>Cpx-only</t>
  </si>
  <si>
    <r>
      <t>(K</t>
    </r>
    <r>
      <rPr>
        <b/>
        <vertAlign val="subscript"/>
        <sz val="10"/>
        <rFont val="Verdana"/>
        <family val="2"/>
      </rPr>
      <t>D</t>
    </r>
    <r>
      <rPr>
        <b/>
        <sz val="10"/>
        <rFont val="Verdana"/>
        <family val="2"/>
      </rPr>
      <t xml:space="preserve"> should be 1.09±.14)</t>
    </r>
    <phoneticPr fontId="8"/>
  </si>
  <si>
    <t>Clinopyroxene</t>
  </si>
  <si>
    <t>assign half of all Mg and Fe to M1 and M2</t>
  </si>
  <si>
    <t>(Mg and Fe in M1 and M2 = sites left after filling sites with other cations)</t>
  </si>
  <si>
    <t>Orthopyroxene</t>
  </si>
  <si>
    <t>Orthpyroxene</t>
  </si>
  <si>
    <t>Modified (assign half of total Mg and Fe to each of M1 and M2)</t>
  </si>
  <si>
    <t>Nickel and Brey (1984)</t>
  </si>
  <si>
    <t>Sen and Jones (1989)</t>
  </si>
  <si>
    <t>Wood and Banno (1973)</t>
  </si>
  <si>
    <t>Sen (1985)</t>
  </si>
  <si>
    <t>Mercier et al. (1984)</t>
  </si>
  <si>
    <t>Carlson and Lindsley (1988)</t>
  </si>
  <si>
    <t>Wells (1977)</t>
  </si>
  <si>
    <t>Clinopyroxene Composition - in Weight Percent</t>
  </si>
  <si>
    <t>Orthopyroxene Composition - in Weight Percent</t>
  </si>
  <si>
    <t>Olivine Composition - in Weight Percent</t>
    <phoneticPr fontId="8"/>
  </si>
  <si>
    <t>Ol</t>
    <phoneticPr fontId="8"/>
  </si>
  <si>
    <t>Spinel Composition - in Weight Percent</t>
    <phoneticPr fontId="8"/>
  </si>
  <si>
    <t>Mol Prop</t>
  </si>
  <si>
    <t>At Prop O</t>
  </si>
  <si>
    <t>For Calculation inputs - iterative</t>
    <phoneticPr fontId="8"/>
  </si>
  <si>
    <t>T(BKN)</t>
  </si>
  <si>
    <t>Eqn 36</t>
    <phoneticPr fontId="8"/>
  </si>
  <si>
    <t>Eqn 37</t>
    <phoneticPr fontId="8"/>
  </si>
  <si>
    <t>Eqn 38</t>
  </si>
  <si>
    <t>Eqn 39</t>
  </si>
  <si>
    <t>Wood &amp; Banno (1979)</t>
  </si>
  <si>
    <t>Eqn. 32 modified</t>
  </si>
  <si>
    <t>Observed</t>
  </si>
  <si>
    <t>Mole Proportions</t>
  </si>
  <si>
    <t>Numers of oxygens</t>
  </si>
  <si>
    <t>Cations on the basis of 6 oxygens</t>
  </si>
  <si>
    <t>Lindley</t>
  </si>
  <si>
    <t>Droop</t>
  </si>
  <si>
    <t>Cpx Components</t>
  </si>
  <si>
    <t xml:space="preserve"> (to be filled by Fe and Mg)</t>
  </si>
  <si>
    <t>use all Mg</t>
  </si>
  <si>
    <t>Nimis and Taylor  (2000)</t>
  </si>
  <si>
    <t>OPX COMPONENTS</t>
  </si>
  <si>
    <t>Wood and Banno modified</t>
  </si>
  <si>
    <t>Wood &amp; Banno (original; assign Mg and Fe as space remiaing after filling other M1 and M2 cations</t>
  </si>
  <si>
    <t>Nickel et al. 1985</t>
  </si>
  <si>
    <t>Use FmO</t>
  </si>
  <si>
    <t>Use Mg only</t>
  </si>
  <si>
    <t>KD1</t>
  </si>
  <si>
    <t>KD2</t>
  </si>
  <si>
    <t>P (GPa)</t>
  </si>
  <si>
    <t>FeOt</t>
  </si>
  <si>
    <t>Fe/(Fe+Mg)</t>
    <phoneticPr fontId="1" type="noConversion"/>
  </si>
  <si>
    <t>Fe2O3</t>
    <phoneticPr fontId="8"/>
  </si>
  <si>
    <t>FeO</t>
    <phoneticPr fontId="8"/>
  </si>
  <si>
    <t>SUM</t>
    <phoneticPr fontId="8"/>
  </si>
  <si>
    <t>No Oxyg</t>
  </si>
  <si>
    <t>T2</t>
    <phoneticPr fontId="8"/>
  </si>
  <si>
    <t>T(C )</t>
    <phoneticPr fontId="8"/>
  </si>
  <si>
    <t>P(kbar)</t>
    <phoneticPr fontId="8"/>
  </si>
  <si>
    <t>Mg#(cpx)</t>
  </si>
  <si>
    <t>T(C )</t>
  </si>
  <si>
    <t>P(kbar)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</si>
  <si>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>(Fe-Mg)</t>
    </r>
  </si>
  <si>
    <t>Kf</t>
  </si>
  <si>
    <t>Oxy factor</t>
  </si>
  <si>
    <t>Al(IV)</t>
  </si>
  <si>
    <t>AL(VI)</t>
  </si>
  <si>
    <t>Al (total)</t>
  </si>
  <si>
    <t>Fe3+</t>
  </si>
  <si>
    <t>Jd</t>
  </si>
  <si>
    <t>CaTs</t>
  </si>
  <si>
    <t>CaTi</t>
  </si>
  <si>
    <t>CrCaTs</t>
  </si>
  <si>
    <t>DiHd (1996)</t>
  </si>
  <si>
    <t>EnFs</t>
  </si>
  <si>
    <t>En</t>
  </si>
  <si>
    <t>Di</t>
  </si>
  <si>
    <t>Comp sum</t>
  </si>
  <si>
    <t>DiHd (2003)</t>
  </si>
  <si>
    <t>Mg# cpx</t>
  </si>
  <si>
    <t>Fe2+</t>
  </si>
  <si>
    <t>a(En)-cpx</t>
  </si>
  <si>
    <t>a(Di)-cpx</t>
  </si>
  <si>
    <t>X(En)</t>
  </si>
  <si>
    <t>X(Mg) M1</t>
  </si>
  <si>
    <t>X(Fe) M1</t>
  </si>
  <si>
    <t>X(Mg) M2</t>
  </si>
  <si>
    <t>X(Fe) M2</t>
  </si>
  <si>
    <t>NaAlSi2O6</t>
  </si>
  <si>
    <t>FmTiAlSiO6</t>
  </si>
  <si>
    <t>CrAl2SiO6</t>
  </si>
  <si>
    <t>FmAl2SiO6</t>
  </si>
  <si>
    <t>CaFmSi2O6</t>
  </si>
  <si>
    <t>Fm2Si2O6</t>
  </si>
  <si>
    <t>a(En)-opx</t>
  </si>
  <si>
    <t>a(Di)-opx</t>
  </si>
  <si>
    <t>X(Fe)opx</t>
  </si>
  <si>
    <t>Mg#</t>
  </si>
  <si>
    <t>comp sum</t>
  </si>
  <si>
    <t>KD</t>
  </si>
  <si>
    <t>T(A)</t>
  </si>
  <si>
    <t xml:space="preserve">T(A) </t>
  </si>
  <si>
    <t xml:space="preserve">T(B) </t>
  </si>
  <si>
    <t>T(B)</t>
  </si>
  <si>
    <t>P(kbar) 1</t>
  </si>
  <si>
    <t>P(kbar) 2</t>
  </si>
  <si>
    <t>WG1cpx</t>
  </si>
  <si>
    <t>WG2cpx</t>
  </si>
  <si>
    <t>WGOen</t>
  </si>
  <si>
    <t>TA</t>
  </si>
  <si>
    <t>TB</t>
  </si>
  <si>
    <t>Tca-in-opx</t>
  </si>
  <si>
    <t>T(D-Na)</t>
  </si>
  <si>
    <t>T(C ) Eqn 5</t>
  </si>
  <si>
    <t>No anions</t>
    <phoneticPr fontId="22" type="noConversion"/>
  </si>
  <si>
    <t>Formula</t>
  </si>
  <si>
    <t>Si</t>
    <phoneticPr fontId="22" type="noConversion"/>
  </si>
  <si>
    <t>Ti</t>
    <phoneticPr fontId="22" type="noConversion"/>
  </si>
  <si>
    <t>Norm</t>
  </si>
  <si>
    <t>T/S</t>
  </si>
  <si>
    <t>SUM</t>
    <phoneticPr fontId="1" type="noConversion"/>
  </si>
  <si>
    <t>Fe/Fe+Mg</t>
  </si>
  <si>
    <t>Cr/Cr+Al</t>
  </si>
  <si>
    <t>Fe2/(Fe2+Fe3)</t>
  </si>
  <si>
    <t>Fe3/(Fe3+Fe2)</t>
  </si>
  <si>
    <t>FeO</t>
    <phoneticPr fontId="1" type="noConversion"/>
  </si>
  <si>
    <t>Fe(iii)</t>
    <phoneticPr fontId="1" type="noConversion"/>
  </si>
  <si>
    <t>Al/ΣR3+</t>
    <phoneticPr fontId="22" type="noConversion"/>
  </si>
  <si>
    <t>Fe3/ΣR3+</t>
    <phoneticPr fontId="22" type="noConversion"/>
  </si>
  <si>
    <t>Fe2+/Fe2++Mg2+</t>
    <phoneticPr fontId="22" type="noConversion"/>
  </si>
  <si>
    <t>wt. % of spinel after calculating Fe3+</t>
    <phoneticPr fontId="1" type="noConversion"/>
  </si>
  <si>
    <t>Formula ratio of Fe in spinel</t>
    <phoneticPr fontId="1" type="noConversion"/>
  </si>
  <si>
    <t>Formula concentration of Fe in spinel</t>
    <phoneticPr fontId="1" type="noConversion"/>
  </si>
  <si>
    <t>Δlogf(O2)</t>
    <phoneticPr fontId="1" type="noConversion"/>
  </si>
  <si>
    <t>Temperature based on Well, 1979</t>
    <phoneticPr fontId="1" type="noConversion"/>
  </si>
  <si>
    <t>logaFe3O4 of spinel</t>
    <phoneticPr fontId="1" type="noConversion"/>
  </si>
  <si>
    <t>Output of Δlogf(O2)</t>
    <phoneticPr fontId="1" type="noConversion"/>
  </si>
  <si>
    <t>Formula based on Wood et al. (1990)</t>
    <phoneticPr fontId="1" type="noConversion"/>
  </si>
  <si>
    <t>Brey and Kohler (1990)</t>
    <phoneticPr fontId="1" type="noConversion"/>
  </si>
  <si>
    <t>Based on 32 Oxygen</t>
    <phoneticPr fontId="1" type="noConversion"/>
  </si>
  <si>
    <t>logf(O2)FMQ</t>
    <phoneticPr fontId="1" type="noConversion"/>
  </si>
  <si>
    <r>
      <t>log ( fO2 )</t>
    </r>
    <r>
      <rPr>
        <b/>
        <vertAlign val="subscript"/>
        <sz val="11"/>
        <color rgb="FF000000"/>
        <rFont val="Verdana"/>
        <family val="2"/>
      </rPr>
      <t xml:space="preserve"> P. T</t>
    </r>
    <phoneticPr fontId="1" type="noConversion"/>
  </si>
  <si>
    <t>Temperature based on Brey and Kohler (1990)</t>
    <phoneticPr fontId="1" type="noConversion"/>
  </si>
  <si>
    <t>Output of logf(O2)</t>
    <phoneticPr fontId="1" type="noConversion"/>
  </si>
  <si>
    <t>Mg/(Fe+Mg)</t>
    <phoneticPr fontId="1" type="noConversion"/>
  </si>
  <si>
    <t>Cations （4 oxygen）</t>
    <phoneticPr fontId="1" type="noConversion"/>
  </si>
  <si>
    <t>Cr</t>
    <phoneticPr fontId="1" type="noConversion"/>
  </si>
  <si>
    <t>SiO2</t>
    <phoneticPr fontId="1" type="noConversion"/>
  </si>
  <si>
    <t>TiO2</t>
    <phoneticPr fontId="1" type="noConversion"/>
  </si>
  <si>
    <t>Al2O3</t>
    <phoneticPr fontId="1" type="noConversion"/>
  </si>
  <si>
    <t>FeOt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</si>
  <si>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</si>
  <si>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</si>
  <si>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</si>
  <si>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Na2O</t>
    <phoneticPr fontId="1" type="noConversion"/>
  </si>
  <si>
    <t>K2O</t>
    <phoneticPr fontId="1" type="noConversion"/>
  </si>
  <si>
    <t>Cr2O3</t>
    <phoneticPr fontId="1" type="noConversion"/>
  </si>
  <si>
    <t>Formula based on Ballhaus et al. (1991)</t>
    <phoneticPr fontId="1" type="noConversion"/>
  </si>
  <si>
    <t>Formula based on Nell and Wood (1991)</t>
    <phoneticPr fontId="1" type="noConversion"/>
  </si>
  <si>
    <t>Enter  Estimated Pressure Here</t>
    <phoneticPr fontId="8"/>
  </si>
  <si>
    <t>Formula based on Nikolaev et al. (2016)</t>
    <phoneticPr fontId="1" type="noConversion"/>
  </si>
  <si>
    <t>total</t>
    <phoneticPr fontId="1" type="noConversion"/>
  </si>
  <si>
    <t>Ti</t>
    <phoneticPr fontId="1" type="noConversion"/>
  </si>
  <si>
    <t>elements normalized to one and proportion of these elements</t>
    <phoneticPr fontId="1" type="noConversion"/>
  </si>
  <si>
    <t>XFe3+</t>
    <phoneticPr fontId="1" type="noConversion"/>
  </si>
  <si>
    <t>XFe2+</t>
    <phoneticPr fontId="1" type="noConversion"/>
  </si>
  <si>
    <t xml:space="preserve">A2-10 </t>
  </si>
  <si>
    <t xml:space="preserve">A2-11 </t>
  </si>
  <si>
    <t xml:space="preserve">ABG08 </t>
  </si>
  <si>
    <t>ZhangMin2012</t>
  </si>
  <si>
    <t>Spinel calculation</t>
    <phoneticPr fontId="1" type="noConversion"/>
  </si>
  <si>
    <t>Reference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</si>
</sst>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name val="Verdana"/>
      <family val="2"/>
    </font>
    <font>
      <sz val="10"/>
      <color indexed="8"/>
      <name val="Verdana"/>
      <family val="2"/>
    </font>
    <font>
      <sz val="18"/>
      <color indexed="8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2"/>
      <color indexed="8"/>
      <name val="Verdana"/>
      <family val="2"/>
    </font>
    <font>
      <vertAlign val="subscript"/>
      <sz val="10"/>
      <name val="Verdana"/>
      <family val="2"/>
    </font>
    <font>
      <b/>
      <sz val="12"/>
      <color indexed="81"/>
      <name val="Verdana"/>
      <family val="2"/>
    </font>
    <font>
      <sz val="12"/>
      <color indexed="81"/>
      <name val="Verdan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9"/>
      <name val="宋体"/>
      <family val="3"/>
      <charset val="134"/>
    </font>
    <font>
      <b/>
      <vertAlign val="subscript"/>
      <sz val="11"/>
      <color rgb="FF000000"/>
      <name val="Verdana"/>
      <family val="2"/>
    </font>
    <font>
      <sz val="10"/>
      <name val="微软雅黑"/>
      <family val="2"/>
      <charset val="134"/>
    </font>
    <font>
      <sz val="10"/>
      <color rgb="FFFF0000"/>
      <name val="Verdana"/>
      <family val="2"/>
    </font>
    <font>
      <sz val="11"/>
      <color rgb="FFFF0000"/>
      <name val="Times New Roman"/>
      <family val="1"/>
    </font>
    <font>
      <sz val="10"/>
      <color rgb="FFFF0000"/>
      <name val="宋体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0" fontId="7" fillId="2" borderId="1" xfId="0" applyFont="1" applyFill="1" applyBorder="1"/>
    <xf numFmtId="0" fontId="3" fillId="2" borderId="1" xfId="0" applyFont="1" applyFill="1" applyBorder="1"/>
    <xf numFmtId="0" fontId="6" fillId="0" borderId="2" xfId="0" applyFont="1" applyBorder="1"/>
    <xf numFmtId="0" fontId="3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4" xfId="0" applyBorder="1"/>
    <xf numFmtId="177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177" fontId="3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2" fillId="3" borderId="0" xfId="0" applyFont="1" applyFill="1"/>
    <xf numFmtId="0" fontId="12" fillId="0" borderId="0" xfId="0" applyFont="1"/>
    <xf numFmtId="176" fontId="3" fillId="2" borderId="0" xfId="0" applyNumberFormat="1" applyFont="1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 applyAlignment="1">
      <alignment horizontal="center"/>
    </xf>
    <xf numFmtId="177" fontId="3" fillId="0" borderId="0" xfId="0" applyNumberFormat="1" applyFont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0" fillId="0" borderId="1" xfId="0" applyBorder="1" applyAlignment="1">
      <alignment horizontal="center"/>
    </xf>
    <xf numFmtId="176" fontId="3" fillId="2" borderId="0" xfId="0" applyNumberFormat="1" applyFont="1" applyFill="1" applyAlignment="1">
      <alignment horizontal="center" wrapText="1"/>
    </xf>
    <xf numFmtId="0" fontId="13" fillId="0" borderId="1" xfId="0" applyFont="1" applyBorder="1" applyAlignment="1">
      <alignment horizontal="center"/>
    </xf>
    <xf numFmtId="178" fontId="0" fillId="0" borderId="1" xfId="0" applyNumberFormat="1" applyBorder="1"/>
    <xf numFmtId="0" fontId="0" fillId="0" borderId="1" xfId="0" applyBorder="1"/>
    <xf numFmtId="178" fontId="0" fillId="0" borderId="0" xfId="0" applyNumberFormat="1"/>
    <xf numFmtId="176" fontId="10" fillId="0" borderId="0" xfId="0" applyNumberFormat="1" applyFont="1" applyAlignment="1">
      <alignment vertical="center" wrapText="1"/>
    </xf>
    <xf numFmtId="0" fontId="24" fillId="0" borderId="0" xfId="0" applyFont="1"/>
    <xf numFmtId="2" fontId="3" fillId="2" borderId="0" xfId="0" applyNumberFormat="1" applyFont="1" applyFill="1" applyAlignment="1">
      <alignment horizontal="center" wrapText="1"/>
    </xf>
    <xf numFmtId="0" fontId="10" fillId="0" borderId="9" xfId="0" applyFont="1" applyBorder="1"/>
    <xf numFmtId="0" fontId="10" fillId="0" borderId="10" xfId="0" applyFont="1" applyBorder="1"/>
    <xf numFmtId="178" fontId="14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25" fillId="3" borderId="0" xfId="0" applyFont="1" applyFill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2" fontId="25" fillId="3" borderId="0" xfId="0" applyNumberFormat="1" applyFont="1" applyFill="1" applyAlignment="1">
      <alignment horizontal="center"/>
    </xf>
    <xf numFmtId="0" fontId="25" fillId="0" borderId="0" xfId="0" applyFont="1"/>
    <xf numFmtId="2" fontId="25" fillId="2" borderId="0" xfId="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25" fillId="2" borderId="0" xfId="0" applyNumberFormat="1" applyFont="1" applyFill="1" applyAlignment="1">
      <alignment horizontal="center" wrapText="1"/>
    </xf>
    <xf numFmtId="2" fontId="25" fillId="0" borderId="0" xfId="0" applyNumberFormat="1" applyFont="1" applyAlignment="1">
      <alignment horizontal="center" wrapText="1"/>
    </xf>
    <xf numFmtId="0" fontId="28" fillId="0" borderId="0" xfId="0" applyFont="1"/>
    <xf numFmtId="176" fontId="25" fillId="0" borderId="0" xfId="0" applyNumberFormat="1" applyFont="1" applyAlignment="1">
      <alignment horizontal="center"/>
    </xf>
    <xf numFmtId="178" fontId="29" fillId="0" borderId="0" xfId="0" applyNumberFormat="1" applyFont="1" applyAlignment="1">
      <alignment horizontal="center"/>
    </xf>
    <xf numFmtId="176" fontId="25" fillId="2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28" fillId="0" borderId="0" xfId="0" applyNumberFormat="1" applyFont="1"/>
    <xf numFmtId="177" fontId="28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176" fontId="10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6FFF-FAB0-420C-9F32-E3FA552B140B}">
  <dimension ref="A1:MO20"/>
  <sheetViews>
    <sheetView tabSelected="1" topLeftCell="A8" zoomScale="115" zoomScaleNormal="115" workbookViewId="0">
      <selection activeCell="C18" sqref="C18"/>
    </sheetView>
  </sheetViews>
  <sheetFormatPr defaultColWidth="10.75" defaultRowHeight="12.75" x14ac:dyDescent="0.2"/>
  <cols>
    <col min="1" max="1" width="39.5" style="2" customWidth="1"/>
    <col min="2" max="2" width="13.5" style="3" customWidth="1"/>
    <col min="3" max="3" width="12.625" style="3" customWidth="1"/>
    <col min="4" max="4" width="10.75" style="2"/>
    <col min="5" max="6" width="10.75" style="3"/>
    <col min="7" max="7" width="19.25" style="3" customWidth="1"/>
    <col min="8" max="14" width="10.75" style="3"/>
    <col min="15" max="15" width="10.75" style="2"/>
    <col min="16" max="19" width="14.625" style="2" customWidth="1"/>
    <col min="20" max="49" width="10.75" style="2"/>
    <col min="50" max="50" width="21.125" style="2" customWidth="1"/>
    <col min="51" max="51" width="21" style="2" customWidth="1"/>
    <col min="52" max="52" width="9.75" style="2" customWidth="1"/>
    <col min="53" max="54" width="21" style="2" customWidth="1"/>
    <col min="55" max="55" width="10.75" style="2"/>
    <col min="56" max="56" width="22.625" style="2" customWidth="1"/>
    <col min="57" max="57" width="24.25" style="2" customWidth="1"/>
    <col min="58" max="58" width="19.125" style="2" customWidth="1"/>
    <col min="59" max="59" width="23.125" style="2" customWidth="1"/>
    <col min="60" max="60" width="10.75" style="2"/>
    <col min="61" max="61" width="19" style="2" customWidth="1"/>
    <col min="62" max="62" width="22.625" style="2" customWidth="1"/>
    <col min="63" max="64" width="10.75" style="2"/>
    <col min="65" max="65" width="18.875" style="2" customWidth="1"/>
    <col min="66" max="66" width="22" style="2" customWidth="1"/>
    <col min="67" max="67" width="7.125" style="2" customWidth="1"/>
    <col min="68" max="69" width="22" style="2" customWidth="1"/>
    <col min="70" max="70" width="10.75" style="2"/>
    <col min="71" max="71" width="18.5" style="2" customWidth="1"/>
    <col min="72" max="72" width="17.875" style="2" customWidth="1"/>
    <col min="73" max="133" width="10.75" style="2"/>
    <col min="134" max="134" width="22" style="2" customWidth="1"/>
    <col min="135" max="135" width="12.75" style="2" customWidth="1"/>
    <col min="136" max="136" width="13.125" style="2" customWidth="1"/>
    <col min="137" max="157" width="10.75" style="2"/>
    <col min="158" max="158" width="15.75" style="2" customWidth="1"/>
    <col min="159" max="181" width="10.75" style="2"/>
    <col min="182" max="182" width="12.25" style="2" customWidth="1"/>
    <col min="183" max="183" width="16" style="2" customWidth="1"/>
    <col min="184" max="184" width="10.75" style="2"/>
    <col min="185" max="185" width="20.125" style="2" customWidth="1"/>
    <col min="186" max="186" width="3.875" style="2" customWidth="1"/>
    <col min="187" max="190" width="13.25" style="2" customWidth="1"/>
    <col min="191" max="191" width="16.25" style="2" customWidth="1"/>
    <col min="192" max="192" width="13.25" style="2" customWidth="1"/>
    <col min="193" max="193" width="14.75" style="2" customWidth="1"/>
    <col min="194" max="194" width="21.75" style="2" customWidth="1"/>
    <col min="195" max="195" width="10.75" style="2"/>
    <col min="196" max="196" width="10.625" style="2" customWidth="1"/>
    <col min="197" max="222" width="10.75" style="2"/>
    <col min="223" max="234" width="10.75" style="3"/>
    <col min="235" max="235" width="13.25" style="2" customWidth="1"/>
    <col min="236" max="236" width="15.875" style="2" customWidth="1"/>
    <col min="237" max="247" width="10.75" style="2"/>
    <col min="248" max="248" width="1.25" style="2" customWidth="1"/>
    <col min="249" max="251" width="10.75" style="2"/>
    <col min="252" max="258" width="12.25" style="3" customWidth="1"/>
    <col min="259" max="259" width="24.375" style="3" customWidth="1"/>
    <col min="260" max="284" width="10.75" style="2"/>
    <col min="285" max="296" width="10.75" style="3"/>
    <col min="297" max="305" width="10.75" style="2"/>
    <col min="306" max="306" width="7.25" style="2" customWidth="1"/>
    <col min="307" max="307" width="10.75" style="2"/>
    <col min="308" max="308" width="9.875" style="2" customWidth="1"/>
    <col min="309" max="309" width="8.625" style="2" customWidth="1"/>
    <col min="310" max="310" width="7.875" style="2" customWidth="1"/>
    <col min="311" max="311" width="15" style="2" customWidth="1"/>
    <col min="312" max="316" width="11.875" style="3" customWidth="1"/>
    <col min="317" max="317" width="22" style="3" customWidth="1"/>
    <col min="318" max="318" width="10.75" style="2"/>
    <col min="319" max="319" width="2" style="2" customWidth="1"/>
    <col min="320" max="320" width="5.125" style="2" customWidth="1"/>
    <col min="321" max="321" width="7.625" style="2" customWidth="1"/>
    <col min="322" max="322" width="2" style="2" customWidth="1"/>
    <col min="323" max="324" width="10.75" style="2"/>
    <col min="325" max="325" width="1.125" style="2" customWidth="1"/>
    <col min="326" max="329" width="10.75" style="2"/>
    <col min="330" max="330" width="8.625" style="2" customWidth="1"/>
    <col min="331" max="332" width="10.75" style="2"/>
    <col min="333" max="333" width="2.125" style="2" customWidth="1"/>
    <col min="334" max="334" width="12.875" style="2" customWidth="1"/>
    <col min="335" max="335" width="10.75" style="2"/>
    <col min="336" max="336" width="3.125" style="2" customWidth="1"/>
    <col min="337" max="338" width="10.75" style="2"/>
    <col min="339" max="339" width="1.875" style="2" customWidth="1"/>
    <col min="340" max="344" width="10.75" style="2"/>
    <col min="345" max="345" width="1" style="2" customWidth="1"/>
    <col min="346" max="347" width="10.75" style="2"/>
    <col min="348" max="348" width="0.625" style="2" customWidth="1"/>
    <col min="349" max="349" width="10.625" style="2" customWidth="1"/>
    <col min="350" max="350" width="2.75" style="2" customWidth="1"/>
    <col min="351" max="352" width="6.75" style="2" customWidth="1"/>
    <col min="353" max="353" width="10.75" style="3"/>
    <col min="354" max="358" width="10.75" style="2"/>
    <col min="359" max="359" width="47.375" style="2" customWidth="1"/>
    <col min="360" max="360" width="10.75" style="2"/>
    <col min="361" max="361" width="18.625" style="2" customWidth="1"/>
    <col min="362" max="362" width="10.75" style="2"/>
    <col min="363" max="363" width="4.25" style="2" customWidth="1"/>
    <col min="364" max="366" width="10.75" style="2"/>
    <col min="367" max="367" width="19.25" style="2" customWidth="1"/>
    <col min="368" max="375" width="10.75" style="2"/>
    <col min="376" max="379" width="14.625" style="2" customWidth="1"/>
    <col min="380" max="437" width="10.75" style="2"/>
    <col min="438" max="438" width="12.25" style="2" customWidth="1"/>
    <col min="439" max="439" width="16" style="2" customWidth="1"/>
    <col min="440" max="440" width="10.75" style="2"/>
    <col min="441" max="441" width="20.125" style="2" customWidth="1"/>
    <col min="442" max="442" width="3.875" style="2" customWidth="1"/>
    <col min="443" max="446" width="13.25" style="2" customWidth="1"/>
    <col min="447" max="447" width="16.25" style="2" customWidth="1"/>
    <col min="448" max="448" width="13.25" style="2" customWidth="1"/>
    <col min="449" max="449" width="14.75" style="2" customWidth="1"/>
    <col min="450" max="450" width="21.75" style="2" customWidth="1"/>
    <col min="451" max="451" width="10.75" style="2"/>
    <col min="452" max="452" width="10.625" style="2" customWidth="1"/>
    <col min="453" max="490" width="10.75" style="2"/>
    <col min="491" max="491" width="13.25" style="2" customWidth="1"/>
    <col min="492" max="492" width="15.875" style="2" customWidth="1"/>
    <col min="493" max="503" width="10.75" style="2"/>
    <col min="504" max="504" width="1.25" style="2" customWidth="1"/>
    <col min="505" max="507" width="10.75" style="2"/>
    <col min="508" max="514" width="12.25" style="2" customWidth="1"/>
    <col min="515" max="515" width="24.375" style="2" customWidth="1"/>
    <col min="516" max="561" width="10.75" style="2"/>
    <col min="562" max="562" width="7.25" style="2" customWidth="1"/>
    <col min="563" max="563" width="10.75" style="2"/>
    <col min="564" max="564" width="9.875" style="2" customWidth="1"/>
    <col min="565" max="565" width="8.625" style="2" customWidth="1"/>
    <col min="566" max="566" width="7.875" style="2" customWidth="1"/>
    <col min="567" max="567" width="15" style="2" customWidth="1"/>
    <col min="568" max="572" width="11.875" style="2" customWidth="1"/>
    <col min="573" max="573" width="22" style="2" customWidth="1"/>
    <col min="574" max="574" width="10.75" style="2"/>
    <col min="575" max="575" width="2" style="2" customWidth="1"/>
    <col min="576" max="576" width="5.125" style="2" customWidth="1"/>
    <col min="577" max="577" width="7.625" style="2" customWidth="1"/>
    <col min="578" max="578" width="2" style="2" customWidth="1"/>
    <col min="579" max="580" width="10.75" style="2"/>
    <col min="581" max="581" width="1.125" style="2" customWidth="1"/>
    <col min="582" max="585" width="10.75" style="2"/>
    <col min="586" max="586" width="8.625" style="2" customWidth="1"/>
    <col min="587" max="588" width="10.75" style="2"/>
    <col min="589" max="589" width="2.125" style="2" customWidth="1"/>
    <col min="590" max="590" width="12.875" style="2" customWidth="1"/>
    <col min="591" max="591" width="10.75" style="2"/>
    <col min="592" max="592" width="3.125" style="2" customWidth="1"/>
    <col min="593" max="594" width="10.75" style="2"/>
    <col min="595" max="595" width="1.875" style="2" customWidth="1"/>
    <col min="596" max="600" width="10.75" style="2"/>
    <col min="601" max="601" width="1" style="2" customWidth="1"/>
    <col min="602" max="603" width="10.75" style="2"/>
    <col min="604" max="604" width="0.625" style="2" customWidth="1"/>
    <col min="605" max="605" width="10.625" style="2" customWidth="1"/>
    <col min="606" max="606" width="2.75" style="2" customWidth="1"/>
    <col min="607" max="608" width="6.75" style="2" customWidth="1"/>
    <col min="609" max="614" width="10.75" style="2"/>
    <col min="615" max="615" width="47.375" style="2" customWidth="1"/>
    <col min="616" max="616" width="10.75" style="2"/>
    <col min="617" max="617" width="18.625" style="2" customWidth="1"/>
    <col min="618" max="618" width="10.75" style="2"/>
    <col min="619" max="619" width="4.25" style="2" customWidth="1"/>
    <col min="620" max="622" width="10.75" style="2"/>
    <col min="623" max="623" width="19.25" style="2" customWidth="1"/>
    <col min="624" max="631" width="10.75" style="2"/>
    <col min="632" max="635" width="14.625" style="2" customWidth="1"/>
    <col min="636" max="693" width="10.75" style="2"/>
    <col min="694" max="694" width="12.25" style="2" customWidth="1"/>
    <col min="695" max="695" width="16" style="2" customWidth="1"/>
    <col min="696" max="696" width="10.75" style="2"/>
    <col min="697" max="697" width="20.125" style="2" customWidth="1"/>
    <col min="698" max="698" width="3.875" style="2" customWidth="1"/>
    <col min="699" max="702" width="13.25" style="2" customWidth="1"/>
    <col min="703" max="703" width="16.25" style="2" customWidth="1"/>
    <col min="704" max="704" width="13.25" style="2" customWidth="1"/>
    <col min="705" max="705" width="14.75" style="2" customWidth="1"/>
    <col min="706" max="706" width="21.75" style="2" customWidth="1"/>
    <col min="707" max="707" width="10.75" style="2"/>
    <col min="708" max="708" width="10.625" style="2" customWidth="1"/>
    <col min="709" max="746" width="10.75" style="2"/>
    <col min="747" max="747" width="13.25" style="2" customWidth="1"/>
    <col min="748" max="748" width="15.875" style="2" customWidth="1"/>
    <col min="749" max="759" width="10.75" style="2"/>
    <col min="760" max="760" width="1.25" style="2" customWidth="1"/>
    <col min="761" max="763" width="10.75" style="2"/>
    <col min="764" max="770" width="12.25" style="2" customWidth="1"/>
    <col min="771" max="771" width="24.375" style="2" customWidth="1"/>
    <col min="772" max="817" width="10.75" style="2"/>
    <col min="818" max="818" width="7.25" style="2" customWidth="1"/>
    <col min="819" max="819" width="10.75" style="2"/>
    <col min="820" max="820" width="9.875" style="2" customWidth="1"/>
    <col min="821" max="821" width="8.625" style="2" customWidth="1"/>
    <col min="822" max="822" width="7.875" style="2" customWidth="1"/>
    <col min="823" max="823" width="15" style="2" customWidth="1"/>
    <col min="824" max="828" width="11.875" style="2" customWidth="1"/>
    <col min="829" max="829" width="22" style="2" customWidth="1"/>
    <col min="830" max="830" width="10.75" style="2"/>
    <col min="831" max="831" width="2" style="2" customWidth="1"/>
    <col min="832" max="832" width="5.125" style="2" customWidth="1"/>
    <col min="833" max="833" width="7.625" style="2" customWidth="1"/>
    <col min="834" max="834" width="2" style="2" customWidth="1"/>
    <col min="835" max="836" width="10.75" style="2"/>
    <col min="837" max="837" width="1.125" style="2" customWidth="1"/>
    <col min="838" max="841" width="10.75" style="2"/>
    <col min="842" max="842" width="8.625" style="2" customWidth="1"/>
    <col min="843" max="844" width="10.75" style="2"/>
    <col min="845" max="845" width="2.125" style="2" customWidth="1"/>
    <col min="846" max="846" width="12.875" style="2" customWidth="1"/>
    <col min="847" max="847" width="10.75" style="2"/>
    <col min="848" max="848" width="3.125" style="2" customWidth="1"/>
    <col min="849" max="850" width="10.75" style="2"/>
    <col min="851" max="851" width="1.875" style="2" customWidth="1"/>
    <col min="852" max="856" width="10.75" style="2"/>
    <col min="857" max="857" width="1" style="2" customWidth="1"/>
    <col min="858" max="859" width="10.75" style="2"/>
    <col min="860" max="860" width="0.625" style="2" customWidth="1"/>
    <col min="861" max="861" width="10.625" style="2" customWidth="1"/>
    <col min="862" max="862" width="2.75" style="2" customWidth="1"/>
    <col min="863" max="864" width="6.75" style="2" customWidth="1"/>
    <col min="865" max="870" width="10.75" style="2"/>
    <col min="871" max="871" width="47.375" style="2" customWidth="1"/>
    <col min="872" max="872" width="10.75" style="2"/>
    <col min="873" max="873" width="18.625" style="2" customWidth="1"/>
    <col min="874" max="874" width="10.75" style="2"/>
    <col min="875" max="875" width="4.25" style="2" customWidth="1"/>
    <col min="876" max="878" width="10.75" style="2"/>
    <col min="879" max="879" width="19.25" style="2" customWidth="1"/>
    <col min="880" max="887" width="10.75" style="2"/>
    <col min="888" max="891" width="14.625" style="2" customWidth="1"/>
    <col min="892" max="949" width="10.75" style="2"/>
    <col min="950" max="950" width="12.25" style="2" customWidth="1"/>
    <col min="951" max="951" width="16" style="2" customWidth="1"/>
    <col min="952" max="952" width="10.75" style="2"/>
    <col min="953" max="953" width="20.125" style="2" customWidth="1"/>
    <col min="954" max="954" width="3.875" style="2" customWidth="1"/>
    <col min="955" max="958" width="13.25" style="2" customWidth="1"/>
    <col min="959" max="959" width="16.25" style="2" customWidth="1"/>
    <col min="960" max="960" width="13.25" style="2" customWidth="1"/>
    <col min="961" max="961" width="14.75" style="2" customWidth="1"/>
    <col min="962" max="962" width="21.75" style="2" customWidth="1"/>
    <col min="963" max="963" width="10.75" style="2"/>
    <col min="964" max="964" width="10.625" style="2" customWidth="1"/>
    <col min="965" max="1002" width="10.75" style="2"/>
    <col min="1003" max="1003" width="13.25" style="2" customWidth="1"/>
    <col min="1004" max="1004" width="15.875" style="2" customWidth="1"/>
    <col min="1005" max="1015" width="10.75" style="2"/>
    <col min="1016" max="1016" width="1.25" style="2" customWidth="1"/>
    <col min="1017" max="1019" width="10.75" style="2"/>
    <col min="1020" max="1026" width="12.25" style="2" customWidth="1"/>
    <col min="1027" max="1027" width="24.375" style="2" customWidth="1"/>
    <col min="1028" max="1073" width="10.75" style="2"/>
    <col min="1074" max="1074" width="7.25" style="2" customWidth="1"/>
    <col min="1075" max="1075" width="10.75" style="2"/>
    <col min="1076" max="1076" width="9.875" style="2" customWidth="1"/>
    <col min="1077" max="1077" width="8.625" style="2" customWidth="1"/>
    <col min="1078" max="1078" width="7.875" style="2" customWidth="1"/>
    <col min="1079" max="1079" width="15" style="2" customWidth="1"/>
    <col min="1080" max="1084" width="11.875" style="2" customWidth="1"/>
    <col min="1085" max="1085" width="22" style="2" customWidth="1"/>
    <col min="1086" max="1086" width="10.75" style="2"/>
    <col min="1087" max="1087" width="2" style="2" customWidth="1"/>
    <col min="1088" max="1088" width="5.125" style="2" customWidth="1"/>
    <col min="1089" max="1089" width="7.625" style="2" customWidth="1"/>
    <col min="1090" max="1090" width="2" style="2" customWidth="1"/>
    <col min="1091" max="1092" width="10.75" style="2"/>
    <col min="1093" max="1093" width="1.125" style="2" customWidth="1"/>
    <col min="1094" max="1097" width="10.75" style="2"/>
    <col min="1098" max="1098" width="8.625" style="2" customWidth="1"/>
    <col min="1099" max="1100" width="10.75" style="2"/>
    <col min="1101" max="1101" width="2.125" style="2" customWidth="1"/>
    <col min="1102" max="1102" width="12.875" style="2" customWidth="1"/>
    <col min="1103" max="1103" width="10.75" style="2"/>
    <col min="1104" max="1104" width="3.125" style="2" customWidth="1"/>
    <col min="1105" max="1106" width="10.75" style="2"/>
    <col min="1107" max="1107" width="1.875" style="2" customWidth="1"/>
    <col min="1108" max="1112" width="10.75" style="2"/>
    <col min="1113" max="1113" width="1" style="2" customWidth="1"/>
    <col min="1114" max="1115" width="10.75" style="2"/>
    <col min="1116" max="1116" width="0.625" style="2" customWidth="1"/>
    <col min="1117" max="1117" width="10.625" style="2" customWidth="1"/>
    <col min="1118" max="1118" width="2.75" style="2" customWidth="1"/>
    <col min="1119" max="1120" width="6.75" style="2" customWidth="1"/>
    <col min="1121" max="1126" width="10.75" style="2"/>
    <col min="1127" max="1127" width="47.375" style="2" customWidth="1"/>
    <col min="1128" max="1128" width="10.75" style="2"/>
    <col min="1129" max="1129" width="18.625" style="2" customWidth="1"/>
    <col min="1130" max="1130" width="10.75" style="2"/>
    <col min="1131" max="1131" width="4.25" style="2" customWidth="1"/>
    <col min="1132" max="1134" width="10.75" style="2"/>
    <col min="1135" max="1135" width="19.25" style="2" customWidth="1"/>
    <col min="1136" max="1143" width="10.75" style="2"/>
    <col min="1144" max="1147" width="14.625" style="2" customWidth="1"/>
    <col min="1148" max="1205" width="10.75" style="2"/>
    <col min="1206" max="1206" width="12.25" style="2" customWidth="1"/>
    <col min="1207" max="1207" width="16" style="2" customWidth="1"/>
    <col min="1208" max="1208" width="10.75" style="2"/>
    <col min="1209" max="1209" width="20.125" style="2" customWidth="1"/>
    <col min="1210" max="1210" width="3.875" style="2" customWidth="1"/>
    <col min="1211" max="1214" width="13.25" style="2" customWidth="1"/>
    <col min="1215" max="1215" width="16.25" style="2" customWidth="1"/>
    <col min="1216" max="1216" width="13.25" style="2" customWidth="1"/>
    <col min="1217" max="1217" width="14.75" style="2" customWidth="1"/>
    <col min="1218" max="1218" width="21.75" style="2" customWidth="1"/>
    <col min="1219" max="1219" width="10.75" style="2"/>
    <col min="1220" max="1220" width="10.625" style="2" customWidth="1"/>
    <col min="1221" max="1258" width="10.75" style="2"/>
    <col min="1259" max="1259" width="13.25" style="2" customWidth="1"/>
    <col min="1260" max="1260" width="15.875" style="2" customWidth="1"/>
    <col min="1261" max="1271" width="10.75" style="2"/>
    <col min="1272" max="1272" width="1.25" style="2" customWidth="1"/>
    <col min="1273" max="1275" width="10.75" style="2"/>
    <col min="1276" max="1282" width="12.25" style="2" customWidth="1"/>
    <col min="1283" max="1283" width="24.375" style="2" customWidth="1"/>
    <col min="1284" max="1329" width="10.75" style="2"/>
    <col min="1330" max="1330" width="7.25" style="2" customWidth="1"/>
    <col min="1331" max="1331" width="10.75" style="2"/>
    <col min="1332" max="1332" width="9.875" style="2" customWidth="1"/>
    <col min="1333" max="1333" width="8.625" style="2" customWidth="1"/>
    <col min="1334" max="1334" width="7.875" style="2" customWidth="1"/>
    <col min="1335" max="1335" width="15" style="2" customWidth="1"/>
    <col min="1336" max="1340" width="11.875" style="2" customWidth="1"/>
    <col min="1341" max="1341" width="22" style="2" customWidth="1"/>
    <col min="1342" max="1342" width="10.75" style="2"/>
    <col min="1343" max="1343" width="2" style="2" customWidth="1"/>
    <col min="1344" max="1344" width="5.125" style="2" customWidth="1"/>
    <col min="1345" max="1345" width="7.625" style="2" customWidth="1"/>
    <col min="1346" max="1346" width="2" style="2" customWidth="1"/>
    <col min="1347" max="1348" width="10.75" style="2"/>
    <col min="1349" max="1349" width="1.125" style="2" customWidth="1"/>
    <col min="1350" max="1353" width="10.75" style="2"/>
    <col min="1354" max="1354" width="8.625" style="2" customWidth="1"/>
    <col min="1355" max="1356" width="10.75" style="2"/>
    <col min="1357" max="1357" width="2.125" style="2" customWidth="1"/>
    <col min="1358" max="1358" width="12.875" style="2" customWidth="1"/>
    <col min="1359" max="1359" width="10.75" style="2"/>
    <col min="1360" max="1360" width="3.125" style="2" customWidth="1"/>
    <col min="1361" max="1362" width="10.75" style="2"/>
    <col min="1363" max="1363" width="1.875" style="2" customWidth="1"/>
    <col min="1364" max="1368" width="10.75" style="2"/>
    <col min="1369" max="1369" width="1" style="2" customWidth="1"/>
    <col min="1370" max="1371" width="10.75" style="2"/>
    <col min="1372" max="1372" width="0.625" style="2" customWidth="1"/>
    <col min="1373" max="1373" width="10.625" style="2" customWidth="1"/>
    <col min="1374" max="1374" width="2.75" style="2" customWidth="1"/>
    <col min="1375" max="1376" width="6.75" style="2" customWidth="1"/>
    <col min="1377" max="1382" width="10.75" style="2"/>
    <col min="1383" max="1383" width="47.375" style="2" customWidth="1"/>
    <col min="1384" max="1384" width="10.75" style="2"/>
    <col min="1385" max="1385" width="18.625" style="2" customWidth="1"/>
    <col min="1386" max="1386" width="10.75" style="2"/>
    <col min="1387" max="1387" width="4.25" style="2" customWidth="1"/>
    <col min="1388" max="1390" width="10.75" style="2"/>
    <col min="1391" max="1391" width="19.25" style="2" customWidth="1"/>
    <col min="1392" max="1399" width="10.75" style="2"/>
    <col min="1400" max="1403" width="14.625" style="2" customWidth="1"/>
    <col min="1404" max="1461" width="10.75" style="2"/>
    <col min="1462" max="1462" width="12.25" style="2" customWidth="1"/>
    <col min="1463" max="1463" width="16" style="2" customWidth="1"/>
    <col min="1464" max="1464" width="10.75" style="2"/>
    <col min="1465" max="1465" width="20.125" style="2" customWidth="1"/>
    <col min="1466" max="1466" width="3.875" style="2" customWidth="1"/>
    <col min="1467" max="1470" width="13.25" style="2" customWidth="1"/>
    <col min="1471" max="1471" width="16.25" style="2" customWidth="1"/>
    <col min="1472" max="1472" width="13.25" style="2" customWidth="1"/>
    <col min="1473" max="1473" width="14.75" style="2" customWidth="1"/>
    <col min="1474" max="1474" width="21.75" style="2" customWidth="1"/>
    <col min="1475" max="1475" width="10.75" style="2"/>
    <col min="1476" max="1476" width="10.625" style="2" customWidth="1"/>
    <col min="1477" max="1514" width="10.75" style="2"/>
    <col min="1515" max="1515" width="13.25" style="2" customWidth="1"/>
    <col min="1516" max="1516" width="15.875" style="2" customWidth="1"/>
    <col min="1517" max="1527" width="10.75" style="2"/>
    <col min="1528" max="1528" width="1.25" style="2" customWidth="1"/>
    <col min="1529" max="1531" width="10.75" style="2"/>
    <col min="1532" max="1538" width="12.25" style="2" customWidth="1"/>
    <col min="1539" max="1539" width="24.375" style="2" customWidth="1"/>
    <col min="1540" max="1585" width="10.75" style="2"/>
    <col min="1586" max="1586" width="7.25" style="2" customWidth="1"/>
    <col min="1587" max="1587" width="10.75" style="2"/>
    <col min="1588" max="1588" width="9.875" style="2" customWidth="1"/>
    <col min="1589" max="1589" width="8.625" style="2" customWidth="1"/>
    <col min="1590" max="1590" width="7.875" style="2" customWidth="1"/>
    <col min="1591" max="1591" width="15" style="2" customWidth="1"/>
    <col min="1592" max="1596" width="11.875" style="2" customWidth="1"/>
    <col min="1597" max="1597" width="22" style="2" customWidth="1"/>
    <col min="1598" max="1598" width="10.75" style="2"/>
    <col min="1599" max="1599" width="2" style="2" customWidth="1"/>
    <col min="1600" max="1600" width="5.125" style="2" customWidth="1"/>
    <col min="1601" max="1601" width="7.625" style="2" customWidth="1"/>
    <col min="1602" max="1602" width="2" style="2" customWidth="1"/>
    <col min="1603" max="1604" width="10.75" style="2"/>
    <col min="1605" max="1605" width="1.125" style="2" customWidth="1"/>
    <col min="1606" max="1609" width="10.75" style="2"/>
    <col min="1610" max="1610" width="8.625" style="2" customWidth="1"/>
    <col min="1611" max="1612" width="10.75" style="2"/>
    <col min="1613" max="1613" width="2.125" style="2" customWidth="1"/>
    <col min="1614" max="1614" width="12.875" style="2" customWidth="1"/>
    <col min="1615" max="1615" width="10.75" style="2"/>
    <col min="1616" max="1616" width="3.125" style="2" customWidth="1"/>
    <col min="1617" max="1618" width="10.75" style="2"/>
    <col min="1619" max="1619" width="1.875" style="2" customWidth="1"/>
    <col min="1620" max="1624" width="10.75" style="2"/>
    <col min="1625" max="1625" width="1" style="2" customWidth="1"/>
    <col min="1626" max="1627" width="10.75" style="2"/>
    <col min="1628" max="1628" width="0.625" style="2" customWidth="1"/>
    <col min="1629" max="1629" width="10.625" style="2" customWidth="1"/>
    <col min="1630" max="1630" width="2.75" style="2" customWidth="1"/>
    <col min="1631" max="1632" width="6.75" style="2" customWidth="1"/>
    <col min="1633" max="1638" width="10.75" style="2"/>
    <col min="1639" max="1639" width="47.375" style="2" customWidth="1"/>
    <col min="1640" max="1640" width="10.75" style="2"/>
    <col min="1641" max="1641" width="18.625" style="2" customWidth="1"/>
    <col min="1642" max="1642" width="10.75" style="2"/>
    <col min="1643" max="1643" width="4.25" style="2" customWidth="1"/>
    <col min="1644" max="1646" width="10.75" style="2"/>
    <col min="1647" max="1647" width="19.25" style="2" customWidth="1"/>
    <col min="1648" max="1655" width="10.75" style="2"/>
    <col min="1656" max="1659" width="14.625" style="2" customWidth="1"/>
    <col min="1660" max="1717" width="10.75" style="2"/>
    <col min="1718" max="1718" width="12.25" style="2" customWidth="1"/>
    <col min="1719" max="1719" width="16" style="2" customWidth="1"/>
    <col min="1720" max="1720" width="10.75" style="2"/>
    <col min="1721" max="1721" width="20.125" style="2" customWidth="1"/>
    <col min="1722" max="1722" width="3.875" style="2" customWidth="1"/>
    <col min="1723" max="1726" width="13.25" style="2" customWidth="1"/>
    <col min="1727" max="1727" width="16.25" style="2" customWidth="1"/>
    <col min="1728" max="1728" width="13.25" style="2" customWidth="1"/>
    <col min="1729" max="1729" width="14.75" style="2" customWidth="1"/>
    <col min="1730" max="1730" width="21.75" style="2" customWidth="1"/>
    <col min="1731" max="1731" width="10.75" style="2"/>
    <col min="1732" max="1732" width="10.625" style="2" customWidth="1"/>
    <col min="1733" max="1770" width="10.75" style="2"/>
    <col min="1771" max="1771" width="13.25" style="2" customWidth="1"/>
    <col min="1772" max="1772" width="15.875" style="2" customWidth="1"/>
    <col min="1773" max="1783" width="10.75" style="2"/>
    <col min="1784" max="1784" width="1.25" style="2" customWidth="1"/>
    <col min="1785" max="1787" width="10.75" style="2"/>
    <col min="1788" max="1794" width="12.25" style="2" customWidth="1"/>
    <col min="1795" max="1795" width="24.375" style="2" customWidth="1"/>
    <col min="1796" max="1841" width="10.75" style="2"/>
    <col min="1842" max="1842" width="7.25" style="2" customWidth="1"/>
    <col min="1843" max="1843" width="10.75" style="2"/>
    <col min="1844" max="1844" width="9.875" style="2" customWidth="1"/>
    <col min="1845" max="1845" width="8.625" style="2" customWidth="1"/>
    <col min="1846" max="1846" width="7.875" style="2" customWidth="1"/>
    <col min="1847" max="1847" width="15" style="2" customWidth="1"/>
    <col min="1848" max="1852" width="11.875" style="2" customWidth="1"/>
    <col min="1853" max="1853" width="22" style="2" customWidth="1"/>
    <col min="1854" max="1854" width="10.75" style="2"/>
    <col min="1855" max="1855" width="2" style="2" customWidth="1"/>
    <col min="1856" max="1856" width="5.125" style="2" customWidth="1"/>
    <col min="1857" max="1857" width="7.625" style="2" customWidth="1"/>
    <col min="1858" max="1858" width="2" style="2" customWidth="1"/>
    <col min="1859" max="1860" width="10.75" style="2"/>
    <col min="1861" max="1861" width="1.125" style="2" customWidth="1"/>
    <col min="1862" max="1865" width="10.75" style="2"/>
    <col min="1866" max="1866" width="8.625" style="2" customWidth="1"/>
    <col min="1867" max="1868" width="10.75" style="2"/>
    <col min="1869" max="1869" width="2.125" style="2" customWidth="1"/>
    <col min="1870" max="1870" width="12.875" style="2" customWidth="1"/>
    <col min="1871" max="1871" width="10.75" style="2"/>
    <col min="1872" max="1872" width="3.125" style="2" customWidth="1"/>
    <col min="1873" max="1874" width="10.75" style="2"/>
    <col min="1875" max="1875" width="1.875" style="2" customWidth="1"/>
    <col min="1876" max="1880" width="10.75" style="2"/>
    <col min="1881" max="1881" width="1" style="2" customWidth="1"/>
    <col min="1882" max="1883" width="10.75" style="2"/>
    <col min="1884" max="1884" width="0.625" style="2" customWidth="1"/>
    <col min="1885" max="1885" width="10.625" style="2" customWidth="1"/>
    <col min="1886" max="1886" width="2.75" style="2" customWidth="1"/>
    <col min="1887" max="1888" width="6.75" style="2" customWidth="1"/>
    <col min="1889" max="1894" width="10.75" style="2"/>
    <col min="1895" max="1895" width="47.375" style="2" customWidth="1"/>
    <col min="1896" max="1896" width="10.75" style="2"/>
    <col min="1897" max="1897" width="18.625" style="2" customWidth="1"/>
    <col min="1898" max="1898" width="10.75" style="2"/>
    <col min="1899" max="1899" width="4.25" style="2" customWidth="1"/>
    <col min="1900" max="1902" width="10.75" style="2"/>
    <col min="1903" max="1903" width="19.25" style="2" customWidth="1"/>
    <col min="1904" max="1911" width="10.75" style="2"/>
    <col min="1912" max="1915" width="14.625" style="2" customWidth="1"/>
    <col min="1916" max="1973" width="10.75" style="2"/>
    <col min="1974" max="1974" width="12.25" style="2" customWidth="1"/>
    <col min="1975" max="1975" width="16" style="2" customWidth="1"/>
    <col min="1976" max="1976" width="10.75" style="2"/>
    <col min="1977" max="1977" width="20.125" style="2" customWidth="1"/>
    <col min="1978" max="1978" width="3.875" style="2" customWidth="1"/>
    <col min="1979" max="1982" width="13.25" style="2" customWidth="1"/>
    <col min="1983" max="1983" width="16.25" style="2" customWidth="1"/>
    <col min="1984" max="1984" width="13.25" style="2" customWidth="1"/>
    <col min="1985" max="1985" width="14.75" style="2" customWidth="1"/>
    <col min="1986" max="1986" width="21.75" style="2" customWidth="1"/>
    <col min="1987" max="1987" width="10.75" style="2"/>
    <col min="1988" max="1988" width="10.625" style="2" customWidth="1"/>
    <col min="1989" max="2026" width="10.75" style="2"/>
    <col min="2027" max="2027" width="13.25" style="2" customWidth="1"/>
    <col min="2028" max="2028" width="15.875" style="2" customWidth="1"/>
    <col min="2029" max="2039" width="10.75" style="2"/>
    <col min="2040" max="2040" width="1.25" style="2" customWidth="1"/>
    <col min="2041" max="2043" width="10.75" style="2"/>
    <col min="2044" max="2050" width="12.25" style="2" customWidth="1"/>
    <col min="2051" max="2051" width="24.375" style="2" customWidth="1"/>
    <col min="2052" max="2097" width="10.75" style="2"/>
    <col min="2098" max="2098" width="7.25" style="2" customWidth="1"/>
    <col min="2099" max="2099" width="10.75" style="2"/>
    <col min="2100" max="2100" width="9.875" style="2" customWidth="1"/>
    <col min="2101" max="2101" width="8.625" style="2" customWidth="1"/>
    <col min="2102" max="2102" width="7.875" style="2" customWidth="1"/>
    <col min="2103" max="2103" width="15" style="2" customWidth="1"/>
    <col min="2104" max="2108" width="11.875" style="2" customWidth="1"/>
    <col min="2109" max="2109" width="22" style="2" customWidth="1"/>
    <col min="2110" max="2110" width="10.75" style="2"/>
    <col min="2111" max="2111" width="2" style="2" customWidth="1"/>
    <col min="2112" max="2112" width="5.125" style="2" customWidth="1"/>
    <col min="2113" max="2113" width="7.625" style="2" customWidth="1"/>
    <col min="2114" max="2114" width="2" style="2" customWidth="1"/>
    <col min="2115" max="2116" width="10.75" style="2"/>
    <col min="2117" max="2117" width="1.125" style="2" customWidth="1"/>
    <col min="2118" max="2121" width="10.75" style="2"/>
    <col min="2122" max="2122" width="8.625" style="2" customWidth="1"/>
    <col min="2123" max="2124" width="10.75" style="2"/>
    <col min="2125" max="2125" width="2.125" style="2" customWidth="1"/>
    <col min="2126" max="2126" width="12.875" style="2" customWidth="1"/>
    <col min="2127" max="2127" width="10.75" style="2"/>
    <col min="2128" max="2128" width="3.125" style="2" customWidth="1"/>
    <col min="2129" max="2130" width="10.75" style="2"/>
    <col min="2131" max="2131" width="1.875" style="2" customWidth="1"/>
    <col min="2132" max="2136" width="10.75" style="2"/>
    <col min="2137" max="2137" width="1" style="2" customWidth="1"/>
    <col min="2138" max="2139" width="10.75" style="2"/>
    <col min="2140" max="2140" width="0.625" style="2" customWidth="1"/>
    <col min="2141" max="2141" width="10.625" style="2" customWidth="1"/>
    <col min="2142" max="2142" width="2.75" style="2" customWidth="1"/>
    <col min="2143" max="2144" width="6.75" style="2" customWidth="1"/>
    <col min="2145" max="2150" width="10.75" style="2"/>
    <col min="2151" max="2151" width="47.375" style="2" customWidth="1"/>
    <col min="2152" max="2152" width="10.75" style="2"/>
    <col min="2153" max="2153" width="18.625" style="2" customWidth="1"/>
    <col min="2154" max="2154" width="10.75" style="2"/>
    <col min="2155" max="2155" width="4.25" style="2" customWidth="1"/>
    <col min="2156" max="2158" width="10.75" style="2"/>
    <col min="2159" max="2159" width="19.25" style="2" customWidth="1"/>
    <col min="2160" max="2167" width="10.75" style="2"/>
    <col min="2168" max="2171" width="14.625" style="2" customWidth="1"/>
    <col min="2172" max="2229" width="10.75" style="2"/>
    <col min="2230" max="2230" width="12.25" style="2" customWidth="1"/>
    <col min="2231" max="2231" width="16" style="2" customWidth="1"/>
    <col min="2232" max="2232" width="10.75" style="2"/>
    <col min="2233" max="2233" width="20.125" style="2" customWidth="1"/>
    <col min="2234" max="2234" width="3.875" style="2" customWidth="1"/>
    <col min="2235" max="2238" width="13.25" style="2" customWidth="1"/>
    <col min="2239" max="2239" width="16.25" style="2" customWidth="1"/>
    <col min="2240" max="2240" width="13.25" style="2" customWidth="1"/>
    <col min="2241" max="2241" width="14.75" style="2" customWidth="1"/>
    <col min="2242" max="2242" width="21.75" style="2" customWidth="1"/>
    <col min="2243" max="2243" width="10.75" style="2"/>
    <col min="2244" max="2244" width="10.625" style="2" customWidth="1"/>
    <col min="2245" max="2282" width="10.75" style="2"/>
    <col min="2283" max="2283" width="13.25" style="2" customWidth="1"/>
    <col min="2284" max="2284" width="15.875" style="2" customWidth="1"/>
    <col min="2285" max="2295" width="10.75" style="2"/>
    <col min="2296" max="2296" width="1.25" style="2" customWidth="1"/>
    <col min="2297" max="2299" width="10.75" style="2"/>
    <col min="2300" max="2306" width="12.25" style="2" customWidth="1"/>
    <col min="2307" max="2307" width="24.375" style="2" customWidth="1"/>
    <col min="2308" max="2353" width="10.75" style="2"/>
    <col min="2354" max="2354" width="7.25" style="2" customWidth="1"/>
    <col min="2355" max="2355" width="10.75" style="2"/>
    <col min="2356" max="2356" width="9.875" style="2" customWidth="1"/>
    <col min="2357" max="2357" width="8.625" style="2" customWidth="1"/>
    <col min="2358" max="2358" width="7.875" style="2" customWidth="1"/>
    <col min="2359" max="2359" width="15" style="2" customWidth="1"/>
    <col min="2360" max="2364" width="11.875" style="2" customWidth="1"/>
    <col min="2365" max="2365" width="22" style="2" customWidth="1"/>
    <col min="2366" max="2366" width="10.75" style="2"/>
    <col min="2367" max="2367" width="2" style="2" customWidth="1"/>
    <col min="2368" max="2368" width="5.125" style="2" customWidth="1"/>
    <col min="2369" max="2369" width="7.625" style="2" customWidth="1"/>
    <col min="2370" max="2370" width="2" style="2" customWidth="1"/>
    <col min="2371" max="2372" width="10.75" style="2"/>
    <col min="2373" max="2373" width="1.125" style="2" customWidth="1"/>
    <col min="2374" max="2377" width="10.75" style="2"/>
    <col min="2378" max="2378" width="8.625" style="2" customWidth="1"/>
    <col min="2379" max="2380" width="10.75" style="2"/>
    <col min="2381" max="2381" width="2.125" style="2" customWidth="1"/>
    <col min="2382" max="2382" width="12.875" style="2" customWidth="1"/>
    <col min="2383" max="2383" width="10.75" style="2"/>
    <col min="2384" max="2384" width="3.125" style="2" customWidth="1"/>
    <col min="2385" max="2386" width="10.75" style="2"/>
    <col min="2387" max="2387" width="1.875" style="2" customWidth="1"/>
    <col min="2388" max="2392" width="10.75" style="2"/>
    <col min="2393" max="2393" width="1" style="2" customWidth="1"/>
    <col min="2394" max="2395" width="10.75" style="2"/>
    <col min="2396" max="2396" width="0.625" style="2" customWidth="1"/>
    <col min="2397" max="2397" width="10.625" style="2" customWidth="1"/>
    <col min="2398" max="2398" width="2.75" style="2" customWidth="1"/>
    <col min="2399" max="2400" width="6.75" style="2" customWidth="1"/>
    <col min="2401" max="2406" width="10.75" style="2"/>
    <col min="2407" max="2407" width="47.375" style="2" customWidth="1"/>
    <col min="2408" max="2408" width="10.75" style="2"/>
    <col min="2409" max="2409" width="18.625" style="2" customWidth="1"/>
    <col min="2410" max="2410" width="10.75" style="2"/>
    <col min="2411" max="2411" width="4.25" style="2" customWidth="1"/>
    <col min="2412" max="2414" width="10.75" style="2"/>
    <col min="2415" max="2415" width="19.25" style="2" customWidth="1"/>
    <col min="2416" max="2423" width="10.75" style="2"/>
    <col min="2424" max="2427" width="14.625" style="2" customWidth="1"/>
    <col min="2428" max="2485" width="10.75" style="2"/>
    <col min="2486" max="2486" width="12.25" style="2" customWidth="1"/>
    <col min="2487" max="2487" width="16" style="2" customWidth="1"/>
    <col min="2488" max="2488" width="10.75" style="2"/>
    <col min="2489" max="2489" width="20.125" style="2" customWidth="1"/>
    <col min="2490" max="2490" width="3.875" style="2" customWidth="1"/>
    <col min="2491" max="2494" width="13.25" style="2" customWidth="1"/>
    <col min="2495" max="2495" width="16.25" style="2" customWidth="1"/>
    <col min="2496" max="2496" width="13.25" style="2" customWidth="1"/>
    <col min="2497" max="2497" width="14.75" style="2" customWidth="1"/>
    <col min="2498" max="2498" width="21.75" style="2" customWidth="1"/>
    <col min="2499" max="2499" width="10.75" style="2"/>
    <col min="2500" max="2500" width="10.625" style="2" customWidth="1"/>
    <col min="2501" max="2538" width="10.75" style="2"/>
    <col min="2539" max="2539" width="13.25" style="2" customWidth="1"/>
    <col min="2540" max="2540" width="15.875" style="2" customWidth="1"/>
    <col min="2541" max="2551" width="10.75" style="2"/>
    <col min="2552" max="2552" width="1.25" style="2" customWidth="1"/>
    <col min="2553" max="2555" width="10.75" style="2"/>
    <col min="2556" max="2562" width="12.25" style="2" customWidth="1"/>
    <col min="2563" max="2563" width="24.375" style="2" customWidth="1"/>
    <col min="2564" max="2609" width="10.75" style="2"/>
    <col min="2610" max="2610" width="7.25" style="2" customWidth="1"/>
    <col min="2611" max="2611" width="10.75" style="2"/>
    <col min="2612" max="2612" width="9.875" style="2" customWidth="1"/>
    <col min="2613" max="2613" width="8.625" style="2" customWidth="1"/>
    <col min="2614" max="2614" width="7.875" style="2" customWidth="1"/>
    <col min="2615" max="2615" width="15" style="2" customWidth="1"/>
    <col min="2616" max="2620" width="11.875" style="2" customWidth="1"/>
    <col min="2621" max="2621" width="22" style="2" customWidth="1"/>
    <col min="2622" max="2622" width="10.75" style="2"/>
    <col min="2623" max="2623" width="2" style="2" customWidth="1"/>
    <col min="2624" max="2624" width="5.125" style="2" customWidth="1"/>
    <col min="2625" max="2625" width="7.625" style="2" customWidth="1"/>
    <col min="2626" max="2626" width="2" style="2" customWidth="1"/>
    <col min="2627" max="2628" width="10.75" style="2"/>
    <col min="2629" max="2629" width="1.125" style="2" customWidth="1"/>
    <col min="2630" max="2633" width="10.75" style="2"/>
    <col min="2634" max="2634" width="8.625" style="2" customWidth="1"/>
    <col min="2635" max="2636" width="10.75" style="2"/>
    <col min="2637" max="2637" width="2.125" style="2" customWidth="1"/>
    <col min="2638" max="2638" width="12.875" style="2" customWidth="1"/>
    <col min="2639" max="2639" width="10.75" style="2"/>
    <col min="2640" max="2640" width="3.125" style="2" customWidth="1"/>
    <col min="2641" max="2642" width="10.75" style="2"/>
    <col min="2643" max="2643" width="1.875" style="2" customWidth="1"/>
    <col min="2644" max="2648" width="10.75" style="2"/>
    <col min="2649" max="2649" width="1" style="2" customWidth="1"/>
    <col min="2650" max="2651" width="10.75" style="2"/>
    <col min="2652" max="2652" width="0.625" style="2" customWidth="1"/>
    <col min="2653" max="2653" width="10.625" style="2" customWidth="1"/>
    <col min="2654" max="2654" width="2.75" style="2" customWidth="1"/>
    <col min="2655" max="2656" width="6.75" style="2" customWidth="1"/>
    <col min="2657" max="2662" width="10.75" style="2"/>
    <col min="2663" max="2663" width="47.375" style="2" customWidth="1"/>
    <col min="2664" max="2664" width="10.75" style="2"/>
    <col min="2665" max="2665" width="18.625" style="2" customWidth="1"/>
    <col min="2666" max="2666" width="10.75" style="2"/>
    <col min="2667" max="2667" width="4.25" style="2" customWidth="1"/>
    <col min="2668" max="2670" width="10.75" style="2"/>
    <col min="2671" max="2671" width="19.25" style="2" customWidth="1"/>
    <col min="2672" max="2679" width="10.75" style="2"/>
    <col min="2680" max="2683" width="14.625" style="2" customWidth="1"/>
    <col min="2684" max="2741" width="10.75" style="2"/>
    <col min="2742" max="2742" width="12.25" style="2" customWidth="1"/>
    <col min="2743" max="2743" width="16" style="2" customWidth="1"/>
    <col min="2744" max="2744" width="10.75" style="2"/>
    <col min="2745" max="2745" width="20.125" style="2" customWidth="1"/>
    <col min="2746" max="2746" width="3.875" style="2" customWidth="1"/>
    <col min="2747" max="2750" width="13.25" style="2" customWidth="1"/>
    <col min="2751" max="2751" width="16.25" style="2" customWidth="1"/>
    <col min="2752" max="2752" width="13.25" style="2" customWidth="1"/>
    <col min="2753" max="2753" width="14.75" style="2" customWidth="1"/>
    <col min="2754" max="2754" width="21.75" style="2" customWidth="1"/>
    <col min="2755" max="2755" width="10.75" style="2"/>
    <col min="2756" max="2756" width="10.625" style="2" customWidth="1"/>
    <col min="2757" max="2794" width="10.75" style="2"/>
    <col min="2795" max="2795" width="13.25" style="2" customWidth="1"/>
    <col min="2796" max="2796" width="15.875" style="2" customWidth="1"/>
    <col min="2797" max="2807" width="10.75" style="2"/>
    <col min="2808" max="2808" width="1.25" style="2" customWidth="1"/>
    <col min="2809" max="2811" width="10.75" style="2"/>
    <col min="2812" max="2818" width="12.25" style="2" customWidth="1"/>
    <col min="2819" max="2819" width="24.375" style="2" customWidth="1"/>
    <col min="2820" max="2865" width="10.75" style="2"/>
    <col min="2866" max="2866" width="7.25" style="2" customWidth="1"/>
    <col min="2867" max="2867" width="10.75" style="2"/>
    <col min="2868" max="2868" width="9.875" style="2" customWidth="1"/>
    <col min="2869" max="2869" width="8.625" style="2" customWidth="1"/>
    <col min="2870" max="2870" width="7.875" style="2" customWidth="1"/>
    <col min="2871" max="2871" width="15" style="2" customWidth="1"/>
    <col min="2872" max="2876" width="11.875" style="2" customWidth="1"/>
    <col min="2877" max="2877" width="22" style="2" customWidth="1"/>
    <col min="2878" max="2878" width="10.75" style="2"/>
    <col min="2879" max="2879" width="2" style="2" customWidth="1"/>
    <col min="2880" max="2880" width="5.125" style="2" customWidth="1"/>
    <col min="2881" max="2881" width="7.625" style="2" customWidth="1"/>
    <col min="2882" max="2882" width="2" style="2" customWidth="1"/>
    <col min="2883" max="2884" width="10.75" style="2"/>
    <col min="2885" max="2885" width="1.125" style="2" customWidth="1"/>
    <col min="2886" max="2889" width="10.75" style="2"/>
    <col min="2890" max="2890" width="8.625" style="2" customWidth="1"/>
    <col min="2891" max="2892" width="10.75" style="2"/>
    <col min="2893" max="2893" width="2.125" style="2" customWidth="1"/>
    <col min="2894" max="2894" width="12.875" style="2" customWidth="1"/>
    <col min="2895" max="2895" width="10.75" style="2"/>
    <col min="2896" max="2896" width="3.125" style="2" customWidth="1"/>
    <col min="2897" max="2898" width="10.75" style="2"/>
    <col min="2899" max="2899" width="1.875" style="2" customWidth="1"/>
    <col min="2900" max="2904" width="10.75" style="2"/>
    <col min="2905" max="2905" width="1" style="2" customWidth="1"/>
    <col min="2906" max="2907" width="10.75" style="2"/>
    <col min="2908" max="2908" width="0.625" style="2" customWidth="1"/>
    <col min="2909" max="2909" width="10.625" style="2" customWidth="1"/>
    <col min="2910" max="2910" width="2.75" style="2" customWidth="1"/>
    <col min="2911" max="2912" width="6.75" style="2" customWidth="1"/>
    <col min="2913" max="2918" width="10.75" style="2"/>
    <col min="2919" max="2919" width="47.375" style="2" customWidth="1"/>
    <col min="2920" max="2920" width="10.75" style="2"/>
    <col min="2921" max="2921" width="18.625" style="2" customWidth="1"/>
    <col min="2922" max="2922" width="10.75" style="2"/>
    <col min="2923" max="2923" width="4.25" style="2" customWidth="1"/>
    <col min="2924" max="2926" width="10.75" style="2"/>
    <col min="2927" max="2927" width="19.25" style="2" customWidth="1"/>
    <col min="2928" max="2935" width="10.75" style="2"/>
    <col min="2936" max="2939" width="14.625" style="2" customWidth="1"/>
    <col min="2940" max="2997" width="10.75" style="2"/>
    <col min="2998" max="2998" width="12.25" style="2" customWidth="1"/>
    <col min="2999" max="2999" width="16" style="2" customWidth="1"/>
    <col min="3000" max="3000" width="10.75" style="2"/>
    <col min="3001" max="3001" width="20.125" style="2" customWidth="1"/>
    <col min="3002" max="3002" width="3.875" style="2" customWidth="1"/>
    <col min="3003" max="3006" width="13.25" style="2" customWidth="1"/>
    <col min="3007" max="3007" width="16.25" style="2" customWidth="1"/>
    <col min="3008" max="3008" width="13.25" style="2" customWidth="1"/>
    <col min="3009" max="3009" width="14.75" style="2" customWidth="1"/>
    <col min="3010" max="3010" width="21.75" style="2" customWidth="1"/>
    <col min="3011" max="3011" width="10.75" style="2"/>
    <col min="3012" max="3012" width="10.625" style="2" customWidth="1"/>
    <col min="3013" max="3050" width="10.75" style="2"/>
    <col min="3051" max="3051" width="13.25" style="2" customWidth="1"/>
    <col min="3052" max="3052" width="15.875" style="2" customWidth="1"/>
    <col min="3053" max="3063" width="10.75" style="2"/>
    <col min="3064" max="3064" width="1.25" style="2" customWidth="1"/>
    <col min="3065" max="3067" width="10.75" style="2"/>
    <col min="3068" max="3074" width="12.25" style="2" customWidth="1"/>
    <col min="3075" max="3075" width="24.375" style="2" customWidth="1"/>
    <col min="3076" max="3121" width="10.75" style="2"/>
    <col min="3122" max="3122" width="7.25" style="2" customWidth="1"/>
    <col min="3123" max="3123" width="10.75" style="2"/>
    <col min="3124" max="3124" width="9.875" style="2" customWidth="1"/>
    <col min="3125" max="3125" width="8.625" style="2" customWidth="1"/>
    <col min="3126" max="3126" width="7.875" style="2" customWidth="1"/>
    <col min="3127" max="3127" width="15" style="2" customWidth="1"/>
    <col min="3128" max="3132" width="11.875" style="2" customWidth="1"/>
    <col min="3133" max="3133" width="22" style="2" customWidth="1"/>
    <col min="3134" max="3134" width="10.75" style="2"/>
    <col min="3135" max="3135" width="2" style="2" customWidth="1"/>
    <col min="3136" max="3136" width="5.125" style="2" customWidth="1"/>
    <col min="3137" max="3137" width="7.625" style="2" customWidth="1"/>
    <col min="3138" max="3138" width="2" style="2" customWidth="1"/>
    <col min="3139" max="3140" width="10.75" style="2"/>
    <col min="3141" max="3141" width="1.125" style="2" customWidth="1"/>
    <col min="3142" max="3145" width="10.75" style="2"/>
    <col min="3146" max="3146" width="8.625" style="2" customWidth="1"/>
    <col min="3147" max="3148" width="10.75" style="2"/>
    <col min="3149" max="3149" width="2.125" style="2" customWidth="1"/>
    <col min="3150" max="3150" width="12.875" style="2" customWidth="1"/>
    <col min="3151" max="3151" width="10.75" style="2"/>
    <col min="3152" max="3152" width="3.125" style="2" customWidth="1"/>
    <col min="3153" max="3154" width="10.75" style="2"/>
    <col min="3155" max="3155" width="1.875" style="2" customWidth="1"/>
    <col min="3156" max="3160" width="10.75" style="2"/>
    <col min="3161" max="3161" width="1" style="2" customWidth="1"/>
    <col min="3162" max="3163" width="10.75" style="2"/>
    <col min="3164" max="3164" width="0.625" style="2" customWidth="1"/>
    <col min="3165" max="3165" width="10.625" style="2" customWidth="1"/>
    <col min="3166" max="3166" width="2.75" style="2" customWidth="1"/>
    <col min="3167" max="3168" width="6.75" style="2" customWidth="1"/>
    <col min="3169" max="3174" width="10.75" style="2"/>
    <col min="3175" max="3175" width="47.375" style="2" customWidth="1"/>
    <col min="3176" max="3176" width="10.75" style="2"/>
    <col min="3177" max="3177" width="18.625" style="2" customWidth="1"/>
    <col min="3178" max="3178" width="10.75" style="2"/>
    <col min="3179" max="3179" width="4.25" style="2" customWidth="1"/>
    <col min="3180" max="3182" width="10.75" style="2"/>
    <col min="3183" max="3183" width="19.25" style="2" customWidth="1"/>
    <col min="3184" max="3191" width="10.75" style="2"/>
    <col min="3192" max="3195" width="14.625" style="2" customWidth="1"/>
    <col min="3196" max="3253" width="10.75" style="2"/>
    <col min="3254" max="3254" width="12.25" style="2" customWidth="1"/>
    <col min="3255" max="3255" width="16" style="2" customWidth="1"/>
    <col min="3256" max="3256" width="10.75" style="2"/>
    <col min="3257" max="3257" width="20.125" style="2" customWidth="1"/>
    <col min="3258" max="3258" width="3.875" style="2" customWidth="1"/>
    <col min="3259" max="3262" width="13.25" style="2" customWidth="1"/>
    <col min="3263" max="3263" width="16.25" style="2" customWidth="1"/>
    <col min="3264" max="3264" width="13.25" style="2" customWidth="1"/>
    <col min="3265" max="3265" width="14.75" style="2" customWidth="1"/>
    <col min="3266" max="3266" width="21.75" style="2" customWidth="1"/>
    <col min="3267" max="3267" width="10.75" style="2"/>
    <col min="3268" max="3268" width="10.625" style="2" customWidth="1"/>
    <col min="3269" max="3306" width="10.75" style="2"/>
    <col min="3307" max="3307" width="13.25" style="2" customWidth="1"/>
    <col min="3308" max="3308" width="15.875" style="2" customWidth="1"/>
    <col min="3309" max="3319" width="10.75" style="2"/>
    <col min="3320" max="3320" width="1.25" style="2" customWidth="1"/>
    <col min="3321" max="3323" width="10.75" style="2"/>
    <col min="3324" max="3330" width="12.25" style="2" customWidth="1"/>
    <col min="3331" max="3331" width="24.375" style="2" customWidth="1"/>
    <col min="3332" max="3377" width="10.75" style="2"/>
    <col min="3378" max="3378" width="7.25" style="2" customWidth="1"/>
    <col min="3379" max="3379" width="10.75" style="2"/>
    <col min="3380" max="3380" width="9.875" style="2" customWidth="1"/>
    <col min="3381" max="3381" width="8.625" style="2" customWidth="1"/>
    <col min="3382" max="3382" width="7.875" style="2" customWidth="1"/>
    <col min="3383" max="3383" width="15" style="2" customWidth="1"/>
    <col min="3384" max="3388" width="11.875" style="2" customWidth="1"/>
    <col min="3389" max="3389" width="22" style="2" customWidth="1"/>
    <col min="3390" max="3390" width="10.75" style="2"/>
    <col min="3391" max="3391" width="2" style="2" customWidth="1"/>
    <col min="3392" max="3392" width="5.125" style="2" customWidth="1"/>
    <col min="3393" max="3393" width="7.625" style="2" customWidth="1"/>
    <col min="3394" max="3394" width="2" style="2" customWidth="1"/>
    <col min="3395" max="3396" width="10.75" style="2"/>
    <col min="3397" max="3397" width="1.125" style="2" customWidth="1"/>
    <col min="3398" max="3401" width="10.75" style="2"/>
    <col min="3402" max="3402" width="8.625" style="2" customWidth="1"/>
    <col min="3403" max="3404" width="10.75" style="2"/>
    <col min="3405" max="3405" width="2.125" style="2" customWidth="1"/>
    <col min="3406" max="3406" width="12.875" style="2" customWidth="1"/>
    <col min="3407" max="3407" width="10.75" style="2"/>
    <col min="3408" max="3408" width="3.125" style="2" customWidth="1"/>
    <col min="3409" max="3410" width="10.75" style="2"/>
    <col min="3411" max="3411" width="1.875" style="2" customWidth="1"/>
    <col min="3412" max="3416" width="10.75" style="2"/>
    <col min="3417" max="3417" width="1" style="2" customWidth="1"/>
    <col min="3418" max="3419" width="10.75" style="2"/>
    <col min="3420" max="3420" width="0.625" style="2" customWidth="1"/>
    <col min="3421" max="3421" width="10.625" style="2" customWidth="1"/>
    <col min="3422" max="3422" width="2.75" style="2" customWidth="1"/>
    <col min="3423" max="3424" width="6.75" style="2" customWidth="1"/>
    <col min="3425" max="3430" width="10.75" style="2"/>
    <col min="3431" max="3431" width="47.375" style="2" customWidth="1"/>
    <col min="3432" max="3432" width="10.75" style="2"/>
    <col min="3433" max="3433" width="18.625" style="2" customWidth="1"/>
    <col min="3434" max="3434" width="10.75" style="2"/>
    <col min="3435" max="3435" width="4.25" style="2" customWidth="1"/>
    <col min="3436" max="3438" width="10.75" style="2"/>
    <col min="3439" max="3439" width="19.25" style="2" customWidth="1"/>
    <col min="3440" max="3447" width="10.75" style="2"/>
    <col min="3448" max="3451" width="14.625" style="2" customWidth="1"/>
    <col min="3452" max="3509" width="10.75" style="2"/>
    <col min="3510" max="3510" width="12.25" style="2" customWidth="1"/>
    <col min="3511" max="3511" width="16" style="2" customWidth="1"/>
    <col min="3512" max="3512" width="10.75" style="2"/>
    <col min="3513" max="3513" width="20.125" style="2" customWidth="1"/>
    <col min="3514" max="3514" width="3.875" style="2" customWidth="1"/>
    <col min="3515" max="3518" width="13.25" style="2" customWidth="1"/>
    <col min="3519" max="3519" width="16.25" style="2" customWidth="1"/>
    <col min="3520" max="3520" width="13.25" style="2" customWidth="1"/>
    <col min="3521" max="3521" width="14.75" style="2" customWidth="1"/>
    <col min="3522" max="3522" width="21.75" style="2" customWidth="1"/>
    <col min="3523" max="3523" width="10.75" style="2"/>
    <col min="3524" max="3524" width="10.625" style="2" customWidth="1"/>
    <col min="3525" max="3562" width="10.75" style="2"/>
    <col min="3563" max="3563" width="13.25" style="2" customWidth="1"/>
    <col min="3564" max="3564" width="15.875" style="2" customWidth="1"/>
    <col min="3565" max="3575" width="10.75" style="2"/>
    <col min="3576" max="3576" width="1.25" style="2" customWidth="1"/>
    <col min="3577" max="3579" width="10.75" style="2"/>
    <col min="3580" max="3586" width="12.25" style="2" customWidth="1"/>
    <col min="3587" max="3587" width="24.375" style="2" customWidth="1"/>
    <col min="3588" max="3633" width="10.75" style="2"/>
    <col min="3634" max="3634" width="7.25" style="2" customWidth="1"/>
    <col min="3635" max="3635" width="10.75" style="2"/>
    <col min="3636" max="3636" width="9.875" style="2" customWidth="1"/>
    <col min="3637" max="3637" width="8.625" style="2" customWidth="1"/>
    <col min="3638" max="3638" width="7.875" style="2" customWidth="1"/>
    <col min="3639" max="3639" width="15" style="2" customWidth="1"/>
    <col min="3640" max="3644" width="11.875" style="2" customWidth="1"/>
    <col min="3645" max="3645" width="22" style="2" customWidth="1"/>
    <col min="3646" max="3646" width="10.75" style="2"/>
    <col min="3647" max="3647" width="2" style="2" customWidth="1"/>
    <col min="3648" max="3648" width="5.125" style="2" customWidth="1"/>
    <col min="3649" max="3649" width="7.625" style="2" customWidth="1"/>
    <col min="3650" max="3650" width="2" style="2" customWidth="1"/>
    <col min="3651" max="3652" width="10.75" style="2"/>
    <col min="3653" max="3653" width="1.125" style="2" customWidth="1"/>
    <col min="3654" max="3657" width="10.75" style="2"/>
    <col min="3658" max="3658" width="8.625" style="2" customWidth="1"/>
    <col min="3659" max="3660" width="10.75" style="2"/>
    <col min="3661" max="3661" width="2.125" style="2" customWidth="1"/>
    <col min="3662" max="3662" width="12.875" style="2" customWidth="1"/>
    <col min="3663" max="3663" width="10.75" style="2"/>
    <col min="3664" max="3664" width="3.125" style="2" customWidth="1"/>
    <col min="3665" max="3666" width="10.75" style="2"/>
    <col min="3667" max="3667" width="1.875" style="2" customWidth="1"/>
    <col min="3668" max="3672" width="10.75" style="2"/>
    <col min="3673" max="3673" width="1" style="2" customWidth="1"/>
    <col min="3674" max="3675" width="10.75" style="2"/>
    <col min="3676" max="3676" width="0.625" style="2" customWidth="1"/>
    <col min="3677" max="3677" width="10.625" style="2" customWidth="1"/>
    <col min="3678" max="3678" width="2.75" style="2" customWidth="1"/>
    <col min="3679" max="3680" width="6.75" style="2" customWidth="1"/>
    <col min="3681" max="3686" width="10.75" style="2"/>
    <col min="3687" max="3687" width="47.375" style="2" customWidth="1"/>
    <col min="3688" max="3688" width="10.75" style="2"/>
    <col min="3689" max="3689" width="18.625" style="2" customWidth="1"/>
    <col min="3690" max="3690" width="10.75" style="2"/>
    <col min="3691" max="3691" width="4.25" style="2" customWidth="1"/>
    <col min="3692" max="3694" width="10.75" style="2"/>
    <col min="3695" max="3695" width="19.25" style="2" customWidth="1"/>
    <col min="3696" max="3703" width="10.75" style="2"/>
    <col min="3704" max="3707" width="14.625" style="2" customWidth="1"/>
    <col min="3708" max="3765" width="10.75" style="2"/>
    <col min="3766" max="3766" width="12.25" style="2" customWidth="1"/>
    <col min="3767" max="3767" width="16" style="2" customWidth="1"/>
    <col min="3768" max="3768" width="10.75" style="2"/>
    <col min="3769" max="3769" width="20.125" style="2" customWidth="1"/>
    <col min="3770" max="3770" width="3.875" style="2" customWidth="1"/>
    <col min="3771" max="3774" width="13.25" style="2" customWidth="1"/>
    <col min="3775" max="3775" width="16.25" style="2" customWidth="1"/>
    <col min="3776" max="3776" width="13.25" style="2" customWidth="1"/>
    <col min="3777" max="3777" width="14.75" style="2" customWidth="1"/>
    <col min="3778" max="3778" width="21.75" style="2" customWidth="1"/>
    <col min="3779" max="3779" width="10.75" style="2"/>
    <col min="3780" max="3780" width="10.625" style="2" customWidth="1"/>
    <col min="3781" max="3818" width="10.75" style="2"/>
    <col min="3819" max="3819" width="13.25" style="2" customWidth="1"/>
    <col min="3820" max="3820" width="15.875" style="2" customWidth="1"/>
    <col min="3821" max="3831" width="10.75" style="2"/>
    <col min="3832" max="3832" width="1.25" style="2" customWidth="1"/>
    <col min="3833" max="3835" width="10.75" style="2"/>
    <col min="3836" max="3842" width="12.25" style="2" customWidth="1"/>
    <col min="3843" max="3843" width="24.375" style="2" customWidth="1"/>
    <col min="3844" max="3889" width="10.75" style="2"/>
    <col min="3890" max="3890" width="7.25" style="2" customWidth="1"/>
    <col min="3891" max="3891" width="10.75" style="2"/>
    <col min="3892" max="3892" width="9.875" style="2" customWidth="1"/>
    <col min="3893" max="3893" width="8.625" style="2" customWidth="1"/>
    <col min="3894" max="3894" width="7.875" style="2" customWidth="1"/>
    <col min="3895" max="3895" width="15" style="2" customWidth="1"/>
    <col min="3896" max="3900" width="11.875" style="2" customWidth="1"/>
    <col min="3901" max="3901" width="22" style="2" customWidth="1"/>
    <col min="3902" max="3902" width="10.75" style="2"/>
    <col min="3903" max="3903" width="2" style="2" customWidth="1"/>
    <col min="3904" max="3904" width="5.125" style="2" customWidth="1"/>
    <col min="3905" max="3905" width="7.625" style="2" customWidth="1"/>
    <col min="3906" max="3906" width="2" style="2" customWidth="1"/>
    <col min="3907" max="3908" width="10.75" style="2"/>
    <col min="3909" max="3909" width="1.125" style="2" customWidth="1"/>
    <col min="3910" max="3913" width="10.75" style="2"/>
    <col min="3914" max="3914" width="8.625" style="2" customWidth="1"/>
    <col min="3915" max="3916" width="10.75" style="2"/>
    <col min="3917" max="3917" width="2.125" style="2" customWidth="1"/>
    <col min="3918" max="3918" width="12.875" style="2" customWidth="1"/>
    <col min="3919" max="3919" width="10.75" style="2"/>
    <col min="3920" max="3920" width="3.125" style="2" customWidth="1"/>
    <col min="3921" max="3922" width="10.75" style="2"/>
    <col min="3923" max="3923" width="1.875" style="2" customWidth="1"/>
    <col min="3924" max="3928" width="10.75" style="2"/>
    <col min="3929" max="3929" width="1" style="2" customWidth="1"/>
    <col min="3930" max="3931" width="10.75" style="2"/>
    <col min="3932" max="3932" width="0.625" style="2" customWidth="1"/>
    <col min="3933" max="3933" width="10.625" style="2" customWidth="1"/>
    <col min="3934" max="3934" width="2.75" style="2" customWidth="1"/>
    <col min="3935" max="3936" width="6.75" style="2" customWidth="1"/>
    <col min="3937" max="3942" width="10.75" style="2"/>
    <col min="3943" max="3943" width="47.375" style="2" customWidth="1"/>
    <col min="3944" max="3944" width="10.75" style="2"/>
    <col min="3945" max="3945" width="18.625" style="2" customWidth="1"/>
    <col min="3946" max="3946" width="10.75" style="2"/>
    <col min="3947" max="3947" width="4.25" style="2" customWidth="1"/>
    <col min="3948" max="3950" width="10.75" style="2"/>
    <col min="3951" max="3951" width="19.25" style="2" customWidth="1"/>
    <col min="3952" max="3959" width="10.75" style="2"/>
    <col min="3960" max="3963" width="14.625" style="2" customWidth="1"/>
    <col min="3964" max="4021" width="10.75" style="2"/>
    <col min="4022" max="4022" width="12.25" style="2" customWidth="1"/>
    <col min="4023" max="4023" width="16" style="2" customWidth="1"/>
    <col min="4024" max="4024" width="10.75" style="2"/>
    <col min="4025" max="4025" width="20.125" style="2" customWidth="1"/>
    <col min="4026" max="4026" width="3.875" style="2" customWidth="1"/>
    <col min="4027" max="4030" width="13.25" style="2" customWidth="1"/>
    <col min="4031" max="4031" width="16.25" style="2" customWidth="1"/>
    <col min="4032" max="4032" width="13.25" style="2" customWidth="1"/>
    <col min="4033" max="4033" width="14.75" style="2" customWidth="1"/>
    <col min="4034" max="4034" width="21.75" style="2" customWidth="1"/>
    <col min="4035" max="4035" width="10.75" style="2"/>
    <col min="4036" max="4036" width="10.625" style="2" customWidth="1"/>
    <col min="4037" max="4074" width="10.75" style="2"/>
    <col min="4075" max="4075" width="13.25" style="2" customWidth="1"/>
    <col min="4076" max="4076" width="15.875" style="2" customWidth="1"/>
    <col min="4077" max="4087" width="10.75" style="2"/>
    <col min="4088" max="4088" width="1.25" style="2" customWidth="1"/>
    <col min="4089" max="4091" width="10.75" style="2"/>
    <col min="4092" max="4098" width="12.25" style="2" customWidth="1"/>
    <col min="4099" max="4099" width="24.375" style="2" customWidth="1"/>
    <col min="4100" max="4145" width="10.75" style="2"/>
    <col min="4146" max="4146" width="7.25" style="2" customWidth="1"/>
    <col min="4147" max="4147" width="10.75" style="2"/>
    <col min="4148" max="4148" width="9.875" style="2" customWidth="1"/>
    <col min="4149" max="4149" width="8.625" style="2" customWidth="1"/>
    <col min="4150" max="4150" width="7.875" style="2" customWidth="1"/>
    <col min="4151" max="4151" width="15" style="2" customWidth="1"/>
    <col min="4152" max="4156" width="11.875" style="2" customWidth="1"/>
    <col min="4157" max="4157" width="22" style="2" customWidth="1"/>
    <col min="4158" max="4158" width="10.75" style="2"/>
    <col min="4159" max="4159" width="2" style="2" customWidth="1"/>
    <col min="4160" max="4160" width="5.125" style="2" customWidth="1"/>
    <col min="4161" max="4161" width="7.625" style="2" customWidth="1"/>
    <col min="4162" max="4162" width="2" style="2" customWidth="1"/>
    <col min="4163" max="4164" width="10.75" style="2"/>
    <col min="4165" max="4165" width="1.125" style="2" customWidth="1"/>
    <col min="4166" max="4169" width="10.75" style="2"/>
    <col min="4170" max="4170" width="8.625" style="2" customWidth="1"/>
    <col min="4171" max="4172" width="10.75" style="2"/>
    <col min="4173" max="4173" width="2.125" style="2" customWidth="1"/>
    <col min="4174" max="4174" width="12.875" style="2" customWidth="1"/>
    <col min="4175" max="4175" width="10.75" style="2"/>
    <col min="4176" max="4176" width="3.125" style="2" customWidth="1"/>
    <col min="4177" max="4178" width="10.75" style="2"/>
    <col min="4179" max="4179" width="1.875" style="2" customWidth="1"/>
    <col min="4180" max="4184" width="10.75" style="2"/>
    <col min="4185" max="4185" width="1" style="2" customWidth="1"/>
    <col min="4186" max="4187" width="10.75" style="2"/>
    <col min="4188" max="4188" width="0.625" style="2" customWidth="1"/>
    <col min="4189" max="4189" width="10.625" style="2" customWidth="1"/>
    <col min="4190" max="4190" width="2.75" style="2" customWidth="1"/>
    <col min="4191" max="4192" width="6.75" style="2" customWidth="1"/>
    <col min="4193" max="4198" width="10.75" style="2"/>
    <col min="4199" max="4199" width="47.375" style="2" customWidth="1"/>
    <col min="4200" max="4200" width="10.75" style="2"/>
    <col min="4201" max="4201" width="18.625" style="2" customWidth="1"/>
    <col min="4202" max="4202" width="10.75" style="2"/>
    <col min="4203" max="4203" width="4.25" style="2" customWidth="1"/>
    <col min="4204" max="4206" width="10.75" style="2"/>
    <col min="4207" max="4207" width="19.25" style="2" customWidth="1"/>
    <col min="4208" max="4215" width="10.75" style="2"/>
    <col min="4216" max="4219" width="14.625" style="2" customWidth="1"/>
    <col min="4220" max="4277" width="10.75" style="2"/>
    <col min="4278" max="4278" width="12.25" style="2" customWidth="1"/>
    <col min="4279" max="4279" width="16" style="2" customWidth="1"/>
    <col min="4280" max="4280" width="10.75" style="2"/>
    <col min="4281" max="4281" width="20.125" style="2" customWidth="1"/>
    <col min="4282" max="4282" width="3.875" style="2" customWidth="1"/>
    <col min="4283" max="4286" width="13.25" style="2" customWidth="1"/>
    <col min="4287" max="4287" width="16.25" style="2" customWidth="1"/>
    <col min="4288" max="4288" width="13.25" style="2" customWidth="1"/>
    <col min="4289" max="4289" width="14.75" style="2" customWidth="1"/>
    <col min="4290" max="4290" width="21.75" style="2" customWidth="1"/>
    <col min="4291" max="4291" width="10.75" style="2"/>
    <col min="4292" max="4292" width="10.625" style="2" customWidth="1"/>
    <col min="4293" max="4330" width="10.75" style="2"/>
    <col min="4331" max="4331" width="13.25" style="2" customWidth="1"/>
    <col min="4332" max="4332" width="15.875" style="2" customWidth="1"/>
    <col min="4333" max="4343" width="10.75" style="2"/>
    <col min="4344" max="4344" width="1.25" style="2" customWidth="1"/>
    <col min="4345" max="4347" width="10.75" style="2"/>
    <col min="4348" max="4354" width="12.25" style="2" customWidth="1"/>
    <col min="4355" max="4355" width="24.375" style="2" customWidth="1"/>
    <col min="4356" max="4401" width="10.75" style="2"/>
    <col min="4402" max="4402" width="7.25" style="2" customWidth="1"/>
    <col min="4403" max="4403" width="10.75" style="2"/>
    <col min="4404" max="4404" width="9.875" style="2" customWidth="1"/>
    <col min="4405" max="4405" width="8.625" style="2" customWidth="1"/>
    <col min="4406" max="4406" width="7.875" style="2" customWidth="1"/>
    <col min="4407" max="4407" width="15" style="2" customWidth="1"/>
    <col min="4408" max="4412" width="11.875" style="2" customWidth="1"/>
    <col min="4413" max="4413" width="22" style="2" customWidth="1"/>
    <col min="4414" max="4414" width="10.75" style="2"/>
    <col min="4415" max="4415" width="2" style="2" customWidth="1"/>
    <col min="4416" max="4416" width="5.125" style="2" customWidth="1"/>
    <col min="4417" max="4417" width="7.625" style="2" customWidth="1"/>
    <col min="4418" max="4418" width="2" style="2" customWidth="1"/>
    <col min="4419" max="4420" width="10.75" style="2"/>
    <col min="4421" max="4421" width="1.125" style="2" customWidth="1"/>
    <col min="4422" max="4425" width="10.75" style="2"/>
    <col min="4426" max="4426" width="8.625" style="2" customWidth="1"/>
    <col min="4427" max="4428" width="10.75" style="2"/>
    <col min="4429" max="4429" width="2.125" style="2" customWidth="1"/>
    <col min="4430" max="4430" width="12.875" style="2" customWidth="1"/>
    <col min="4431" max="4431" width="10.75" style="2"/>
    <col min="4432" max="4432" width="3.125" style="2" customWidth="1"/>
    <col min="4433" max="4434" width="10.75" style="2"/>
    <col min="4435" max="4435" width="1.875" style="2" customWidth="1"/>
    <col min="4436" max="4440" width="10.75" style="2"/>
    <col min="4441" max="4441" width="1" style="2" customWidth="1"/>
    <col min="4442" max="4443" width="10.75" style="2"/>
    <col min="4444" max="4444" width="0.625" style="2" customWidth="1"/>
    <col min="4445" max="4445" width="10.625" style="2" customWidth="1"/>
    <col min="4446" max="4446" width="2.75" style="2" customWidth="1"/>
    <col min="4447" max="4448" width="6.75" style="2" customWidth="1"/>
    <col min="4449" max="4454" width="10.75" style="2"/>
    <col min="4455" max="4455" width="47.375" style="2" customWidth="1"/>
    <col min="4456" max="4456" width="10.75" style="2"/>
    <col min="4457" max="4457" width="18.625" style="2" customWidth="1"/>
    <col min="4458" max="4458" width="10.75" style="2"/>
    <col min="4459" max="4459" width="4.25" style="2" customWidth="1"/>
    <col min="4460" max="4462" width="10.75" style="2"/>
    <col min="4463" max="4463" width="19.25" style="2" customWidth="1"/>
    <col min="4464" max="4471" width="10.75" style="2"/>
    <col min="4472" max="4475" width="14.625" style="2" customWidth="1"/>
    <col min="4476" max="4533" width="10.75" style="2"/>
    <col min="4534" max="4534" width="12.25" style="2" customWidth="1"/>
    <col min="4535" max="4535" width="16" style="2" customWidth="1"/>
    <col min="4536" max="4536" width="10.75" style="2"/>
    <col min="4537" max="4537" width="20.125" style="2" customWidth="1"/>
    <col min="4538" max="4538" width="3.875" style="2" customWidth="1"/>
    <col min="4539" max="4542" width="13.25" style="2" customWidth="1"/>
    <col min="4543" max="4543" width="16.25" style="2" customWidth="1"/>
    <col min="4544" max="4544" width="13.25" style="2" customWidth="1"/>
    <col min="4545" max="4545" width="14.75" style="2" customWidth="1"/>
    <col min="4546" max="4546" width="21.75" style="2" customWidth="1"/>
    <col min="4547" max="4547" width="10.75" style="2"/>
    <col min="4548" max="4548" width="10.625" style="2" customWidth="1"/>
    <col min="4549" max="4586" width="10.75" style="2"/>
    <col min="4587" max="4587" width="13.25" style="2" customWidth="1"/>
    <col min="4588" max="4588" width="15.875" style="2" customWidth="1"/>
    <col min="4589" max="4599" width="10.75" style="2"/>
    <col min="4600" max="4600" width="1.25" style="2" customWidth="1"/>
    <col min="4601" max="4603" width="10.75" style="2"/>
    <col min="4604" max="4610" width="12.25" style="2" customWidth="1"/>
    <col min="4611" max="4611" width="24.375" style="2" customWidth="1"/>
    <col min="4612" max="4657" width="10.75" style="2"/>
    <col min="4658" max="4658" width="7.25" style="2" customWidth="1"/>
    <col min="4659" max="4659" width="10.75" style="2"/>
    <col min="4660" max="4660" width="9.875" style="2" customWidth="1"/>
    <col min="4661" max="4661" width="8.625" style="2" customWidth="1"/>
    <col min="4662" max="4662" width="7.875" style="2" customWidth="1"/>
    <col min="4663" max="4663" width="15" style="2" customWidth="1"/>
    <col min="4664" max="4668" width="11.875" style="2" customWidth="1"/>
    <col min="4669" max="4669" width="22" style="2" customWidth="1"/>
    <col min="4670" max="4670" width="10.75" style="2"/>
    <col min="4671" max="4671" width="2" style="2" customWidth="1"/>
    <col min="4672" max="4672" width="5.125" style="2" customWidth="1"/>
    <col min="4673" max="4673" width="7.625" style="2" customWidth="1"/>
    <col min="4674" max="4674" width="2" style="2" customWidth="1"/>
    <col min="4675" max="4676" width="10.75" style="2"/>
    <col min="4677" max="4677" width="1.125" style="2" customWidth="1"/>
    <col min="4678" max="4681" width="10.75" style="2"/>
    <col min="4682" max="4682" width="8.625" style="2" customWidth="1"/>
    <col min="4683" max="4684" width="10.75" style="2"/>
    <col min="4685" max="4685" width="2.125" style="2" customWidth="1"/>
    <col min="4686" max="4686" width="12.875" style="2" customWidth="1"/>
    <col min="4687" max="4687" width="10.75" style="2"/>
    <col min="4688" max="4688" width="3.125" style="2" customWidth="1"/>
    <col min="4689" max="4690" width="10.75" style="2"/>
    <col min="4691" max="4691" width="1.875" style="2" customWidth="1"/>
    <col min="4692" max="4696" width="10.75" style="2"/>
    <col min="4697" max="4697" width="1" style="2" customWidth="1"/>
    <col min="4698" max="4699" width="10.75" style="2"/>
    <col min="4700" max="4700" width="0.625" style="2" customWidth="1"/>
    <col min="4701" max="4701" width="10.625" style="2" customWidth="1"/>
    <col min="4702" max="4702" width="2.75" style="2" customWidth="1"/>
    <col min="4703" max="4704" width="6.75" style="2" customWidth="1"/>
    <col min="4705" max="4710" width="10.75" style="2"/>
    <col min="4711" max="4711" width="47.375" style="2" customWidth="1"/>
    <col min="4712" max="4712" width="10.75" style="2"/>
    <col min="4713" max="4713" width="18.625" style="2" customWidth="1"/>
    <col min="4714" max="4714" width="10.75" style="2"/>
    <col min="4715" max="4715" width="4.25" style="2" customWidth="1"/>
    <col min="4716" max="4718" width="10.75" style="2"/>
    <col min="4719" max="4719" width="19.25" style="2" customWidth="1"/>
    <col min="4720" max="4727" width="10.75" style="2"/>
    <col min="4728" max="4731" width="14.625" style="2" customWidth="1"/>
    <col min="4732" max="4789" width="10.75" style="2"/>
    <col min="4790" max="4790" width="12.25" style="2" customWidth="1"/>
    <col min="4791" max="4791" width="16" style="2" customWidth="1"/>
    <col min="4792" max="4792" width="10.75" style="2"/>
    <col min="4793" max="4793" width="20.125" style="2" customWidth="1"/>
    <col min="4794" max="4794" width="3.875" style="2" customWidth="1"/>
    <col min="4795" max="4798" width="13.25" style="2" customWidth="1"/>
    <col min="4799" max="4799" width="16.25" style="2" customWidth="1"/>
    <col min="4800" max="4800" width="13.25" style="2" customWidth="1"/>
    <col min="4801" max="4801" width="14.75" style="2" customWidth="1"/>
    <col min="4802" max="4802" width="21.75" style="2" customWidth="1"/>
    <col min="4803" max="4803" width="10.75" style="2"/>
    <col min="4804" max="4804" width="10.625" style="2" customWidth="1"/>
    <col min="4805" max="4842" width="10.75" style="2"/>
    <col min="4843" max="4843" width="13.25" style="2" customWidth="1"/>
    <col min="4844" max="4844" width="15.875" style="2" customWidth="1"/>
    <col min="4845" max="4855" width="10.75" style="2"/>
    <col min="4856" max="4856" width="1.25" style="2" customWidth="1"/>
    <col min="4857" max="4859" width="10.75" style="2"/>
    <col min="4860" max="4866" width="12.25" style="2" customWidth="1"/>
    <col min="4867" max="4867" width="24.375" style="2" customWidth="1"/>
    <col min="4868" max="4913" width="10.75" style="2"/>
    <col min="4914" max="4914" width="7.25" style="2" customWidth="1"/>
    <col min="4915" max="4915" width="10.75" style="2"/>
    <col min="4916" max="4916" width="9.875" style="2" customWidth="1"/>
    <col min="4917" max="4917" width="8.625" style="2" customWidth="1"/>
    <col min="4918" max="4918" width="7.875" style="2" customWidth="1"/>
    <col min="4919" max="4919" width="15" style="2" customWidth="1"/>
    <col min="4920" max="4924" width="11.875" style="2" customWidth="1"/>
    <col min="4925" max="4925" width="22" style="2" customWidth="1"/>
    <col min="4926" max="4926" width="10.75" style="2"/>
    <col min="4927" max="4927" width="2" style="2" customWidth="1"/>
    <col min="4928" max="4928" width="5.125" style="2" customWidth="1"/>
    <col min="4929" max="4929" width="7.625" style="2" customWidth="1"/>
    <col min="4930" max="4930" width="2" style="2" customWidth="1"/>
    <col min="4931" max="4932" width="10.75" style="2"/>
    <col min="4933" max="4933" width="1.125" style="2" customWidth="1"/>
    <col min="4934" max="4937" width="10.75" style="2"/>
    <col min="4938" max="4938" width="8.625" style="2" customWidth="1"/>
    <col min="4939" max="4940" width="10.75" style="2"/>
    <col min="4941" max="4941" width="2.125" style="2" customWidth="1"/>
    <col min="4942" max="4942" width="12.875" style="2" customWidth="1"/>
    <col min="4943" max="4943" width="10.75" style="2"/>
    <col min="4944" max="4944" width="3.125" style="2" customWidth="1"/>
    <col min="4945" max="4946" width="10.75" style="2"/>
    <col min="4947" max="4947" width="1.875" style="2" customWidth="1"/>
    <col min="4948" max="4952" width="10.75" style="2"/>
    <col min="4953" max="4953" width="1" style="2" customWidth="1"/>
    <col min="4954" max="4955" width="10.75" style="2"/>
    <col min="4956" max="4956" width="0.625" style="2" customWidth="1"/>
    <col min="4957" max="4957" width="10.625" style="2" customWidth="1"/>
    <col min="4958" max="4958" width="2.75" style="2" customWidth="1"/>
    <col min="4959" max="4960" width="6.75" style="2" customWidth="1"/>
    <col min="4961" max="4966" width="10.75" style="2"/>
    <col min="4967" max="4967" width="47.375" style="2" customWidth="1"/>
    <col min="4968" max="4968" width="10.75" style="2"/>
    <col min="4969" max="4969" width="18.625" style="2" customWidth="1"/>
    <col min="4970" max="4970" width="10.75" style="2"/>
    <col min="4971" max="4971" width="4.25" style="2" customWidth="1"/>
    <col min="4972" max="4974" width="10.75" style="2"/>
    <col min="4975" max="4975" width="19.25" style="2" customWidth="1"/>
    <col min="4976" max="4983" width="10.75" style="2"/>
    <col min="4984" max="4987" width="14.625" style="2" customWidth="1"/>
    <col min="4988" max="5045" width="10.75" style="2"/>
    <col min="5046" max="5046" width="12.25" style="2" customWidth="1"/>
    <col min="5047" max="5047" width="16" style="2" customWidth="1"/>
    <col min="5048" max="5048" width="10.75" style="2"/>
    <col min="5049" max="5049" width="20.125" style="2" customWidth="1"/>
    <col min="5050" max="5050" width="3.875" style="2" customWidth="1"/>
    <col min="5051" max="5054" width="13.25" style="2" customWidth="1"/>
    <col min="5055" max="5055" width="16.25" style="2" customWidth="1"/>
    <col min="5056" max="5056" width="13.25" style="2" customWidth="1"/>
    <col min="5057" max="5057" width="14.75" style="2" customWidth="1"/>
    <col min="5058" max="5058" width="21.75" style="2" customWidth="1"/>
    <col min="5059" max="5059" width="10.75" style="2"/>
    <col min="5060" max="5060" width="10.625" style="2" customWidth="1"/>
    <col min="5061" max="5098" width="10.75" style="2"/>
    <col min="5099" max="5099" width="13.25" style="2" customWidth="1"/>
    <col min="5100" max="5100" width="15.875" style="2" customWidth="1"/>
    <col min="5101" max="5111" width="10.75" style="2"/>
    <col min="5112" max="5112" width="1.25" style="2" customWidth="1"/>
    <col min="5113" max="5115" width="10.75" style="2"/>
    <col min="5116" max="5122" width="12.25" style="2" customWidth="1"/>
    <col min="5123" max="5123" width="24.375" style="2" customWidth="1"/>
    <col min="5124" max="5169" width="10.75" style="2"/>
    <col min="5170" max="5170" width="7.25" style="2" customWidth="1"/>
    <col min="5171" max="5171" width="10.75" style="2"/>
    <col min="5172" max="5172" width="9.875" style="2" customWidth="1"/>
    <col min="5173" max="5173" width="8.625" style="2" customWidth="1"/>
    <col min="5174" max="5174" width="7.875" style="2" customWidth="1"/>
    <col min="5175" max="5175" width="15" style="2" customWidth="1"/>
    <col min="5176" max="5180" width="11.875" style="2" customWidth="1"/>
    <col min="5181" max="5181" width="22" style="2" customWidth="1"/>
    <col min="5182" max="5182" width="10.75" style="2"/>
    <col min="5183" max="5183" width="2" style="2" customWidth="1"/>
    <col min="5184" max="5184" width="5.125" style="2" customWidth="1"/>
    <col min="5185" max="5185" width="7.625" style="2" customWidth="1"/>
    <col min="5186" max="5186" width="2" style="2" customWidth="1"/>
    <col min="5187" max="5188" width="10.75" style="2"/>
    <col min="5189" max="5189" width="1.125" style="2" customWidth="1"/>
    <col min="5190" max="5193" width="10.75" style="2"/>
    <col min="5194" max="5194" width="8.625" style="2" customWidth="1"/>
    <col min="5195" max="5196" width="10.75" style="2"/>
    <col min="5197" max="5197" width="2.125" style="2" customWidth="1"/>
    <col min="5198" max="5198" width="12.875" style="2" customWidth="1"/>
    <col min="5199" max="5199" width="10.75" style="2"/>
    <col min="5200" max="5200" width="3.125" style="2" customWidth="1"/>
    <col min="5201" max="5202" width="10.75" style="2"/>
    <col min="5203" max="5203" width="1.875" style="2" customWidth="1"/>
    <col min="5204" max="5208" width="10.75" style="2"/>
    <col min="5209" max="5209" width="1" style="2" customWidth="1"/>
    <col min="5210" max="5211" width="10.75" style="2"/>
    <col min="5212" max="5212" width="0.625" style="2" customWidth="1"/>
    <col min="5213" max="5213" width="10.625" style="2" customWidth="1"/>
    <col min="5214" max="5214" width="2.75" style="2" customWidth="1"/>
    <col min="5215" max="5216" width="6.75" style="2" customWidth="1"/>
    <col min="5217" max="5222" width="10.75" style="2"/>
    <col min="5223" max="5223" width="47.375" style="2" customWidth="1"/>
    <col min="5224" max="5224" width="10.75" style="2"/>
    <col min="5225" max="5225" width="18.625" style="2" customWidth="1"/>
    <col min="5226" max="5226" width="10.75" style="2"/>
    <col min="5227" max="5227" width="4.25" style="2" customWidth="1"/>
    <col min="5228" max="5230" width="10.75" style="2"/>
    <col min="5231" max="5231" width="19.25" style="2" customWidth="1"/>
    <col min="5232" max="5239" width="10.75" style="2"/>
    <col min="5240" max="5243" width="14.625" style="2" customWidth="1"/>
    <col min="5244" max="5301" width="10.75" style="2"/>
    <col min="5302" max="5302" width="12.25" style="2" customWidth="1"/>
    <col min="5303" max="5303" width="16" style="2" customWidth="1"/>
    <col min="5304" max="5304" width="10.75" style="2"/>
    <col min="5305" max="5305" width="20.125" style="2" customWidth="1"/>
    <col min="5306" max="5306" width="3.875" style="2" customWidth="1"/>
    <col min="5307" max="5310" width="13.25" style="2" customWidth="1"/>
    <col min="5311" max="5311" width="16.25" style="2" customWidth="1"/>
    <col min="5312" max="5312" width="13.25" style="2" customWidth="1"/>
    <col min="5313" max="5313" width="14.75" style="2" customWidth="1"/>
    <col min="5314" max="5314" width="21.75" style="2" customWidth="1"/>
    <col min="5315" max="5315" width="10.75" style="2"/>
    <col min="5316" max="5316" width="10.625" style="2" customWidth="1"/>
    <col min="5317" max="5354" width="10.75" style="2"/>
    <col min="5355" max="5355" width="13.25" style="2" customWidth="1"/>
    <col min="5356" max="5356" width="15.875" style="2" customWidth="1"/>
    <col min="5357" max="5367" width="10.75" style="2"/>
    <col min="5368" max="5368" width="1.25" style="2" customWidth="1"/>
    <col min="5369" max="5371" width="10.75" style="2"/>
    <col min="5372" max="5378" width="12.25" style="2" customWidth="1"/>
    <col min="5379" max="5379" width="24.375" style="2" customWidth="1"/>
    <col min="5380" max="5425" width="10.75" style="2"/>
    <col min="5426" max="5426" width="7.25" style="2" customWidth="1"/>
    <col min="5427" max="5427" width="10.75" style="2"/>
    <col min="5428" max="5428" width="9.875" style="2" customWidth="1"/>
    <col min="5429" max="5429" width="8.625" style="2" customWidth="1"/>
    <col min="5430" max="5430" width="7.875" style="2" customWidth="1"/>
    <col min="5431" max="5431" width="15" style="2" customWidth="1"/>
    <col min="5432" max="5436" width="11.875" style="2" customWidth="1"/>
    <col min="5437" max="5437" width="22" style="2" customWidth="1"/>
    <col min="5438" max="5438" width="10.75" style="2"/>
    <col min="5439" max="5439" width="2" style="2" customWidth="1"/>
    <col min="5440" max="5440" width="5.125" style="2" customWidth="1"/>
    <col min="5441" max="5441" width="7.625" style="2" customWidth="1"/>
    <col min="5442" max="5442" width="2" style="2" customWidth="1"/>
    <col min="5443" max="5444" width="10.75" style="2"/>
    <col min="5445" max="5445" width="1.125" style="2" customWidth="1"/>
    <col min="5446" max="5449" width="10.75" style="2"/>
    <col min="5450" max="5450" width="8.625" style="2" customWidth="1"/>
    <col min="5451" max="5452" width="10.75" style="2"/>
    <col min="5453" max="5453" width="2.125" style="2" customWidth="1"/>
    <col min="5454" max="5454" width="12.875" style="2" customWidth="1"/>
    <col min="5455" max="5455" width="10.75" style="2"/>
    <col min="5456" max="5456" width="3.125" style="2" customWidth="1"/>
    <col min="5457" max="5458" width="10.75" style="2"/>
    <col min="5459" max="5459" width="1.875" style="2" customWidth="1"/>
    <col min="5460" max="5464" width="10.75" style="2"/>
    <col min="5465" max="5465" width="1" style="2" customWidth="1"/>
    <col min="5466" max="5467" width="10.75" style="2"/>
    <col min="5468" max="5468" width="0.625" style="2" customWidth="1"/>
    <col min="5469" max="5469" width="10.625" style="2" customWidth="1"/>
    <col min="5470" max="5470" width="2.75" style="2" customWidth="1"/>
    <col min="5471" max="5472" width="6.75" style="2" customWidth="1"/>
    <col min="5473" max="5478" width="10.75" style="2"/>
    <col min="5479" max="5479" width="47.375" style="2" customWidth="1"/>
    <col min="5480" max="5480" width="10.75" style="2"/>
    <col min="5481" max="5481" width="18.625" style="2" customWidth="1"/>
    <col min="5482" max="5482" width="10.75" style="2"/>
    <col min="5483" max="5483" width="4.25" style="2" customWidth="1"/>
    <col min="5484" max="5486" width="10.75" style="2"/>
    <col min="5487" max="5487" width="19.25" style="2" customWidth="1"/>
    <col min="5488" max="5495" width="10.75" style="2"/>
    <col min="5496" max="5499" width="14.625" style="2" customWidth="1"/>
    <col min="5500" max="5557" width="10.75" style="2"/>
    <col min="5558" max="5558" width="12.25" style="2" customWidth="1"/>
    <col min="5559" max="5559" width="16" style="2" customWidth="1"/>
    <col min="5560" max="5560" width="10.75" style="2"/>
    <col min="5561" max="5561" width="20.125" style="2" customWidth="1"/>
    <col min="5562" max="5562" width="3.875" style="2" customWidth="1"/>
    <col min="5563" max="5566" width="13.25" style="2" customWidth="1"/>
    <col min="5567" max="5567" width="16.25" style="2" customWidth="1"/>
    <col min="5568" max="5568" width="13.25" style="2" customWidth="1"/>
    <col min="5569" max="5569" width="14.75" style="2" customWidth="1"/>
    <col min="5570" max="5570" width="21.75" style="2" customWidth="1"/>
    <col min="5571" max="5571" width="10.75" style="2"/>
    <col min="5572" max="5572" width="10.625" style="2" customWidth="1"/>
    <col min="5573" max="5610" width="10.75" style="2"/>
    <col min="5611" max="5611" width="13.25" style="2" customWidth="1"/>
    <col min="5612" max="5612" width="15.875" style="2" customWidth="1"/>
    <col min="5613" max="5623" width="10.75" style="2"/>
    <col min="5624" max="5624" width="1.25" style="2" customWidth="1"/>
    <col min="5625" max="5627" width="10.75" style="2"/>
    <col min="5628" max="5634" width="12.25" style="2" customWidth="1"/>
    <col min="5635" max="5635" width="24.375" style="2" customWidth="1"/>
    <col min="5636" max="5681" width="10.75" style="2"/>
    <col min="5682" max="5682" width="7.25" style="2" customWidth="1"/>
    <col min="5683" max="5683" width="10.75" style="2"/>
    <col min="5684" max="5684" width="9.875" style="2" customWidth="1"/>
    <col min="5685" max="5685" width="8.625" style="2" customWidth="1"/>
    <col min="5686" max="5686" width="7.875" style="2" customWidth="1"/>
    <col min="5687" max="5687" width="15" style="2" customWidth="1"/>
    <col min="5688" max="5692" width="11.875" style="2" customWidth="1"/>
    <col min="5693" max="5693" width="22" style="2" customWidth="1"/>
    <col min="5694" max="5694" width="10.75" style="2"/>
    <col min="5695" max="5695" width="2" style="2" customWidth="1"/>
    <col min="5696" max="5696" width="5.125" style="2" customWidth="1"/>
    <col min="5697" max="5697" width="7.625" style="2" customWidth="1"/>
    <col min="5698" max="5698" width="2" style="2" customWidth="1"/>
    <col min="5699" max="5700" width="10.75" style="2"/>
    <col min="5701" max="5701" width="1.125" style="2" customWidth="1"/>
    <col min="5702" max="5705" width="10.75" style="2"/>
    <col min="5706" max="5706" width="8.625" style="2" customWidth="1"/>
    <col min="5707" max="5708" width="10.75" style="2"/>
    <col min="5709" max="5709" width="2.125" style="2" customWidth="1"/>
    <col min="5710" max="5710" width="12.875" style="2" customWidth="1"/>
    <col min="5711" max="5711" width="10.75" style="2"/>
    <col min="5712" max="5712" width="3.125" style="2" customWidth="1"/>
    <col min="5713" max="5714" width="10.75" style="2"/>
    <col min="5715" max="5715" width="1.875" style="2" customWidth="1"/>
    <col min="5716" max="5720" width="10.75" style="2"/>
    <col min="5721" max="5721" width="1" style="2" customWidth="1"/>
    <col min="5722" max="5723" width="10.75" style="2"/>
    <col min="5724" max="5724" width="0.625" style="2" customWidth="1"/>
    <col min="5725" max="5725" width="10.625" style="2" customWidth="1"/>
    <col min="5726" max="5726" width="2.75" style="2" customWidth="1"/>
    <col min="5727" max="5728" width="6.75" style="2" customWidth="1"/>
    <col min="5729" max="5734" width="10.75" style="2"/>
    <col min="5735" max="5735" width="47.375" style="2" customWidth="1"/>
    <col min="5736" max="5736" width="10.75" style="2"/>
    <col min="5737" max="5737" width="18.625" style="2" customWidth="1"/>
    <col min="5738" max="5738" width="10.75" style="2"/>
    <col min="5739" max="5739" width="4.25" style="2" customWidth="1"/>
    <col min="5740" max="5742" width="10.75" style="2"/>
    <col min="5743" max="5743" width="19.25" style="2" customWidth="1"/>
    <col min="5744" max="5751" width="10.75" style="2"/>
    <col min="5752" max="5755" width="14.625" style="2" customWidth="1"/>
    <col min="5756" max="5813" width="10.75" style="2"/>
    <col min="5814" max="5814" width="12.25" style="2" customWidth="1"/>
    <col min="5815" max="5815" width="16" style="2" customWidth="1"/>
    <col min="5816" max="5816" width="10.75" style="2"/>
    <col min="5817" max="5817" width="20.125" style="2" customWidth="1"/>
    <col min="5818" max="5818" width="3.875" style="2" customWidth="1"/>
    <col min="5819" max="5822" width="13.25" style="2" customWidth="1"/>
    <col min="5823" max="5823" width="16.25" style="2" customWidth="1"/>
    <col min="5824" max="5824" width="13.25" style="2" customWidth="1"/>
    <col min="5825" max="5825" width="14.75" style="2" customWidth="1"/>
    <col min="5826" max="5826" width="21.75" style="2" customWidth="1"/>
    <col min="5827" max="5827" width="10.75" style="2"/>
    <col min="5828" max="5828" width="10.625" style="2" customWidth="1"/>
    <col min="5829" max="5866" width="10.75" style="2"/>
    <col min="5867" max="5867" width="13.25" style="2" customWidth="1"/>
    <col min="5868" max="5868" width="15.875" style="2" customWidth="1"/>
    <col min="5869" max="5879" width="10.75" style="2"/>
    <col min="5880" max="5880" width="1.25" style="2" customWidth="1"/>
    <col min="5881" max="5883" width="10.75" style="2"/>
    <col min="5884" max="5890" width="12.25" style="2" customWidth="1"/>
    <col min="5891" max="5891" width="24.375" style="2" customWidth="1"/>
    <col min="5892" max="5937" width="10.75" style="2"/>
    <col min="5938" max="5938" width="7.25" style="2" customWidth="1"/>
    <col min="5939" max="5939" width="10.75" style="2"/>
    <col min="5940" max="5940" width="9.875" style="2" customWidth="1"/>
    <col min="5941" max="5941" width="8.625" style="2" customWidth="1"/>
    <col min="5942" max="5942" width="7.875" style="2" customWidth="1"/>
    <col min="5943" max="5943" width="15" style="2" customWidth="1"/>
    <col min="5944" max="5948" width="11.875" style="2" customWidth="1"/>
    <col min="5949" max="5949" width="22" style="2" customWidth="1"/>
    <col min="5950" max="5950" width="10.75" style="2"/>
    <col min="5951" max="5951" width="2" style="2" customWidth="1"/>
    <col min="5952" max="5952" width="5.125" style="2" customWidth="1"/>
    <col min="5953" max="5953" width="7.625" style="2" customWidth="1"/>
    <col min="5954" max="5954" width="2" style="2" customWidth="1"/>
    <col min="5955" max="5956" width="10.75" style="2"/>
    <col min="5957" max="5957" width="1.125" style="2" customWidth="1"/>
    <col min="5958" max="5961" width="10.75" style="2"/>
    <col min="5962" max="5962" width="8.625" style="2" customWidth="1"/>
    <col min="5963" max="5964" width="10.75" style="2"/>
    <col min="5965" max="5965" width="2.125" style="2" customWidth="1"/>
    <col min="5966" max="5966" width="12.875" style="2" customWidth="1"/>
    <col min="5967" max="5967" width="10.75" style="2"/>
    <col min="5968" max="5968" width="3.125" style="2" customWidth="1"/>
    <col min="5969" max="5970" width="10.75" style="2"/>
    <col min="5971" max="5971" width="1.875" style="2" customWidth="1"/>
    <col min="5972" max="5976" width="10.75" style="2"/>
    <col min="5977" max="5977" width="1" style="2" customWidth="1"/>
    <col min="5978" max="5979" width="10.75" style="2"/>
    <col min="5980" max="5980" width="0.625" style="2" customWidth="1"/>
    <col min="5981" max="5981" width="10.625" style="2" customWidth="1"/>
    <col min="5982" max="5982" width="2.75" style="2" customWidth="1"/>
    <col min="5983" max="5984" width="6.75" style="2" customWidth="1"/>
    <col min="5985" max="5990" width="10.75" style="2"/>
    <col min="5991" max="5991" width="47.375" style="2" customWidth="1"/>
    <col min="5992" max="5992" width="10.75" style="2"/>
    <col min="5993" max="5993" width="18.625" style="2" customWidth="1"/>
    <col min="5994" max="5994" width="10.75" style="2"/>
    <col min="5995" max="5995" width="4.25" style="2" customWidth="1"/>
    <col min="5996" max="5998" width="10.75" style="2"/>
    <col min="5999" max="5999" width="19.25" style="2" customWidth="1"/>
    <col min="6000" max="6007" width="10.75" style="2"/>
    <col min="6008" max="6011" width="14.625" style="2" customWidth="1"/>
    <col min="6012" max="6069" width="10.75" style="2"/>
    <col min="6070" max="6070" width="12.25" style="2" customWidth="1"/>
    <col min="6071" max="6071" width="16" style="2" customWidth="1"/>
    <col min="6072" max="6072" width="10.75" style="2"/>
    <col min="6073" max="6073" width="20.125" style="2" customWidth="1"/>
    <col min="6074" max="6074" width="3.875" style="2" customWidth="1"/>
    <col min="6075" max="6078" width="13.25" style="2" customWidth="1"/>
    <col min="6079" max="6079" width="16.25" style="2" customWidth="1"/>
    <col min="6080" max="6080" width="13.25" style="2" customWidth="1"/>
    <col min="6081" max="6081" width="14.75" style="2" customWidth="1"/>
    <col min="6082" max="6082" width="21.75" style="2" customWidth="1"/>
    <col min="6083" max="6083" width="10.75" style="2"/>
    <col min="6084" max="6084" width="10.625" style="2" customWidth="1"/>
    <col min="6085" max="6122" width="10.75" style="2"/>
    <col min="6123" max="6123" width="13.25" style="2" customWidth="1"/>
    <col min="6124" max="6124" width="15.875" style="2" customWidth="1"/>
    <col min="6125" max="6135" width="10.75" style="2"/>
    <col min="6136" max="6136" width="1.25" style="2" customWidth="1"/>
    <col min="6137" max="6139" width="10.75" style="2"/>
    <col min="6140" max="6146" width="12.25" style="2" customWidth="1"/>
    <col min="6147" max="6147" width="24.375" style="2" customWidth="1"/>
    <col min="6148" max="6193" width="10.75" style="2"/>
    <col min="6194" max="6194" width="7.25" style="2" customWidth="1"/>
    <col min="6195" max="6195" width="10.75" style="2"/>
    <col min="6196" max="6196" width="9.875" style="2" customWidth="1"/>
    <col min="6197" max="6197" width="8.625" style="2" customWidth="1"/>
    <col min="6198" max="6198" width="7.875" style="2" customWidth="1"/>
    <col min="6199" max="6199" width="15" style="2" customWidth="1"/>
    <col min="6200" max="6204" width="11.875" style="2" customWidth="1"/>
    <col min="6205" max="6205" width="22" style="2" customWidth="1"/>
    <col min="6206" max="6206" width="10.75" style="2"/>
    <col min="6207" max="6207" width="2" style="2" customWidth="1"/>
    <col min="6208" max="6208" width="5.125" style="2" customWidth="1"/>
    <col min="6209" max="6209" width="7.625" style="2" customWidth="1"/>
    <col min="6210" max="6210" width="2" style="2" customWidth="1"/>
    <col min="6211" max="6212" width="10.75" style="2"/>
    <col min="6213" max="6213" width="1.125" style="2" customWidth="1"/>
    <col min="6214" max="6217" width="10.75" style="2"/>
    <col min="6218" max="6218" width="8.625" style="2" customWidth="1"/>
    <col min="6219" max="6220" width="10.75" style="2"/>
    <col min="6221" max="6221" width="2.125" style="2" customWidth="1"/>
    <col min="6222" max="6222" width="12.875" style="2" customWidth="1"/>
    <col min="6223" max="6223" width="10.75" style="2"/>
    <col min="6224" max="6224" width="3.125" style="2" customWidth="1"/>
    <col min="6225" max="6226" width="10.75" style="2"/>
    <col min="6227" max="6227" width="1.875" style="2" customWidth="1"/>
    <col min="6228" max="6232" width="10.75" style="2"/>
    <col min="6233" max="6233" width="1" style="2" customWidth="1"/>
    <col min="6234" max="6235" width="10.75" style="2"/>
    <col min="6236" max="6236" width="0.625" style="2" customWidth="1"/>
    <col min="6237" max="6237" width="10.625" style="2" customWidth="1"/>
    <col min="6238" max="6238" width="2.75" style="2" customWidth="1"/>
    <col min="6239" max="6240" width="6.75" style="2" customWidth="1"/>
    <col min="6241" max="6246" width="10.75" style="2"/>
    <col min="6247" max="6247" width="47.375" style="2" customWidth="1"/>
    <col min="6248" max="6248" width="10.75" style="2"/>
    <col min="6249" max="6249" width="18.625" style="2" customWidth="1"/>
    <col min="6250" max="6250" width="10.75" style="2"/>
    <col min="6251" max="6251" width="4.25" style="2" customWidth="1"/>
    <col min="6252" max="6254" width="10.75" style="2"/>
    <col min="6255" max="6255" width="19.25" style="2" customWidth="1"/>
    <col min="6256" max="6263" width="10.75" style="2"/>
    <col min="6264" max="6267" width="14.625" style="2" customWidth="1"/>
    <col min="6268" max="6325" width="10.75" style="2"/>
    <col min="6326" max="6326" width="12.25" style="2" customWidth="1"/>
    <col min="6327" max="6327" width="16" style="2" customWidth="1"/>
    <col min="6328" max="6328" width="10.75" style="2"/>
    <col min="6329" max="6329" width="20.125" style="2" customWidth="1"/>
    <col min="6330" max="6330" width="3.875" style="2" customWidth="1"/>
    <col min="6331" max="6334" width="13.25" style="2" customWidth="1"/>
    <col min="6335" max="6335" width="16.25" style="2" customWidth="1"/>
    <col min="6336" max="6336" width="13.25" style="2" customWidth="1"/>
    <col min="6337" max="6337" width="14.75" style="2" customWidth="1"/>
    <col min="6338" max="6338" width="21.75" style="2" customWidth="1"/>
    <col min="6339" max="6339" width="10.75" style="2"/>
    <col min="6340" max="6340" width="10.625" style="2" customWidth="1"/>
    <col min="6341" max="6378" width="10.75" style="2"/>
    <col min="6379" max="6379" width="13.25" style="2" customWidth="1"/>
    <col min="6380" max="6380" width="15.875" style="2" customWidth="1"/>
    <col min="6381" max="6391" width="10.75" style="2"/>
    <col min="6392" max="6392" width="1.25" style="2" customWidth="1"/>
    <col min="6393" max="6395" width="10.75" style="2"/>
    <col min="6396" max="6402" width="12.25" style="2" customWidth="1"/>
    <col min="6403" max="6403" width="24.375" style="2" customWidth="1"/>
    <col min="6404" max="6449" width="10.75" style="2"/>
    <col min="6450" max="6450" width="7.25" style="2" customWidth="1"/>
    <col min="6451" max="6451" width="10.75" style="2"/>
    <col min="6452" max="6452" width="9.875" style="2" customWidth="1"/>
    <col min="6453" max="6453" width="8.625" style="2" customWidth="1"/>
    <col min="6454" max="6454" width="7.875" style="2" customWidth="1"/>
    <col min="6455" max="6455" width="15" style="2" customWidth="1"/>
    <col min="6456" max="6460" width="11.875" style="2" customWidth="1"/>
    <col min="6461" max="6461" width="22" style="2" customWidth="1"/>
    <col min="6462" max="6462" width="10.75" style="2"/>
    <col min="6463" max="6463" width="2" style="2" customWidth="1"/>
    <col min="6464" max="6464" width="5.125" style="2" customWidth="1"/>
    <col min="6465" max="6465" width="7.625" style="2" customWidth="1"/>
    <col min="6466" max="6466" width="2" style="2" customWidth="1"/>
    <col min="6467" max="6468" width="10.75" style="2"/>
    <col min="6469" max="6469" width="1.125" style="2" customWidth="1"/>
    <col min="6470" max="6473" width="10.75" style="2"/>
    <col min="6474" max="6474" width="8.625" style="2" customWidth="1"/>
    <col min="6475" max="6476" width="10.75" style="2"/>
    <col min="6477" max="6477" width="2.125" style="2" customWidth="1"/>
    <col min="6478" max="6478" width="12.875" style="2" customWidth="1"/>
    <col min="6479" max="6479" width="10.75" style="2"/>
    <col min="6480" max="6480" width="3.125" style="2" customWidth="1"/>
    <col min="6481" max="6482" width="10.75" style="2"/>
    <col min="6483" max="6483" width="1.875" style="2" customWidth="1"/>
    <col min="6484" max="6488" width="10.75" style="2"/>
    <col min="6489" max="6489" width="1" style="2" customWidth="1"/>
    <col min="6490" max="6491" width="10.75" style="2"/>
    <col min="6492" max="6492" width="0.625" style="2" customWidth="1"/>
    <col min="6493" max="6493" width="10.625" style="2" customWidth="1"/>
    <col min="6494" max="6494" width="2.75" style="2" customWidth="1"/>
    <col min="6495" max="6496" width="6.75" style="2" customWidth="1"/>
    <col min="6497" max="6502" width="10.75" style="2"/>
    <col min="6503" max="6503" width="47.375" style="2" customWidth="1"/>
    <col min="6504" max="6504" width="10.75" style="2"/>
    <col min="6505" max="6505" width="18.625" style="2" customWidth="1"/>
    <col min="6506" max="6506" width="10.75" style="2"/>
    <col min="6507" max="6507" width="4.25" style="2" customWidth="1"/>
    <col min="6508" max="6510" width="10.75" style="2"/>
    <col min="6511" max="6511" width="19.25" style="2" customWidth="1"/>
    <col min="6512" max="6519" width="10.75" style="2"/>
    <col min="6520" max="6523" width="14.625" style="2" customWidth="1"/>
    <col min="6524" max="6581" width="10.75" style="2"/>
    <col min="6582" max="6582" width="12.25" style="2" customWidth="1"/>
    <col min="6583" max="6583" width="16" style="2" customWidth="1"/>
    <col min="6584" max="6584" width="10.75" style="2"/>
    <col min="6585" max="6585" width="20.125" style="2" customWidth="1"/>
    <col min="6586" max="6586" width="3.875" style="2" customWidth="1"/>
    <col min="6587" max="6590" width="13.25" style="2" customWidth="1"/>
    <col min="6591" max="6591" width="16.25" style="2" customWidth="1"/>
    <col min="6592" max="6592" width="13.25" style="2" customWidth="1"/>
    <col min="6593" max="6593" width="14.75" style="2" customWidth="1"/>
    <col min="6594" max="6594" width="21.75" style="2" customWidth="1"/>
    <col min="6595" max="6595" width="10.75" style="2"/>
    <col min="6596" max="6596" width="10.625" style="2" customWidth="1"/>
    <col min="6597" max="6634" width="10.75" style="2"/>
    <col min="6635" max="6635" width="13.25" style="2" customWidth="1"/>
    <col min="6636" max="6636" width="15.875" style="2" customWidth="1"/>
    <col min="6637" max="6647" width="10.75" style="2"/>
    <col min="6648" max="6648" width="1.25" style="2" customWidth="1"/>
    <col min="6649" max="6651" width="10.75" style="2"/>
    <col min="6652" max="6658" width="12.25" style="2" customWidth="1"/>
    <col min="6659" max="6659" width="24.375" style="2" customWidth="1"/>
    <col min="6660" max="6705" width="10.75" style="2"/>
    <col min="6706" max="6706" width="7.25" style="2" customWidth="1"/>
    <col min="6707" max="6707" width="10.75" style="2"/>
    <col min="6708" max="6708" width="9.875" style="2" customWidth="1"/>
    <col min="6709" max="6709" width="8.625" style="2" customWidth="1"/>
    <col min="6710" max="6710" width="7.875" style="2" customWidth="1"/>
    <col min="6711" max="6711" width="15" style="2" customWidth="1"/>
    <col min="6712" max="6716" width="11.875" style="2" customWidth="1"/>
    <col min="6717" max="6717" width="22" style="2" customWidth="1"/>
    <col min="6718" max="6718" width="10.75" style="2"/>
    <col min="6719" max="6719" width="2" style="2" customWidth="1"/>
    <col min="6720" max="6720" width="5.125" style="2" customWidth="1"/>
    <col min="6721" max="6721" width="7.625" style="2" customWidth="1"/>
    <col min="6722" max="6722" width="2" style="2" customWidth="1"/>
    <col min="6723" max="6724" width="10.75" style="2"/>
    <col min="6725" max="6725" width="1.125" style="2" customWidth="1"/>
    <col min="6726" max="6729" width="10.75" style="2"/>
    <col min="6730" max="6730" width="8.625" style="2" customWidth="1"/>
    <col min="6731" max="6732" width="10.75" style="2"/>
    <col min="6733" max="6733" width="2.125" style="2" customWidth="1"/>
    <col min="6734" max="6734" width="12.875" style="2" customWidth="1"/>
    <col min="6735" max="6735" width="10.75" style="2"/>
    <col min="6736" max="6736" width="3.125" style="2" customWidth="1"/>
    <col min="6737" max="6738" width="10.75" style="2"/>
    <col min="6739" max="6739" width="1.875" style="2" customWidth="1"/>
    <col min="6740" max="6744" width="10.75" style="2"/>
    <col min="6745" max="6745" width="1" style="2" customWidth="1"/>
    <col min="6746" max="6747" width="10.75" style="2"/>
    <col min="6748" max="6748" width="0.625" style="2" customWidth="1"/>
    <col min="6749" max="6749" width="10.625" style="2" customWidth="1"/>
    <col min="6750" max="6750" width="2.75" style="2" customWidth="1"/>
    <col min="6751" max="6752" width="6.75" style="2" customWidth="1"/>
    <col min="6753" max="6758" width="10.75" style="2"/>
    <col min="6759" max="6759" width="47.375" style="2" customWidth="1"/>
    <col min="6760" max="6760" width="10.75" style="2"/>
    <col min="6761" max="6761" width="18.625" style="2" customWidth="1"/>
    <col min="6762" max="6762" width="10.75" style="2"/>
    <col min="6763" max="6763" width="4.25" style="2" customWidth="1"/>
    <col min="6764" max="6766" width="10.75" style="2"/>
    <col min="6767" max="6767" width="19.25" style="2" customWidth="1"/>
    <col min="6768" max="6775" width="10.75" style="2"/>
    <col min="6776" max="6779" width="14.625" style="2" customWidth="1"/>
    <col min="6780" max="6837" width="10.75" style="2"/>
    <col min="6838" max="6838" width="12.25" style="2" customWidth="1"/>
    <col min="6839" max="6839" width="16" style="2" customWidth="1"/>
    <col min="6840" max="6840" width="10.75" style="2"/>
    <col min="6841" max="6841" width="20.125" style="2" customWidth="1"/>
    <col min="6842" max="6842" width="3.875" style="2" customWidth="1"/>
    <col min="6843" max="6846" width="13.25" style="2" customWidth="1"/>
    <col min="6847" max="6847" width="16.25" style="2" customWidth="1"/>
    <col min="6848" max="6848" width="13.25" style="2" customWidth="1"/>
    <col min="6849" max="6849" width="14.75" style="2" customWidth="1"/>
    <col min="6850" max="6850" width="21.75" style="2" customWidth="1"/>
    <col min="6851" max="6851" width="10.75" style="2"/>
    <col min="6852" max="6852" width="10.625" style="2" customWidth="1"/>
    <col min="6853" max="6890" width="10.75" style="2"/>
    <col min="6891" max="6891" width="13.25" style="2" customWidth="1"/>
    <col min="6892" max="6892" width="15.875" style="2" customWidth="1"/>
    <col min="6893" max="6903" width="10.75" style="2"/>
    <col min="6904" max="6904" width="1.25" style="2" customWidth="1"/>
    <col min="6905" max="6907" width="10.75" style="2"/>
    <col min="6908" max="6914" width="12.25" style="2" customWidth="1"/>
    <col min="6915" max="6915" width="24.375" style="2" customWidth="1"/>
    <col min="6916" max="6961" width="10.75" style="2"/>
    <col min="6962" max="6962" width="7.25" style="2" customWidth="1"/>
    <col min="6963" max="6963" width="10.75" style="2"/>
    <col min="6964" max="6964" width="9.875" style="2" customWidth="1"/>
    <col min="6965" max="6965" width="8.625" style="2" customWidth="1"/>
    <col min="6966" max="6966" width="7.875" style="2" customWidth="1"/>
    <col min="6967" max="6967" width="15" style="2" customWidth="1"/>
    <col min="6968" max="6972" width="11.875" style="2" customWidth="1"/>
    <col min="6973" max="6973" width="22" style="2" customWidth="1"/>
    <col min="6974" max="6974" width="10.75" style="2"/>
    <col min="6975" max="6975" width="2" style="2" customWidth="1"/>
    <col min="6976" max="6976" width="5.125" style="2" customWidth="1"/>
    <col min="6977" max="6977" width="7.625" style="2" customWidth="1"/>
    <col min="6978" max="6978" width="2" style="2" customWidth="1"/>
    <col min="6979" max="6980" width="10.75" style="2"/>
    <col min="6981" max="6981" width="1.125" style="2" customWidth="1"/>
    <col min="6982" max="6985" width="10.75" style="2"/>
    <col min="6986" max="6986" width="8.625" style="2" customWidth="1"/>
    <col min="6987" max="6988" width="10.75" style="2"/>
    <col min="6989" max="6989" width="2.125" style="2" customWidth="1"/>
    <col min="6990" max="6990" width="12.875" style="2" customWidth="1"/>
    <col min="6991" max="6991" width="10.75" style="2"/>
    <col min="6992" max="6992" width="3.125" style="2" customWidth="1"/>
    <col min="6993" max="6994" width="10.75" style="2"/>
    <col min="6995" max="6995" width="1.875" style="2" customWidth="1"/>
    <col min="6996" max="7000" width="10.75" style="2"/>
    <col min="7001" max="7001" width="1" style="2" customWidth="1"/>
    <col min="7002" max="7003" width="10.75" style="2"/>
    <col min="7004" max="7004" width="0.625" style="2" customWidth="1"/>
    <col min="7005" max="7005" width="10.625" style="2" customWidth="1"/>
    <col min="7006" max="7006" width="2.75" style="2" customWidth="1"/>
    <col min="7007" max="7008" width="6.75" style="2" customWidth="1"/>
    <col min="7009" max="7014" width="10.75" style="2"/>
    <col min="7015" max="7015" width="47.375" style="2" customWidth="1"/>
    <col min="7016" max="7016" width="10.75" style="2"/>
    <col min="7017" max="7017" width="18.625" style="2" customWidth="1"/>
    <col min="7018" max="7018" width="10.75" style="2"/>
    <col min="7019" max="7019" width="4.25" style="2" customWidth="1"/>
    <col min="7020" max="7022" width="10.75" style="2"/>
    <col min="7023" max="7023" width="19.25" style="2" customWidth="1"/>
    <col min="7024" max="7031" width="10.75" style="2"/>
    <col min="7032" max="7035" width="14.625" style="2" customWidth="1"/>
    <col min="7036" max="7093" width="10.75" style="2"/>
    <col min="7094" max="7094" width="12.25" style="2" customWidth="1"/>
    <col min="7095" max="7095" width="16" style="2" customWidth="1"/>
    <col min="7096" max="7096" width="10.75" style="2"/>
    <col min="7097" max="7097" width="20.125" style="2" customWidth="1"/>
    <col min="7098" max="7098" width="3.875" style="2" customWidth="1"/>
    <col min="7099" max="7102" width="13.25" style="2" customWidth="1"/>
    <col min="7103" max="7103" width="16.25" style="2" customWidth="1"/>
    <col min="7104" max="7104" width="13.25" style="2" customWidth="1"/>
    <col min="7105" max="7105" width="14.75" style="2" customWidth="1"/>
    <col min="7106" max="7106" width="21.75" style="2" customWidth="1"/>
    <col min="7107" max="7107" width="10.75" style="2"/>
    <col min="7108" max="7108" width="10.625" style="2" customWidth="1"/>
    <col min="7109" max="7146" width="10.75" style="2"/>
    <col min="7147" max="7147" width="13.25" style="2" customWidth="1"/>
    <col min="7148" max="7148" width="15.875" style="2" customWidth="1"/>
    <col min="7149" max="7159" width="10.75" style="2"/>
    <col min="7160" max="7160" width="1.25" style="2" customWidth="1"/>
    <col min="7161" max="7163" width="10.75" style="2"/>
    <col min="7164" max="7170" width="12.25" style="2" customWidth="1"/>
    <col min="7171" max="7171" width="24.375" style="2" customWidth="1"/>
    <col min="7172" max="7217" width="10.75" style="2"/>
    <col min="7218" max="7218" width="7.25" style="2" customWidth="1"/>
    <col min="7219" max="7219" width="10.75" style="2"/>
    <col min="7220" max="7220" width="9.875" style="2" customWidth="1"/>
    <col min="7221" max="7221" width="8.625" style="2" customWidth="1"/>
    <col min="7222" max="7222" width="7.875" style="2" customWidth="1"/>
    <col min="7223" max="7223" width="15" style="2" customWidth="1"/>
    <col min="7224" max="7228" width="11.875" style="2" customWidth="1"/>
    <col min="7229" max="7229" width="22" style="2" customWidth="1"/>
    <col min="7230" max="7230" width="10.75" style="2"/>
    <col min="7231" max="7231" width="2" style="2" customWidth="1"/>
    <col min="7232" max="7232" width="5.125" style="2" customWidth="1"/>
    <col min="7233" max="7233" width="7.625" style="2" customWidth="1"/>
    <col min="7234" max="7234" width="2" style="2" customWidth="1"/>
    <col min="7235" max="7236" width="10.75" style="2"/>
    <col min="7237" max="7237" width="1.125" style="2" customWidth="1"/>
    <col min="7238" max="7241" width="10.75" style="2"/>
    <col min="7242" max="7242" width="8.625" style="2" customWidth="1"/>
    <col min="7243" max="7244" width="10.75" style="2"/>
    <col min="7245" max="7245" width="2.125" style="2" customWidth="1"/>
    <col min="7246" max="7246" width="12.875" style="2" customWidth="1"/>
    <col min="7247" max="7247" width="10.75" style="2"/>
    <col min="7248" max="7248" width="3.125" style="2" customWidth="1"/>
    <col min="7249" max="7250" width="10.75" style="2"/>
    <col min="7251" max="7251" width="1.875" style="2" customWidth="1"/>
    <col min="7252" max="7256" width="10.75" style="2"/>
    <col min="7257" max="7257" width="1" style="2" customWidth="1"/>
    <col min="7258" max="7259" width="10.75" style="2"/>
    <col min="7260" max="7260" width="0.625" style="2" customWidth="1"/>
    <col min="7261" max="7261" width="10.625" style="2" customWidth="1"/>
    <col min="7262" max="7262" width="2.75" style="2" customWidth="1"/>
    <col min="7263" max="7264" width="6.75" style="2" customWidth="1"/>
    <col min="7265" max="7270" width="10.75" style="2"/>
    <col min="7271" max="7271" width="47.375" style="2" customWidth="1"/>
    <col min="7272" max="7272" width="10.75" style="2"/>
    <col min="7273" max="7273" width="18.625" style="2" customWidth="1"/>
    <col min="7274" max="7274" width="10.75" style="2"/>
    <col min="7275" max="7275" width="4.25" style="2" customWidth="1"/>
    <col min="7276" max="7278" width="10.75" style="2"/>
    <col min="7279" max="7279" width="19.25" style="2" customWidth="1"/>
    <col min="7280" max="7287" width="10.75" style="2"/>
    <col min="7288" max="7291" width="14.625" style="2" customWidth="1"/>
    <col min="7292" max="7349" width="10.75" style="2"/>
    <col min="7350" max="7350" width="12.25" style="2" customWidth="1"/>
    <col min="7351" max="7351" width="16" style="2" customWidth="1"/>
    <col min="7352" max="7352" width="10.75" style="2"/>
    <col min="7353" max="7353" width="20.125" style="2" customWidth="1"/>
    <col min="7354" max="7354" width="3.875" style="2" customWidth="1"/>
    <col min="7355" max="7358" width="13.25" style="2" customWidth="1"/>
    <col min="7359" max="7359" width="16.25" style="2" customWidth="1"/>
    <col min="7360" max="7360" width="13.25" style="2" customWidth="1"/>
    <col min="7361" max="7361" width="14.75" style="2" customWidth="1"/>
    <col min="7362" max="7362" width="21.75" style="2" customWidth="1"/>
    <col min="7363" max="7363" width="10.75" style="2"/>
    <col min="7364" max="7364" width="10.625" style="2" customWidth="1"/>
    <col min="7365" max="7402" width="10.75" style="2"/>
    <col min="7403" max="7403" width="13.25" style="2" customWidth="1"/>
    <col min="7404" max="7404" width="15.875" style="2" customWidth="1"/>
    <col min="7405" max="7415" width="10.75" style="2"/>
    <col min="7416" max="7416" width="1.25" style="2" customWidth="1"/>
    <col min="7417" max="7419" width="10.75" style="2"/>
    <col min="7420" max="7426" width="12.25" style="2" customWidth="1"/>
    <col min="7427" max="7427" width="24.375" style="2" customWidth="1"/>
    <col min="7428" max="7473" width="10.75" style="2"/>
    <col min="7474" max="7474" width="7.25" style="2" customWidth="1"/>
    <col min="7475" max="7475" width="10.75" style="2"/>
    <col min="7476" max="7476" width="9.875" style="2" customWidth="1"/>
    <col min="7477" max="7477" width="8.625" style="2" customWidth="1"/>
    <col min="7478" max="7478" width="7.875" style="2" customWidth="1"/>
    <col min="7479" max="7479" width="15" style="2" customWidth="1"/>
    <col min="7480" max="7484" width="11.875" style="2" customWidth="1"/>
    <col min="7485" max="7485" width="22" style="2" customWidth="1"/>
    <col min="7486" max="7486" width="10.75" style="2"/>
    <col min="7487" max="7487" width="2" style="2" customWidth="1"/>
    <col min="7488" max="7488" width="5.125" style="2" customWidth="1"/>
    <col min="7489" max="7489" width="7.625" style="2" customWidth="1"/>
    <col min="7490" max="7490" width="2" style="2" customWidth="1"/>
    <col min="7491" max="7492" width="10.75" style="2"/>
    <col min="7493" max="7493" width="1.125" style="2" customWidth="1"/>
    <col min="7494" max="7497" width="10.75" style="2"/>
    <col min="7498" max="7498" width="8.625" style="2" customWidth="1"/>
    <col min="7499" max="7500" width="10.75" style="2"/>
    <col min="7501" max="7501" width="2.125" style="2" customWidth="1"/>
    <col min="7502" max="7502" width="12.875" style="2" customWidth="1"/>
    <col min="7503" max="7503" width="10.75" style="2"/>
    <col min="7504" max="7504" width="3.125" style="2" customWidth="1"/>
    <col min="7505" max="7506" width="10.75" style="2"/>
    <col min="7507" max="7507" width="1.875" style="2" customWidth="1"/>
    <col min="7508" max="7512" width="10.75" style="2"/>
    <col min="7513" max="7513" width="1" style="2" customWidth="1"/>
    <col min="7514" max="7515" width="10.75" style="2"/>
    <col min="7516" max="7516" width="0.625" style="2" customWidth="1"/>
    <col min="7517" max="7517" width="10.625" style="2" customWidth="1"/>
    <col min="7518" max="7518" width="2.75" style="2" customWidth="1"/>
    <col min="7519" max="7520" width="6.75" style="2" customWidth="1"/>
    <col min="7521" max="7526" width="10.75" style="2"/>
    <col min="7527" max="7527" width="47.375" style="2" customWidth="1"/>
    <col min="7528" max="7528" width="10.75" style="2"/>
    <col min="7529" max="7529" width="18.625" style="2" customWidth="1"/>
    <col min="7530" max="7530" width="10.75" style="2"/>
    <col min="7531" max="7531" width="4.25" style="2" customWidth="1"/>
    <col min="7532" max="7534" width="10.75" style="2"/>
    <col min="7535" max="7535" width="19.25" style="2" customWidth="1"/>
    <col min="7536" max="7543" width="10.75" style="2"/>
    <col min="7544" max="7547" width="14.625" style="2" customWidth="1"/>
    <col min="7548" max="7605" width="10.75" style="2"/>
    <col min="7606" max="7606" width="12.25" style="2" customWidth="1"/>
    <col min="7607" max="7607" width="16" style="2" customWidth="1"/>
    <col min="7608" max="7608" width="10.75" style="2"/>
    <col min="7609" max="7609" width="20.125" style="2" customWidth="1"/>
    <col min="7610" max="7610" width="3.875" style="2" customWidth="1"/>
    <col min="7611" max="7614" width="13.25" style="2" customWidth="1"/>
    <col min="7615" max="7615" width="16.25" style="2" customWidth="1"/>
    <col min="7616" max="7616" width="13.25" style="2" customWidth="1"/>
    <col min="7617" max="7617" width="14.75" style="2" customWidth="1"/>
    <col min="7618" max="7618" width="21.75" style="2" customWidth="1"/>
    <col min="7619" max="7619" width="10.75" style="2"/>
    <col min="7620" max="7620" width="10.625" style="2" customWidth="1"/>
    <col min="7621" max="7658" width="10.75" style="2"/>
    <col min="7659" max="7659" width="13.25" style="2" customWidth="1"/>
    <col min="7660" max="7660" width="15.875" style="2" customWidth="1"/>
    <col min="7661" max="7671" width="10.75" style="2"/>
    <col min="7672" max="7672" width="1.25" style="2" customWidth="1"/>
    <col min="7673" max="7675" width="10.75" style="2"/>
    <col min="7676" max="7682" width="12.25" style="2" customWidth="1"/>
    <col min="7683" max="7683" width="24.375" style="2" customWidth="1"/>
    <col min="7684" max="7729" width="10.75" style="2"/>
    <col min="7730" max="7730" width="7.25" style="2" customWidth="1"/>
    <col min="7731" max="7731" width="10.75" style="2"/>
    <col min="7732" max="7732" width="9.875" style="2" customWidth="1"/>
    <col min="7733" max="7733" width="8.625" style="2" customWidth="1"/>
    <col min="7734" max="7734" width="7.875" style="2" customWidth="1"/>
    <col min="7735" max="7735" width="15" style="2" customWidth="1"/>
    <col min="7736" max="7740" width="11.875" style="2" customWidth="1"/>
    <col min="7741" max="7741" width="22" style="2" customWidth="1"/>
    <col min="7742" max="7742" width="10.75" style="2"/>
    <col min="7743" max="7743" width="2" style="2" customWidth="1"/>
    <col min="7744" max="7744" width="5.125" style="2" customWidth="1"/>
    <col min="7745" max="7745" width="7.625" style="2" customWidth="1"/>
    <col min="7746" max="7746" width="2" style="2" customWidth="1"/>
    <col min="7747" max="7748" width="10.75" style="2"/>
    <col min="7749" max="7749" width="1.125" style="2" customWidth="1"/>
    <col min="7750" max="7753" width="10.75" style="2"/>
    <col min="7754" max="7754" width="8.625" style="2" customWidth="1"/>
    <col min="7755" max="7756" width="10.75" style="2"/>
    <col min="7757" max="7757" width="2.125" style="2" customWidth="1"/>
    <col min="7758" max="7758" width="12.875" style="2" customWidth="1"/>
    <col min="7759" max="7759" width="10.75" style="2"/>
    <col min="7760" max="7760" width="3.125" style="2" customWidth="1"/>
    <col min="7761" max="7762" width="10.75" style="2"/>
    <col min="7763" max="7763" width="1.875" style="2" customWidth="1"/>
    <col min="7764" max="7768" width="10.75" style="2"/>
    <col min="7769" max="7769" width="1" style="2" customWidth="1"/>
    <col min="7770" max="7771" width="10.75" style="2"/>
    <col min="7772" max="7772" width="0.625" style="2" customWidth="1"/>
    <col min="7773" max="7773" width="10.625" style="2" customWidth="1"/>
    <col min="7774" max="7774" width="2.75" style="2" customWidth="1"/>
    <col min="7775" max="7776" width="6.75" style="2" customWidth="1"/>
    <col min="7777" max="7782" width="10.75" style="2"/>
    <col min="7783" max="7783" width="47.375" style="2" customWidth="1"/>
    <col min="7784" max="7784" width="10.75" style="2"/>
    <col min="7785" max="7785" width="18.625" style="2" customWidth="1"/>
    <col min="7786" max="7786" width="10.75" style="2"/>
    <col min="7787" max="7787" width="4.25" style="2" customWidth="1"/>
    <col min="7788" max="7790" width="10.75" style="2"/>
    <col min="7791" max="7791" width="19.25" style="2" customWidth="1"/>
    <col min="7792" max="7799" width="10.75" style="2"/>
    <col min="7800" max="7803" width="14.625" style="2" customWidth="1"/>
    <col min="7804" max="7861" width="10.75" style="2"/>
    <col min="7862" max="7862" width="12.25" style="2" customWidth="1"/>
    <col min="7863" max="7863" width="16" style="2" customWidth="1"/>
    <col min="7864" max="7864" width="10.75" style="2"/>
    <col min="7865" max="7865" width="20.125" style="2" customWidth="1"/>
    <col min="7866" max="7866" width="3.875" style="2" customWidth="1"/>
    <col min="7867" max="7870" width="13.25" style="2" customWidth="1"/>
    <col min="7871" max="7871" width="16.25" style="2" customWidth="1"/>
    <col min="7872" max="7872" width="13.25" style="2" customWidth="1"/>
    <col min="7873" max="7873" width="14.75" style="2" customWidth="1"/>
    <col min="7874" max="7874" width="21.75" style="2" customWidth="1"/>
    <col min="7875" max="7875" width="10.75" style="2"/>
    <col min="7876" max="7876" width="10.625" style="2" customWidth="1"/>
    <col min="7877" max="7914" width="10.75" style="2"/>
    <col min="7915" max="7915" width="13.25" style="2" customWidth="1"/>
    <col min="7916" max="7916" width="15.875" style="2" customWidth="1"/>
    <col min="7917" max="7927" width="10.75" style="2"/>
    <col min="7928" max="7928" width="1.25" style="2" customWidth="1"/>
    <col min="7929" max="7931" width="10.75" style="2"/>
    <col min="7932" max="7938" width="12.25" style="2" customWidth="1"/>
    <col min="7939" max="7939" width="24.375" style="2" customWidth="1"/>
    <col min="7940" max="7985" width="10.75" style="2"/>
    <col min="7986" max="7986" width="7.25" style="2" customWidth="1"/>
    <col min="7987" max="7987" width="10.75" style="2"/>
    <col min="7988" max="7988" width="9.875" style="2" customWidth="1"/>
    <col min="7989" max="7989" width="8.625" style="2" customWidth="1"/>
    <col min="7990" max="7990" width="7.875" style="2" customWidth="1"/>
    <col min="7991" max="7991" width="15" style="2" customWidth="1"/>
    <col min="7992" max="7996" width="11.875" style="2" customWidth="1"/>
    <col min="7997" max="7997" width="22" style="2" customWidth="1"/>
    <col min="7998" max="7998" width="10.75" style="2"/>
    <col min="7999" max="7999" width="2" style="2" customWidth="1"/>
    <col min="8000" max="8000" width="5.125" style="2" customWidth="1"/>
    <col min="8001" max="8001" width="7.625" style="2" customWidth="1"/>
    <col min="8002" max="8002" width="2" style="2" customWidth="1"/>
    <col min="8003" max="8004" width="10.75" style="2"/>
    <col min="8005" max="8005" width="1.125" style="2" customWidth="1"/>
    <col min="8006" max="8009" width="10.75" style="2"/>
    <col min="8010" max="8010" width="8.625" style="2" customWidth="1"/>
    <col min="8011" max="8012" width="10.75" style="2"/>
    <col min="8013" max="8013" width="2.125" style="2" customWidth="1"/>
    <col min="8014" max="8014" width="12.875" style="2" customWidth="1"/>
    <col min="8015" max="8015" width="10.75" style="2"/>
    <col min="8016" max="8016" width="3.125" style="2" customWidth="1"/>
    <col min="8017" max="8018" width="10.75" style="2"/>
    <col min="8019" max="8019" width="1.875" style="2" customWidth="1"/>
    <col min="8020" max="8024" width="10.75" style="2"/>
    <col min="8025" max="8025" width="1" style="2" customWidth="1"/>
    <col min="8026" max="8027" width="10.75" style="2"/>
    <col min="8028" max="8028" width="0.625" style="2" customWidth="1"/>
    <col min="8029" max="8029" width="10.625" style="2" customWidth="1"/>
    <col min="8030" max="8030" width="2.75" style="2" customWidth="1"/>
    <col min="8031" max="8032" width="6.75" style="2" customWidth="1"/>
    <col min="8033" max="8038" width="10.75" style="2"/>
    <col min="8039" max="8039" width="47.375" style="2" customWidth="1"/>
    <col min="8040" max="8040" width="10.75" style="2"/>
    <col min="8041" max="8041" width="18.625" style="2" customWidth="1"/>
    <col min="8042" max="8042" width="10.75" style="2"/>
    <col min="8043" max="8043" width="4.25" style="2" customWidth="1"/>
    <col min="8044" max="8046" width="10.75" style="2"/>
    <col min="8047" max="8047" width="19.25" style="2" customWidth="1"/>
    <col min="8048" max="8055" width="10.75" style="2"/>
    <col min="8056" max="8059" width="14.625" style="2" customWidth="1"/>
    <col min="8060" max="8117" width="10.75" style="2"/>
    <col min="8118" max="8118" width="12.25" style="2" customWidth="1"/>
    <col min="8119" max="8119" width="16" style="2" customWidth="1"/>
    <col min="8120" max="8120" width="10.75" style="2"/>
    <col min="8121" max="8121" width="20.125" style="2" customWidth="1"/>
    <col min="8122" max="8122" width="3.875" style="2" customWidth="1"/>
    <col min="8123" max="8126" width="13.25" style="2" customWidth="1"/>
    <col min="8127" max="8127" width="16.25" style="2" customWidth="1"/>
    <col min="8128" max="8128" width="13.25" style="2" customWidth="1"/>
    <col min="8129" max="8129" width="14.75" style="2" customWidth="1"/>
    <col min="8130" max="8130" width="21.75" style="2" customWidth="1"/>
    <col min="8131" max="8131" width="10.75" style="2"/>
    <col min="8132" max="8132" width="10.625" style="2" customWidth="1"/>
    <col min="8133" max="8170" width="10.75" style="2"/>
    <col min="8171" max="8171" width="13.25" style="2" customWidth="1"/>
    <col min="8172" max="8172" width="15.875" style="2" customWidth="1"/>
    <col min="8173" max="8183" width="10.75" style="2"/>
    <col min="8184" max="8184" width="1.25" style="2" customWidth="1"/>
    <col min="8185" max="8187" width="10.75" style="2"/>
    <col min="8188" max="8194" width="12.25" style="2" customWidth="1"/>
    <col min="8195" max="8195" width="24.375" style="2" customWidth="1"/>
    <col min="8196" max="8241" width="10.75" style="2"/>
    <col min="8242" max="8242" width="7.25" style="2" customWidth="1"/>
    <col min="8243" max="8243" width="10.75" style="2"/>
    <col min="8244" max="8244" width="9.875" style="2" customWidth="1"/>
    <col min="8245" max="8245" width="8.625" style="2" customWidth="1"/>
    <col min="8246" max="8246" width="7.875" style="2" customWidth="1"/>
    <col min="8247" max="8247" width="15" style="2" customWidth="1"/>
    <col min="8248" max="8252" width="11.875" style="2" customWidth="1"/>
    <col min="8253" max="8253" width="22" style="2" customWidth="1"/>
    <col min="8254" max="8254" width="10.75" style="2"/>
    <col min="8255" max="8255" width="2" style="2" customWidth="1"/>
    <col min="8256" max="8256" width="5.125" style="2" customWidth="1"/>
    <col min="8257" max="8257" width="7.625" style="2" customWidth="1"/>
    <col min="8258" max="8258" width="2" style="2" customWidth="1"/>
    <col min="8259" max="8260" width="10.75" style="2"/>
    <col min="8261" max="8261" width="1.125" style="2" customWidth="1"/>
    <col min="8262" max="8265" width="10.75" style="2"/>
    <col min="8266" max="8266" width="8.625" style="2" customWidth="1"/>
    <col min="8267" max="8268" width="10.75" style="2"/>
    <col min="8269" max="8269" width="2.125" style="2" customWidth="1"/>
    <col min="8270" max="8270" width="12.875" style="2" customWidth="1"/>
    <col min="8271" max="8271" width="10.75" style="2"/>
    <col min="8272" max="8272" width="3.125" style="2" customWidth="1"/>
    <col min="8273" max="8274" width="10.75" style="2"/>
    <col min="8275" max="8275" width="1.875" style="2" customWidth="1"/>
    <col min="8276" max="8280" width="10.75" style="2"/>
    <col min="8281" max="8281" width="1" style="2" customWidth="1"/>
    <col min="8282" max="8283" width="10.75" style="2"/>
    <col min="8284" max="8284" width="0.625" style="2" customWidth="1"/>
    <col min="8285" max="8285" width="10.625" style="2" customWidth="1"/>
    <col min="8286" max="8286" width="2.75" style="2" customWidth="1"/>
    <col min="8287" max="8288" width="6.75" style="2" customWidth="1"/>
    <col min="8289" max="8294" width="10.75" style="2"/>
    <col min="8295" max="8295" width="47.375" style="2" customWidth="1"/>
    <col min="8296" max="8296" width="10.75" style="2"/>
    <col min="8297" max="8297" width="18.625" style="2" customWidth="1"/>
    <col min="8298" max="8298" width="10.75" style="2"/>
    <col min="8299" max="8299" width="4.25" style="2" customWidth="1"/>
    <col min="8300" max="8302" width="10.75" style="2"/>
    <col min="8303" max="8303" width="19.25" style="2" customWidth="1"/>
    <col min="8304" max="8311" width="10.75" style="2"/>
    <col min="8312" max="8315" width="14.625" style="2" customWidth="1"/>
    <col min="8316" max="8373" width="10.75" style="2"/>
    <col min="8374" max="8374" width="12.25" style="2" customWidth="1"/>
    <col min="8375" max="8375" width="16" style="2" customWidth="1"/>
    <col min="8376" max="8376" width="10.75" style="2"/>
    <col min="8377" max="8377" width="20.125" style="2" customWidth="1"/>
    <col min="8378" max="8378" width="3.875" style="2" customWidth="1"/>
    <col min="8379" max="8382" width="13.25" style="2" customWidth="1"/>
    <col min="8383" max="8383" width="16.25" style="2" customWidth="1"/>
    <col min="8384" max="8384" width="13.25" style="2" customWidth="1"/>
    <col min="8385" max="8385" width="14.75" style="2" customWidth="1"/>
    <col min="8386" max="8386" width="21.75" style="2" customWidth="1"/>
    <col min="8387" max="8387" width="10.75" style="2"/>
    <col min="8388" max="8388" width="10.625" style="2" customWidth="1"/>
    <col min="8389" max="8426" width="10.75" style="2"/>
    <col min="8427" max="8427" width="13.25" style="2" customWidth="1"/>
    <col min="8428" max="8428" width="15.875" style="2" customWidth="1"/>
    <col min="8429" max="8439" width="10.75" style="2"/>
    <col min="8440" max="8440" width="1.25" style="2" customWidth="1"/>
    <col min="8441" max="8443" width="10.75" style="2"/>
    <col min="8444" max="8450" width="12.25" style="2" customWidth="1"/>
    <col min="8451" max="8451" width="24.375" style="2" customWidth="1"/>
    <col min="8452" max="8497" width="10.75" style="2"/>
    <col min="8498" max="8498" width="7.25" style="2" customWidth="1"/>
    <col min="8499" max="8499" width="10.75" style="2"/>
    <col min="8500" max="8500" width="9.875" style="2" customWidth="1"/>
    <col min="8501" max="8501" width="8.625" style="2" customWidth="1"/>
    <col min="8502" max="8502" width="7.875" style="2" customWidth="1"/>
    <col min="8503" max="8503" width="15" style="2" customWidth="1"/>
    <col min="8504" max="8508" width="11.875" style="2" customWidth="1"/>
    <col min="8509" max="8509" width="22" style="2" customWidth="1"/>
    <col min="8510" max="8510" width="10.75" style="2"/>
    <col min="8511" max="8511" width="2" style="2" customWidth="1"/>
    <col min="8512" max="8512" width="5.125" style="2" customWidth="1"/>
    <col min="8513" max="8513" width="7.625" style="2" customWidth="1"/>
    <col min="8514" max="8514" width="2" style="2" customWidth="1"/>
    <col min="8515" max="8516" width="10.75" style="2"/>
    <col min="8517" max="8517" width="1.125" style="2" customWidth="1"/>
    <col min="8518" max="8521" width="10.75" style="2"/>
    <col min="8522" max="8522" width="8.625" style="2" customWidth="1"/>
    <col min="8523" max="8524" width="10.75" style="2"/>
    <col min="8525" max="8525" width="2.125" style="2" customWidth="1"/>
    <col min="8526" max="8526" width="12.875" style="2" customWidth="1"/>
    <col min="8527" max="8527" width="10.75" style="2"/>
    <col min="8528" max="8528" width="3.125" style="2" customWidth="1"/>
    <col min="8529" max="8530" width="10.75" style="2"/>
    <col min="8531" max="8531" width="1.875" style="2" customWidth="1"/>
    <col min="8532" max="8536" width="10.75" style="2"/>
    <col min="8537" max="8537" width="1" style="2" customWidth="1"/>
    <col min="8538" max="8539" width="10.75" style="2"/>
    <col min="8540" max="8540" width="0.625" style="2" customWidth="1"/>
    <col min="8541" max="8541" width="10.625" style="2" customWidth="1"/>
    <col min="8542" max="8542" width="2.75" style="2" customWidth="1"/>
    <col min="8543" max="8544" width="6.75" style="2" customWidth="1"/>
    <col min="8545" max="8550" width="10.75" style="2"/>
    <col min="8551" max="8551" width="47.375" style="2" customWidth="1"/>
    <col min="8552" max="8552" width="10.75" style="2"/>
    <col min="8553" max="8553" width="18.625" style="2" customWidth="1"/>
    <col min="8554" max="8554" width="10.75" style="2"/>
    <col min="8555" max="8555" width="4.25" style="2" customWidth="1"/>
    <col min="8556" max="8558" width="10.75" style="2"/>
    <col min="8559" max="8559" width="19.25" style="2" customWidth="1"/>
    <col min="8560" max="8567" width="10.75" style="2"/>
    <col min="8568" max="8571" width="14.625" style="2" customWidth="1"/>
    <col min="8572" max="8629" width="10.75" style="2"/>
    <col min="8630" max="8630" width="12.25" style="2" customWidth="1"/>
    <col min="8631" max="8631" width="16" style="2" customWidth="1"/>
    <col min="8632" max="8632" width="10.75" style="2"/>
    <col min="8633" max="8633" width="20.125" style="2" customWidth="1"/>
    <col min="8634" max="8634" width="3.875" style="2" customWidth="1"/>
    <col min="8635" max="8638" width="13.25" style="2" customWidth="1"/>
    <col min="8639" max="8639" width="16.25" style="2" customWidth="1"/>
    <col min="8640" max="8640" width="13.25" style="2" customWidth="1"/>
    <col min="8641" max="8641" width="14.75" style="2" customWidth="1"/>
    <col min="8642" max="8642" width="21.75" style="2" customWidth="1"/>
    <col min="8643" max="8643" width="10.75" style="2"/>
    <col min="8644" max="8644" width="10.625" style="2" customWidth="1"/>
    <col min="8645" max="8682" width="10.75" style="2"/>
    <col min="8683" max="8683" width="13.25" style="2" customWidth="1"/>
    <col min="8684" max="8684" width="15.875" style="2" customWidth="1"/>
    <col min="8685" max="8695" width="10.75" style="2"/>
    <col min="8696" max="8696" width="1.25" style="2" customWidth="1"/>
    <col min="8697" max="8699" width="10.75" style="2"/>
    <col min="8700" max="8706" width="12.25" style="2" customWidth="1"/>
    <col min="8707" max="8707" width="24.375" style="2" customWidth="1"/>
    <col min="8708" max="8753" width="10.75" style="2"/>
    <col min="8754" max="8754" width="7.25" style="2" customWidth="1"/>
    <col min="8755" max="8755" width="10.75" style="2"/>
    <col min="8756" max="8756" width="9.875" style="2" customWidth="1"/>
    <col min="8757" max="8757" width="8.625" style="2" customWidth="1"/>
    <col min="8758" max="8758" width="7.875" style="2" customWidth="1"/>
    <col min="8759" max="8759" width="15" style="2" customWidth="1"/>
    <col min="8760" max="8764" width="11.875" style="2" customWidth="1"/>
    <col min="8765" max="8765" width="22" style="2" customWidth="1"/>
    <col min="8766" max="8766" width="10.75" style="2"/>
    <col min="8767" max="8767" width="2" style="2" customWidth="1"/>
    <col min="8768" max="8768" width="5.125" style="2" customWidth="1"/>
    <col min="8769" max="8769" width="7.625" style="2" customWidth="1"/>
    <col min="8770" max="8770" width="2" style="2" customWidth="1"/>
    <col min="8771" max="8772" width="10.75" style="2"/>
    <col min="8773" max="8773" width="1.125" style="2" customWidth="1"/>
    <col min="8774" max="8777" width="10.75" style="2"/>
    <col min="8778" max="8778" width="8.625" style="2" customWidth="1"/>
    <col min="8779" max="8780" width="10.75" style="2"/>
    <col min="8781" max="8781" width="2.125" style="2" customWidth="1"/>
    <col min="8782" max="8782" width="12.875" style="2" customWidth="1"/>
    <col min="8783" max="8783" width="10.75" style="2"/>
    <col min="8784" max="8784" width="3.125" style="2" customWidth="1"/>
    <col min="8785" max="8786" width="10.75" style="2"/>
    <col min="8787" max="8787" width="1.875" style="2" customWidth="1"/>
    <col min="8788" max="8792" width="10.75" style="2"/>
    <col min="8793" max="8793" width="1" style="2" customWidth="1"/>
    <col min="8794" max="8795" width="10.75" style="2"/>
    <col min="8796" max="8796" width="0.625" style="2" customWidth="1"/>
    <col min="8797" max="8797" width="10.625" style="2" customWidth="1"/>
    <col min="8798" max="8798" width="2.75" style="2" customWidth="1"/>
    <col min="8799" max="8800" width="6.75" style="2" customWidth="1"/>
    <col min="8801" max="8806" width="10.75" style="2"/>
    <col min="8807" max="8807" width="47.375" style="2" customWidth="1"/>
    <col min="8808" max="8808" width="10.75" style="2"/>
    <col min="8809" max="8809" width="18.625" style="2" customWidth="1"/>
    <col min="8810" max="8810" width="10.75" style="2"/>
    <col min="8811" max="8811" width="4.25" style="2" customWidth="1"/>
    <col min="8812" max="8814" width="10.75" style="2"/>
    <col min="8815" max="8815" width="19.25" style="2" customWidth="1"/>
    <col min="8816" max="8823" width="10.75" style="2"/>
    <col min="8824" max="8827" width="14.625" style="2" customWidth="1"/>
    <col min="8828" max="8885" width="10.75" style="2"/>
    <col min="8886" max="8886" width="12.25" style="2" customWidth="1"/>
    <col min="8887" max="8887" width="16" style="2" customWidth="1"/>
    <col min="8888" max="8888" width="10.75" style="2"/>
    <col min="8889" max="8889" width="20.125" style="2" customWidth="1"/>
    <col min="8890" max="8890" width="3.875" style="2" customWidth="1"/>
    <col min="8891" max="8894" width="13.25" style="2" customWidth="1"/>
    <col min="8895" max="8895" width="16.25" style="2" customWidth="1"/>
    <col min="8896" max="8896" width="13.25" style="2" customWidth="1"/>
    <col min="8897" max="8897" width="14.75" style="2" customWidth="1"/>
    <col min="8898" max="8898" width="21.75" style="2" customWidth="1"/>
    <col min="8899" max="8899" width="10.75" style="2"/>
    <col min="8900" max="8900" width="10.625" style="2" customWidth="1"/>
    <col min="8901" max="8938" width="10.75" style="2"/>
    <col min="8939" max="8939" width="13.25" style="2" customWidth="1"/>
    <col min="8940" max="8940" width="15.875" style="2" customWidth="1"/>
    <col min="8941" max="8951" width="10.75" style="2"/>
    <col min="8952" max="8952" width="1.25" style="2" customWidth="1"/>
    <col min="8953" max="8955" width="10.75" style="2"/>
    <col min="8956" max="8962" width="12.25" style="2" customWidth="1"/>
    <col min="8963" max="8963" width="24.375" style="2" customWidth="1"/>
    <col min="8964" max="9009" width="10.75" style="2"/>
    <col min="9010" max="9010" width="7.25" style="2" customWidth="1"/>
    <col min="9011" max="9011" width="10.75" style="2"/>
    <col min="9012" max="9012" width="9.875" style="2" customWidth="1"/>
    <col min="9013" max="9013" width="8.625" style="2" customWidth="1"/>
    <col min="9014" max="9014" width="7.875" style="2" customWidth="1"/>
    <col min="9015" max="9015" width="15" style="2" customWidth="1"/>
    <col min="9016" max="9020" width="11.875" style="2" customWidth="1"/>
    <col min="9021" max="9021" width="22" style="2" customWidth="1"/>
    <col min="9022" max="9022" width="10.75" style="2"/>
    <col min="9023" max="9023" width="2" style="2" customWidth="1"/>
    <col min="9024" max="9024" width="5.125" style="2" customWidth="1"/>
    <col min="9025" max="9025" width="7.625" style="2" customWidth="1"/>
    <col min="9026" max="9026" width="2" style="2" customWidth="1"/>
    <col min="9027" max="9028" width="10.75" style="2"/>
    <col min="9029" max="9029" width="1.125" style="2" customWidth="1"/>
    <col min="9030" max="9033" width="10.75" style="2"/>
    <col min="9034" max="9034" width="8.625" style="2" customWidth="1"/>
    <col min="9035" max="9036" width="10.75" style="2"/>
    <col min="9037" max="9037" width="2.125" style="2" customWidth="1"/>
    <col min="9038" max="9038" width="12.875" style="2" customWidth="1"/>
    <col min="9039" max="9039" width="10.75" style="2"/>
    <col min="9040" max="9040" width="3.125" style="2" customWidth="1"/>
    <col min="9041" max="9042" width="10.75" style="2"/>
    <col min="9043" max="9043" width="1.875" style="2" customWidth="1"/>
    <col min="9044" max="9048" width="10.75" style="2"/>
    <col min="9049" max="9049" width="1" style="2" customWidth="1"/>
    <col min="9050" max="9051" width="10.75" style="2"/>
    <col min="9052" max="9052" width="0.625" style="2" customWidth="1"/>
    <col min="9053" max="9053" width="10.625" style="2" customWidth="1"/>
    <col min="9054" max="9054" width="2.75" style="2" customWidth="1"/>
    <col min="9055" max="9056" width="6.75" style="2" customWidth="1"/>
    <col min="9057" max="9062" width="10.75" style="2"/>
    <col min="9063" max="9063" width="47.375" style="2" customWidth="1"/>
    <col min="9064" max="9064" width="10.75" style="2"/>
    <col min="9065" max="9065" width="18.625" style="2" customWidth="1"/>
    <col min="9066" max="9066" width="10.75" style="2"/>
    <col min="9067" max="9067" width="4.25" style="2" customWidth="1"/>
    <col min="9068" max="9070" width="10.75" style="2"/>
    <col min="9071" max="9071" width="19.25" style="2" customWidth="1"/>
    <col min="9072" max="9079" width="10.75" style="2"/>
    <col min="9080" max="9083" width="14.625" style="2" customWidth="1"/>
    <col min="9084" max="9141" width="10.75" style="2"/>
    <col min="9142" max="9142" width="12.25" style="2" customWidth="1"/>
    <col min="9143" max="9143" width="16" style="2" customWidth="1"/>
    <col min="9144" max="9144" width="10.75" style="2"/>
    <col min="9145" max="9145" width="20.125" style="2" customWidth="1"/>
    <col min="9146" max="9146" width="3.875" style="2" customWidth="1"/>
    <col min="9147" max="9150" width="13.25" style="2" customWidth="1"/>
    <col min="9151" max="9151" width="16.25" style="2" customWidth="1"/>
    <col min="9152" max="9152" width="13.25" style="2" customWidth="1"/>
    <col min="9153" max="9153" width="14.75" style="2" customWidth="1"/>
    <col min="9154" max="9154" width="21.75" style="2" customWidth="1"/>
    <col min="9155" max="9155" width="10.75" style="2"/>
    <col min="9156" max="9156" width="10.625" style="2" customWidth="1"/>
    <col min="9157" max="9194" width="10.75" style="2"/>
    <col min="9195" max="9195" width="13.25" style="2" customWidth="1"/>
    <col min="9196" max="9196" width="15.875" style="2" customWidth="1"/>
    <col min="9197" max="9207" width="10.75" style="2"/>
    <col min="9208" max="9208" width="1.25" style="2" customWidth="1"/>
    <col min="9209" max="9211" width="10.75" style="2"/>
    <col min="9212" max="9218" width="12.25" style="2" customWidth="1"/>
    <col min="9219" max="9219" width="24.375" style="2" customWidth="1"/>
    <col min="9220" max="9265" width="10.75" style="2"/>
    <col min="9266" max="9266" width="7.25" style="2" customWidth="1"/>
    <col min="9267" max="9267" width="10.75" style="2"/>
    <col min="9268" max="9268" width="9.875" style="2" customWidth="1"/>
    <col min="9269" max="9269" width="8.625" style="2" customWidth="1"/>
    <col min="9270" max="9270" width="7.875" style="2" customWidth="1"/>
    <col min="9271" max="9271" width="15" style="2" customWidth="1"/>
    <col min="9272" max="9276" width="11.875" style="2" customWidth="1"/>
    <col min="9277" max="9277" width="22" style="2" customWidth="1"/>
    <col min="9278" max="9278" width="10.75" style="2"/>
    <col min="9279" max="9279" width="2" style="2" customWidth="1"/>
    <col min="9280" max="9280" width="5.125" style="2" customWidth="1"/>
    <col min="9281" max="9281" width="7.625" style="2" customWidth="1"/>
    <col min="9282" max="9282" width="2" style="2" customWidth="1"/>
    <col min="9283" max="9284" width="10.75" style="2"/>
    <col min="9285" max="9285" width="1.125" style="2" customWidth="1"/>
    <col min="9286" max="9289" width="10.75" style="2"/>
    <col min="9290" max="9290" width="8.625" style="2" customWidth="1"/>
    <col min="9291" max="9292" width="10.75" style="2"/>
    <col min="9293" max="9293" width="2.125" style="2" customWidth="1"/>
    <col min="9294" max="9294" width="12.875" style="2" customWidth="1"/>
    <col min="9295" max="9295" width="10.75" style="2"/>
    <col min="9296" max="9296" width="3.125" style="2" customWidth="1"/>
    <col min="9297" max="9298" width="10.75" style="2"/>
    <col min="9299" max="9299" width="1.875" style="2" customWidth="1"/>
    <col min="9300" max="9304" width="10.75" style="2"/>
    <col min="9305" max="9305" width="1" style="2" customWidth="1"/>
    <col min="9306" max="9307" width="10.75" style="2"/>
    <col min="9308" max="9308" width="0.625" style="2" customWidth="1"/>
    <col min="9309" max="9309" width="10.625" style="2" customWidth="1"/>
    <col min="9310" max="9310" width="2.75" style="2" customWidth="1"/>
    <col min="9311" max="9312" width="6.75" style="2" customWidth="1"/>
    <col min="9313" max="9318" width="10.75" style="2"/>
    <col min="9319" max="9319" width="47.375" style="2" customWidth="1"/>
    <col min="9320" max="9320" width="10.75" style="2"/>
    <col min="9321" max="9321" width="18.625" style="2" customWidth="1"/>
    <col min="9322" max="9322" width="10.75" style="2"/>
    <col min="9323" max="9323" width="4.25" style="2" customWidth="1"/>
    <col min="9324" max="9326" width="10.75" style="2"/>
    <col min="9327" max="9327" width="19.25" style="2" customWidth="1"/>
    <col min="9328" max="9335" width="10.75" style="2"/>
    <col min="9336" max="9339" width="14.625" style="2" customWidth="1"/>
    <col min="9340" max="9397" width="10.75" style="2"/>
    <col min="9398" max="9398" width="12.25" style="2" customWidth="1"/>
    <col min="9399" max="9399" width="16" style="2" customWidth="1"/>
    <col min="9400" max="9400" width="10.75" style="2"/>
    <col min="9401" max="9401" width="20.125" style="2" customWidth="1"/>
    <col min="9402" max="9402" width="3.875" style="2" customWidth="1"/>
    <col min="9403" max="9406" width="13.25" style="2" customWidth="1"/>
    <col min="9407" max="9407" width="16.25" style="2" customWidth="1"/>
    <col min="9408" max="9408" width="13.25" style="2" customWidth="1"/>
    <col min="9409" max="9409" width="14.75" style="2" customWidth="1"/>
    <col min="9410" max="9410" width="21.75" style="2" customWidth="1"/>
    <col min="9411" max="9411" width="10.75" style="2"/>
    <col min="9412" max="9412" width="10.625" style="2" customWidth="1"/>
    <col min="9413" max="9450" width="10.75" style="2"/>
    <col min="9451" max="9451" width="13.25" style="2" customWidth="1"/>
    <col min="9452" max="9452" width="15.875" style="2" customWidth="1"/>
    <col min="9453" max="9463" width="10.75" style="2"/>
    <col min="9464" max="9464" width="1.25" style="2" customWidth="1"/>
    <col min="9465" max="9467" width="10.75" style="2"/>
    <col min="9468" max="9474" width="12.25" style="2" customWidth="1"/>
    <col min="9475" max="9475" width="24.375" style="2" customWidth="1"/>
    <col min="9476" max="9521" width="10.75" style="2"/>
    <col min="9522" max="9522" width="7.25" style="2" customWidth="1"/>
    <col min="9523" max="9523" width="10.75" style="2"/>
    <col min="9524" max="9524" width="9.875" style="2" customWidth="1"/>
    <col min="9525" max="9525" width="8.625" style="2" customWidth="1"/>
    <col min="9526" max="9526" width="7.875" style="2" customWidth="1"/>
    <col min="9527" max="9527" width="15" style="2" customWidth="1"/>
    <col min="9528" max="9532" width="11.875" style="2" customWidth="1"/>
    <col min="9533" max="9533" width="22" style="2" customWidth="1"/>
    <col min="9534" max="9534" width="10.75" style="2"/>
    <col min="9535" max="9535" width="2" style="2" customWidth="1"/>
    <col min="9536" max="9536" width="5.125" style="2" customWidth="1"/>
    <col min="9537" max="9537" width="7.625" style="2" customWidth="1"/>
    <col min="9538" max="9538" width="2" style="2" customWidth="1"/>
    <col min="9539" max="9540" width="10.75" style="2"/>
    <col min="9541" max="9541" width="1.125" style="2" customWidth="1"/>
    <col min="9542" max="9545" width="10.75" style="2"/>
    <col min="9546" max="9546" width="8.625" style="2" customWidth="1"/>
    <col min="9547" max="9548" width="10.75" style="2"/>
    <col min="9549" max="9549" width="2.125" style="2" customWidth="1"/>
    <col min="9550" max="9550" width="12.875" style="2" customWidth="1"/>
    <col min="9551" max="9551" width="10.75" style="2"/>
    <col min="9552" max="9552" width="3.125" style="2" customWidth="1"/>
    <col min="9553" max="9554" width="10.75" style="2"/>
    <col min="9555" max="9555" width="1.875" style="2" customWidth="1"/>
    <col min="9556" max="9560" width="10.75" style="2"/>
    <col min="9561" max="9561" width="1" style="2" customWidth="1"/>
    <col min="9562" max="9563" width="10.75" style="2"/>
    <col min="9564" max="9564" width="0.625" style="2" customWidth="1"/>
    <col min="9565" max="9565" width="10.625" style="2" customWidth="1"/>
    <col min="9566" max="9566" width="2.75" style="2" customWidth="1"/>
    <col min="9567" max="9568" width="6.75" style="2" customWidth="1"/>
    <col min="9569" max="9574" width="10.75" style="2"/>
    <col min="9575" max="9575" width="47.375" style="2" customWidth="1"/>
    <col min="9576" max="9576" width="10.75" style="2"/>
    <col min="9577" max="9577" width="18.625" style="2" customWidth="1"/>
    <col min="9578" max="9578" width="10.75" style="2"/>
    <col min="9579" max="9579" width="4.25" style="2" customWidth="1"/>
    <col min="9580" max="9582" width="10.75" style="2"/>
    <col min="9583" max="9583" width="19.25" style="2" customWidth="1"/>
    <col min="9584" max="9591" width="10.75" style="2"/>
    <col min="9592" max="9595" width="14.625" style="2" customWidth="1"/>
    <col min="9596" max="9653" width="10.75" style="2"/>
    <col min="9654" max="9654" width="12.25" style="2" customWidth="1"/>
    <col min="9655" max="9655" width="16" style="2" customWidth="1"/>
    <col min="9656" max="9656" width="10.75" style="2"/>
    <col min="9657" max="9657" width="20.125" style="2" customWidth="1"/>
    <col min="9658" max="9658" width="3.875" style="2" customWidth="1"/>
    <col min="9659" max="9662" width="13.25" style="2" customWidth="1"/>
    <col min="9663" max="9663" width="16.25" style="2" customWidth="1"/>
    <col min="9664" max="9664" width="13.25" style="2" customWidth="1"/>
    <col min="9665" max="9665" width="14.75" style="2" customWidth="1"/>
    <col min="9666" max="9666" width="21.75" style="2" customWidth="1"/>
    <col min="9667" max="9667" width="10.75" style="2"/>
    <col min="9668" max="9668" width="10.625" style="2" customWidth="1"/>
    <col min="9669" max="9706" width="10.75" style="2"/>
    <col min="9707" max="9707" width="13.25" style="2" customWidth="1"/>
    <col min="9708" max="9708" width="15.875" style="2" customWidth="1"/>
    <col min="9709" max="9719" width="10.75" style="2"/>
    <col min="9720" max="9720" width="1.25" style="2" customWidth="1"/>
    <col min="9721" max="9723" width="10.75" style="2"/>
    <col min="9724" max="9730" width="12.25" style="2" customWidth="1"/>
    <col min="9731" max="9731" width="24.375" style="2" customWidth="1"/>
    <col min="9732" max="9777" width="10.75" style="2"/>
    <col min="9778" max="9778" width="7.25" style="2" customWidth="1"/>
    <col min="9779" max="9779" width="10.75" style="2"/>
    <col min="9780" max="9780" width="9.875" style="2" customWidth="1"/>
    <col min="9781" max="9781" width="8.625" style="2" customWidth="1"/>
    <col min="9782" max="9782" width="7.875" style="2" customWidth="1"/>
    <col min="9783" max="9783" width="15" style="2" customWidth="1"/>
    <col min="9784" max="9788" width="11.875" style="2" customWidth="1"/>
    <col min="9789" max="9789" width="22" style="2" customWidth="1"/>
    <col min="9790" max="9790" width="10.75" style="2"/>
    <col min="9791" max="9791" width="2" style="2" customWidth="1"/>
    <col min="9792" max="9792" width="5.125" style="2" customWidth="1"/>
    <col min="9793" max="9793" width="7.625" style="2" customWidth="1"/>
    <col min="9794" max="9794" width="2" style="2" customWidth="1"/>
    <col min="9795" max="9796" width="10.75" style="2"/>
    <col min="9797" max="9797" width="1.125" style="2" customWidth="1"/>
    <col min="9798" max="9801" width="10.75" style="2"/>
    <col min="9802" max="9802" width="8.625" style="2" customWidth="1"/>
    <col min="9803" max="9804" width="10.75" style="2"/>
    <col min="9805" max="9805" width="2.125" style="2" customWidth="1"/>
    <col min="9806" max="9806" width="12.875" style="2" customWidth="1"/>
    <col min="9807" max="9807" width="10.75" style="2"/>
    <col min="9808" max="9808" width="3.125" style="2" customWidth="1"/>
    <col min="9809" max="9810" width="10.75" style="2"/>
    <col min="9811" max="9811" width="1.875" style="2" customWidth="1"/>
    <col min="9812" max="9816" width="10.75" style="2"/>
    <col min="9817" max="9817" width="1" style="2" customWidth="1"/>
    <col min="9818" max="9819" width="10.75" style="2"/>
    <col min="9820" max="9820" width="0.625" style="2" customWidth="1"/>
    <col min="9821" max="9821" width="10.625" style="2" customWidth="1"/>
    <col min="9822" max="9822" width="2.75" style="2" customWidth="1"/>
    <col min="9823" max="9824" width="6.75" style="2" customWidth="1"/>
    <col min="9825" max="9830" width="10.75" style="2"/>
    <col min="9831" max="9831" width="47.375" style="2" customWidth="1"/>
    <col min="9832" max="9832" width="10.75" style="2"/>
    <col min="9833" max="9833" width="18.625" style="2" customWidth="1"/>
    <col min="9834" max="9834" width="10.75" style="2"/>
    <col min="9835" max="9835" width="4.25" style="2" customWidth="1"/>
    <col min="9836" max="9838" width="10.75" style="2"/>
    <col min="9839" max="9839" width="19.25" style="2" customWidth="1"/>
    <col min="9840" max="9847" width="10.75" style="2"/>
    <col min="9848" max="9851" width="14.625" style="2" customWidth="1"/>
    <col min="9852" max="9909" width="10.75" style="2"/>
    <col min="9910" max="9910" width="12.25" style="2" customWidth="1"/>
    <col min="9911" max="9911" width="16" style="2" customWidth="1"/>
    <col min="9912" max="9912" width="10.75" style="2"/>
    <col min="9913" max="9913" width="20.125" style="2" customWidth="1"/>
    <col min="9914" max="9914" width="3.875" style="2" customWidth="1"/>
    <col min="9915" max="9918" width="13.25" style="2" customWidth="1"/>
    <col min="9919" max="9919" width="16.25" style="2" customWidth="1"/>
    <col min="9920" max="9920" width="13.25" style="2" customWidth="1"/>
    <col min="9921" max="9921" width="14.75" style="2" customWidth="1"/>
    <col min="9922" max="9922" width="21.75" style="2" customWidth="1"/>
    <col min="9923" max="9923" width="10.75" style="2"/>
    <col min="9924" max="9924" width="10.625" style="2" customWidth="1"/>
    <col min="9925" max="9962" width="10.75" style="2"/>
    <col min="9963" max="9963" width="13.25" style="2" customWidth="1"/>
    <col min="9964" max="9964" width="15.875" style="2" customWidth="1"/>
    <col min="9965" max="9975" width="10.75" style="2"/>
    <col min="9976" max="9976" width="1.25" style="2" customWidth="1"/>
    <col min="9977" max="9979" width="10.75" style="2"/>
    <col min="9980" max="9986" width="12.25" style="2" customWidth="1"/>
    <col min="9987" max="9987" width="24.375" style="2" customWidth="1"/>
    <col min="9988" max="10033" width="10.75" style="2"/>
    <col min="10034" max="10034" width="7.25" style="2" customWidth="1"/>
    <col min="10035" max="10035" width="10.75" style="2"/>
    <col min="10036" max="10036" width="9.875" style="2" customWidth="1"/>
    <col min="10037" max="10037" width="8.625" style="2" customWidth="1"/>
    <col min="10038" max="10038" width="7.875" style="2" customWidth="1"/>
    <col min="10039" max="10039" width="15" style="2" customWidth="1"/>
    <col min="10040" max="10044" width="11.875" style="2" customWidth="1"/>
    <col min="10045" max="10045" width="22" style="2" customWidth="1"/>
    <col min="10046" max="10046" width="10.75" style="2"/>
    <col min="10047" max="10047" width="2" style="2" customWidth="1"/>
    <col min="10048" max="10048" width="5.125" style="2" customWidth="1"/>
    <col min="10049" max="10049" width="7.625" style="2" customWidth="1"/>
    <col min="10050" max="10050" width="2" style="2" customWidth="1"/>
    <col min="10051" max="10052" width="10.75" style="2"/>
    <col min="10053" max="10053" width="1.125" style="2" customWidth="1"/>
    <col min="10054" max="10057" width="10.75" style="2"/>
    <col min="10058" max="10058" width="8.625" style="2" customWidth="1"/>
    <col min="10059" max="10060" width="10.75" style="2"/>
    <col min="10061" max="10061" width="2.125" style="2" customWidth="1"/>
    <col min="10062" max="10062" width="12.875" style="2" customWidth="1"/>
    <col min="10063" max="10063" width="10.75" style="2"/>
    <col min="10064" max="10064" width="3.125" style="2" customWidth="1"/>
    <col min="10065" max="10066" width="10.75" style="2"/>
    <col min="10067" max="10067" width="1.875" style="2" customWidth="1"/>
    <col min="10068" max="10072" width="10.75" style="2"/>
    <col min="10073" max="10073" width="1" style="2" customWidth="1"/>
    <col min="10074" max="10075" width="10.75" style="2"/>
    <col min="10076" max="10076" width="0.625" style="2" customWidth="1"/>
    <col min="10077" max="10077" width="10.625" style="2" customWidth="1"/>
    <col min="10078" max="10078" width="2.75" style="2" customWidth="1"/>
    <col min="10079" max="10080" width="6.75" style="2" customWidth="1"/>
    <col min="10081" max="10086" width="10.75" style="2"/>
    <col min="10087" max="10087" width="47.375" style="2" customWidth="1"/>
    <col min="10088" max="10088" width="10.75" style="2"/>
    <col min="10089" max="10089" width="18.625" style="2" customWidth="1"/>
    <col min="10090" max="10090" width="10.75" style="2"/>
    <col min="10091" max="10091" width="4.25" style="2" customWidth="1"/>
    <col min="10092" max="10094" width="10.75" style="2"/>
    <col min="10095" max="10095" width="19.25" style="2" customWidth="1"/>
    <col min="10096" max="10103" width="10.75" style="2"/>
    <col min="10104" max="10107" width="14.625" style="2" customWidth="1"/>
    <col min="10108" max="10165" width="10.75" style="2"/>
    <col min="10166" max="10166" width="12.25" style="2" customWidth="1"/>
    <col min="10167" max="10167" width="16" style="2" customWidth="1"/>
    <col min="10168" max="10168" width="10.75" style="2"/>
    <col min="10169" max="10169" width="20.125" style="2" customWidth="1"/>
    <col min="10170" max="10170" width="3.875" style="2" customWidth="1"/>
    <col min="10171" max="10174" width="13.25" style="2" customWidth="1"/>
    <col min="10175" max="10175" width="16.25" style="2" customWidth="1"/>
    <col min="10176" max="10176" width="13.25" style="2" customWidth="1"/>
    <col min="10177" max="10177" width="14.75" style="2" customWidth="1"/>
    <col min="10178" max="10178" width="21.75" style="2" customWidth="1"/>
    <col min="10179" max="10179" width="10.75" style="2"/>
    <col min="10180" max="10180" width="10.625" style="2" customWidth="1"/>
    <col min="10181" max="10218" width="10.75" style="2"/>
    <col min="10219" max="10219" width="13.25" style="2" customWidth="1"/>
    <col min="10220" max="10220" width="15.875" style="2" customWidth="1"/>
    <col min="10221" max="10231" width="10.75" style="2"/>
    <col min="10232" max="10232" width="1.25" style="2" customWidth="1"/>
    <col min="10233" max="10235" width="10.75" style="2"/>
    <col min="10236" max="10242" width="12.25" style="2" customWidth="1"/>
    <col min="10243" max="10243" width="24.375" style="2" customWidth="1"/>
    <col min="10244" max="10289" width="10.75" style="2"/>
    <col min="10290" max="10290" width="7.25" style="2" customWidth="1"/>
    <col min="10291" max="10291" width="10.75" style="2"/>
    <col min="10292" max="10292" width="9.875" style="2" customWidth="1"/>
    <col min="10293" max="10293" width="8.625" style="2" customWidth="1"/>
    <col min="10294" max="10294" width="7.875" style="2" customWidth="1"/>
    <col min="10295" max="10295" width="15" style="2" customWidth="1"/>
    <col min="10296" max="10300" width="11.875" style="2" customWidth="1"/>
    <col min="10301" max="10301" width="22" style="2" customWidth="1"/>
    <col min="10302" max="10302" width="10.75" style="2"/>
    <col min="10303" max="10303" width="2" style="2" customWidth="1"/>
    <col min="10304" max="10304" width="5.125" style="2" customWidth="1"/>
    <col min="10305" max="10305" width="7.625" style="2" customWidth="1"/>
    <col min="10306" max="10306" width="2" style="2" customWidth="1"/>
    <col min="10307" max="10308" width="10.75" style="2"/>
    <col min="10309" max="10309" width="1.125" style="2" customWidth="1"/>
    <col min="10310" max="10313" width="10.75" style="2"/>
    <col min="10314" max="10314" width="8.625" style="2" customWidth="1"/>
    <col min="10315" max="10316" width="10.75" style="2"/>
    <col min="10317" max="10317" width="2.125" style="2" customWidth="1"/>
    <col min="10318" max="10318" width="12.875" style="2" customWidth="1"/>
    <col min="10319" max="10319" width="10.75" style="2"/>
    <col min="10320" max="10320" width="3.125" style="2" customWidth="1"/>
    <col min="10321" max="10322" width="10.75" style="2"/>
    <col min="10323" max="10323" width="1.875" style="2" customWidth="1"/>
    <col min="10324" max="10328" width="10.75" style="2"/>
    <col min="10329" max="10329" width="1" style="2" customWidth="1"/>
    <col min="10330" max="10331" width="10.75" style="2"/>
    <col min="10332" max="10332" width="0.625" style="2" customWidth="1"/>
    <col min="10333" max="10333" width="10.625" style="2" customWidth="1"/>
    <col min="10334" max="10334" width="2.75" style="2" customWidth="1"/>
    <col min="10335" max="10336" width="6.75" style="2" customWidth="1"/>
    <col min="10337" max="10342" width="10.75" style="2"/>
    <col min="10343" max="10343" width="47.375" style="2" customWidth="1"/>
    <col min="10344" max="10344" width="10.75" style="2"/>
    <col min="10345" max="10345" width="18.625" style="2" customWidth="1"/>
    <col min="10346" max="10346" width="10.75" style="2"/>
    <col min="10347" max="10347" width="4.25" style="2" customWidth="1"/>
    <col min="10348" max="10350" width="10.75" style="2"/>
    <col min="10351" max="10351" width="19.25" style="2" customWidth="1"/>
    <col min="10352" max="10359" width="10.75" style="2"/>
    <col min="10360" max="10363" width="14.625" style="2" customWidth="1"/>
    <col min="10364" max="10421" width="10.75" style="2"/>
    <col min="10422" max="10422" width="12.25" style="2" customWidth="1"/>
    <col min="10423" max="10423" width="16" style="2" customWidth="1"/>
    <col min="10424" max="10424" width="10.75" style="2"/>
    <col min="10425" max="10425" width="20.125" style="2" customWidth="1"/>
    <col min="10426" max="10426" width="3.875" style="2" customWidth="1"/>
    <col min="10427" max="10430" width="13.25" style="2" customWidth="1"/>
    <col min="10431" max="10431" width="16.25" style="2" customWidth="1"/>
    <col min="10432" max="10432" width="13.25" style="2" customWidth="1"/>
    <col min="10433" max="10433" width="14.75" style="2" customWidth="1"/>
    <col min="10434" max="10434" width="21.75" style="2" customWidth="1"/>
    <col min="10435" max="10435" width="10.75" style="2"/>
    <col min="10436" max="10436" width="10.625" style="2" customWidth="1"/>
    <col min="10437" max="10474" width="10.75" style="2"/>
    <col min="10475" max="10475" width="13.25" style="2" customWidth="1"/>
    <col min="10476" max="10476" width="15.875" style="2" customWidth="1"/>
    <col min="10477" max="10487" width="10.75" style="2"/>
    <col min="10488" max="10488" width="1.25" style="2" customWidth="1"/>
    <col min="10489" max="10491" width="10.75" style="2"/>
    <col min="10492" max="10498" width="12.25" style="2" customWidth="1"/>
    <col min="10499" max="10499" width="24.375" style="2" customWidth="1"/>
    <col min="10500" max="10545" width="10.75" style="2"/>
    <col min="10546" max="10546" width="7.25" style="2" customWidth="1"/>
    <col min="10547" max="10547" width="10.75" style="2"/>
    <col min="10548" max="10548" width="9.875" style="2" customWidth="1"/>
    <col min="10549" max="10549" width="8.625" style="2" customWidth="1"/>
    <col min="10550" max="10550" width="7.875" style="2" customWidth="1"/>
    <col min="10551" max="10551" width="15" style="2" customWidth="1"/>
    <col min="10552" max="10556" width="11.875" style="2" customWidth="1"/>
    <col min="10557" max="10557" width="22" style="2" customWidth="1"/>
    <col min="10558" max="10558" width="10.75" style="2"/>
    <col min="10559" max="10559" width="2" style="2" customWidth="1"/>
    <col min="10560" max="10560" width="5.125" style="2" customWidth="1"/>
    <col min="10561" max="10561" width="7.625" style="2" customWidth="1"/>
    <col min="10562" max="10562" width="2" style="2" customWidth="1"/>
    <col min="10563" max="10564" width="10.75" style="2"/>
    <col min="10565" max="10565" width="1.125" style="2" customWidth="1"/>
    <col min="10566" max="10569" width="10.75" style="2"/>
    <col min="10570" max="10570" width="8.625" style="2" customWidth="1"/>
    <col min="10571" max="10572" width="10.75" style="2"/>
    <col min="10573" max="10573" width="2.125" style="2" customWidth="1"/>
    <col min="10574" max="10574" width="12.875" style="2" customWidth="1"/>
    <col min="10575" max="10575" width="10.75" style="2"/>
    <col min="10576" max="10576" width="3.125" style="2" customWidth="1"/>
    <col min="10577" max="10578" width="10.75" style="2"/>
    <col min="10579" max="10579" width="1.875" style="2" customWidth="1"/>
    <col min="10580" max="10584" width="10.75" style="2"/>
    <col min="10585" max="10585" width="1" style="2" customWidth="1"/>
    <col min="10586" max="10587" width="10.75" style="2"/>
    <col min="10588" max="10588" width="0.625" style="2" customWidth="1"/>
    <col min="10589" max="10589" width="10.625" style="2" customWidth="1"/>
    <col min="10590" max="10590" width="2.75" style="2" customWidth="1"/>
    <col min="10591" max="10592" width="6.75" style="2" customWidth="1"/>
    <col min="10593" max="10598" width="10.75" style="2"/>
    <col min="10599" max="10599" width="47.375" style="2" customWidth="1"/>
    <col min="10600" max="10600" width="10.75" style="2"/>
    <col min="10601" max="10601" width="18.625" style="2" customWidth="1"/>
    <col min="10602" max="10602" width="10.75" style="2"/>
    <col min="10603" max="10603" width="4.25" style="2" customWidth="1"/>
    <col min="10604" max="10606" width="10.75" style="2"/>
    <col min="10607" max="10607" width="19.25" style="2" customWidth="1"/>
    <col min="10608" max="10615" width="10.75" style="2"/>
    <col min="10616" max="10619" width="14.625" style="2" customWidth="1"/>
    <col min="10620" max="10677" width="10.75" style="2"/>
    <col min="10678" max="10678" width="12.25" style="2" customWidth="1"/>
    <col min="10679" max="10679" width="16" style="2" customWidth="1"/>
    <col min="10680" max="10680" width="10.75" style="2"/>
    <col min="10681" max="10681" width="20.125" style="2" customWidth="1"/>
    <col min="10682" max="10682" width="3.875" style="2" customWidth="1"/>
    <col min="10683" max="10686" width="13.25" style="2" customWidth="1"/>
    <col min="10687" max="10687" width="16.25" style="2" customWidth="1"/>
    <col min="10688" max="10688" width="13.25" style="2" customWidth="1"/>
    <col min="10689" max="10689" width="14.75" style="2" customWidth="1"/>
    <col min="10690" max="10690" width="21.75" style="2" customWidth="1"/>
    <col min="10691" max="10691" width="10.75" style="2"/>
    <col min="10692" max="10692" width="10.625" style="2" customWidth="1"/>
    <col min="10693" max="10730" width="10.75" style="2"/>
    <col min="10731" max="10731" width="13.25" style="2" customWidth="1"/>
    <col min="10732" max="10732" width="15.875" style="2" customWidth="1"/>
    <col min="10733" max="10743" width="10.75" style="2"/>
    <col min="10744" max="10744" width="1.25" style="2" customWidth="1"/>
    <col min="10745" max="10747" width="10.75" style="2"/>
    <col min="10748" max="10754" width="12.25" style="2" customWidth="1"/>
    <col min="10755" max="10755" width="24.375" style="2" customWidth="1"/>
    <col min="10756" max="10801" width="10.75" style="2"/>
    <col min="10802" max="10802" width="7.25" style="2" customWidth="1"/>
    <col min="10803" max="10803" width="10.75" style="2"/>
    <col min="10804" max="10804" width="9.875" style="2" customWidth="1"/>
    <col min="10805" max="10805" width="8.625" style="2" customWidth="1"/>
    <col min="10806" max="10806" width="7.875" style="2" customWidth="1"/>
    <col min="10807" max="10807" width="15" style="2" customWidth="1"/>
    <col min="10808" max="10812" width="11.875" style="2" customWidth="1"/>
    <col min="10813" max="10813" width="22" style="2" customWidth="1"/>
    <col min="10814" max="10814" width="10.75" style="2"/>
    <col min="10815" max="10815" width="2" style="2" customWidth="1"/>
    <col min="10816" max="10816" width="5.125" style="2" customWidth="1"/>
    <col min="10817" max="10817" width="7.625" style="2" customWidth="1"/>
    <col min="10818" max="10818" width="2" style="2" customWidth="1"/>
    <col min="10819" max="10820" width="10.75" style="2"/>
    <col min="10821" max="10821" width="1.125" style="2" customWidth="1"/>
    <col min="10822" max="10825" width="10.75" style="2"/>
    <col min="10826" max="10826" width="8.625" style="2" customWidth="1"/>
    <col min="10827" max="10828" width="10.75" style="2"/>
    <col min="10829" max="10829" width="2.125" style="2" customWidth="1"/>
    <col min="10830" max="10830" width="12.875" style="2" customWidth="1"/>
    <col min="10831" max="10831" width="10.75" style="2"/>
    <col min="10832" max="10832" width="3.125" style="2" customWidth="1"/>
    <col min="10833" max="10834" width="10.75" style="2"/>
    <col min="10835" max="10835" width="1.875" style="2" customWidth="1"/>
    <col min="10836" max="10840" width="10.75" style="2"/>
    <col min="10841" max="10841" width="1" style="2" customWidth="1"/>
    <col min="10842" max="10843" width="10.75" style="2"/>
    <col min="10844" max="10844" width="0.625" style="2" customWidth="1"/>
    <col min="10845" max="10845" width="10.625" style="2" customWidth="1"/>
    <col min="10846" max="10846" width="2.75" style="2" customWidth="1"/>
    <col min="10847" max="10848" width="6.75" style="2" customWidth="1"/>
    <col min="10849" max="10854" width="10.75" style="2"/>
    <col min="10855" max="10855" width="47.375" style="2" customWidth="1"/>
    <col min="10856" max="10856" width="10.75" style="2"/>
    <col min="10857" max="10857" width="18.625" style="2" customWidth="1"/>
    <col min="10858" max="10858" width="10.75" style="2"/>
    <col min="10859" max="10859" width="4.25" style="2" customWidth="1"/>
    <col min="10860" max="10862" width="10.75" style="2"/>
    <col min="10863" max="10863" width="19.25" style="2" customWidth="1"/>
    <col min="10864" max="10871" width="10.75" style="2"/>
    <col min="10872" max="10875" width="14.625" style="2" customWidth="1"/>
    <col min="10876" max="10933" width="10.75" style="2"/>
    <col min="10934" max="10934" width="12.25" style="2" customWidth="1"/>
    <col min="10935" max="10935" width="16" style="2" customWidth="1"/>
    <col min="10936" max="10936" width="10.75" style="2"/>
    <col min="10937" max="10937" width="20.125" style="2" customWidth="1"/>
    <col min="10938" max="10938" width="3.875" style="2" customWidth="1"/>
    <col min="10939" max="10942" width="13.25" style="2" customWidth="1"/>
    <col min="10943" max="10943" width="16.25" style="2" customWidth="1"/>
    <col min="10944" max="10944" width="13.25" style="2" customWidth="1"/>
    <col min="10945" max="10945" width="14.75" style="2" customWidth="1"/>
    <col min="10946" max="10946" width="21.75" style="2" customWidth="1"/>
    <col min="10947" max="10947" width="10.75" style="2"/>
    <col min="10948" max="10948" width="10.625" style="2" customWidth="1"/>
    <col min="10949" max="10986" width="10.75" style="2"/>
    <col min="10987" max="10987" width="13.25" style="2" customWidth="1"/>
    <col min="10988" max="10988" width="15.875" style="2" customWidth="1"/>
    <col min="10989" max="10999" width="10.75" style="2"/>
    <col min="11000" max="11000" width="1.25" style="2" customWidth="1"/>
    <col min="11001" max="11003" width="10.75" style="2"/>
    <col min="11004" max="11010" width="12.25" style="2" customWidth="1"/>
    <col min="11011" max="11011" width="24.375" style="2" customWidth="1"/>
    <col min="11012" max="11057" width="10.75" style="2"/>
    <col min="11058" max="11058" width="7.25" style="2" customWidth="1"/>
    <col min="11059" max="11059" width="10.75" style="2"/>
    <col min="11060" max="11060" width="9.875" style="2" customWidth="1"/>
    <col min="11061" max="11061" width="8.625" style="2" customWidth="1"/>
    <col min="11062" max="11062" width="7.875" style="2" customWidth="1"/>
    <col min="11063" max="11063" width="15" style="2" customWidth="1"/>
    <col min="11064" max="11068" width="11.875" style="2" customWidth="1"/>
    <col min="11069" max="11069" width="22" style="2" customWidth="1"/>
    <col min="11070" max="11070" width="10.75" style="2"/>
    <col min="11071" max="11071" width="2" style="2" customWidth="1"/>
    <col min="11072" max="11072" width="5.125" style="2" customWidth="1"/>
    <col min="11073" max="11073" width="7.625" style="2" customWidth="1"/>
    <col min="11074" max="11074" width="2" style="2" customWidth="1"/>
    <col min="11075" max="11076" width="10.75" style="2"/>
    <col min="11077" max="11077" width="1.125" style="2" customWidth="1"/>
    <col min="11078" max="11081" width="10.75" style="2"/>
    <col min="11082" max="11082" width="8.625" style="2" customWidth="1"/>
    <col min="11083" max="11084" width="10.75" style="2"/>
    <col min="11085" max="11085" width="2.125" style="2" customWidth="1"/>
    <col min="11086" max="11086" width="12.875" style="2" customWidth="1"/>
    <col min="11087" max="11087" width="10.75" style="2"/>
    <col min="11088" max="11088" width="3.125" style="2" customWidth="1"/>
    <col min="11089" max="11090" width="10.75" style="2"/>
    <col min="11091" max="11091" width="1.875" style="2" customWidth="1"/>
    <col min="11092" max="11096" width="10.75" style="2"/>
    <col min="11097" max="11097" width="1" style="2" customWidth="1"/>
    <col min="11098" max="11099" width="10.75" style="2"/>
    <col min="11100" max="11100" width="0.625" style="2" customWidth="1"/>
    <col min="11101" max="11101" width="10.625" style="2" customWidth="1"/>
    <col min="11102" max="11102" width="2.75" style="2" customWidth="1"/>
    <col min="11103" max="11104" width="6.75" style="2" customWidth="1"/>
    <col min="11105" max="11110" width="10.75" style="2"/>
    <col min="11111" max="11111" width="47.375" style="2" customWidth="1"/>
    <col min="11112" max="11112" width="10.75" style="2"/>
    <col min="11113" max="11113" width="18.625" style="2" customWidth="1"/>
    <col min="11114" max="11114" width="10.75" style="2"/>
    <col min="11115" max="11115" width="4.25" style="2" customWidth="1"/>
    <col min="11116" max="11118" width="10.75" style="2"/>
    <col min="11119" max="11119" width="19.25" style="2" customWidth="1"/>
    <col min="11120" max="11127" width="10.75" style="2"/>
    <col min="11128" max="11131" width="14.625" style="2" customWidth="1"/>
    <col min="11132" max="11189" width="10.75" style="2"/>
    <col min="11190" max="11190" width="12.25" style="2" customWidth="1"/>
    <col min="11191" max="11191" width="16" style="2" customWidth="1"/>
    <col min="11192" max="11192" width="10.75" style="2"/>
    <col min="11193" max="11193" width="20.125" style="2" customWidth="1"/>
    <col min="11194" max="11194" width="3.875" style="2" customWidth="1"/>
    <col min="11195" max="11198" width="13.25" style="2" customWidth="1"/>
    <col min="11199" max="11199" width="16.25" style="2" customWidth="1"/>
    <col min="11200" max="11200" width="13.25" style="2" customWidth="1"/>
    <col min="11201" max="11201" width="14.75" style="2" customWidth="1"/>
    <col min="11202" max="11202" width="21.75" style="2" customWidth="1"/>
    <col min="11203" max="11203" width="10.75" style="2"/>
    <col min="11204" max="11204" width="10.625" style="2" customWidth="1"/>
    <col min="11205" max="11242" width="10.75" style="2"/>
    <col min="11243" max="11243" width="13.25" style="2" customWidth="1"/>
    <col min="11244" max="11244" width="15.875" style="2" customWidth="1"/>
    <col min="11245" max="11255" width="10.75" style="2"/>
    <col min="11256" max="11256" width="1.25" style="2" customWidth="1"/>
    <col min="11257" max="11259" width="10.75" style="2"/>
    <col min="11260" max="11266" width="12.25" style="2" customWidth="1"/>
    <col min="11267" max="11267" width="24.375" style="2" customWidth="1"/>
    <col min="11268" max="11313" width="10.75" style="2"/>
    <col min="11314" max="11314" width="7.25" style="2" customWidth="1"/>
    <col min="11315" max="11315" width="10.75" style="2"/>
    <col min="11316" max="11316" width="9.875" style="2" customWidth="1"/>
    <col min="11317" max="11317" width="8.625" style="2" customWidth="1"/>
    <col min="11318" max="11318" width="7.875" style="2" customWidth="1"/>
    <col min="11319" max="11319" width="15" style="2" customWidth="1"/>
    <col min="11320" max="11324" width="11.875" style="2" customWidth="1"/>
    <col min="11325" max="11325" width="22" style="2" customWidth="1"/>
    <col min="11326" max="11326" width="10.75" style="2"/>
    <col min="11327" max="11327" width="2" style="2" customWidth="1"/>
    <col min="11328" max="11328" width="5.125" style="2" customWidth="1"/>
    <col min="11329" max="11329" width="7.625" style="2" customWidth="1"/>
    <col min="11330" max="11330" width="2" style="2" customWidth="1"/>
    <col min="11331" max="11332" width="10.75" style="2"/>
    <col min="11333" max="11333" width="1.125" style="2" customWidth="1"/>
    <col min="11334" max="11337" width="10.75" style="2"/>
    <col min="11338" max="11338" width="8.625" style="2" customWidth="1"/>
    <col min="11339" max="11340" width="10.75" style="2"/>
    <col min="11341" max="11341" width="2.125" style="2" customWidth="1"/>
    <col min="11342" max="11342" width="12.875" style="2" customWidth="1"/>
    <col min="11343" max="11343" width="10.75" style="2"/>
    <col min="11344" max="11344" width="3.125" style="2" customWidth="1"/>
    <col min="11345" max="11346" width="10.75" style="2"/>
    <col min="11347" max="11347" width="1.875" style="2" customWidth="1"/>
    <col min="11348" max="11352" width="10.75" style="2"/>
    <col min="11353" max="11353" width="1" style="2" customWidth="1"/>
    <col min="11354" max="11355" width="10.75" style="2"/>
    <col min="11356" max="11356" width="0.625" style="2" customWidth="1"/>
    <col min="11357" max="11357" width="10.625" style="2" customWidth="1"/>
    <col min="11358" max="11358" width="2.75" style="2" customWidth="1"/>
    <col min="11359" max="11360" width="6.75" style="2" customWidth="1"/>
    <col min="11361" max="11366" width="10.75" style="2"/>
    <col min="11367" max="11367" width="47.375" style="2" customWidth="1"/>
    <col min="11368" max="11368" width="10.75" style="2"/>
    <col min="11369" max="11369" width="18.625" style="2" customWidth="1"/>
    <col min="11370" max="11370" width="10.75" style="2"/>
    <col min="11371" max="11371" width="4.25" style="2" customWidth="1"/>
    <col min="11372" max="11374" width="10.75" style="2"/>
    <col min="11375" max="11375" width="19.25" style="2" customWidth="1"/>
    <col min="11376" max="11383" width="10.75" style="2"/>
    <col min="11384" max="11387" width="14.625" style="2" customWidth="1"/>
    <col min="11388" max="11445" width="10.75" style="2"/>
    <col min="11446" max="11446" width="12.25" style="2" customWidth="1"/>
    <col min="11447" max="11447" width="16" style="2" customWidth="1"/>
    <col min="11448" max="11448" width="10.75" style="2"/>
    <col min="11449" max="11449" width="20.125" style="2" customWidth="1"/>
    <col min="11450" max="11450" width="3.875" style="2" customWidth="1"/>
    <col min="11451" max="11454" width="13.25" style="2" customWidth="1"/>
    <col min="11455" max="11455" width="16.25" style="2" customWidth="1"/>
    <col min="11456" max="11456" width="13.25" style="2" customWidth="1"/>
    <col min="11457" max="11457" width="14.75" style="2" customWidth="1"/>
    <col min="11458" max="11458" width="21.75" style="2" customWidth="1"/>
    <col min="11459" max="11459" width="10.75" style="2"/>
    <col min="11460" max="11460" width="10.625" style="2" customWidth="1"/>
    <col min="11461" max="11498" width="10.75" style="2"/>
    <col min="11499" max="11499" width="13.25" style="2" customWidth="1"/>
    <col min="11500" max="11500" width="15.875" style="2" customWidth="1"/>
    <col min="11501" max="11511" width="10.75" style="2"/>
    <col min="11512" max="11512" width="1.25" style="2" customWidth="1"/>
    <col min="11513" max="11515" width="10.75" style="2"/>
    <col min="11516" max="11522" width="12.25" style="2" customWidth="1"/>
    <col min="11523" max="11523" width="24.375" style="2" customWidth="1"/>
    <col min="11524" max="11569" width="10.75" style="2"/>
    <col min="11570" max="11570" width="7.25" style="2" customWidth="1"/>
    <col min="11571" max="11571" width="10.75" style="2"/>
    <col min="11572" max="11572" width="9.875" style="2" customWidth="1"/>
    <col min="11573" max="11573" width="8.625" style="2" customWidth="1"/>
    <col min="11574" max="11574" width="7.875" style="2" customWidth="1"/>
    <col min="11575" max="11575" width="15" style="2" customWidth="1"/>
    <col min="11576" max="11580" width="11.875" style="2" customWidth="1"/>
    <col min="11581" max="11581" width="22" style="2" customWidth="1"/>
    <col min="11582" max="11582" width="10.75" style="2"/>
    <col min="11583" max="11583" width="2" style="2" customWidth="1"/>
    <col min="11584" max="11584" width="5.125" style="2" customWidth="1"/>
    <col min="11585" max="11585" width="7.625" style="2" customWidth="1"/>
    <col min="11586" max="11586" width="2" style="2" customWidth="1"/>
    <col min="11587" max="11588" width="10.75" style="2"/>
    <col min="11589" max="11589" width="1.125" style="2" customWidth="1"/>
    <col min="11590" max="11593" width="10.75" style="2"/>
    <col min="11594" max="11594" width="8.625" style="2" customWidth="1"/>
    <col min="11595" max="11596" width="10.75" style="2"/>
    <col min="11597" max="11597" width="2.125" style="2" customWidth="1"/>
    <col min="11598" max="11598" width="12.875" style="2" customWidth="1"/>
    <col min="11599" max="11599" width="10.75" style="2"/>
    <col min="11600" max="11600" width="3.125" style="2" customWidth="1"/>
    <col min="11601" max="11602" width="10.75" style="2"/>
    <col min="11603" max="11603" width="1.875" style="2" customWidth="1"/>
    <col min="11604" max="11608" width="10.75" style="2"/>
    <col min="11609" max="11609" width="1" style="2" customWidth="1"/>
    <col min="11610" max="11611" width="10.75" style="2"/>
    <col min="11612" max="11612" width="0.625" style="2" customWidth="1"/>
    <col min="11613" max="11613" width="10.625" style="2" customWidth="1"/>
    <col min="11614" max="11614" width="2.75" style="2" customWidth="1"/>
    <col min="11615" max="11616" width="6.75" style="2" customWidth="1"/>
    <col min="11617" max="11622" width="10.75" style="2"/>
    <col min="11623" max="11623" width="47.375" style="2" customWidth="1"/>
    <col min="11624" max="11624" width="10.75" style="2"/>
    <col min="11625" max="11625" width="18.625" style="2" customWidth="1"/>
    <col min="11626" max="11626" width="10.75" style="2"/>
    <col min="11627" max="11627" width="4.25" style="2" customWidth="1"/>
    <col min="11628" max="11630" width="10.75" style="2"/>
    <col min="11631" max="11631" width="19.25" style="2" customWidth="1"/>
    <col min="11632" max="11639" width="10.75" style="2"/>
    <col min="11640" max="11643" width="14.625" style="2" customWidth="1"/>
    <col min="11644" max="11701" width="10.75" style="2"/>
    <col min="11702" max="11702" width="12.25" style="2" customWidth="1"/>
    <col min="11703" max="11703" width="16" style="2" customWidth="1"/>
    <col min="11704" max="11704" width="10.75" style="2"/>
    <col min="11705" max="11705" width="20.125" style="2" customWidth="1"/>
    <col min="11706" max="11706" width="3.875" style="2" customWidth="1"/>
    <col min="11707" max="11710" width="13.25" style="2" customWidth="1"/>
    <col min="11711" max="11711" width="16.25" style="2" customWidth="1"/>
    <col min="11712" max="11712" width="13.25" style="2" customWidth="1"/>
    <col min="11713" max="11713" width="14.75" style="2" customWidth="1"/>
    <col min="11714" max="11714" width="21.75" style="2" customWidth="1"/>
    <col min="11715" max="11715" width="10.75" style="2"/>
    <col min="11716" max="11716" width="10.625" style="2" customWidth="1"/>
    <col min="11717" max="11754" width="10.75" style="2"/>
    <col min="11755" max="11755" width="13.25" style="2" customWidth="1"/>
    <col min="11756" max="11756" width="15.875" style="2" customWidth="1"/>
    <col min="11757" max="11767" width="10.75" style="2"/>
    <col min="11768" max="11768" width="1.25" style="2" customWidth="1"/>
    <col min="11769" max="11771" width="10.75" style="2"/>
    <col min="11772" max="11778" width="12.25" style="2" customWidth="1"/>
    <col min="11779" max="11779" width="24.375" style="2" customWidth="1"/>
    <col min="11780" max="11825" width="10.75" style="2"/>
    <col min="11826" max="11826" width="7.25" style="2" customWidth="1"/>
    <col min="11827" max="11827" width="10.75" style="2"/>
    <col min="11828" max="11828" width="9.875" style="2" customWidth="1"/>
    <col min="11829" max="11829" width="8.625" style="2" customWidth="1"/>
    <col min="11830" max="11830" width="7.875" style="2" customWidth="1"/>
    <col min="11831" max="11831" width="15" style="2" customWidth="1"/>
    <col min="11832" max="11836" width="11.875" style="2" customWidth="1"/>
    <col min="11837" max="11837" width="22" style="2" customWidth="1"/>
    <col min="11838" max="11838" width="10.75" style="2"/>
    <col min="11839" max="11839" width="2" style="2" customWidth="1"/>
    <col min="11840" max="11840" width="5.125" style="2" customWidth="1"/>
    <col min="11841" max="11841" width="7.625" style="2" customWidth="1"/>
    <col min="11842" max="11842" width="2" style="2" customWidth="1"/>
    <col min="11843" max="11844" width="10.75" style="2"/>
    <col min="11845" max="11845" width="1.125" style="2" customWidth="1"/>
    <col min="11846" max="11849" width="10.75" style="2"/>
    <col min="11850" max="11850" width="8.625" style="2" customWidth="1"/>
    <col min="11851" max="11852" width="10.75" style="2"/>
    <col min="11853" max="11853" width="2.125" style="2" customWidth="1"/>
    <col min="11854" max="11854" width="12.875" style="2" customWidth="1"/>
    <col min="11855" max="11855" width="10.75" style="2"/>
    <col min="11856" max="11856" width="3.125" style="2" customWidth="1"/>
    <col min="11857" max="11858" width="10.75" style="2"/>
    <col min="11859" max="11859" width="1.875" style="2" customWidth="1"/>
    <col min="11860" max="11864" width="10.75" style="2"/>
    <col min="11865" max="11865" width="1" style="2" customWidth="1"/>
    <col min="11866" max="11867" width="10.75" style="2"/>
    <col min="11868" max="11868" width="0.625" style="2" customWidth="1"/>
    <col min="11869" max="11869" width="10.625" style="2" customWidth="1"/>
    <col min="11870" max="11870" width="2.75" style="2" customWidth="1"/>
    <col min="11871" max="11872" width="6.75" style="2" customWidth="1"/>
    <col min="11873" max="11878" width="10.75" style="2"/>
    <col min="11879" max="11879" width="47.375" style="2" customWidth="1"/>
    <col min="11880" max="11880" width="10.75" style="2"/>
    <col min="11881" max="11881" width="18.625" style="2" customWidth="1"/>
    <col min="11882" max="11882" width="10.75" style="2"/>
    <col min="11883" max="11883" width="4.25" style="2" customWidth="1"/>
    <col min="11884" max="11886" width="10.75" style="2"/>
    <col min="11887" max="11887" width="19.25" style="2" customWidth="1"/>
    <col min="11888" max="11895" width="10.75" style="2"/>
    <col min="11896" max="11899" width="14.625" style="2" customWidth="1"/>
    <col min="11900" max="11957" width="10.75" style="2"/>
    <col min="11958" max="11958" width="12.25" style="2" customWidth="1"/>
    <col min="11959" max="11959" width="16" style="2" customWidth="1"/>
    <col min="11960" max="11960" width="10.75" style="2"/>
    <col min="11961" max="11961" width="20.125" style="2" customWidth="1"/>
    <col min="11962" max="11962" width="3.875" style="2" customWidth="1"/>
    <col min="11963" max="11966" width="13.25" style="2" customWidth="1"/>
    <col min="11967" max="11967" width="16.25" style="2" customWidth="1"/>
    <col min="11968" max="11968" width="13.25" style="2" customWidth="1"/>
    <col min="11969" max="11969" width="14.75" style="2" customWidth="1"/>
    <col min="11970" max="11970" width="21.75" style="2" customWidth="1"/>
    <col min="11971" max="11971" width="10.75" style="2"/>
    <col min="11972" max="11972" width="10.625" style="2" customWidth="1"/>
    <col min="11973" max="12010" width="10.75" style="2"/>
    <col min="12011" max="12011" width="13.25" style="2" customWidth="1"/>
    <col min="12012" max="12012" width="15.875" style="2" customWidth="1"/>
    <col min="12013" max="12023" width="10.75" style="2"/>
    <col min="12024" max="12024" width="1.25" style="2" customWidth="1"/>
    <col min="12025" max="12027" width="10.75" style="2"/>
    <col min="12028" max="12034" width="12.25" style="2" customWidth="1"/>
    <col min="12035" max="12035" width="24.375" style="2" customWidth="1"/>
    <col min="12036" max="12081" width="10.75" style="2"/>
    <col min="12082" max="12082" width="7.25" style="2" customWidth="1"/>
    <col min="12083" max="12083" width="10.75" style="2"/>
    <col min="12084" max="12084" width="9.875" style="2" customWidth="1"/>
    <col min="12085" max="12085" width="8.625" style="2" customWidth="1"/>
    <col min="12086" max="12086" width="7.875" style="2" customWidth="1"/>
    <col min="12087" max="12087" width="15" style="2" customWidth="1"/>
    <col min="12088" max="12092" width="11.875" style="2" customWidth="1"/>
    <col min="12093" max="12093" width="22" style="2" customWidth="1"/>
    <col min="12094" max="12094" width="10.75" style="2"/>
    <col min="12095" max="12095" width="2" style="2" customWidth="1"/>
    <col min="12096" max="12096" width="5.125" style="2" customWidth="1"/>
    <col min="12097" max="12097" width="7.625" style="2" customWidth="1"/>
    <col min="12098" max="12098" width="2" style="2" customWidth="1"/>
    <col min="12099" max="12100" width="10.75" style="2"/>
    <col min="12101" max="12101" width="1.125" style="2" customWidth="1"/>
    <col min="12102" max="12105" width="10.75" style="2"/>
    <col min="12106" max="12106" width="8.625" style="2" customWidth="1"/>
    <col min="12107" max="12108" width="10.75" style="2"/>
    <col min="12109" max="12109" width="2.125" style="2" customWidth="1"/>
    <col min="12110" max="12110" width="12.875" style="2" customWidth="1"/>
    <col min="12111" max="12111" width="10.75" style="2"/>
    <col min="12112" max="12112" width="3.125" style="2" customWidth="1"/>
    <col min="12113" max="12114" width="10.75" style="2"/>
    <col min="12115" max="12115" width="1.875" style="2" customWidth="1"/>
    <col min="12116" max="12120" width="10.75" style="2"/>
    <col min="12121" max="12121" width="1" style="2" customWidth="1"/>
    <col min="12122" max="12123" width="10.75" style="2"/>
    <col min="12124" max="12124" width="0.625" style="2" customWidth="1"/>
    <col min="12125" max="12125" width="10.625" style="2" customWidth="1"/>
    <col min="12126" max="12126" width="2.75" style="2" customWidth="1"/>
    <col min="12127" max="12128" width="6.75" style="2" customWidth="1"/>
    <col min="12129" max="12134" width="10.75" style="2"/>
    <col min="12135" max="12135" width="47.375" style="2" customWidth="1"/>
    <col min="12136" max="12136" width="10.75" style="2"/>
    <col min="12137" max="12137" width="18.625" style="2" customWidth="1"/>
    <col min="12138" max="12138" width="10.75" style="2"/>
    <col min="12139" max="12139" width="4.25" style="2" customWidth="1"/>
    <col min="12140" max="12142" width="10.75" style="2"/>
    <col min="12143" max="12143" width="19.25" style="2" customWidth="1"/>
    <col min="12144" max="12151" width="10.75" style="2"/>
    <col min="12152" max="12155" width="14.625" style="2" customWidth="1"/>
    <col min="12156" max="12213" width="10.75" style="2"/>
    <col min="12214" max="12214" width="12.25" style="2" customWidth="1"/>
    <col min="12215" max="12215" width="16" style="2" customWidth="1"/>
    <col min="12216" max="12216" width="10.75" style="2"/>
    <col min="12217" max="12217" width="20.125" style="2" customWidth="1"/>
    <col min="12218" max="12218" width="3.875" style="2" customWidth="1"/>
    <col min="12219" max="12222" width="13.25" style="2" customWidth="1"/>
    <col min="12223" max="12223" width="16.25" style="2" customWidth="1"/>
    <col min="12224" max="12224" width="13.25" style="2" customWidth="1"/>
    <col min="12225" max="12225" width="14.75" style="2" customWidth="1"/>
    <col min="12226" max="12226" width="21.75" style="2" customWidth="1"/>
    <col min="12227" max="12227" width="10.75" style="2"/>
    <col min="12228" max="12228" width="10.625" style="2" customWidth="1"/>
    <col min="12229" max="12266" width="10.75" style="2"/>
    <col min="12267" max="12267" width="13.25" style="2" customWidth="1"/>
    <col min="12268" max="12268" width="15.875" style="2" customWidth="1"/>
    <col min="12269" max="12279" width="10.75" style="2"/>
    <col min="12280" max="12280" width="1.25" style="2" customWidth="1"/>
    <col min="12281" max="12283" width="10.75" style="2"/>
    <col min="12284" max="12290" width="12.25" style="2" customWidth="1"/>
    <col min="12291" max="12291" width="24.375" style="2" customWidth="1"/>
    <col min="12292" max="12337" width="10.75" style="2"/>
    <col min="12338" max="12338" width="7.25" style="2" customWidth="1"/>
    <col min="12339" max="12339" width="10.75" style="2"/>
    <col min="12340" max="12340" width="9.875" style="2" customWidth="1"/>
    <col min="12341" max="12341" width="8.625" style="2" customWidth="1"/>
    <col min="12342" max="12342" width="7.875" style="2" customWidth="1"/>
    <col min="12343" max="12343" width="15" style="2" customWidth="1"/>
    <col min="12344" max="12348" width="11.875" style="2" customWidth="1"/>
    <col min="12349" max="12349" width="22" style="2" customWidth="1"/>
    <col min="12350" max="12350" width="10.75" style="2"/>
    <col min="12351" max="12351" width="2" style="2" customWidth="1"/>
    <col min="12352" max="12352" width="5.125" style="2" customWidth="1"/>
    <col min="12353" max="12353" width="7.625" style="2" customWidth="1"/>
    <col min="12354" max="12354" width="2" style="2" customWidth="1"/>
    <col min="12355" max="12356" width="10.75" style="2"/>
    <col min="12357" max="12357" width="1.125" style="2" customWidth="1"/>
    <col min="12358" max="12361" width="10.75" style="2"/>
    <col min="12362" max="12362" width="8.625" style="2" customWidth="1"/>
    <col min="12363" max="12364" width="10.75" style="2"/>
    <col min="12365" max="12365" width="2.125" style="2" customWidth="1"/>
    <col min="12366" max="12366" width="12.875" style="2" customWidth="1"/>
    <col min="12367" max="12367" width="10.75" style="2"/>
    <col min="12368" max="12368" width="3.125" style="2" customWidth="1"/>
    <col min="12369" max="12370" width="10.75" style="2"/>
    <col min="12371" max="12371" width="1.875" style="2" customWidth="1"/>
    <col min="12372" max="12376" width="10.75" style="2"/>
    <col min="12377" max="12377" width="1" style="2" customWidth="1"/>
    <col min="12378" max="12379" width="10.75" style="2"/>
    <col min="12380" max="12380" width="0.625" style="2" customWidth="1"/>
    <col min="12381" max="12381" width="10.625" style="2" customWidth="1"/>
    <col min="12382" max="12382" width="2.75" style="2" customWidth="1"/>
    <col min="12383" max="12384" width="6.75" style="2" customWidth="1"/>
    <col min="12385" max="12390" width="10.75" style="2"/>
    <col min="12391" max="12391" width="47.375" style="2" customWidth="1"/>
    <col min="12392" max="12392" width="10.75" style="2"/>
    <col min="12393" max="12393" width="18.625" style="2" customWidth="1"/>
    <col min="12394" max="12394" width="10.75" style="2"/>
    <col min="12395" max="12395" width="4.25" style="2" customWidth="1"/>
    <col min="12396" max="12398" width="10.75" style="2"/>
    <col min="12399" max="12399" width="19.25" style="2" customWidth="1"/>
    <col min="12400" max="12407" width="10.75" style="2"/>
    <col min="12408" max="12411" width="14.625" style="2" customWidth="1"/>
    <col min="12412" max="12469" width="10.75" style="2"/>
    <col min="12470" max="12470" width="12.25" style="2" customWidth="1"/>
    <col min="12471" max="12471" width="16" style="2" customWidth="1"/>
    <col min="12472" max="12472" width="10.75" style="2"/>
    <col min="12473" max="12473" width="20.125" style="2" customWidth="1"/>
    <col min="12474" max="12474" width="3.875" style="2" customWidth="1"/>
    <col min="12475" max="12478" width="13.25" style="2" customWidth="1"/>
    <col min="12479" max="12479" width="16.25" style="2" customWidth="1"/>
    <col min="12480" max="12480" width="13.25" style="2" customWidth="1"/>
    <col min="12481" max="12481" width="14.75" style="2" customWidth="1"/>
    <col min="12482" max="12482" width="21.75" style="2" customWidth="1"/>
    <col min="12483" max="12483" width="10.75" style="2"/>
    <col min="12484" max="12484" width="10.625" style="2" customWidth="1"/>
    <col min="12485" max="12522" width="10.75" style="2"/>
    <col min="12523" max="12523" width="13.25" style="2" customWidth="1"/>
    <col min="12524" max="12524" width="15.875" style="2" customWidth="1"/>
    <col min="12525" max="12535" width="10.75" style="2"/>
    <col min="12536" max="12536" width="1.25" style="2" customWidth="1"/>
    <col min="12537" max="12539" width="10.75" style="2"/>
    <col min="12540" max="12546" width="12.25" style="2" customWidth="1"/>
    <col min="12547" max="12547" width="24.375" style="2" customWidth="1"/>
    <col min="12548" max="12593" width="10.75" style="2"/>
    <col min="12594" max="12594" width="7.25" style="2" customWidth="1"/>
    <col min="12595" max="12595" width="10.75" style="2"/>
    <col min="12596" max="12596" width="9.875" style="2" customWidth="1"/>
    <col min="12597" max="12597" width="8.625" style="2" customWidth="1"/>
    <col min="12598" max="12598" width="7.875" style="2" customWidth="1"/>
    <col min="12599" max="12599" width="15" style="2" customWidth="1"/>
    <col min="12600" max="12604" width="11.875" style="2" customWidth="1"/>
    <col min="12605" max="12605" width="22" style="2" customWidth="1"/>
    <col min="12606" max="12606" width="10.75" style="2"/>
    <col min="12607" max="12607" width="2" style="2" customWidth="1"/>
    <col min="12608" max="12608" width="5.125" style="2" customWidth="1"/>
    <col min="12609" max="12609" width="7.625" style="2" customWidth="1"/>
    <col min="12610" max="12610" width="2" style="2" customWidth="1"/>
    <col min="12611" max="12612" width="10.75" style="2"/>
    <col min="12613" max="12613" width="1.125" style="2" customWidth="1"/>
    <col min="12614" max="12617" width="10.75" style="2"/>
    <col min="12618" max="12618" width="8.625" style="2" customWidth="1"/>
    <col min="12619" max="12620" width="10.75" style="2"/>
    <col min="12621" max="12621" width="2.125" style="2" customWidth="1"/>
    <col min="12622" max="12622" width="12.875" style="2" customWidth="1"/>
    <col min="12623" max="12623" width="10.75" style="2"/>
    <col min="12624" max="12624" width="3.125" style="2" customWidth="1"/>
    <col min="12625" max="12626" width="10.75" style="2"/>
    <col min="12627" max="12627" width="1.875" style="2" customWidth="1"/>
    <col min="12628" max="12632" width="10.75" style="2"/>
    <col min="12633" max="12633" width="1" style="2" customWidth="1"/>
    <col min="12634" max="12635" width="10.75" style="2"/>
    <col min="12636" max="12636" width="0.625" style="2" customWidth="1"/>
    <col min="12637" max="12637" width="10.625" style="2" customWidth="1"/>
    <col min="12638" max="12638" width="2.75" style="2" customWidth="1"/>
    <col min="12639" max="12640" width="6.75" style="2" customWidth="1"/>
    <col min="12641" max="12646" width="10.75" style="2"/>
    <col min="12647" max="12647" width="47.375" style="2" customWidth="1"/>
    <col min="12648" max="12648" width="10.75" style="2"/>
    <col min="12649" max="12649" width="18.625" style="2" customWidth="1"/>
    <col min="12650" max="12650" width="10.75" style="2"/>
    <col min="12651" max="12651" width="4.25" style="2" customWidth="1"/>
    <col min="12652" max="12654" width="10.75" style="2"/>
    <col min="12655" max="12655" width="19.25" style="2" customWidth="1"/>
    <col min="12656" max="12663" width="10.75" style="2"/>
    <col min="12664" max="12667" width="14.625" style="2" customWidth="1"/>
    <col min="12668" max="12725" width="10.75" style="2"/>
    <col min="12726" max="12726" width="12.25" style="2" customWidth="1"/>
    <col min="12727" max="12727" width="16" style="2" customWidth="1"/>
    <col min="12728" max="12728" width="10.75" style="2"/>
    <col min="12729" max="12729" width="20.125" style="2" customWidth="1"/>
    <col min="12730" max="12730" width="3.875" style="2" customWidth="1"/>
    <col min="12731" max="12734" width="13.25" style="2" customWidth="1"/>
    <col min="12735" max="12735" width="16.25" style="2" customWidth="1"/>
    <col min="12736" max="12736" width="13.25" style="2" customWidth="1"/>
    <col min="12737" max="12737" width="14.75" style="2" customWidth="1"/>
    <col min="12738" max="12738" width="21.75" style="2" customWidth="1"/>
    <col min="12739" max="12739" width="10.75" style="2"/>
    <col min="12740" max="12740" width="10.625" style="2" customWidth="1"/>
    <col min="12741" max="12778" width="10.75" style="2"/>
    <col min="12779" max="12779" width="13.25" style="2" customWidth="1"/>
    <col min="12780" max="12780" width="15.875" style="2" customWidth="1"/>
    <col min="12781" max="12791" width="10.75" style="2"/>
    <col min="12792" max="12792" width="1.25" style="2" customWidth="1"/>
    <col min="12793" max="12795" width="10.75" style="2"/>
    <col min="12796" max="12802" width="12.25" style="2" customWidth="1"/>
    <col min="12803" max="12803" width="24.375" style="2" customWidth="1"/>
    <col min="12804" max="12849" width="10.75" style="2"/>
    <col min="12850" max="12850" width="7.25" style="2" customWidth="1"/>
    <col min="12851" max="12851" width="10.75" style="2"/>
    <col min="12852" max="12852" width="9.875" style="2" customWidth="1"/>
    <col min="12853" max="12853" width="8.625" style="2" customWidth="1"/>
    <col min="12854" max="12854" width="7.875" style="2" customWidth="1"/>
    <col min="12855" max="12855" width="15" style="2" customWidth="1"/>
    <col min="12856" max="12860" width="11.875" style="2" customWidth="1"/>
    <col min="12861" max="12861" width="22" style="2" customWidth="1"/>
    <col min="12862" max="12862" width="10.75" style="2"/>
    <col min="12863" max="12863" width="2" style="2" customWidth="1"/>
    <col min="12864" max="12864" width="5.125" style="2" customWidth="1"/>
    <col min="12865" max="12865" width="7.625" style="2" customWidth="1"/>
    <col min="12866" max="12866" width="2" style="2" customWidth="1"/>
    <col min="12867" max="12868" width="10.75" style="2"/>
    <col min="12869" max="12869" width="1.125" style="2" customWidth="1"/>
    <col min="12870" max="12873" width="10.75" style="2"/>
    <col min="12874" max="12874" width="8.625" style="2" customWidth="1"/>
    <col min="12875" max="12876" width="10.75" style="2"/>
    <col min="12877" max="12877" width="2.125" style="2" customWidth="1"/>
    <col min="12878" max="12878" width="12.875" style="2" customWidth="1"/>
    <col min="12879" max="12879" width="10.75" style="2"/>
    <col min="12880" max="12880" width="3.125" style="2" customWidth="1"/>
    <col min="12881" max="12882" width="10.75" style="2"/>
    <col min="12883" max="12883" width="1.875" style="2" customWidth="1"/>
    <col min="12884" max="12888" width="10.75" style="2"/>
    <col min="12889" max="12889" width="1" style="2" customWidth="1"/>
    <col min="12890" max="12891" width="10.75" style="2"/>
    <col min="12892" max="12892" width="0.625" style="2" customWidth="1"/>
    <col min="12893" max="12893" width="10.625" style="2" customWidth="1"/>
    <col min="12894" max="12894" width="2.75" style="2" customWidth="1"/>
    <col min="12895" max="12896" width="6.75" style="2" customWidth="1"/>
    <col min="12897" max="12902" width="10.75" style="2"/>
    <col min="12903" max="12903" width="47.375" style="2" customWidth="1"/>
    <col min="12904" max="12904" width="10.75" style="2"/>
    <col min="12905" max="12905" width="18.625" style="2" customWidth="1"/>
    <col min="12906" max="12906" width="10.75" style="2"/>
    <col min="12907" max="12907" width="4.25" style="2" customWidth="1"/>
    <col min="12908" max="12910" width="10.75" style="2"/>
    <col min="12911" max="12911" width="19.25" style="2" customWidth="1"/>
    <col min="12912" max="12919" width="10.75" style="2"/>
    <col min="12920" max="12923" width="14.625" style="2" customWidth="1"/>
    <col min="12924" max="12981" width="10.75" style="2"/>
    <col min="12982" max="12982" width="12.25" style="2" customWidth="1"/>
    <col min="12983" max="12983" width="16" style="2" customWidth="1"/>
    <col min="12984" max="12984" width="10.75" style="2"/>
    <col min="12985" max="12985" width="20.125" style="2" customWidth="1"/>
    <col min="12986" max="12986" width="3.875" style="2" customWidth="1"/>
    <col min="12987" max="12990" width="13.25" style="2" customWidth="1"/>
    <col min="12991" max="12991" width="16.25" style="2" customWidth="1"/>
    <col min="12992" max="12992" width="13.25" style="2" customWidth="1"/>
    <col min="12993" max="12993" width="14.75" style="2" customWidth="1"/>
    <col min="12994" max="12994" width="21.75" style="2" customWidth="1"/>
    <col min="12995" max="12995" width="10.75" style="2"/>
    <col min="12996" max="12996" width="10.625" style="2" customWidth="1"/>
    <col min="12997" max="13034" width="10.75" style="2"/>
    <col min="13035" max="13035" width="13.25" style="2" customWidth="1"/>
    <col min="13036" max="13036" width="15.875" style="2" customWidth="1"/>
    <col min="13037" max="13047" width="10.75" style="2"/>
    <col min="13048" max="13048" width="1.25" style="2" customWidth="1"/>
    <col min="13049" max="13051" width="10.75" style="2"/>
    <col min="13052" max="13058" width="12.25" style="2" customWidth="1"/>
    <col min="13059" max="13059" width="24.375" style="2" customWidth="1"/>
    <col min="13060" max="13105" width="10.75" style="2"/>
    <col min="13106" max="13106" width="7.25" style="2" customWidth="1"/>
    <col min="13107" max="13107" width="10.75" style="2"/>
    <col min="13108" max="13108" width="9.875" style="2" customWidth="1"/>
    <col min="13109" max="13109" width="8.625" style="2" customWidth="1"/>
    <col min="13110" max="13110" width="7.875" style="2" customWidth="1"/>
    <col min="13111" max="13111" width="15" style="2" customWidth="1"/>
    <col min="13112" max="13116" width="11.875" style="2" customWidth="1"/>
    <col min="13117" max="13117" width="22" style="2" customWidth="1"/>
    <col min="13118" max="13118" width="10.75" style="2"/>
    <col min="13119" max="13119" width="2" style="2" customWidth="1"/>
    <col min="13120" max="13120" width="5.125" style="2" customWidth="1"/>
    <col min="13121" max="13121" width="7.625" style="2" customWidth="1"/>
    <col min="13122" max="13122" width="2" style="2" customWidth="1"/>
    <col min="13123" max="13124" width="10.75" style="2"/>
    <col min="13125" max="13125" width="1.125" style="2" customWidth="1"/>
    <col min="13126" max="13129" width="10.75" style="2"/>
    <col min="13130" max="13130" width="8.625" style="2" customWidth="1"/>
    <col min="13131" max="13132" width="10.75" style="2"/>
    <col min="13133" max="13133" width="2.125" style="2" customWidth="1"/>
    <col min="13134" max="13134" width="12.875" style="2" customWidth="1"/>
    <col min="13135" max="13135" width="10.75" style="2"/>
    <col min="13136" max="13136" width="3.125" style="2" customWidth="1"/>
    <col min="13137" max="13138" width="10.75" style="2"/>
    <col min="13139" max="13139" width="1.875" style="2" customWidth="1"/>
    <col min="13140" max="13144" width="10.75" style="2"/>
    <col min="13145" max="13145" width="1" style="2" customWidth="1"/>
    <col min="13146" max="13147" width="10.75" style="2"/>
    <col min="13148" max="13148" width="0.625" style="2" customWidth="1"/>
    <col min="13149" max="13149" width="10.625" style="2" customWidth="1"/>
    <col min="13150" max="13150" width="2.75" style="2" customWidth="1"/>
    <col min="13151" max="13152" width="6.75" style="2" customWidth="1"/>
    <col min="13153" max="13158" width="10.75" style="2"/>
    <col min="13159" max="13159" width="47.375" style="2" customWidth="1"/>
    <col min="13160" max="13160" width="10.75" style="2"/>
    <col min="13161" max="13161" width="18.625" style="2" customWidth="1"/>
    <col min="13162" max="13162" width="10.75" style="2"/>
    <col min="13163" max="13163" width="4.25" style="2" customWidth="1"/>
    <col min="13164" max="13166" width="10.75" style="2"/>
    <col min="13167" max="13167" width="19.25" style="2" customWidth="1"/>
    <col min="13168" max="13175" width="10.75" style="2"/>
    <col min="13176" max="13179" width="14.625" style="2" customWidth="1"/>
    <col min="13180" max="13237" width="10.75" style="2"/>
    <col min="13238" max="13238" width="12.25" style="2" customWidth="1"/>
    <col min="13239" max="13239" width="16" style="2" customWidth="1"/>
    <col min="13240" max="13240" width="10.75" style="2"/>
    <col min="13241" max="13241" width="20.125" style="2" customWidth="1"/>
    <col min="13242" max="13242" width="3.875" style="2" customWidth="1"/>
    <col min="13243" max="13246" width="13.25" style="2" customWidth="1"/>
    <col min="13247" max="13247" width="16.25" style="2" customWidth="1"/>
    <col min="13248" max="13248" width="13.25" style="2" customWidth="1"/>
    <col min="13249" max="13249" width="14.75" style="2" customWidth="1"/>
    <col min="13250" max="13250" width="21.75" style="2" customWidth="1"/>
    <col min="13251" max="13251" width="10.75" style="2"/>
    <col min="13252" max="13252" width="10.625" style="2" customWidth="1"/>
    <col min="13253" max="13290" width="10.75" style="2"/>
    <col min="13291" max="13291" width="13.25" style="2" customWidth="1"/>
    <col min="13292" max="13292" width="15.875" style="2" customWidth="1"/>
    <col min="13293" max="13303" width="10.75" style="2"/>
    <col min="13304" max="13304" width="1.25" style="2" customWidth="1"/>
    <col min="13305" max="13307" width="10.75" style="2"/>
    <col min="13308" max="13314" width="12.25" style="2" customWidth="1"/>
    <col min="13315" max="13315" width="24.375" style="2" customWidth="1"/>
    <col min="13316" max="13361" width="10.75" style="2"/>
    <col min="13362" max="13362" width="7.25" style="2" customWidth="1"/>
    <col min="13363" max="13363" width="10.75" style="2"/>
    <col min="13364" max="13364" width="9.875" style="2" customWidth="1"/>
    <col min="13365" max="13365" width="8.625" style="2" customWidth="1"/>
    <col min="13366" max="13366" width="7.875" style="2" customWidth="1"/>
    <col min="13367" max="13367" width="15" style="2" customWidth="1"/>
    <col min="13368" max="13372" width="11.875" style="2" customWidth="1"/>
    <col min="13373" max="13373" width="22" style="2" customWidth="1"/>
    <col min="13374" max="13374" width="10.75" style="2"/>
    <col min="13375" max="13375" width="2" style="2" customWidth="1"/>
    <col min="13376" max="13376" width="5.125" style="2" customWidth="1"/>
    <col min="13377" max="13377" width="7.625" style="2" customWidth="1"/>
    <col min="13378" max="13378" width="2" style="2" customWidth="1"/>
    <col min="13379" max="13380" width="10.75" style="2"/>
    <col min="13381" max="13381" width="1.125" style="2" customWidth="1"/>
    <col min="13382" max="13385" width="10.75" style="2"/>
    <col min="13386" max="13386" width="8.625" style="2" customWidth="1"/>
    <col min="13387" max="13388" width="10.75" style="2"/>
    <col min="13389" max="13389" width="2.125" style="2" customWidth="1"/>
    <col min="13390" max="13390" width="12.875" style="2" customWidth="1"/>
    <col min="13391" max="13391" width="10.75" style="2"/>
    <col min="13392" max="13392" width="3.125" style="2" customWidth="1"/>
    <col min="13393" max="13394" width="10.75" style="2"/>
    <col min="13395" max="13395" width="1.875" style="2" customWidth="1"/>
    <col min="13396" max="13400" width="10.75" style="2"/>
    <col min="13401" max="13401" width="1" style="2" customWidth="1"/>
    <col min="13402" max="13403" width="10.75" style="2"/>
    <col min="13404" max="13404" width="0.625" style="2" customWidth="1"/>
    <col min="13405" max="13405" width="10.625" style="2" customWidth="1"/>
    <col min="13406" max="13406" width="2.75" style="2" customWidth="1"/>
    <col min="13407" max="13408" width="6.75" style="2" customWidth="1"/>
    <col min="13409" max="13414" width="10.75" style="2"/>
    <col min="13415" max="13415" width="47.375" style="2" customWidth="1"/>
    <col min="13416" max="13416" width="10.75" style="2"/>
    <col min="13417" max="13417" width="18.625" style="2" customWidth="1"/>
    <col min="13418" max="13418" width="10.75" style="2"/>
    <col min="13419" max="13419" width="4.25" style="2" customWidth="1"/>
    <col min="13420" max="13422" width="10.75" style="2"/>
    <col min="13423" max="13423" width="19.25" style="2" customWidth="1"/>
    <col min="13424" max="13431" width="10.75" style="2"/>
    <col min="13432" max="13435" width="14.625" style="2" customWidth="1"/>
    <col min="13436" max="13493" width="10.75" style="2"/>
    <col min="13494" max="13494" width="12.25" style="2" customWidth="1"/>
    <col min="13495" max="13495" width="16" style="2" customWidth="1"/>
    <col min="13496" max="13496" width="10.75" style="2"/>
    <col min="13497" max="13497" width="20.125" style="2" customWidth="1"/>
    <col min="13498" max="13498" width="3.875" style="2" customWidth="1"/>
    <col min="13499" max="13502" width="13.25" style="2" customWidth="1"/>
    <col min="13503" max="13503" width="16.25" style="2" customWidth="1"/>
    <col min="13504" max="13504" width="13.25" style="2" customWidth="1"/>
    <col min="13505" max="13505" width="14.75" style="2" customWidth="1"/>
    <col min="13506" max="13506" width="21.75" style="2" customWidth="1"/>
    <col min="13507" max="13507" width="10.75" style="2"/>
    <col min="13508" max="13508" width="10.625" style="2" customWidth="1"/>
    <col min="13509" max="13546" width="10.75" style="2"/>
    <col min="13547" max="13547" width="13.25" style="2" customWidth="1"/>
    <col min="13548" max="13548" width="15.875" style="2" customWidth="1"/>
    <col min="13549" max="13559" width="10.75" style="2"/>
    <col min="13560" max="13560" width="1.25" style="2" customWidth="1"/>
    <col min="13561" max="13563" width="10.75" style="2"/>
    <col min="13564" max="13570" width="12.25" style="2" customWidth="1"/>
    <col min="13571" max="13571" width="24.375" style="2" customWidth="1"/>
    <col min="13572" max="13617" width="10.75" style="2"/>
    <col min="13618" max="13618" width="7.25" style="2" customWidth="1"/>
    <col min="13619" max="13619" width="10.75" style="2"/>
    <col min="13620" max="13620" width="9.875" style="2" customWidth="1"/>
    <col min="13621" max="13621" width="8.625" style="2" customWidth="1"/>
    <col min="13622" max="13622" width="7.875" style="2" customWidth="1"/>
    <col min="13623" max="13623" width="15" style="2" customWidth="1"/>
    <col min="13624" max="13628" width="11.875" style="2" customWidth="1"/>
    <col min="13629" max="13629" width="22" style="2" customWidth="1"/>
    <col min="13630" max="13630" width="10.75" style="2"/>
    <col min="13631" max="13631" width="2" style="2" customWidth="1"/>
    <col min="13632" max="13632" width="5.125" style="2" customWidth="1"/>
    <col min="13633" max="13633" width="7.625" style="2" customWidth="1"/>
    <col min="13634" max="13634" width="2" style="2" customWidth="1"/>
    <col min="13635" max="13636" width="10.75" style="2"/>
    <col min="13637" max="13637" width="1.125" style="2" customWidth="1"/>
    <col min="13638" max="13641" width="10.75" style="2"/>
    <col min="13642" max="13642" width="8.625" style="2" customWidth="1"/>
    <col min="13643" max="13644" width="10.75" style="2"/>
    <col min="13645" max="13645" width="2.125" style="2" customWidth="1"/>
    <col min="13646" max="13646" width="12.875" style="2" customWidth="1"/>
    <col min="13647" max="13647" width="10.75" style="2"/>
    <col min="13648" max="13648" width="3.125" style="2" customWidth="1"/>
    <col min="13649" max="13650" width="10.75" style="2"/>
    <col min="13651" max="13651" width="1.875" style="2" customWidth="1"/>
    <col min="13652" max="13656" width="10.75" style="2"/>
    <col min="13657" max="13657" width="1" style="2" customWidth="1"/>
    <col min="13658" max="13659" width="10.75" style="2"/>
    <col min="13660" max="13660" width="0.625" style="2" customWidth="1"/>
    <col min="13661" max="13661" width="10.625" style="2" customWidth="1"/>
    <col min="13662" max="13662" width="2.75" style="2" customWidth="1"/>
    <col min="13663" max="13664" width="6.75" style="2" customWidth="1"/>
    <col min="13665" max="13670" width="10.75" style="2"/>
    <col min="13671" max="13671" width="47.375" style="2" customWidth="1"/>
    <col min="13672" max="13672" width="10.75" style="2"/>
    <col min="13673" max="13673" width="18.625" style="2" customWidth="1"/>
    <col min="13674" max="13674" width="10.75" style="2"/>
    <col min="13675" max="13675" width="4.25" style="2" customWidth="1"/>
    <col min="13676" max="13678" width="10.75" style="2"/>
    <col min="13679" max="13679" width="19.25" style="2" customWidth="1"/>
    <col min="13680" max="13687" width="10.75" style="2"/>
    <col min="13688" max="13691" width="14.625" style="2" customWidth="1"/>
    <col min="13692" max="13749" width="10.75" style="2"/>
    <col min="13750" max="13750" width="12.25" style="2" customWidth="1"/>
    <col min="13751" max="13751" width="16" style="2" customWidth="1"/>
    <col min="13752" max="13752" width="10.75" style="2"/>
    <col min="13753" max="13753" width="20.125" style="2" customWidth="1"/>
    <col min="13754" max="13754" width="3.875" style="2" customWidth="1"/>
    <col min="13755" max="13758" width="13.25" style="2" customWidth="1"/>
    <col min="13759" max="13759" width="16.25" style="2" customWidth="1"/>
    <col min="13760" max="13760" width="13.25" style="2" customWidth="1"/>
    <col min="13761" max="13761" width="14.75" style="2" customWidth="1"/>
    <col min="13762" max="13762" width="21.75" style="2" customWidth="1"/>
    <col min="13763" max="13763" width="10.75" style="2"/>
    <col min="13764" max="13764" width="10.625" style="2" customWidth="1"/>
    <col min="13765" max="13802" width="10.75" style="2"/>
    <col min="13803" max="13803" width="13.25" style="2" customWidth="1"/>
    <col min="13804" max="13804" width="15.875" style="2" customWidth="1"/>
    <col min="13805" max="13815" width="10.75" style="2"/>
    <col min="13816" max="13816" width="1.25" style="2" customWidth="1"/>
    <col min="13817" max="13819" width="10.75" style="2"/>
    <col min="13820" max="13826" width="12.25" style="2" customWidth="1"/>
    <col min="13827" max="13827" width="24.375" style="2" customWidth="1"/>
    <col min="13828" max="13873" width="10.75" style="2"/>
    <col min="13874" max="13874" width="7.25" style="2" customWidth="1"/>
    <col min="13875" max="13875" width="10.75" style="2"/>
    <col min="13876" max="13876" width="9.875" style="2" customWidth="1"/>
    <col min="13877" max="13877" width="8.625" style="2" customWidth="1"/>
    <col min="13878" max="13878" width="7.875" style="2" customWidth="1"/>
    <col min="13879" max="13879" width="15" style="2" customWidth="1"/>
    <col min="13880" max="13884" width="11.875" style="2" customWidth="1"/>
    <col min="13885" max="13885" width="22" style="2" customWidth="1"/>
    <col min="13886" max="13886" width="10.75" style="2"/>
    <col min="13887" max="13887" width="2" style="2" customWidth="1"/>
    <col min="13888" max="13888" width="5.125" style="2" customWidth="1"/>
    <col min="13889" max="13889" width="7.625" style="2" customWidth="1"/>
    <col min="13890" max="13890" width="2" style="2" customWidth="1"/>
    <col min="13891" max="13892" width="10.75" style="2"/>
    <col min="13893" max="13893" width="1.125" style="2" customWidth="1"/>
    <col min="13894" max="13897" width="10.75" style="2"/>
    <col min="13898" max="13898" width="8.625" style="2" customWidth="1"/>
    <col min="13899" max="13900" width="10.75" style="2"/>
    <col min="13901" max="13901" width="2.125" style="2" customWidth="1"/>
    <col min="13902" max="13902" width="12.875" style="2" customWidth="1"/>
    <col min="13903" max="13903" width="10.75" style="2"/>
    <col min="13904" max="13904" width="3.125" style="2" customWidth="1"/>
    <col min="13905" max="13906" width="10.75" style="2"/>
    <col min="13907" max="13907" width="1.875" style="2" customWidth="1"/>
    <col min="13908" max="13912" width="10.75" style="2"/>
    <col min="13913" max="13913" width="1" style="2" customWidth="1"/>
    <col min="13914" max="13915" width="10.75" style="2"/>
    <col min="13916" max="13916" width="0.625" style="2" customWidth="1"/>
    <col min="13917" max="13917" width="10.625" style="2" customWidth="1"/>
    <col min="13918" max="13918" width="2.75" style="2" customWidth="1"/>
    <col min="13919" max="13920" width="6.75" style="2" customWidth="1"/>
    <col min="13921" max="13926" width="10.75" style="2"/>
    <col min="13927" max="13927" width="47.375" style="2" customWidth="1"/>
    <col min="13928" max="13928" width="10.75" style="2"/>
    <col min="13929" max="13929" width="18.625" style="2" customWidth="1"/>
    <col min="13930" max="13930" width="10.75" style="2"/>
    <col min="13931" max="13931" width="4.25" style="2" customWidth="1"/>
    <col min="13932" max="13934" width="10.75" style="2"/>
    <col min="13935" max="13935" width="19.25" style="2" customWidth="1"/>
    <col min="13936" max="13943" width="10.75" style="2"/>
    <col min="13944" max="13947" width="14.625" style="2" customWidth="1"/>
    <col min="13948" max="14005" width="10.75" style="2"/>
    <col min="14006" max="14006" width="12.25" style="2" customWidth="1"/>
    <col min="14007" max="14007" width="16" style="2" customWidth="1"/>
    <col min="14008" max="14008" width="10.75" style="2"/>
    <col min="14009" max="14009" width="20.125" style="2" customWidth="1"/>
    <col min="14010" max="14010" width="3.875" style="2" customWidth="1"/>
    <col min="14011" max="14014" width="13.25" style="2" customWidth="1"/>
    <col min="14015" max="14015" width="16.25" style="2" customWidth="1"/>
    <col min="14016" max="14016" width="13.25" style="2" customWidth="1"/>
    <col min="14017" max="14017" width="14.75" style="2" customWidth="1"/>
    <col min="14018" max="14018" width="21.75" style="2" customWidth="1"/>
    <col min="14019" max="14019" width="10.75" style="2"/>
    <col min="14020" max="14020" width="10.625" style="2" customWidth="1"/>
    <col min="14021" max="14058" width="10.75" style="2"/>
    <col min="14059" max="14059" width="13.25" style="2" customWidth="1"/>
    <col min="14060" max="14060" width="15.875" style="2" customWidth="1"/>
    <col min="14061" max="14071" width="10.75" style="2"/>
    <col min="14072" max="14072" width="1.25" style="2" customWidth="1"/>
    <col min="14073" max="14075" width="10.75" style="2"/>
    <col min="14076" max="14082" width="12.25" style="2" customWidth="1"/>
    <col min="14083" max="14083" width="24.375" style="2" customWidth="1"/>
    <col min="14084" max="14129" width="10.75" style="2"/>
    <col min="14130" max="14130" width="7.25" style="2" customWidth="1"/>
    <col min="14131" max="14131" width="10.75" style="2"/>
    <col min="14132" max="14132" width="9.875" style="2" customWidth="1"/>
    <col min="14133" max="14133" width="8.625" style="2" customWidth="1"/>
    <col min="14134" max="14134" width="7.875" style="2" customWidth="1"/>
    <col min="14135" max="14135" width="15" style="2" customWidth="1"/>
    <col min="14136" max="14140" width="11.875" style="2" customWidth="1"/>
    <col min="14141" max="14141" width="22" style="2" customWidth="1"/>
    <col min="14142" max="14142" width="10.75" style="2"/>
    <col min="14143" max="14143" width="2" style="2" customWidth="1"/>
    <col min="14144" max="14144" width="5.125" style="2" customWidth="1"/>
    <col min="14145" max="14145" width="7.625" style="2" customWidth="1"/>
    <col min="14146" max="14146" width="2" style="2" customWidth="1"/>
    <col min="14147" max="14148" width="10.75" style="2"/>
    <col min="14149" max="14149" width="1.125" style="2" customWidth="1"/>
    <col min="14150" max="14153" width="10.75" style="2"/>
    <col min="14154" max="14154" width="8.625" style="2" customWidth="1"/>
    <col min="14155" max="14156" width="10.75" style="2"/>
    <col min="14157" max="14157" width="2.125" style="2" customWidth="1"/>
    <col min="14158" max="14158" width="12.875" style="2" customWidth="1"/>
    <col min="14159" max="14159" width="10.75" style="2"/>
    <col min="14160" max="14160" width="3.125" style="2" customWidth="1"/>
    <col min="14161" max="14162" width="10.75" style="2"/>
    <col min="14163" max="14163" width="1.875" style="2" customWidth="1"/>
    <col min="14164" max="14168" width="10.75" style="2"/>
    <col min="14169" max="14169" width="1" style="2" customWidth="1"/>
    <col min="14170" max="14171" width="10.75" style="2"/>
    <col min="14172" max="14172" width="0.625" style="2" customWidth="1"/>
    <col min="14173" max="14173" width="10.625" style="2" customWidth="1"/>
    <col min="14174" max="14174" width="2.75" style="2" customWidth="1"/>
    <col min="14175" max="14176" width="6.75" style="2" customWidth="1"/>
    <col min="14177" max="14182" width="10.75" style="2"/>
    <col min="14183" max="14183" width="47.375" style="2" customWidth="1"/>
    <col min="14184" max="14184" width="10.75" style="2"/>
    <col min="14185" max="14185" width="18.625" style="2" customWidth="1"/>
    <col min="14186" max="14186" width="10.75" style="2"/>
    <col min="14187" max="14187" width="4.25" style="2" customWidth="1"/>
    <col min="14188" max="14190" width="10.75" style="2"/>
    <col min="14191" max="14191" width="19.25" style="2" customWidth="1"/>
    <col min="14192" max="14199" width="10.75" style="2"/>
    <col min="14200" max="14203" width="14.625" style="2" customWidth="1"/>
    <col min="14204" max="14261" width="10.75" style="2"/>
    <col min="14262" max="14262" width="12.25" style="2" customWidth="1"/>
    <col min="14263" max="14263" width="16" style="2" customWidth="1"/>
    <col min="14264" max="14264" width="10.75" style="2"/>
    <col min="14265" max="14265" width="20.125" style="2" customWidth="1"/>
    <col min="14266" max="14266" width="3.875" style="2" customWidth="1"/>
    <col min="14267" max="14270" width="13.25" style="2" customWidth="1"/>
    <col min="14271" max="14271" width="16.25" style="2" customWidth="1"/>
    <col min="14272" max="14272" width="13.25" style="2" customWidth="1"/>
    <col min="14273" max="14273" width="14.75" style="2" customWidth="1"/>
    <col min="14274" max="14274" width="21.75" style="2" customWidth="1"/>
    <col min="14275" max="14275" width="10.75" style="2"/>
    <col min="14276" max="14276" width="10.625" style="2" customWidth="1"/>
    <col min="14277" max="14314" width="10.75" style="2"/>
    <col min="14315" max="14315" width="13.25" style="2" customWidth="1"/>
    <col min="14316" max="14316" width="15.875" style="2" customWidth="1"/>
    <col min="14317" max="14327" width="10.75" style="2"/>
    <col min="14328" max="14328" width="1.25" style="2" customWidth="1"/>
    <col min="14329" max="14331" width="10.75" style="2"/>
    <col min="14332" max="14338" width="12.25" style="2" customWidth="1"/>
    <col min="14339" max="14339" width="24.375" style="2" customWidth="1"/>
    <col min="14340" max="14385" width="10.75" style="2"/>
    <col min="14386" max="14386" width="7.25" style="2" customWidth="1"/>
    <col min="14387" max="14387" width="10.75" style="2"/>
    <col min="14388" max="14388" width="9.875" style="2" customWidth="1"/>
    <col min="14389" max="14389" width="8.625" style="2" customWidth="1"/>
    <col min="14390" max="14390" width="7.875" style="2" customWidth="1"/>
    <col min="14391" max="14391" width="15" style="2" customWidth="1"/>
    <col min="14392" max="14396" width="11.875" style="2" customWidth="1"/>
    <col min="14397" max="14397" width="22" style="2" customWidth="1"/>
    <col min="14398" max="14398" width="10.75" style="2"/>
    <col min="14399" max="14399" width="2" style="2" customWidth="1"/>
    <col min="14400" max="14400" width="5.125" style="2" customWidth="1"/>
    <col min="14401" max="14401" width="7.625" style="2" customWidth="1"/>
    <col min="14402" max="14402" width="2" style="2" customWidth="1"/>
    <col min="14403" max="14404" width="10.75" style="2"/>
    <col min="14405" max="14405" width="1.125" style="2" customWidth="1"/>
    <col min="14406" max="14409" width="10.75" style="2"/>
    <col min="14410" max="14410" width="8.625" style="2" customWidth="1"/>
    <col min="14411" max="14412" width="10.75" style="2"/>
    <col min="14413" max="14413" width="2.125" style="2" customWidth="1"/>
    <col min="14414" max="14414" width="12.875" style="2" customWidth="1"/>
    <col min="14415" max="14415" width="10.75" style="2"/>
    <col min="14416" max="14416" width="3.125" style="2" customWidth="1"/>
    <col min="14417" max="14418" width="10.75" style="2"/>
    <col min="14419" max="14419" width="1.875" style="2" customWidth="1"/>
    <col min="14420" max="14424" width="10.75" style="2"/>
    <col min="14425" max="14425" width="1" style="2" customWidth="1"/>
    <col min="14426" max="14427" width="10.75" style="2"/>
    <col min="14428" max="14428" width="0.625" style="2" customWidth="1"/>
    <col min="14429" max="14429" width="10.625" style="2" customWidth="1"/>
    <col min="14430" max="14430" width="2.75" style="2" customWidth="1"/>
    <col min="14431" max="14432" width="6.75" style="2" customWidth="1"/>
    <col min="14433" max="14438" width="10.75" style="2"/>
    <col min="14439" max="14439" width="47.375" style="2" customWidth="1"/>
    <col min="14440" max="14440" width="10.75" style="2"/>
    <col min="14441" max="14441" width="18.625" style="2" customWidth="1"/>
    <col min="14442" max="14442" width="10.75" style="2"/>
    <col min="14443" max="14443" width="4.25" style="2" customWidth="1"/>
    <col min="14444" max="14446" width="10.75" style="2"/>
    <col min="14447" max="14447" width="19.25" style="2" customWidth="1"/>
    <col min="14448" max="14455" width="10.75" style="2"/>
    <col min="14456" max="14459" width="14.625" style="2" customWidth="1"/>
    <col min="14460" max="14517" width="10.75" style="2"/>
    <col min="14518" max="14518" width="12.25" style="2" customWidth="1"/>
    <col min="14519" max="14519" width="16" style="2" customWidth="1"/>
    <col min="14520" max="14520" width="10.75" style="2"/>
    <col min="14521" max="14521" width="20.125" style="2" customWidth="1"/>
    <col min="14522" max="14522" width="3.875" style="2" customWidth="1"/>
    <col min="14523" max="14526" width="13.25" style="2" customWidth="1"/>
    <col min="14527" max="14527" width="16.25" style="2" customWidth="1"/>
    <col min="14528" max="14528" width="13.25" style="2" customWidth="1"/>
    <col min="14529" max="14529" width="14.75" style="2" customWidth="1"/>
    <col min="14530" max="14530" width="21.75" style="2" customWidth="1"/>
    <col min="14531" max="14531" width="10.75" style="2"/>
    <col min="14532" max="14532" width="10.625" style="2" customWidth="1"/>
    <col min="14533" max="14570" width="10.75" style="2"/>
    <col min="14571" max="14571" width="13.25" style="2" customWidth="1"/>
    <col min="14572" max="14572" width="15.875" style="2" customWidth="1"/>
    <col min="14573" max="14583" width="10.75" style="2"/>
    <col min="14584" max="14584" width="1.25" style="2" customWidth="1"/>
    <col min="14585" max="14587" width="10.75" style="2"/>
    <col min="14588" max="14594" width="12.25" style="2" customWidth="1"/>
    <col min="14595" max="14595" width="24.375" style="2" customWidth="1"/>
    <col min="14596" max="14641" width="10.75" style="2"/>
    <col min="14642" max="14642" width="7.25" style="2" customWidth="1"/>
    <col min="14643" max="14643" width="10.75" style="2"/>
    <col min="14644" max="14644" width="9.875" style="2" customWidth="1"/>
    <col min="14645" max="14645" width="8.625" style="2" customWidth="1"/>
    <col min="14646" max="14646" width="7.875" style="2" customWidth="1"/>
    <col min="14647" max="14647" width="15" style="2" customWidth="1"/>
    <col min="14648" max="14652" width="11.875" style="2" customWidth="1"/>
    <col min="14653" max="14653" width="22" style="2" customWidth="1"/>
    <col min="14654" max="14654" width="10.75" style="2"/>
    <col min="14655" max="14655" width="2" style="2" customWidth="1"/>
    <col min="14656" max="14656" width="5.125" style="2" customWidth="1"/>
    <col min="14657" max="14657" width="7.625" style="2" customWidth="1"/>
    <col min="14658" max="14658" width="2" style="2" customWidth="1"/>
    <col min="14659" max="14660" width="10.75" style="2"/>
    <col min="14661" max="14661" width="1.125" style="2" customWidth="1"/>
    <col min="14662" max="14665" width="10.75" style="2"/>
    <col min="14666" max="14666" width="8.625" style="2" customWidth="1"/>
    <col min="14667" max="14668" width="10.75" style="2"/>
    <col min="14669" max="14669" width="2.125" style="2" customWidth="1"/>
    <col min="14670" max="14670" width="12.875" style="2" customWidth="1"/>
    <col min="14671" max="14671" width="10.75" style="2"/>
    <col min="14672" max="14672" width="3.125" style="2" customWidth="1"/>
    <col min="14673" max="14674" width="10.75" style="2"/>
    <col min="14675" max="14675" width="1.875" style="2" customWidth="1"/>
    <col min="14676" max="14680" width="10.75" style="2"/>
    <col min="14681" max="14681" width="1" style="2" customWidth="1"/>
    <col min="14682" max="14683" width="10.75" style="2"/>
    <col min="14684" max="14684" width="0.625" style="2" customWidth="1"/>
    <col min="14685" max="14685" width="10.625" style="2" customWidth="1"/>
    <col min="14686" max="14686" width="2.75" style="2" customWidth="1"/>
    <col min="14687" max="14688" width="6.75" style="2" customWidth="1"/>
    <col min="14689" max="14694" width="10.75" style="2"/>
    <col min="14695" max="14695" width="47.375" style="2" customWidth="1"/>
    <col min="14696" max="14696" width="10.75" style="2"/>
    <col min="14697" max="14697" width="18.625" style="2" customWidth="1"/>
    <col min="14698" max="14698" width="10.75" style="2"/>
    <col min="14699" max="14699" width="4.25" style="2" customWidth="1"/>
    <col min="14700" max="14702" width="10.75" style="2"/>
    <col min="14703" max="14703" width="19.25" style="2" customWidth="1"/>
    <col min="14704" max="14711" width="10.75" style="2"/>
    <col min="14712" max="14715" width="14.625" style="2" customWidth="1"/>
    <col min="14716" max="14773" width="10.75" style="2"/>
    <col min="14774" max="14774" width="12.25" style="2" customWidth="1"/>
    <col min="14775" max="14775" width="16" style="2" customWidth="1"/>
    <col min="14776" max="14776" width="10.75" style="2"/>
    <col min="14777" max="14777" width="20.125" style="2" customWidth="1"/>
    <col min="14778" max="14778" width="3.875" style="2" customWidth="1"/>
    <col min="14779" max="14782" width="13.25" style="2" customWidth="1"/>
    <col min="14783" max="14783" width="16.25" style="2" customWidth="1"/>
    <col min="14784" max="14784" width="13.25" style="2" customWidth="1"/>
    <col min="14785" max="14785" width="14.75" style="2" customWidth="1"/>
    <col min="14786" max="14786" width="21.75" style="2" customWidth="1"/>
    <col min="14787" max="14787" width="10.75" style="2"/>
    <col min="14788" max="14788" width="10.625" style="2" customWidth="1"/>
    <col min="14789" max="14826" width="10.75" style="2"/>
    <col min="14827" max="14827" width="13.25" style="2" customWidth="1"/>
    <col min="14828" max="14828" width="15.875" style="2" customWidth="1"/>
    <col min="14829" max="14839" width="10.75" style="2"/>
    <col min="14840" max="14840" width="1.25" style="2" customWidth="1"/>
    <col min="14841" max="14843" width="10.75" style="2"/>
    <col min="14844" max="14850" width="12.25" style="2" customWidth="1"/>
    <col min="14851" max="14851" width="24.375" style="2" customWidth="1"/>
    <col min="14852" max="14897" width="10.75" style="2"/>
    <col min="14898" max="14898" width="7.25" style="2" customWidth="1"/>
    <col min="14899" max="14899" width="10.75" style="2"/>
    <col min="14900" max="14900" width="9.875" style="2" customWidth="1"/>
    <col min="14901" max="14901" width="8.625" style="2" customWidth="1"/>
    <col min="14902" max="14902" width="7.875" style="2" customWidth="1"/>
    <col min="14903" max="14903" width="15" style="2" customWidth="1"/>
    <col min="14904" max="14908" width="11.875" style="2" customWidth="1"/>
    <col min="14909" max="14909" width="22" style="2" customWidth="1"/>
    <col min="14910" max="14910" width="10.75" style="2"/>
    <col min="14911" max="14911" width="2" style="2" customWidth="1"/>
    <col min="14912" max="14912" width="5.125" style="2" customWidth="1"/>
    <col min="14913" max="14913" width="7.625" style="2" customWidth="1"/>
    <col min="14914" max="14914" width="2" style="2" customWidth="1"/>
    <col min="14915" max="14916" width="10.75" style="2"/>
    <col min="14917" max="14917" width="1.125" style="2" customWidth="1"/>
    <col min="14918" max="14921" width="10.75" style="2"/>
    <col min="14922" max="14922" width="8.625" style="2" customWidth="1"/>
    <col min="14923" max="14924" width="10.75" style="2"/>
    <col min="14925" max="14925" width="2.125" style="2" customWidth="1"/>
    <col min="14926" max="14926" width="12.875" style="2" customWidth="1"/>
    <col min="14927" max="14927" width="10.75" style="2"/>
    <col min="14928" max="14928" width="3.125" style="2" customWidth="1"/>
    <col min="14929" max="14930" width="10.75" style="2"/>
    <col min="14931" max="14931" width="1.875" style="2" customWidth="1"/>
    <col min="14932" max="14936" width="10.75" style="2"/>
    <col min="14937" max="14937" width="1" style="2" customWidth="1"/>
    <col min="14938" max="14939" width="10.75" style="2"/>
    <col min="14940" max="14940" width="0.625" style="2" customWidth="1"/>
    <col min="14941" max="14941" width="10.625" style="2" customWidth="1"/>
    <col min="14942" max="14942" width="2.75" style="2" customWidth="1"/>
    <col min="14943" max="14944" width="6.75" style="2" customWidth="1"/>
    <col min="14945" max="14950" width="10.75" style="2"/>
    <col min="14951" max="14951" width="47.375" style="2" customWidth="1"/>
    <col min="14952" max="14952" width="10.75" style="2"/>
    <col min="14953" max="14953" width="18.625" style="2" customWidth="1"/>
    <col min="14954" max="14954" width="10.75" style="2"/>
    <col min="14955" max="14955" width="4.25" style="2" customWidth="1"/>
    <col min="14956" max="14958" width="10.75" style="2"/>
    <col min="14959" max="14959" width="19.25" style="2" customWidth="1"/>
    <col min="14960" max="14967" width="10.75" style="2"/>
    <col min="14968" max="14971" width="14.625" style="2" customWidth="1"/>
    <col min="14972" max="15029" width="10.75" style="2"/>
    <col min="15030" max="15030" width="12.25" style="2" customWidth="1"/>
    <col min="15031" max="15031" width="16" style="2" customWidth="1"/>
    <col min="15032" max="15032" width="10.75" style="2"/>
    <col min="15033" max="15033" width="20.125" style="2" customWidth="1"/>
    <col min="15034" max="15034" width="3.875" style="2" customWidth="1"/>
    <col min="15035" max="15038" width="13.25" style="2" customWidth="1"/>
    <col min="15039" max="15039" width="16.25" style="2" customWidth="1"/>
    <col min="15040" max="15040" width="13.25" style="2" customWidth="1"/>
    <col min="15041" max="15041" width="14.75" style="2" customWidth="1"/>
    <col min="15042" max="15042" width="21.75" style="2" customWidth="1"/>
    <col min="15043" max="15043" width="10.75" style="2"/>
    <col min="15044" max="15044" width="10.625" style="2" customWidth="1"/>
    <col min="15045" max="15082" width="10.75" style="2"/>
    <col min="15083" max="15083" width="13.25" style="2" customWidth="1"/>
    <col min="15084" max="15084" width="15.875" style="2" customWidth="1"/>
    <col min="15085" max="15095" width="10.75" style="2"/>
    <col min="15096" max="15096" width="1.25" style="2" customWidth="1"/>
    <col min="15097" max="15099" width="10.75" style="2"/>
    <col min="15100" max="15106" width="12.25" style="2" customWidth="1"/>
    <col min="15107" max="15107" width="24.375" style="2" customWidth="1"/>
    <col min="15108" max="15153" width="10.75" style="2"/>
    <col min="15154" max="15154" width="7.25" style="2" customWidth="1"/>
    <col min="15155" max="15155" width="10.75" style="2"/>
    <col min="15156" max="15156" width="9.875" style="2" customWidth="1"/>
    <col min="15157" max="15157" width="8.625" style="2" customWidth="1"/>
    <col min="15158" max="15158" width="7.875" style="2" customWidth="1"/>
    <col min="15159" max="15159" width="15" style="2" customWidth="1"/>
    <col min="15160" max="15164" width="11.875" style="2" customWidth="1"/>
    <col min="15165" max="15165" width="22" style="2" customWidth="1"/>
    <col min="15166" max="15166" width="10.75" style="2"/>
    <col min="15167" max="15167" width="2" style="2" customWidth="1"/>
    <col min="15168" max="15168" width="5.125" style="2" customWidth="1"/>
    <col min="15169" max="15169" width="7.625" style="2" customWidth="1"/>
    <col min="15170" max="15170" width="2" style="2" customWidth="1"/>
    <col min="15171" max="15172" width="10.75" style="2"/>
    <col min="15173" max="15173" width="1.125" style="2" customWidth="1"/>
    <col min="15174" max="15177" width="10.75" style="2"/>
    <col min="15178" max="15178" width="8.625" style="2" customWidth="1"/>
    <col min="15179" max="15180" width="10.75" style="2"/>
    <col min="15181" max="15181" width="2.125" style="2" customWidth="1"/>
    <col min="15182" max="15182" width="12.875" style="2" customWidth="1"/>
    <col min="15183" max="15183" width="10.75" style="2"/>
    <col min="15184" max="15184" width="3.125" style="2" customWidth="1"/>
    <col min="15185" max="15186" width="10.75" style="2"/>
    <col min="15187" max="15187" width="1.875" style="2" customWidth="1"/>
    <col min="15188" max="15192" width="10.75" style="2"/>
    <col min="15193" max="15193" width="1" style="2" customWidth="1"/>
    <col min="15194" max="15195" width="10.75" style="2"/>
    <col min="15196" max="15196" width="0.625" style="2" customWidth="1"/>
    <col min="15197" max="15197" width="10.625" style="2" customWidth="1"/>
    <col min="15198" max="15198" width="2.75" style="2" customWidth="1"/>
    <col min="15199" max="15200" width="6.75" style="2" customWidth="1"/>
    <col min="15201" max="15206" width="10.75" style="2"/>
    <col min="15207" max="15207" width="47.375" style="2" customWidth="1"/>
    <col min="15208" max="15208" width="10.75" style="2"/>
    <col min="15209" max="15209" width="18.625" style="2" customWidth="1"/>
    <col min="15210" max="15210" width="10.75" style="2"/>
    <col min="15211" max="15211" width="4.25" style="2" customWidth="1"/>
    <col min="15212" max="15214" width="10.75" style="2"/>
    <col min="15215" max="15215" width="19.25" style="2" customWidth="1"/>
    <col min="15216" max="15223" width="10.75" style="2"/>
    <col min="15224" max="15227" width="14.625" style="2" customWidth="1"/>
    <col min="15228" max="15285" width="10.75" style="2"/>
    <col min="15286" max="15286" width="12.25" style="2" customWidth="1"/>
    <col min="15287" max="15287" width="16" style="2" customWidth="1"/>
    <col min="15288" max="15288" width="10.75" style="2"/>
    <col min="15289" max="15289" width="20.125" style="2" customWidth="1"/>
    <col min="15290" max="15290" width="3.875" style="2" customWidth="1"/>
    <col min="15291" max="15294" width="13.25" style="2" customWidth="1"/>
    <col min="15295" max="15295" width="16.25" style="2" customWidth="1"/>
    <col min="15296" max="15296" width="13.25" style="2" customWidth="1"/>
    <col min="15297" max="15297" width="14.75" style="2" customWidth="1"/>
    <col min="15298" max="15298" width="21.75" style="2" customWidth="1"/>
    <col min="15299" max="15299" width="10.75" style="2"/>
    <col min="15300" max="15300" width="10.625" style="2" customWidth="1"/>
    <col min="15301" max="15338" width="10.75" style="2"/>
    <col min="15339" max="15339" width="13.25" style="2" customWidth="1"/>
    <col min="15340" max="15340" width="15.875" style="2" customWidth="1"/>
    <col min="15341" max="15351" width="10.75" style="2"/>
    <col min="15352" max="15352" width="1.25" style="2" customWidth="1"/>
    <col min="15353" max="15355" width="10.75" style="2"/>
    <col min="15356" max="15362" width="12.25" style="2" customWidth="1"/>
    <col min="15363" max="15363" width="24.375" style="2" customWidth="1"/>
    <col min="15364" max="15409" width="10.75" style="2"/>
    <col min="15410" max="15410" width="7.25" style="2" customWidth="1"/>
    <col min="15411" max="15411" width="10.75" style="2"/>
    <col min="15412" max="15412" width="9.875" style="2" customWidth="1"/>
    <col min="15413" max="15413" width="8.625" style="2" customWidth="1"/>
    <col min="15414" max="15414" width="7.875" style="2" customWidth="1"/>
    <col min="15415" max="15415" width="15" style="2" customWidth="1"/>
    <col min="15416" max="15420" width="11.875" style="2" customWidth="1"/>
    <col min="15421" max="15421" width="22" style="2" customWidth="1"/>
    <col min="15422" max="15422" width="10.75" style="2"/>
    <col min="15423" max="15423" width="2" style="2" customWidth="1"/>
    <col min="15424" max="15424" width="5.125" style="2" customWidth="1"/>
    <col min="15425" max="15425" width="7.625" style="2" customWidth="1"/>
    <col min="15426" max="15426" width="2" style="2" customWidth="1"/>
    <col min="15427" max="15428" width="10.75" style="2"/>
    <col min="15429" max="15429" width="1.125" style="2" customWidth="1"/>
    <col min="15430" max="15433" width="10.75" style="2"/>
    <col min="15434" max="15434" width="8.625" style="2" customWidth="1"/>
    <col min="15435" max="15436" width="10.75" style="2"/>
    <col min="15437" max="15437" width="2.125" style="2" customWidth="1"/>
    <col min="15438" max="15438" width="12.875" style="2" customWidth="1"/>
    <col min="15439" max="15439" width="10.75" style="2"/>
    <col min="15440" max="15440" width="3.125" style="2" customWidth="1"/>
    <col min="15441" max="15442" width="10.75" style="2"/>
    <col min="15443" max="15443" width="1.875" style="2" customWidth="1"/>
    <col min="15444" max="15448" width="10.75" style="2"/>
    <col min="15449" max="15449" width="1" style="2" customWidth="1"/>
    <col min="15450" max="15451" width="10.75" style="2"/>
    <col min="15452" max="15452" width="0.625" style="2" customWidth="1"/>
    <col min="15453" max="15453" width="10.625" style="2" customWidth="1"/>
    <col min="15454" max="15454" width="2.75" style="2" customWidth="1"/>
    <col min="15455" max="15456" width="6.75" style="2" customWidth="1"/>
    <col min="15457" max="15462" width="10.75" style="2"/>
    <col min="15463" max="15463" width="47.375" style="2" customWidth="1"/>
    <col min="15464" max="15464" width="10.75" style="2"/>
    <col min="15465" max="15465" width="18.625" style="2" customWidth="1"/>
    <col min="15466" max="15466" width="10.75" style="2"/>
    <col min="15467" max="15467" width="4.25" style="2" customWidth="1"/>
    <col min="15468" max="15470" width="10.75" style="2"/>
    <col min="15471" max="15471" width="19.25" style="2" customWidth="1"/>
    <col min="15472" max="15479" width="10.75" style="2"/>
    <col min="15480" max="15483" width="14.625" style="2" customWidth="1"/>
    <col min="15484" max="15541" width="10.75" style="2"/>
    <col min="15542" max="15542" width="12.25" style="2" customWidth="1"/>
    <col min="15543" max="15543" width="16" style="2" customWidth="1"/>
    <col min="15544" max="15544" width="10.75" style="2"/>
    <col min="15545" max="15545" width="20.125" style="2" customWidth="1"/>
    <col min="15546" max="15546" width="3.875" style="2" customWidth="1"/>
    <col min="15547" max="15550" width="13.25" style="2" customWidth="1"/>
    <col min="15551" max="15551" width="16.25" style="2" customWidth="1"/>
    <col min="15552" max="15552" width="13.25" style="2" customWidth="1"/>
    <col min="15553" max="15553" width="14.75" style="2" customWidth="1"/>
    <col min="15554" max="15554" width="21.75" style="2" customWidth="1"/>
    <col min="15555" max="15555" width="10.75" style="2"/>
    <col min="15556" max="15556" width="10.625" style="2" customWidth="1"/>
    <col min="15557" max="15594" width="10.75" style="2"/>
    <col min="15595" max="15595" width="13.25" style="2" customWidth="1"/>
    <col min="15596" max="15596" width="15.875" style="2" customWidth="1"/>
    <col min="15597" max="15607" width="10.75" style="2"/>
    <col min="15608" max="15608" width="1.25" style="2" customWidth="1"/>
    <col min="15609" max="15611" width="10.75" style="2"/>
    <col min="15612" max="15618" width="12.25" style="2" customWidth="1"/>
    <col min="15619" max="15619" width="24.375" style="2" customWidth="1"/>
    <col min="15620" max="15665" width="10.75" style="2"/>
    <col min="15666" max="15666" width="7.25" style="2" customWidth="1"/>
    <col min="15667" max="15667" width="10.75" style="2"/>
    <col min="15668" max="15668" width="9.875" style="2" customWidth="1"/>
    <col min="15669" max="15669" width="8.625" style="2" customWidth="1"/>
    <col min="15670" max="15670" width="7.875" style="2" customWidth="1"/>
    <col min="15671" max="15671" width="15" style="2" customWidth="1"/>
    <col min="15672" max="15676" width="11.875" style="2" customWidth="1"/>
    <col min="15677" max="15677" width="22" style="2" customWidth="1"/>
    <col min="15678" max="15678" width="10.75" style="2"/>
    <col min="15679" max="15679" width="2" style="2" customWidth="1"/>
    <col min="15680" max="15680" width="5.125" style="2" customWidth="1"/>
    <col min="15681" max="15681" width="7.625" style="2" customWidth="1"/>
    <col min="15682" max="15682" width="2" style="2" customWidth="1"/>
    <col min="15683" max="15684" width="10.75" style="2"/>
    <col min="15685" max="15685" width="1.125" style="2" customWidth="1"/>
    <col min="15686" max="15689" width="10.75" style="2"/>
    <col min="15690" max="15690" width="8.625" style="2" customWidth="1"/>
    <col min="15691" max="15692" width="10.75" style="2"/>
    <col min="15693" max="15693" width="2.125" style="2" customWidth="1"/>
    <col min="15694" max="15694" width="12.875" style="2" customWidth="1"/>
    <col min="15695" max="15695" width="10.75" style="2"/>
    <col min="15696" max="15696" width="3.125" style="2" customWidth="1"/>
    <col min="15697" max="15698" width="10.75" style="2"/>
    <col min="15699" max="15699" width="1.875" style="2" customWidth="1"/>
    <col min="15700" max="15704" width="10.75" style="2"/>
    <col min="15705" max="15705" width="1" style="2" customWidth="1"/>
    <col min="15706" max="15707" width="10.75" style="2"/>
    <col min="15708" max="15708" width="0.625" style="2" customWidth="1"/>
    <col min="15709" max="15709" width="10.625" style="2" customWidth="1"/>
    <col min="15710" max="15710" width="2.75" style="2" customWidth="1"/>
    <col min="15711" max="15712" width="6.75" style="2" customWidth="1"/>
    <col min="15713" max="15718" width="10.75" style="2"/>
    <col min="15719" max="15719" width="47.375" style="2" customWidth="1"/>
    <col min="15720" max="15720" width="10.75" style="2"/>
    <col min="15721" max="15721" width="18.625" style="2" customWidth="1"/>
    <col min="15722" max="15722" width="10.75" style="2"/>
    <col min="15723" max="15723" width="4.25" style="2" customWidth="1"/>
    <col min="15724" max="15726" width="10.75" style="2"/>
    <col min="15727" max="15727" width="19.25" style="2" customWidth="1"/>
    <col min="15728" max="15735" width="10.75" style="2"/>
    <col min="15736" max="15739" width="14.625" style="2" customWidth="1"/>
    <col min="15740" max="15797" width="10.75" style="2"/>
    <col min="15798" max="15798" width="12.25" style="2" customWidth="1"/>
    <col min="15799" max="15799" width="16" style="2" customWidth="1"/>
    <col min="15800" max="15800" width="10.75" style="2"/>
    <col min="15801" max="15801" width="20.125" style="2" customWidth="1"/>
    <col min="15802" max="15802" width="3.875" style="2" customWidth="1"/>
    <col min="15803" max="15806" width="13.25" style="2" customWidth="1"/>
    <col min="15807" max="15807" width="16.25" style="2" customWidth="1"/>
    <col min="15808" max="15808" width="13.25" style="2" customWidth="1"/>
    <col min="15809" max="15809" width="14.75" style="2" customWidth="1"/>
    <col min="15810" max="15810" width="21.75" style="2" customWidth="1"/>
    <col min="15811" max="15811" width="10.75" style="2"/>
    <col min="15812" max="15812" width="10.625" style="2" customWidth="1"/>
    <col min="15813" max="15850" width="10.75" style="2"/>
    <col min="15851" max="15851" width="13.25" style="2" customWidth="1"/>
    <col min="15852" max="15852" width="15.875" style="2" customWidth="1"/>
    <col min="15853" max="15863" width="10.75" style="2"/>
    <col min="15864" max="15864" width="1.25" style="2" customWidth="1"/>
    <col min="15865" max="15867" width="10.75" style="2"/>
    <col min="15868" max="15874" width="12.25" style="2" customWidth="1"/>
    <col min="15875" max="15875" width="24.375" style="2" customWidth="1"/>
    <col min="15876" max="15921" width="10.75" style="2"/>
    <col min="15922" max="15922" width="7.25" style="2" customWidth="1"/>
    <col min="15923" max="15923" width="10.75" style="2"/>
    <col min="15924" max="15924" width="9.875" style="2" customWidth="1"/>
    <col min="15925" max="15925" width="8.625" style="2" customWidth="1"/>
    <col min="15926" max="15926" width="7.875" style="2" customWidth="1"/>
    <col min="15927" max="15927" width="15" style="2" customWidth="1"/>
    <col min="15928" max="15932" width="11.875" style="2" customWidth="1"/>
    <col min="15933" max="15933" width="22" style="2" customWidth="1"/>
    <col min="15934" max="15934" width="10.75" style="2"/>
    <col min="15935" max="15935" width="2" style="2" customWidth="1"/>
    <col min="15936" max="15936" width="5.125" style="2" customWidth="1"/>
    <col min="15937" max="15937" width="7.625" style="2" customWidth="1"/>
    <col min="15938" max="15938" width="2" style="2" customWidth="1"/>
    <col min="15939" max="15940" width="10.75" style="2"/>
    <col min="15941" max="15941" width="1.125" style="2" customWidth="1"/>
    <col min="15942" max="15945" width="10.75" style="2"/>
    <col min="15946" max="15946" width="8.625" style="2" customWidth="1"/>
    <col min="15947" max="15948" width="10.75" style="2"/>
    <col min="15949" max="15949" width="2.125" style="2" customWidth="1"/>
    <col min="15950" max="15950" width="12.875" style="2" customWidth="1"/>
    <col min="15951" max="15951" width="10.75" style="2"/>
    <col min="15952" max="15952" width="3.125" style="2" customWidth="1"/>
    <col min="15953" max="15954" width="10.75" style="2"/>
    <col min="15955" max="15955" width="1.875" style="2" customWidth="1"/>
    <col min="15956" max="15960" width="10.75" style="2"/>
    <col min="15961" max="15961" width="1" style="2" customWidth="1"/>
    <col min="15962" max="15963" width="10.75" style="2"/>
    <col min="15964" max="15964" width="0.625" style="2" customWidth="1"/>
    <col min="15965" max="15965" width="10.625" style="2" customWidth="1"/>
    <col min="15966" max="15966" width="2.75" style="2" customWidth="1"/>
    <col min="15967" max="15968" width="6.75" style="2" customWidth="1"/>
    <col min="15969" max="15974" width="10.75" style="2"/>
    <col min="15975" max="15975" width="47.375" style="2" customWidth="1"/>
    <col min="15976" max="15976" width="10.75" style="2"/>
    <col min="15977" max="15977" width="18.625" style="2" customWidth="1"/>
    <col min="15978" max="15978" width="10.75" style="2"/>
    <col min="15979" max="15979" width="4.25" style="2" customWidth="1"/>
    <col min="15980" max="15982" width="10.75" style="2"/>
    <col min="15983" max="15983" width="19.25" style="2" customWidth="1"/>
    <col min="15984" max="15991" width="10.75" style="2"/>
    <col min="15992" max="15995" width="14.625" style="2" customWidth="1"/>
    <col min="15996" max="16053" width="10.75" style="2"/>
    <col min="16054" max="16054" width="12.25" style="2" customWidth="1"/>
    <col min="16055" max="16055" width="16" style="2" customWidth="1"/>
    <col min="16056" max="16056" width="10.75" style="2"/>
    <col min="16057" max="16057" width="20.125" style="2" customWidth="1"/>
    <col min="16058" max="16058" width="3.875" style="2" customWidth="1"/>
    <col min="16059" max="16062" width="13.25" style="2" customWidth="1"/>
    <col min="16063" max="16063" width="16.25" style="2" customWidth="1"/>
    <col min="16064" max="16064" width="13.25" style="2" customWidth="1"/>
    <col min="16065" max="16065" width="14.75" style="2" customWidth="1"/>
    <col min="16066" max="16066" width="21.75" style="2" customWidth="1"/>
    <col min="16067" max="16067" width="10.75" style="2"/>
    <col min="16068" max="16068" width="10.625" style="2" customWidth="1"/>
    <col min="16069" max="16106" width="10.75" style="2"/>
    <col min="16107" max="16107" width="13.25" style="2" customWidth="1"/>
    <col min="16108" max="16108" width="15.875" style="2" customWidth="1"/>
    <col min="16109" max="16119" width="10.75" style="2"/>
    <col min="16120" max="16120" width="1.25" style="2" customWidth="1"/>
    <col min="16121" max="16123" width="10.75" style="2"/>
    <col min="16124" max="16130" width="12.25" style="2" customWidth="1"/>
    <col min="16131" max="16131" width="24.375" style="2" customWidth="1"/>
    <col min="16132" max="16177" width="10.75" style="2"/>
    <col min="16178" max="16178" width="7.25" style="2" customWidth="1"/>
    <col min="16179" max="16179" width="10.75" style="2"/>
    <col min="16180" max="16180" width="9.875" style="2" customWidth="1"/>
    <col min="16181" max="16181" width="8.625" style="2" customWidth="1"/>
    <col min="16182" max="16182" width="7.875" style="2" customWidth="1"/>
    <col min="16183" max="16183" width="15" style="2" customWidth="1"/>
    <col min="16184" max="16188" width="11.875" style="2" customWidth="1"/>
    <col min="16189" max="16189" width="22" style="2" customWidth="1"/>
    <col min="16190" max="16190" width="10.75" style="2"/>
    <col min="16191" max="16191" width="2" style="2" customWidth="1"/>
    <col min="16192" max="16192" width="5.125" style="2" customWidth="1"/>
    <col min="16193" max="16193" width="7.625" style="2" customWidth="1"/>
    <col min="16194" max="16194" width="2" style="2" customWidth="1"/>
    <col min="16195" max="16196" width="10.75" style="2"/>
    <col min="16197" max="16197" width="1.125" style="2" customWidth="1"/>
    <col min="16198" max="16201" width="10.75" style="2"/>
    <col min="16202" max="16202" width="8.625" style="2" customWidth="1"/>
    <col min="16203" max="16204" width="10.75" style="2"/>
    <col min="16205" max="16205" width="2.125" style="2" customWidth="1"/>
    <col min="16206" max="16206" width="12.875" style="2" customWidth="1"/>
    <col min="16207" max="16207" width="10.75" style="2"/>
    <col min="16208" max="16208" width="3.125" style="2" customWidth="1"/>
    <col min="16209" max="16210" width="10.75" style="2"/>
    <col min="16211" max="16211" width="1.875" style="2" customWidth="1"/>
    <col min="16212" max="16216" width="10.75" style="2"/>
    <col min="16217" max="16217" width="1" style="2" customWidth="1"/>
    <col min="16218" max="16219" width="10.75" style="2"/>
    <col min="16220" max="16220" width="0.625" style="2" customWidth="1"/>
    <col min="16221" max="16221" width="10.625" style="2" customWidth="1"/>
    <col min="16222" max="16222" width="2.75" style="2" customWidth="1"/>
    <col min="16223" max="16224" width="6.75" style="2" customWidth="1"/>
    <col min="16225" max="16230" width="10.75" style="2"/>
    <col min="16231" max="16231" width="47.375" style="2" customWidth="1"/>
    <col min="16232" max="16232" width="10.75" style="2"/>
    <col min="16233" max="16233" width="18.625" style="2" customWidth="1"/>
    <col min="16234" max="16234" width="10.75" style="2"/>
    <col min="16235" max="16235" width="4.25" style="2" customWidth="1"/>
    <col min="16236" max="16238" width="10.75" style="2"/>
    <col min="16239" max="16239" width="19.25" style="2" customWidth="1"/>
    <col min="16240" max="16247" width="10.75" style="2"/>
    <col min="16248" max="16251" width="14.625" style="2" customWidth="1"/>
    <col min="16252" max="16309" width="10.75" style="2"/>
    <col min="16310" max="16310" width="12.25" style="2" customWidth="1"/>
    <col min="16311" max="16311" width="16" style="2" customWidth="1"/>
    <col min="16312" max="16312" width="10.75" style="2"/>
    <col min="16313" max="16313" width="20.125" style="2" customWidth="1"/>
    <col min="16314" max="16314" width="3.875" style="2" customWidth="1"/>
    <col min="16315" max="16318" width="13.25" style="2" customWidth="1"/>
    <col min="16319" max="16319" width="16.25" style="2" customWidth="1"/>
    <col min="16320" max="16320" width="13.25" style="2" customWidth="1"/>
    <col min="16321" max="16321" width="14.75" style="2" customWidth="1"/>
    <col min="16322" max="16322" width="21.75" style="2" customWidth="1"/>
    <col min="16323" max="16323" width="10.75" style="2"/>
    <col min="16324" max="16324" width="10.625" style="2" customWidth="1"/>
    <col min="16325" max="16362" width="10.75" style="2"/>
    <col min="16363" max="16363" width="13.25" style="2" customWidth="1"/>
    <col min="16364" max="16364" width="15.875" style="2" customWidth="1"/>
    <col min="16365" max="16375" width="10.75" style="2"/>
    <col min="16376" max="16376" width="1.25" style="2" customWidth="1"/>
    <col min="16377" max="16379" width="10.75" style="2"/>
    <col min="16380" max="16384" width="12.25" style="2" customWidth="1"/>
  </cols>
  <sheetData>
    <row r="1" spans="1:353" x14ac:dyDescent="0.2">
      <c r="LN1" s="2">
        <v>800</v>
      </c>
      <c r="LO1" s="2">
        <f>LN1</f>
        <v>800</v>
      </c>
      <c r="LY1" s="2">
        <v>0</v>
      </c>
      <c r="LZ1" s="2">
        <f>LY1</f>
        <v>0</v>
      </c>
      <c r="MB1" s="2" t="s">
        <v>16</v>
      </c>
      <c r="ME1" s="2">
        <v>8.3143000000000002E-3</v>
      </c>
      <c r="MK1" s="2" t="s">
        <v>17</v>
      </c>
    </row>
    <row r="2" spans="1:353" ht="22.5" x14ac:dyDescent="0.3">
      <c r="A2" s="5" t="s">
        <v>18</v>
      </c>
      <c r="B2" s="2"/>
      <c r="C2" s="2"/>
      <c r="D2" s="3"/>
    </row>
    <row r="3" spans="1:353" ht="22.5" x14ac:dyDescent="0.3">
      <c r="A3" s="5" t="s">
        <v>19</v>
      </c>
      <c r="B3" s="2"/>
      <c r="C3" s="2"/>
      <c r="D3" s="3"/>
    </row>
    <row r="4" spans="1:353" x14ac:dyDescent="0.2">
      <c r="A4" s="4"/>
      <c r="B4" s="2"/>
      <c r="C4" s="2"/>
      <c r="D4" s="3"/>
    </row>
    <row r="6" spans="1:353" x14ac:dyDescent="0.2">
      <c r="GG6" s="6"/>
      <c r="GP6" s="2">
        <v>60.084299999999999</v>
      </c>
      <c r="GQ6" s="2">
        <v>79.878799999999998</v>
      </c>
      <c r="GR6" s="2">
        <v>101.961</v>
      </c>
      <c r="GS6" s="2">
        <v>71.846400000000003</v>
      </c>
      <c r="GT6" s="2">
        <v>70.9375</v>
      </c>
      <c r="GU6" s="2">
        <v>40.304400000000001</v>
      </c>
      <c r="GV6" s="2">
        <v>56.077399999999997</v>
      </c>
      <c r="GW6" s="2">
        <v>61.978900000000003</v>
      </c>
      <c r="GX6" s="2">
        <v>94.195999999999998</v>
      </c>
      <c r="GY6" s="2">
        <f>52*2+3*15.9994</f>
        <v>151.9982</v>
      </c>
      <c r="LN6" s="2">
        <v>1000</v>
      </c>
      <c r="LO6" s="2">
        <f>LN6</f>
        <v>1000</v>
      </c>
      <c r="LY6" s="2">
        <v>10</v>
      </c>
      <c r="LZ6" s="2">
        <f>LY6</f>
        <v>10</v>
      </c>
      <c r="MK6" s="2" t="s">
        <v>20</v>
      </c>
    </row>
    <row r="7" spans="1:353" x14ac:dyDescent="0.2">
      <c r="AX7" s="85" t="s">
        <v>167</v>
      </c>
      <c r="AY7" s="85"/>
      <c r="AZ7" s="85"/>
      <c r="BA7" s="85"/>
      <c r="BB7" s="85"/>
      <c r="BC7" s="85"/>
      <c r="BD7" s="85"/>
      <c r="BE7" s="85"/>
      <c r="BF7" s="85"/>
      <c r="BG7" s="85"/>
      <c r="BI7" s="85" t="s">
        <v>174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GP7" s="2" t="s">
        <v>0</v>
      </c>
      <c r="GQ7" s="2" t="s">
        <v>1</v>
      </c>
      <c r="GR7" s="2" t="s">
        <v>2</v>
      </c>
      <c r="GS7" s="2" t="s">
        <v>4</v>
      </c>
      <c r="GT7" s="2" t="s">
        <v>5</v>
      </c>
      <c r="GU7" s="2" t="s">
        <v>6</v>
      </c>
      <c r="GV7" s="2" t="s">
        <v>7</v>
      </c>
      <c r="GW7" s="2" t="s">
        <v>15</v>
      </c>
      <c r="GX7" s="2" t="s">
        <v>21</v>
      </c>
      <c r="GY7" s="2" t="s">
        <v>3</v>
      </c>
      <c r="LN7" s="2">
        <v>1200</v>
      </c>
      <c r="LO7" s="2">
        <f>LN7</f>
        <v>1200</v>
      </c>
      <c r="LY7" s="2">
        <v>20</v>
      </c>
      <c r="LZ7" s="2">
        <f>LY7</f>
        <v>20</v>
      </c>
    </row>
    <row r="8" spans="1:353" ht="18" x14ac:dyDescent="0.25">
      <c r="GC8" s="7" t="s">
        <v>22</v>
      </c>
      <c r="GD8" s="8"/>
      <c r="GE8" s="8"/>
      <c r="GF8" s="8"/>
      <c r="GG8" s="8"/>
      <c r="GH8" s="8"/>
      <c r="GI8" s="8"/>
      <c r="GJ8" s="8"/>
      <c r="GK8" s="8"/>
      <c r="GL8" s="8"/>
      <c r="LK8" s="2" t="s">
        <v>23</v>
      </c>
      <c r="LN8" s="2">
        <v>1600</v>
      </c>
      <c r="LO8" s="2">
        <f>LN8</f>
        <v>1600</v>
      </c>
      <c r="LY8" s="2">
        <v>70</v>
      </c>
      <c r="LZ8" s="2">
        <f>LY8</f>
        <v>70</v>
      </c>
    </row>
    <row r="9" spans="1:353" ht="18" customHeight="1" x14ac:dyDescent="0.25">
      <c r="A9" s="9" t="s">
        <v>190</v>
      </c>
      <c r="B9"/>
      <c r="E9" s="84" t="s">
        <v>24</v>
      </c>
      <c r="F9" s="84"/>
      <c r="G9" s="84"/>
      <c r="H9" s="84"/>
      <c r="I9" s="2"/>
      <c r="J9" s="2"/>
      <c r="K9" s="2"/>
      <c r="L9" s="2"/>
      <c r="M9" s="2"/>
      <c r="N9" s="2"/>
      <c r="P9" s="84" t="s">
        <v>25</v>
      </c>
      <c r="Q9" s="84"/>
      <c r="R9" s="84"/>
      <c r="S9" s="84"/>
      <c r="AA9" s="84" t="s">
        <v>26</v>
      </c>
      <c r="AB9" s="84"/>
      <c r="AC9" s="84"/>
      <c r="AD9" s="84"/>
      <c r="AM9" s="84" t="s">
        <v>27</v>
      </c>
      <c r="AN9" s="84"/>
      <c r="AO9" s="84"/>
      <c r="AP9" s="84"/>
      <c r="AX9" s="85" t="s">
        <v>188</v>
      </c>
      <c r="AY9" s="85"/>
      <c r="AZ9" s="61"/>
      <c r="BA9" s="85" t="s">
        <v>191</v>
      </c>
      <c r="BB9" s="85"/>
      <c r="BD9" s="85" t="s">
        <v>189</v>
      </c>
      <c r="BE9" s="85"/>
      <c r="BF9" s="85" t="s">
        <v>168</v>
      </c>
      <c r="BG9" s="85"/>
      <c r="BM9" s="85" t="s">
        <v>188</v>
      </c>
      <c r="BN9" s="85"/>
      <c r="BO9" s="61"/>
      <c r="BP9" s="85" t="s">
        <v>191</v>
      </c>
      <c r="BQ9" s="85"/>
      <c r="BS9" s="85" t="s">
        <v>168</v>
      </c>
      <c r="BT9" s="85"/>
      <c r="BU9" s="55"/>
      <c r="BV9" s="55"/>
      <c r="GC9" s="10"/>
      <c r="GD9" s="10"/>
      <c r="GE9" s="10"/>
      <c r="GF9" s="10"/>
      <c r="GG9" s="10"/>
      <c r="GH9" s="10"/>
      <c r="GI9" s="10"/>
      <c r="GJ9" s="10"/>
      <c r="GK9" s="10"/>
      <c r="GL9" s="11" t="s">
        <v>28</v>
      </c>
      <c r="IO9" s="12" t="s">
        <v>29</v>
      </c>
      <c r="IP9" s="13"/>
      <c r="IQ9" s="14"/>
      <c r="IR9" s="15"/>
      <c r="IS9" s="16"/>
      <c r="IT9" s="17" t="s">
        <v>30</v>
      </c>
      <c r="KZ9" s="18" t="e">
        <f>1-#REF!</f>
        <v>#REF!</v>
      </c>
      <c r="LA9" s="3" t="e">
        <f>(#REF!-#REF!)/((#REF!-#REF!)+#REF!)</f>
        <v>#REF!</v>
      </c>
    </row>
    <row r="10" spans="1:353" ht="39.75" thickBot="1" x14ac:dyDescent="0.3">
      <c r="A10"/>
      <c r="B10"/>
      <c r="E10" s="2"/>
      <c r="F10" s="2"/>
      <c r="G10" s="2"/>
      <c r="H10" s="2"/>
      <c r="I10" s="2"/>
      <c r="J10" s="2"/>
      <c r="K10" s="2"/>
      <c r="L10" s="2"/>
      <c r="M10" s="2"/>
      <c r="N10" s="2"/>
      <c r="AX10" s="50" t="s">
        <v>165</v>
      </c>
      <c r="AY10" s="50" t="s">
        <v>173</v>
      </c>
      <c r="AZ10" s="62"/>
      <c r="BA10" s="50" t="s">
        <v>165</v>
      </c>
      <c r="BB10" s="50" t="s">
        <v>173</v>
      </c>
      <c r="BD10" s="50" t="s">
        <v>165</v>
      </c>
      <c r="BE10" s="50" t="s">
        <v>173</v>
      </c>
      <c r="BF10" s="50" t="s">
        <v>165</v>
      </c>
      <c r="BG10" s="50" t="s">
        <v>173</v>
      </c>
      <c r="BI10" s="50" t="s">
        <v>165</v>
      </c>
      <c r="BJ10" s="50" t="s">
        <v>173</v>
      </c>
      <c r="BM10" s="50" t="s">
        <v>165</v>
      </c>
      <c r="BN10" s="50" t="s">
        <v>173</v>
      </c>
      <c r="BO10" s="62"/>
      <c r="BP10" s="50" t="s">
        <v>165</v>
      </c>
      <c r="BQ10" s="50" t="s">
        <v>173</v>
      </c>
      <c r="BS10" s="50" t="s">
        <v>165</v>
      </c>
      <c r="BT10" s="50" t="s">
        <v>173</v>
      </c>
      <c r="BV10" s="2" t="s">
        <v>201</v>
      </c>
      <c r="CP10" s="2" t="s">
        <v>170</v>
      </c>
      <c r="GC10" s="10" t="s">
        <v>169</v>
      </c>
      <c r="GD10" s="10"/>
      <c r="GE10" s="10" t="s">
        <v>31</v>
      </c>
      <c r="GF10" s="10"/>
      <c r="GG10" s="10"/>
      <c r="GH10" s="10"/>
      <c r="GI10" s="10"/>
      <c r="GJ10" s="10"/>
      <c r="GK10" s="11" t="s">
        <v>32</v>
      </c>
      <c r="GL10" s="19" t="s">
        <v>33</v>
      </c>
      <c r="GP10" s="2" t="s">
        <v>34</v>
      </c>
      <c r="HB10" s="2" t="s">
        <v>34</v>
      </c>
      <c r="HO10" s="20" t="s">
        <v>34</v>
      </c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6"/>
      <c r="IO10" s="21" t="s">
        <v>35</v>
      </c>
      <c r="IS10" s="22"/>
      <c r="IT10" s="17" t="s">
        <v>36</v>
      </c>
      <c r="IZ10" s="2" t="s">
        <v>37</v>
      </c>
      <c r="JL10" s="2" t="s">
        <v>38</v>
      </c>
      <c r="JY10" s="20" t="s">
        <v>37</v>
      </c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6"/>
      <c r="KV10" t="s">
        <v>39</v>
      </c>
      <c r="LN10" s="2" t="s">
        <v>40</v>
      </c>
      <c r="LS10" s="2" t="s">
        <v>41</v>
      </c>
      <c r="LV10" s="2" t="s">
        <v>42</v>
      </c>
      <c r="LW10" s="2" t="s">
        <v>43</v>
      </c>
      <c r="LY10" s="2" t="s">
        <v>44</v>
      </c>
      <c r="MB10" s="2" t="s">
        <v>45</v>
      </c>
      <c r="MK10" s="2" t="s">
        <v>46</v>
      </c>
    </row>
    <row r="11" spans="1:353" ht="17.25" thickBot="1" x14ac:dyDescent="0.4">
      <c r="B11" s="24"/>
      <c r="C11" s="24"/>
      <c r="D11" s="23"/>
      <c r="E11" s="25" t="s">
        <v>47</v>
      </c>
      <c r="F11" s="26"/>
      <c r="G11" s="26"/>
      <c r="H11" s="26"/>
      <c r="I11" s="26"/>
      <c r="J11" s="26"/>
      <c r="K11" s="26"/>
      <c r="L11" s="26"/>
      <c r="M11" s="26"/>
      <c r="N11" s="26"/>
      <c r="P11" s="25" t="s">
        <v>48</v>
      </c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5" t="s">
        <v>49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7" t="s">
        <v>50</v>
      </c>
      <c r="AL11" s="27" t="s">
        <v>50</v>
      </c>
      <c r="AM11" s="25" t="s">
        <v>51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t="s">
        <v>52</v>
      </c>
      <c r="CF11" s="27"/>
      <c r="CG11" s="27"/>
      <c r="CH11" s="27"/>
      <c r="CI11" s="27"/>
      <c r="CJ11" s="27"/>
      <c r="CK11" s="27"/>
      <c r="CL11" s="27"/>
      <c r="CM11" t="s">
        <v>53</v>
      </c>
      <c r="CN11" s="27"/>
      <c r="CO11" s="27"/>
      <c r="CP11" s="27"/>
      <c r="CQ11" s="27"/>
      <c r="CR11" s="27"/>
      <c r="CS11" s="27"/>
      <c r="CT11" s="27"/>
      <c r="CU11" s="27"/>
      <c r="CX11" t="s">
        <v>145</v>
      </c>
      <c r="DG11" t="s">
        <v>146</v>
      </c>
      <c r="DQ11" t="s">
        <v>149</v>
      </c>
      <c r="EC11" s="2" t="s">
        <v>163</v>
      </c>
      <c r="EE11" s="2" t="s">
        <v>162</v>
      </c>
      <c r="EH11" s="2" t="s">
        <v>161</v>
      </c>
      <c r="FG11" s="2" t="s">
        <v>194</v>
      </c>
      <c r="FQ11" s="56" t="s">
        <v>176</v>
      </c>
      <c r="FZ11" s="58" t="s">
        <v>54</v>
      </c>
      <c r="GA11" s="59"/>
      <c r="GC11" s="28" t="s">
        <v>55</v>
      </c>
      <c r="GD11" s="28"/>
      <c r="GE11" s="28" t="s">
        <v>56</v>
      </c>
      <c r="GF11" s="28" t="s">
        <v>57</v>
      </c>
      <c r="GG11" s="28" t="s">
        <v>58</v>
      </c>
      <c r="GH11" s="28" t="s">
        <v>59</v>
      </c>
      <c r="GI11" s="29" t="s">
        <v>60</v>
      </c>
      <c r="GJ11" s="29" t="s">
        <v>46</v>
      </c>
      <c r="GK11" s="28" t="s">
        <v>61</v>
      </c>
      <c r="GL11" s="30" t="s">
        <v>62</v>
      </c>
      <c r="GP11" s="2" t="s">
        <v>63</v>
      </c>
      <c r="HB11" s="2" t="s">
        <v>64</v>
      </c>
      <c r="HO11" s="31" t="s">
        <v>65</v>
      </c>
      <c r="HZ11" s="22"/>
      <c r="IA11" s="2">
        <f>AVERAGE(IA13:IA686)</f>
        <v>4.0003747706851769</v>
      </c>
      <c r="IB11" s="2" t="s">
        <v>66</v>
      </c>
      <c r="IC11" s="2" t="s">
        <v>67</v>
      </c>
      <c r="ID11" s="32" t="s">
        <v>68</v>
      </c>
      <c r="IE11" s="14"/>
      <c r="IF11" s="14"/>
      <c r="IG11" s="14"/>
      <c r="IH11" s="14"/>
      <c r="II11" s="14"/>
      <c r="IJ11" s="14"/>
      <c r="IK11" s="33"/>
      <c r="IL11" s="2">
        <f>AVERAGE(IL13:IL686)</f>
        <v>0.99904668522929319</v>
      </c>
      <c r="IO11" s="34" t="s">
        <v>69</v>
      </c>
      <c r="IS11" s="22" t="s">
        <v>70</v>
      </c>
      <c r="IT11" s="22"/>
      <c r="IU11" s="22"/>
      <c r="IV11" s="22"/>
      <c r="IW11" s="22"/>
      <c r="IX11" s="22"/>
      <c r="IY11" s="35" t="s">
        <v>71</v>
      </c>
      <c r="IZ11" s="2" t="s">
        <v>63</v>
      </c>
      <c r="JL11" s="2" t="s">
        <v>64</v>
      </c>
      <c r="JY11" s="31" t="s">
        <v>65</v>
      </c>
      <c r="KJ11" s="22"/>
      <c r="KK11" s="2">
        <f>AVERAGE(KK13:KK686)</f>
        <v>3.9930978310449716</v>
      </c>
      <c r="KL11" s="2" t="s">
        <v>66</v>
      </c>
      <c r="KM11" s="2" t="s">
        <v>67</v>
      </c>
      <c r="KN11" s="32" t="s">
        <v>72</v>
      </c>
      <c r="KO11" s="14"/>
      <c r="KP11" s="14"/>
      <c r="KQ11" s="14"/>
      <c r="KR11" s="14"/>
      <c r="KS11" s="33"/>
      <c r="KV11" s="12" t="s">
        <v>73</v>
      </c>
      <c r="KW11" s="14"/>
      <c r="KX11" s="14"/>
      <c r="KY11" s="33" t="s">
        <v>70</v>
      </c>
      <c r="LA11" s="17" t="s">
        <v>74</v>
      </c>
      <c r="LF11" s="36">
        <f>AVERAGE(LF13:LF15)</f>
        <v>0.99654891552248603</v>
      </c>
      <c r="LK11" s="2" t="s">
        <v>75</v>
      </c>
      <c r="LN11" s="2" t="s">
        <v>76</v>
      </c>
      <c r="LO11" s="2" t="s">
        <v>77</v>
      </c>
      <c r="LP11" s="2" t="s">
        <v>76</v>
      </c>
      <c r="LQ11" s="2" t="s">
        <v>77</v>
      </c>
      <c r="LS11" s="2" t="s">
        <v>78</v>
      </c>
      <c r="LT11" s="2" t="s">
        <v>79</v>
      </c>
    </row>
    <row r="12" spans="1:353" ht="17.25" x14ac:dyDescent="0.3">
      <c r="A12" s="38" t="s">
        <v>80</v>
      </c>
      <c r="C12" s="2" t="s">
        <v>202</v>
      </c>
      <c r="E12" s="40" t="s">
        <v>178</v>
      </c>
      <c r="F12" s="40" t="s">
        <v>179</v>
      </c>
      <c r="G12" s="40" t="s">
        <v>180</v>
      </c>
      <c r="H12" s="40" t="s">
        <v>181</v>
      </c>
      <c r="I12" s="40" t="s">
        <v>182</v>
      </c>
      <c r="J12" s="40" t="s">
        <v>183</v>
      </c>
      <c r="K12" s="40" t="s">
        <v>184</v>
      </c>
      <c r="L12" s="40" t="s">
        <v>185</v>
      </c>
      <c r="M12" s="40" t="s">
        <v>186</v>
      </c>
      <c r="N12" s="40" t="s">
        <v>187</v>
      </c>
      <c r="P12" s="40" t="s">
        <v>0</v>
      </c>
      <c r="Q12" s="40" t="s">
        <v>1</v>
      </c>
      <c r="R12" s="40" t="s">
        <v>2</v>
      </c>
      <c r="S12" s="40" t="s">
        <v>81</v>
      </c>
      <c r="T12" s="40" t="s">
        <v>5</v>
      </c>
      <c r="U12" s="40" t="s">
        <v>6</v>
      </c>
      <c r="V12" s="40" t="s">
        <v>7</v>
      </c>
      <c r="W12" s="40" t="s">
        <v>15</v>
      </c>
      <c r="X12" s="40" t="s">
        <v>21</v>
      </c>
      <c r="Y12" s="40" t="s">
        <v>3</v>
      </c>
      <c r="Z12" s="41"/>
      <c r="AA12" s="40" t="s">
        <v>0</v>
      </c>
      <c r="AB12" s="40" t="s">
        <v>1</v>
      </c>
      <c r="AC12" s="40" t="s">
        <v>2</v>
      </c>
      <c r="AD12" s="40" t="s">
        <v>81</v>
      </c>
      <c r="AE12" s="40" t="s">
        <v>5</v>
      </c>
      <c r="AF12" s="40" t="s">
        <v>6</v>
      </c>
      <c r="AG12" s="40" t="s">
        <v>7</v>
      </c>
      <c r="AH12" s="40" t="s">
        <v>15</v>
      </c>
      <c r="AI12" s="40" t="s">
        <v>21</v>
      </c>
      <c r="AJ12" s="40" t="s">
        <v>3</v>
      </c>
      <c r="AK12" s="1" t="s">
        <v>82</v>
      </c>
      <c r="AL12" s="1" t="s">
        <v>175</v>
      </c>
      <c r="AM12" s="40" t="s">
        <v>0</v>
      </c>
      <c r="AN12" s="40" t="s">
        <v>1</v>
      </c>
      <c r="AO12" s="40" t="s">
        <v>2</v>
      </c>
      <c r="AP12" s="40" t="s">
        <v>81</v>
      </c>
      <c r="AQ12" s="40" t="s">
        <v>5</v>
      </c>
      <c r="AR12" s="40" t="s">
        <v>6</v>
      </c>
      <c r="AS12" s="40" t="s">
        <v>7</v>
      </c>
      <c r="AT12" s="40" t="s">
        <v>15</v>
      </c>
      <c r="AU12" s="40" t="s">
        <v>21</v>
      </c>
      <c r="AV12" s="40" t="s">
        <v>3</v>
      </c>
      <c r="AW12" s="41"/>
      <c r="AX12" s="28" t="s">
        <v>164</v>
      </c>
      <c r="AY12" s="28" t="s">
        <v>164</v>
      </c>
      <c r="AZ12" s="44"/>
      <c r="BA12" s="28" t="s">
        <v>164</v>
      </c>
      <c r="BB12" s="28" t="s">
        <v>164</v>
      </c>
      <c r="BC12" s="41"/>
      <c r="BD12" s="50" t="s">
        <v>166</v>
      </c>
      <c r="BE12" s="50" t="s">
        <v>166</v>
      </c>
      <c r="BF12" s="50" t="s">
        <v>164</v>
      </c>
      <c r="BG12" s="50" t="s">
        <v>164</v>
      </c>
      <c r="BH12" s="41"/>
      <c r="BI12" s="57" t="s">
        <v>171</v>
      </c>
      <c r="BJ12" s="57" t="s">
        <v>171</v>
      </c>
      <c r="BK12" s="41"/>
      <c r="BL12" s="41"/>
      <c r="BM12" s="57" t="s">
        <v>172</v>
      </c>
      <c r="BN12" s="57" t="s">
        <v>172</v>
      </c>
      <c r="BO12" s="63"/>
      <c r="BP12" s="57" t="s">
        <v>172</v>
      </c>
      <c r="BQ12" s="57" t="s">
        <v>172</v>
      </c>
      <c r="BR12" s="41"/>
      <c r="BS12" s="57" t="s">
        <v>172</v>
      </c>
      <c r="BT12" s="57" t="s">
        <v>172</v>
      </c>
      <c r="BU12" s="41"/>
      <c r="BV12" s="51" t="s">
        <v>0</v>
      </c>
      <c r="BW12" s="51" t="s">
        <v>1</v>
      </c>
      <c r="BX12" s="51" t="s">
        <v>2</v>
      </c>
      <c r="BY12" s="51" t="s">
        <v>83</v>
      </c>
      <c r="BZ12" s="51" t="s">
        <v>81</v>
      </c>
      <c r="CA12" s="51" t="s">
        <v>5</v>
      </c>
      <c r="CB12" s="51" t="s">
        <v>6</v>
      </c>
      <c r="CC12" s="51" t="s">
        <v>3</v>
      </c>
      <c r="CD12" s="41"/>
      <c r="CE12" s="51" t="s">
        <v>0</v>
      </c>
      <c r="CF12" s="51" t="s">
        <v>1</v>
      </c>
      <c r="CG12" s="51" t="s">
        <v>2</v>
      </c>
      <c r="CH12" s="51" t="s">
        <v>84</v>
      </c>
      <c r="CI12" s="51" t="s">
        <v>5</v>
      </c>
      <c r="CJ12" s="51" t="s">
        <v>6</v>
      </c>
      <c r="CK12" s="51" t="s">
        <v>3</v>
      </c>
      <c r="CL12" s="41"/>
      <c r="CM12" s="51" t="s">
        <v>0</v>
      </c>
      <c r="CN12" s="51" t="s">
        <v>1</v>
      </c>
      <c r="CO12" s="51" t="s">
        <v>2</v>
      </c>
      <c r="CP12" s="51" t="s">
        <v>84</v>
      </c>
      <c r="CQ12" s="51" t="s">
        <v>5</v>
      </c>
      <c r="CR12" s="51" t="s">
        <v>6</v>
      </c>
      <c r="CS12" s="51" t="s">
        <v>3</v>
      </c>
      <c r="CT12" s="51" t="s">
        <v>85</v>
      </c>
      <c r="CU12" s="53" t="s">
        <v>86</v>
      </c>
      <c r="CV12" s="51" t="s">
        <v>87</v>
      </c>
      <c r="CW12" s="41"/>
      <c r="CX12" s="51" t="s">
        <v>0</v>
      </c>
      <c r="CY12" s="51" t="s">
        <v>1</v>
      </c>
      <c r="CZ12" s="51" t="s">
        <v>2</v>
      </c>
      <c r="DA12" s="51" t="s">
        <v>84</v>
      </c>
      <c r="DB12" s="51" t="s">
        <v>5</v>
      </c>
      <c r="DC12" s="51" t="s">
        <v>6</v>
      </c>
      <c r="DD12" s="51" t="s">
        <v>3</v>
      </c>
      <c r="DE12" s="51" t="s">
        <v>85</v>
      </c>
      <c r="DF12" s="41"/>
      <c r="DG12" s="52" t="s">
        <v>147</v>
      </c>
      <c r="DH12" s="52" t="s">
        <v>148</v>
      </c>
      <c r="DI12" s="52" t="s">
        <v>9</v>
      </c>
      <c r="DJ12" s="52" t="s">
        <v>12</v>
      </c>
      <c r="DK12" s="52" t="s">
        <v>13</v>
      </c>
      <c r="DL12" s="52" t="s">
        <v>14</v>
      </c>
      <c r="DM12" s="52" t="s">
        <v>10</v>
      </c>
      <c r="DN12" s="52" t="s">
        <v>8</v>
      </c>
      <c r="DO12" s="53" t="s">
        <v>150</v>
      </c>
      <c r="DP12"/>
      <c r="DQ12" s="54" t="s">
        <v>147</v>
      </c>
      <c r="DR12" s="54" t="s">
        <v>148</v>
      </c>
      <c r="DS12" s="54" t="s">
        <v>9</v>
      </c>
      <c r="DT12" s="54" t="s">
        <v>12</v>
      </c>
      <c r="DU12" s="54" t="s">
        <v>13</v>
      </c>
      <c r="DV12" s="54" t="s">
        <v>14</v>
      </c>
      <c r="DW12" s="54" t="s">
        <v>10</v>
      </c>
      <c r="DX12" s="41" t="s">
        <v>151</v>
      </c>
      <c r="DY12" s="41"/>
      <c r="DZ12" t="s">
        <v>152</v>
      </c>
      <c r="EA12" t="s">
        <v>153</v>
      </c>
      <c r="EB12"/>
      <c r="EC12" s="53" t="s">
        <v>12</v>
      </c>
      <c r="ED12" s="53" t="s">
        <v>11</v>
      </c>
      <c r="EE12" s="53" t="s">
        <v>154</v>
      </c>
      <c r="EF12" s="53" t="s">
        <v>155</v>
      </c>
      <c r="EG12"/>
      <c r="EH12" s="51" t="s">
        <v>0</v>
      </c>
      <c r="EI12" s="51" t="s">
        <v>1</v>
      </c>
      <c r="EJ12" s="51" t="s">
        <v>2</v>
      </c>
      <c r="EK12" s="51" t="s">
        <v>83</v>
      </c>
      <c r="EL12" s="51" t="s">
        <v>156</v>
      </c>
      <c r="EM12" s="51" t="s">
        <v>5</v>
      </c>
      <c r="EN12" s="51" t="s">
        <v>6</v>
      </c>
      <c r="EO12" s="51" t="s">
        <v>3</v>
      </c>
      <c r="EP12" s="51" t="s">
        <v>151</v>
      </c>
      <c r="EQ12" s="41"/>
      <c r="ER12" s="52" t="s">
        <v>147</v>
      </c>
      <c r="ES12" s="52" t="s">
        <v>148</v>
      </c>
      <c r="ET12" s="52" t="s">
        <v>9</v>
      </c>
      <c r="EU12" s="52" t="s">
        <v>157</v>
      </c>
      <c r="EV12" s="52" t="s">
        <v>12</v>
      </c>
      <c r="EW12" s="52" t="s">
        <v>13</v>
      </c>
      <c r="EX12" s="52" t="s">
        <v>14</v>
      </c>
      <c r="EY12" s="52" t="s">
        <v>10</v>
      </c>
      <c r="EZ12" s="51" t="s">
        <v>151</v>
      </c>
      <c r="FA12" s="41"/>
      <c r="FB12" t="s">
        <v>160</v>
      </c>
      <c r="FC12" t="s">
        <v>159</v>
      </c>
      <c r="FD12" t="s">
        <v>158</v>
      </c>
      <c r="FE12" s="41"/>
      <c r="FF12" s="41"/>
      <c r="FG12" s="41" t="s">
        <v>193</v>
      </c>
      <c r="FH12" s="41" t="s">
        <v>9</v>
      </c>
      <c r="FI12" s="41" t="s">
        <v>11</v>
      </c>
      <c r="FJ12" s="41" t="s">
        <v>12</v>
      </c>
      <c r="FK12" s="41" t="s">
        <v>14</v>
      </c>
      <c r="FL12" s="41" t="s">
        <v>10</v>
      </c>
      <c r="FM12" s="41" t="s">
        <v>192</v>
      </c>
      <c r="FN12" s="41" t="s">
        <v>195</v>
      </c>
      <c r="FO12" s="41" t="s">
        <v>196</v>
      </c>
      <c r="FQ12" s="52" t="s">
        <v>147</v>
      </c>
      <c r="FR12" s="52" t="s">
        <v>148</v>
      </c>
      <c r="FS12" s="52" t="s">
        <v>9</v>
      </c>
      <c r="FT12" s="52" t="s">
        <v>157</v>
      </c>
      <c r="FU12" s="52" t="s">
        <v>12</v>
      </c>
      <c r="FV12" s="52" t="s">
        <v>13</v>
      </c>
      <c r="FW12" s="52" t="s">
        <v>14</v>
      </c>
      <c r="FX12" s="52" t="s">
        <v>177</v>
      </c>
      <c r="FZ12" s="41" t="s">
        <v>88</v>
      </c>
      <c r="GA12" s="41" t="s">
        <v>89</v>
      </c>
      <c r="GB12" s="60" t="s">
        <v>90</v>
      </c>
      <c r="GC12" s="42" t="s">
        <v>91</v>
      </c>
      <c r="GD12" s="28"/>
      <c r="GE12" s="42" t="s">
        <v>91</v>
      </c>
      <c r="GF12" s="42" t="s">
        <v>91</v>
      </c>
      <c r="GG12" s="42" t="s">
        <v>92</v>
      </c>
      <c r="GH12" s="42" t="s">
        <v>92</v>
      </c>
      <c r="GI12" s="43" t="s">
        <v>91</v>
      </c>
      <c r="GJ12" s="43" t="s">
        <v>91</v>
      </c>
      <c r="GK12" s="42" t="s">
        <v>91</v>
      </c>
      <c r="GL12" s="42" t="s">
        <v>93</v>
      </c>
      <c r="GM12" s="44"/>
      <c r="GN12" s="2" t="s">
        <v>94</v>
      </c>
      <c r="GP12" s="2" t="s">
        <v>0</v>
      </c>
      <c r="GQ12" s="2" t="s">
        <v>1</v>
      </c>
      <c r="GR12" s="2" t="s">
        <v>2</v>
      </c>
      <c r="GS12" s="2" t="s">
        <v>4</v>
      </c>
      <c r="GT12" s="2" t="s">
        <v>5</v>
      </c>
      <c r="GU12" s="2" t="s">
        <v>6</v>
      </c>
      <c r="GV12" s="2" t="s">
        <v>7</v>
      </c>
      <c r="GW12" s="2" t="s">
        <v>15</v>
      </c>
      <c r="GX12" s="2" t="s">
        <v>21</v>
      </c>
      <c r="GY12" s="2" t="s">
        <v>3</v>
      </c>
      <c r="HB12" s="2" t="s">
        <v>0</v>
      </c>
      <c r="HC12" s="2" t="s">
        <v>1</v>
      </c>
      <c r="HD12" s="2" t="s">
        <v>2</v>
      </c>
      <c r="HE12" s="2" t="s">
        <v>4</v>
      </c>
      <c r="HF12" s="2" t="s">
        <v>5</v>
      </c>
      <c r="HG12" s="2" t="s">
        <v>6</v>
      </c>
      <c r="HH12" s="2" t="s">
        <v>7</v>
      </c>
      <c r="HI12" s="2" t="s">
        <v>15</v>
      </c>
      <c r="HJ12" s="2" t="s">
        <v>21</v>
      </c>
      <c r="HK12" s="2" t="s">
        <v>3</v>
      </c>
      <c r="HM12" s="2" t="s">
        <v>95</v>
      </c>
      <c r="HO12" s="45" t="s">
        <v>0</v>
      </c>
      <c r="HP12" s="39" t="s">
        <v>1</v>
      </c>
      <c r="HQ12" s="39" t="s">
        <v>96</v>
      </c>
      <c r="HR12" s="39" t="s">
        <v>97</v>
      </c>
      <c r="HS12" s="39" t="s">
        <v>98</v>
      </c>
      <c r="HT12" s="39" t="s">
        <v>4</v>
      </c>
      <c r="HU12" s="39" t="s">
        <v>5</v>
      </c>
      <c r="HV12" s="39" t="s">
        <v>6</v>
      </c>
      <c r="HW12" s="39" t="s">
        <v>7</v>
      </c>
      <c r="HX12" s="39" t="s">
        <v>15</v>
      </c>
      <c r="HY12" s="39" t="s">
        <v>21</v>
      </c>
      <c r="HZ12" s="46" t="s">
        <v>3</v>
      </c>
      <c r="IB12" s="2" t="s">
        <v>99</v>
      </c>
      <c r="IC12" s="2" t="s">
        <v>99</v>
      </c>
      <c r="ID12" s="47" t="s">
        <v>100</v>
      </c>
      <c r="IE12" s="37" t="s">
        <v>101</v>
      </c>
      <c r="IF12" s="37" t="s">
        <v>102</v>
      </c>
      <c r="IG12" s="37" t="s">
        <v>103</v>
      </c>
      <c r="IH12" s="37" t="s">
        <v>104</v>
      </c>
      <c r="II12" s="37" t="s">
        <v>105</v>
      </c>
      <c r="IJ12" s="37" t="s">
        <v>106</v>
      </c>
      <c r="IK12" s="48" t="s">
        <v>107</v>
      </c>
      <c r="IL12" s="2" t="s">
        <v>108</v>
      </c>
      <c r="IM12" s="2" t="s">
        <v>109</v>
      </c>
      <c r="IO12" s="47" t="s">
        <v>110</v>
      </c>
      <c r="IP12" s="37" t="s">
        <v>111</v>
      </c>
      <c r="IQ12" s="37" t="s">
        <v>112</v>
      </c>
      <c r="IR12" s="39" t="s">
        <v>113</v>
      </c>
      <c r="IS12" s="46" t="s">
        <v>114</v>
      </c>
      <c r="IT12" s="49" t="s">
        <v>115</v>
      </c>
      <c r="IU12" s="49" t="s">
        <v>116</v>
      </c>
      <c r="IV12" s="49" t="s">
        <v>117</v>
      </c>
      <c r="IW12" s="49" t="s">
        <v>118</v>
      </c>
      <c r="IX12" s="49" t="s">
        <v>112</v>
      </c>
      <c r="IY12" s="39" t="s">
        <v>112</v>
      </c>
      <c r="IZ12" s="2" t="s">
        <v>0</v>
      </c>
      <c r="JA12" s="2" t="s">
        <v>1</v>
      </c>
      <c r="JB12" s="2" t="s">
        <v>2</v>
      </c>
      <c r="JC12" s="2" t="s">
        <v>4</v>
      </c>
      <c r="JD12" s="2" t="s">
        <v>5</v>
      </c>
      <c r="JE12" s="2" t="s">
        <v>6</v>
      </c>
      <c r="JF12" s="2" t="s">
        <v>7</v>
      </c>
      <c r="JG12" s="2" t="s">
        <v>15</v>
      </c>
      <c r="JH12" s="2" t="s">
        <v>21</v>
      </c>
      <c r="JI12" s="2" t="s">
        <v>3</v>
      </c>
      <c r="JL12" s="2" t="s">
        <v>0</v>
      </c>
      <c r="JM12" s="2" t="s">
        <v>1</v>
      </c>
      <c r="JN12" s="2" t="s">
        <v>2</v>
      </c>
      <c r="JO12" s="2" t="s">
        <v>4</v>
      </c>
      <c r="JP12" s="2" t="s">
        <v>5</v>
      </c>
      <c r="JQ12" s="2" t="s">
        <v>6</v>
      </c>
      <c r="JR12" s="2" t="s">
        <v>7</v>
      </c>
      <c r="JS12" s="2" t="s">
        <v>15</v>
      </c>
      <c r="JT12" s="2" t="s">
        <v>21</v>
      </c>
      <c r="JU12" s="2" t="s">
        <v>3</v>
      </c>
      <c r="JW12" s="2" t="s">
        <v>95</v>
      </c>
      <c r="JY12" s="45" t="s">
        <v>0</v>
      </c>
      <c r="JZ12" s="39" t="s">
        <v>1</v>
      </c>
      <c r="KA12" s="39" t="s">
        <v>96</v>
      </c>
      <c r="KB12" s="39" t="s">
        <v>97</v>
      </c>
      <c r="KC12" s="39" t="s">
        <v>98</v>
      </c>
      <c r="KD12" s="39" t="s">
        <v>4</v>
      </c>
      <c r="KE12" s="39" t="s">
        <v>5</v>
      </c>
      <c r="KF12" s="39" t="s">
        <v>6</v>
      </c>
      <c r="KG12" s="39" t="s">
        <v>7</v>
      </c>
      <c r="KH12" s="39" t="s">
        <v>15</v>
      </c>
      <c r="KI12" s="39" t="s">
        <v>21</v>
      </c>
      <c r="KJ12" s="46" t="s">
        <v>3</v>
      </c>
      <c r="KL12" s="2" t="s">
        <v>99</v>
      </c>
      <c r="KM12" s="2" t="s">
        <v>99</v>
      </c>
      <c r="KN12" s="47" t="s">
        <v>119</v>
      </c>
      <c r="KO12" s="37" t="s">
        <v>120</v>
      </c>
      <c r="KP12" s="37" t="s">
        <v>121</v>
      </c>
      <c r="KQ12" s="37" t="s">
        <v>122</v>
      </c>
      <c r="KR12" s="37" t="s">
        <v>123</v>
      </c>
      <c r="KS12" s="48" t="s">
        <v>124</v>
      </c>
      <c r="KT12" s="2" t="s">
        <v>106</v>
      </c>
      <c r="KU12" s="2" t="s">
        <v>107</v>
      </c>
      <c r="KV12" s="47" t="s">
        <v>125</v>
      </c>
      <c r="KW12" s="37" t="s">
        <v>126</v>
      </c>
      <c r="KX12" s="37" t="s">
        <v>127</v>
      </c>
      <c r="KY12" s="48" t="s">
        <v>114</v>
      </c>
      <c r="KZ12" s="49" t="s">
        <v>128</v>
      </c>
      <c r="LA12" s="49" t="s">
        <v>115</v>
      </c>
      <c r="LB12" s="49" t="s">
        <v>116</v>
      </c>
      <c r="LC12" s="49" t="s">
        <v>117</v>
      </c>
      <c r="LD12" s="49" t="s">
        <v>118</v>
      </c>
      <c r="LE12" s="49" t="s">
        <v>125</v>
      </c>
      <c r="LF12" s="2" t="s">
        <v>129</v>
      </c>
      <c r="LH12" s="2" t="s">
        <v>91</v>
      </c>
      <c r="LI12" s="2" t="s">
        <v>92</v>
      </c>
      <c r="LK12" s="2" t="s">
        <v>130</v>
      </c>
      <c r="LL12" s="2" t="s">
        <v>91</v>
      </c>
      <c r="LN12" s="2" t="s">
        <v>131</v>
      </c>
      <c r="LO12" s="2" t="s">
        <v>132</v>
      </c>
      <c r="LP12" s="2" t="s">
        <v>133</v>
      </c>
      <c r="LQ12" s="2" t="s">
        <v>134</v>
      </c>
      <c r="LS12" s="2" t="s">
        <v>91</v>
      </c>
      <c r="LT12" s="2" t="s">
        <v>91</v>
      </c>
      <c r="LV12" s="2" t="s">
        <v>91</v>
      </c>
      <c r="LW12" s="2" t="s">
        <v>91</v>
      </c>
      <c r="LY12" s="2" t="s">
        <v>135</v>
      </c>
      <c r="LZ12" s="2" t="s">
        <v>136</v>
      </c>
      <c r="MB12" s="2" t="s">
        <v>137</v>
      </c>
      <c r="MC12" s="2" t="s">
        <v>138</v>
      </c>
      <c r="MD12" s="2" t="s">
        <v>139</v>
      </c>
      <c r="ME12" s="2" t="s">
        <v>140</v>
      </c>
      <c r="MF12" s="2" t="s">
        <v>141</v>
      </c>
      <c r="MH12" s="2" t="s">
        <v>142</v>
      </c>
      <c r="MI12" s="2" t="s">
        <v>143</v>
      </c>
      <c r="MK12" s="2" t="s">
        <v>144</v>
      </c>
      <c r="MO12" s="3" t="s">
        <v>92</v>
      </c>
    </row>
    <row r="13" spans="1:353" s="69" customFormat="1" ht="15" x14ac:dyDescent="0.2">
      <c r="A13" s="64">
        <v>1.5</v>
      </c>
      <c r="B13" s="65" t="s">
        <v>197</v>
      </c>
      <c r="C13" s="66" t="s">
        <v>200</v>
      </c>
      <c r="D13" s="67"/>
      <c r="E13" s="68">
        <v>53.3</v>
      </c>
      <c r="F13" s="68">
        <v>0.41</v>
      </c>
      <c r="G13" s="68">
        <v>5.81</v>
      </c>
      <c r="H13" s="68">
        <v>3.38</v>
      </c>
      <c r="I13" s="68">
        <v>0.08</v>
      </c>
      <c r="J13" s="68">
        <v>18.100000000000001</v>
      </c>
      <c r="K13" s="68">
        <v>17</v>
      </c>
      <c r="L13" s="68">
        <v>1.42</v>
      </c>
      <c r="M13" s="68"/>
      <c r="N13" s="68">
        <v>0.81</v>
      </c>
      <c r="P13" s="68">
        <v>55.9</v>
      </c>
      <c r="Q13" s="68">
        <v>0.1</v>
      </c>
      <c r="R13" s="68">
        <v>4.08</v>
      </c>
      <c r="S13" s="68">
        <v>6.49</v>
      </c>
      <c r="T13" s="68">
        <v>0.14000000000000001</v>
      </c>
      <c r="U13" s="68">
        <v>33</v>
      </c>
      <c r="V13" s="68">
        <v>0.43</v>
      </c>
      <c r="W13" s="68">
        <v>0.06</v>
      </c>
      <c r="X13" s="68"/>
      <c r="Y13" s="68">
        <v>0.34</v>
      </c>
      <c r="Z13" s="66"/>
      <c r="AA13" s="68">
        <v>41.3</v>
      </c>
      <c r="AB13" s="68">
        <v>0.02</v>
      </c>
      <c r="AC13" s="68">
        <v>3.0000000000000001E-3</v>
      </c>
      <c r="AD13" s="68">
        <v>9.98</v>
      </c>
      <c r="AE13" s="68">
        <v>0.11</v>
      </c>
      <c r="AF13" s="68">
        <v>49.2</v>
      </c>
      <c r="AG13" s="68">
        <v>0.04</v>
      </c>
      <c r="AH13" s="68"/>
      <c r="AI13" s="68"/>
      <c r="AJ13" s="68">
        <v>0.03</v>
      </c>
      <c r="AK13" s="66">
        <f t="shared" ref="AK13:AK14" si="0">(AD13/71.84)/(AD13/71.84+AF13/40.3)</f>
        <v>0.10216469438278851</v>
      </c>
      <c r="AL13" s="66">
        <f t="shared" ref="AL13:AL14" si="1">1-AK13</f>
        <v>0.89783530561721148</v>
      </c>
      <c r="AM13" s="68"/>
      <c r="AN13" s="68">
        <v>0.1</v>
      </c>
      <c r="AO13" s="68">
        <v>56.5</v>
      </c>
      <c r="AP13" s="68">
        <v>11.8</v>
      </c>
      <c r="AQ13" s="68">
        <v>0.12</v>
      </c>
      <c r="AR13" s="68">
        <v>19.8</v>
      </c>
      <c r="AS13" s="68"/>
      <c r="AT13" s="68"/>
      <c r="AU13" s="68"/>
      <c r="AV13" s="68">
        <v>11.2</v>
      </c>
      <c r="AW13" s="66"/>
      <c r="AX13" s="70">
        <f t="shared" ref="AX13:AX14" si="2">0.27+2505/(GJ13+273.15)-400*A13/(GJ13+273.15)-6*LOG10(AK13)-3200*(1-AK13)*(1-AK13)/(GJ13+273.15)+2*LOG10(FB13)+4*LOG10(FC13)+2630*FD13*FD13/(GJ13+273.15)</f>
        <v>-1.5620925627253288</v>
      </c>
      <c r="AY13" s="70">
        <f t="shared" ref="AY13:AY14" ca="1" si="3">0.27+2505/(GC13+273.15)-400*A13/(GC13+273.15)-6*LOG10(AK13)-3200*(1-AK13)*(1-AK13)/(GC13+273.15)+2*LOG10(FB13)+4*LOG10(FC13)+2630*FD13*FD13/(GC13+273.15)</f>
        <v>-1.5503849439984629</v>
      </c>
      <c r="AZ13" s="71"/>
      <c r="BA13" s="70">
        <f t="shared" ref="BA13:BA14" si="4">4720/(GJ13+273.15)-0.05*A13*10000/(GJ13+273.15)-2.7*LN(AK13/(AK13+AL13))-0.91*LN(FO13/(FO13+FK13))-1.03*(LN(FO13/(FO13+FK13)))^2+1.91*LN(FN13/(FN13+FL13+FH13))+0.12*(LN(FN13/(FN13+FL13+FH13)))^2-4.4</f>
        <v>-2.4029816880045156</v>
      </c>
      <c r="BB13" s="70">
        <f t="shared" ref="BB13:BB14" ca="1" si="5">4720/(GC13+273.15)-0.05*A13*10000/(GC13+273.15)-2.7*LN(AK13/(AK13+AL13))-0.91*LN(FO13/(FO13+FK13))-1.03*(LN(FO13/(FO13+FK13)))^2+1.91*LN(FN13/(FN13+FL13+FH13))+0.12*(LN(FN13/(FN13+FL13+FH13)))^2-4.4</f>
        <v>-2.3676900608572899</v>
      </c>
      <c r="BC13" s="66"/>
      <c r="BD13" s="72">
        <f t="shared" ref="BD13:BD14" si="6">LOG10(0.25*FU13*FT13*FT13)+1/(GJ13+273.15)*(406*FS13*FS13+653*FW13*FS13+299*FX13*FX13+199*FX13*FS13+346*FW13*FX13)</f>
        <v>-2.7896429102150697</v>
      </c>
      <c r="BE13" s="72">
        <f t="shared" ref="BE13:BE14" ca="1" si="7">LOG10(0.25*FU13*FT13*FT13)+1/(GC13+273.15)*(406*FS13*FS13+653*FW13*FS13+299*FX13*FX13+199*FS13*FX13+346*FW13*FX13)</f>
        <v>-2.7695908638809748</v>
      </c>
      <c r="BF13" s="72">
        <f t="shared" ref="BF13:BF14" si="8">220/(GJ13+273.15)+0.35-0.0369*A13*10000/(GJ13+273.15)-12*LOG10(AK13)-2620*(1-AK13)*(1-AK13)/(GJ13+273.15)+3*LOG10(LB13*LD13)+2*BD13</f>
        <v>-1.2045388469667939</v>
      </c>
      <c r="BG13" s="72">
        <f t="shared" ref="BG13:BG14" ca="1" si="9">220/(GC13+273.15)+0.35-0.0369*A13*10000/(GC13+273.15)-12*LOG10(AK13)-2620*(1-AK13)*(1-AK13)/(GC13+273.15)+3*LOG10(LB13*LD13)+2*BE13</f>
        <v>-1.1861742506397768</v>
      </c>
      <c r="BH13" s="66"/>
      <c r="BI13" s="72">
        <f t="shared" ref="BI13:BI14" si="10">-25096.3/(273.15+GJ13)+8.735+0.11*(A13*10000-1)/(273.15+GJ13)</f>
        <v>-7.4203202357994593</v>
      </c>
      <c r="BJ13" s="72">
        <f t="shared" ref="BJ13:BJ14" ca="1" si="11">-25096.3/(273.15+GC13)+8.735+0.11*(A13*10000-1)/(273.15+GC13)</f>
        <v>-7.6287489410037388</v>
      </c>
      <c r="BK13" s="71"/>
      <c r="BL13" s="71"/>
      <c r="BM13" s="72">
        <f t="shared" ref="BM13:BM14" si="12">BI13+AX13</f>
        <v>-8.9824127985247877</v>
      </c>
      <c r="BN13" s="72">
        <f t="shared" ref="BN13:BN14" ca="1" si="13">BJ13+AY13</f>
        <v>-9.1791338850022015</v>
      </c>
      <c r="BO13" s="73"/>
      <c r="BP13" s="72">
        <f t="shared" ref="BP13:BP14" si="14">BI13+BA13</f>
        <v>-9.8233019238039745</v>
      </c>
      <c r="BQ13" s="72">
        <f t="shared" ref="BQ13:BQ14" ca="1" si="15">BJ13+BB13</f>
        <v>-9.9964390018610292</v>
      </c>
      <c r="BR13" s="71"/>
      <c r="BS13" s="72">
        <f t="shared" ref="BS13:BS14" si="16">BI13+BF13</f>
        <v>-8.6248590827662532</v>
      </c>
      <c r="BT13" s="72">
        <f t="shared" ref="BT13:BT14" ca="1" si="17">BJ13+BG13</f>
        <v>-8.8149231916435156</v>
      </c>
      <c r="BU13" s="66"/>
      <c r="BV13" s="74">
        <v>60.08</v>
      </c>
      <c r="BW13" s="74">
        <v>79.88</v>
      </c>
      <c r="BX13" s="74">
        <v>101.96</v>
      </c>
      <c r="BY13" s="74">
        <v>159.69</v>
      </c>
      <c r="BZ13" s="74">
        <v>71.849999999999994</v>
      </c>
      <c r="CA13" s="74">
        <v>70.94</v>
      </c>
      <c r="CB13" s="74">
        <v>40.299999999999997</v>
      </c>
      <c r="CC13" s="74">
        <v>151.99</v>
      </c>
      <c r="CD13" s="66"/>
      <c r="CE13" s="66">
        <f t="shared" ref="CE13:CE14" si="18">AM13/BV13</f>
        <v>0</v>
      </c>
      <c r="CF13" s="66">
        <f t="shared" ref="CF13:CF14" si="19">AN13/BW13</f>
        <v>1.2518778167250877E-3</v>
      </c>
      <c r="CG13" s="66">
        <f t="shared" ref="CG13:CG14" si="20">AO13/BX13</f>
        <v>0.55413887799136918</v>
      </c>
      <c r="CH13" s="66">
        <f t="shared" ref="CH13:CH14" si="21">AP13/BZ13</f>
        <v>0.1642310368823939</v>
      </c>
      <c r="CI13" s="66">
        <f t="shared" ref="CI13:CI14" si="22">AQ13/CA13</f>
        <v>1.6915703411333521E-3</v>
      </c>
      <c r="CJ13" s="66">
        <f t="shared" ref="CJ13:CJ14" si="23">AR13/CB13</f>
        <v>0.49131513647642683</v>
      </c>
      <c r="CK13" s="66">
        <f t="shared" ref="CK13:CK14" si="24">AV13/CC13</f>
        <v>7.3689058490690171E-2</v>
      </c>
      <c r="CL13" s="66"/>
      <c r="CM13" s="66">
        <f t="shared" ref="CM13:CN14" si="25">CE13*2</f>
        <v>0</v>
      </c>
      <c r="CN13" s="66">
        <f t="shared" si="25"/>
        <v>2.5037556334501754E-3</v>
      </c>
      <c r="CO13" s="66">
        <f t="shared" ref="CO13:CO14" si="26">CG13*3</f>
        <v>1.6624166339741075</v>
      </c>
      <c r="CP13" s="66">
        <f t="shared" ref="CP13:CR14" si="27">CH13</f>
        <v>0.1642310368823939</v>
      </c>
      <c r="CQ13" s="66">
        <f t="shared" si="27"/>
        <v>1.6915703411333521E-3</v>
      </c>
      <c r="CR13" s="66">
        <f t="shared" si="27"/>
        <v>0.49131513647642683</v>
      </c>
      <c r="CS13" s="66">
        <f t="shared" ref="CS13:CS14" si="28">CK13*3</f>
        <v>0.2210671754720705</v>
      </c>
      <c r="CT13" s="66">
        <f t="shared" ref="CT13:CT14" si="29">SUM(CM13:CS13)</f>
        <v>2.543225308779582</v>
      </c>
      <c r="CU13" s="74">
        <v>32</v>
      </c>
      <c r="CV13" s="66">
        <f t="shared" ref="CV13:CV14" si="30">CU13/CT13</f>
        <v>12.582447921358508</v>
      </c>
      <c r="CW13" s="66"/>
      <c r="CX13" s="66">
        <f t="shared" ref="CX13:CX14" si="31">CM13*CV13</f>
        <v>0</v>
      </c>
      <c r="CY13" s="66">
        <f t="shared" ref="CY13:CY14" si="32">CN13*CV13</f>
        <v>3.1503374865694815E-2</v>
      </c>
      <c r="CZ13" s="66">
        <f t="shared" ref="CZ13:CZ14" si="33">CO13*CV13</f>
        <v>20.917270720579317</v>
      </c>
      <c r="DA13" s="66">
        <f t="shared" ref="DA13:DA14" si="34">CP13*CV13</f>
        <v>2.0664284686434296</v>
      </c>
      <c r="DB13" s="66">
        <f t="shared" ref="DB13:DB14" si="35">CQ13*CV13</f>
        <v>2.1284095722625049E-2</v>
      </c>
      <c r="DC13" s="66">
        <f t="shared" ref="DC13:DC14" si="36">CR13*CV13</f>
        <v>6.1819471176897887</v>
      </c>
      <c r="DD13" s="66">
        <f t="shared" ref="DD13:DD14" si="37">CS13*CV13</f>
        <v>2.78156622249915</v>
      </c>
      <c r="DE13" s="66">
        <f t="shared" ref="DE13:DE14" si="38">SUM(CX13:DD13)</f>
        <v>32.000000000000007</v>
      </c>
      <c r="DF13" s="66"/>
      <c r="DG13" s="66">
        <f t="shared" ref="DG13:DG14" si="39">CX13/2</f>
        <v>0</v>
      </c>
      <c r="DH13" s="66">
        <f t="shared" ref="DH13:DH14" si="40">CY13/2</f>
        <v>1.5751687432847408E-2</v>
      </c>
      <c r="DI13" s="66">
        <f t="shared" ref="DI13:DI14" si="41">CZ13*(2/3)</f>
        <v>13.944847147052878</v>
      </c>
      <c r="DJ13" s="66">
        <f t="shared" ref="DJ13:DJ14" si="42">DA13</f>
        <v>2.0664284686434296</v>
      </c>
      <c r="DK13" s="66">
        <f t="shared" ref="DK13:DK14" si="43">DB13</f>
        <v>2.1284095722625049E-2</v>
      </c>
      <c r="DL13" s="66">
        <f t="shared" ref="DL13:DL14" si="44">DC13</f>
        <v>6.1819471176897887</v>
      </c>
      <c r="DM13" s="66">
        <f t="shared" ref="DM13:DM14" si="45">DD13*(2/3)</f>
        <v>1.8543774816660998</v>
      </c>
      <c r="DN13" s="66">
        <f t="shared" ref="DN13:DN14" si="46">SUM(DG13:DM13)</f>
        <v>24.084635998207666</v>
      </c>
      <c r="DO13" s="66">
        <f t="shared" ref="DO13:DO14" si="47">24/DN13</f>
        <v>0.99648589257425502</v>
      </c>
      <c r="DP13" s="66"/>
      <c r="DQ13" s="66">
        <f t="shared" ref="DQ13:DQ14" si="48">DG13*DO13</f>
        <v>0</v>
      </c>
      <c r="DR13" s="66">
        <f t="shared" ref="DR13:DR14" si="49">DH13*DO13</f>
        <v>1.5696334311071626E-2</v>
      </c>
      <c r="DS13" s="66">
        <f t="shared" ref="DS13:DS14" si="50">DI13*DO13</f>
        <v>13.89584345614254</v>
      </c>
      <c r="DT13" s="66">
        <f t="shared" ref="DT13:DT14" si="51">DJ13*DO13</f>
        <v>2.0591668170169988</v>
      </c>
      <c r="DU13" s="66">
        <f t="shared" ref="DU13:DU14" si="52">DK13*DO13</f>
        <v>2.1209301123795907E-2</v>
      </c>
      <c r="DV13" s="66">
        <f t="shared" ref="DV13:DV14" si="53">DL13*DO13</f>
        <v>6.1602230914179525</v>
      </c>
      <c r="DW13" s="66">
        <f t="shared" ref="DW13:DW14" si="54">DM13*DO13</f>
        <v>1.8478609999876427</v>
      </c>
      <c r="DX13" s="66">
        <f t="shared" ref="DX13:DX14" si="55">SUM(DQ13:DW13)</f>
        <v>24</v>
      </c>
      <c r="DY13" s="66"/>
      <c r="DZ13" s="66">
        <f t="shared" ref="DZ13:DZ14" si="56">DT13/(DT13+DV13)</f>
        <v>0.25052550614539265</v>
      </c>
      <c r="EA13" s="66">
        <f t="shared" ref="EA13:EA14" si="57">DW13/(DS13+DW13)</f>
        <v>0.11737142329727453</v>
      </c>
      <c r="EB13" s="66"/>
      <c r="EC13" s="66">
        <f t="shared" ref="EC13:EC14" si="58">DT13-ED13</f>
        <v>1.8342639417693198</v>
      </c>
      <c r="ED13" s="66">
        <f t="shared" ref="ED13:ED14" si="59">(2*32)*(1-(24/DN13))</f>
        <v>0.22490287524767894</v>
      </c>
      <c r="EE13" s="66">
        <f t="shared" ref="EE13:EE14" si="60">EC13/(EC13+ED13)</f>
        <v>0.89077967195805763</v>
      </c>
      <c r="EF13" s="66">
        <f t="shared" ref="EF13:EF14" si="61">ED13/(ED13+EC13)</f>
        <v>0.10922032804194237</v>
      </c>
      <c r="EG13" s="66"/>
      <c r="EH13" s="66">
        <f t="shared" ref="EH13:EH14" si="62">AM13</f>
        <v>0</v>
      </c>
      <c r="EI13" s="66">
        <f t="shared" ref="EI13:EI14" si="63">AN13</f>
        <v>0.1</v>
      </c>
      <c r="EJ13" s="66">
        <f t="shared" ref="EJ13:EJ14" si="64">AO13</f>
        <v>56.5</v>
      </c>
      <c r="EK13" s="66">
        <f t="shared" ref="EK13:EK14" si="65">IF(ED13&lt;0,0,1.1113*(AP13*EF13))</f>
        <v>1.4322432965255245</v>
      </c>
      <c r="EL13" s="66">
        <f t="shared" ref="EL13:EL14" si="66">IF(ED13&lt;0,AP13,AP13*EE13)</f>
        <v>10.511200129105081</v>
      </c>
      <c r="EM13" s="66">
        <f t="shared" ref="EM13:EM14" si="67">AQ13</f>
        <v>0.12</v>
      </c>
      <c r="EN13" s="66">
        <f t="shared" ref="EN13:EN14" si="68">AR13</f>
        <v>19.8</v>
      </c>
      <c r="EO13" s="66">
        <f t="shared" ref="EO13:EO14" si="69">AV13</f>
        <v>11.2</v>
      </c>
      <c r="EP13" s="66">
        <f t="shared" ref="EP13:EP14" si="70">SUM(EH13:EO13)</f>
        <v>99.663443425630618</v>
      </c>
      <c r="EQ13" s="66"/>
      <c r="ER13" s="66">
        <f t="shared" ref="ER13:ER14" si="71">DQ13</f>
        <v>0</v>
      </c>
      <c r="ES13" s="66">
        <f t="shared" ref="ES13:ES14" si="72">DR13</f>
        <v>1.5696334311071626E-2</v>
      </c>
      <c r="ET13" s="66">
        <f t="shared" ref="ET13:ET14" si="73">DS13</f>
        <v>13.89584345614254</v>
      </c>
      <c r="EU13" s="66">
        <f t="shared" ref="EU13:EU14" si="74">IF(ED13&lt;0,0,ED13)</f>
        <v>0.22490287524767894</v>
      </c>
      <c r="EV13" s="66">
        <f t="shared" ref="EV13:EV14" si="75">IF(ED13&lt;0,DT13,EC13)</f>
        <v>1.8342639417693198</v>
      </c>
      <c r="EW13" s="66">
        <f t="shared" ref="EW13:EW14" si="76">DU13</f>
        <v>2.1209301123795907E-2</v>
      </c>
      <c r="EX13" s="66">
        <f t="shared" ref="EX13:EX14" si="77">DV13</f>
        <v>6.1602230914179525</v>
      </c>
      <c r="EY13" s="66">
        <f t="shared" ref="EY13:EY14" si="78">DW13</f>
        <v>1.8478609999876427</v>
      </c>
      <c r="EZ13" s="66">
        <f t="shared" ref="EZ13:EZ14" si="79">SUM(ER13:EY13)</f>
        <v>24</v>
      </c>
      <c r="FA13" s="66"/>
      <c r="FB13" s="66">
        <f t="shared" ref="FB13:FB14" si="80">EV13/(EV13+EX13)</f>
        <v>0.22944110537108825</v>
      </c>
      <c r="FC13" s="66">
        <f t="shared" ref="FC13:FC14" si="81">EU13/(EU13+ET13+EY13)</f>
        <v>1.4084063223581881E-2</v>
      </c>
      <c r="FD13" s="66">
        <f t="shared" ref="FD13:FD14" si="82">ET13/(EU13+ET13+EY13)</f>
        <v>0.87019758002550429</v>
      </c>
      <c r="FE13" s="66"/>
      <c r="FF13" s="66"/>
      <c r="FG13" s="66">
        <f t="shared" ref="FG13:FG14" si="83">FR13/FM13</f>
        <v>6.5459240660569482E-4</v>
      </c>
      <c r="FH13" s="66">
        <f t="shared" ref="FH13:FH14" si="84">FS13/FM13</f>
        <v>0.57950559853686801</v>
      </c>
      <c r="FI13" s="66">
        <f t="shared" ref="FI13:FI14" si="85">FT13/FM13</f>
        <v>9.3792417671096015E-3</v>
      </c>
      <c r="FJ13" s="66">
        <f t="shared" ref="FJ13:FJ14" si="86">FU13/FM13</f>
        <v>7.649526470303962E-2</v>
      </c>
      <c r="FK13" s="66">
        <f t="shared" ref="FK13:FK14" si="87">FW13/FM13</f>
        <v>0.25690299268122219</v>
      </c>
      <c r="FL13" s="66">
        <f t="shared" ref="FL13:FL14" si="88">FX13/FM13</f>
        <v>7.7062309905154849E-2</v>
      </c>
      <c r="FM13" s="66">
        <f t="shared" ref="FM13:FM14" si="89">FR13+FS13+FT13+FU13+FW13+FX13</f>
        <v>2.9973488373595258</v>
      </c>
      <c r="FN13" s="66">
        <f t="shared" ref="FN13:FN14" si="90">2/3-FH13-FL13-2*FG13</f>
        <v>8.7895734114323849E-3</v>
      </c>
      <c r="FO13" s="66">
        <f t="shared" ref="FO13:FO14" si="91">1/3-FK13+FG13</f>
        <v>7.7084933058716817E-2</v>
      </c>
      <c r="FP13" s="66"/>
      <c r="FQ13" s="66">
        <f t="shared" ref="FQ13:FQ14" si="92">ER13/8</f>
        <v>0</v>
      </c>
      <c r="FR13" s="66">
        <f t="shared" ref="FR13:FR14" si="93">ES13/8</f>
        <v>1.9620417888839533E-3</v>
      </c>
      <c r="FS13" s="66">
        <f t="shared" ref="FS13:FS14" si="94">ET13/8</f>
        <v>1.7369804320178175</v>
      </c>
      <c r="FT13" s="66">
        <f t="shared" ref="FT13:FT14" si="95">EU13/8</f>
        <v>2.8112859405959867E-2</v>
      </c>
      <c r="FU13" s="66">
        <f t="shared" ref="FU13:FU14" si="96">EV13/8</f>
        <v>0.22928299272116498</v>
      </c>
      <c r="FV13" s="66">
        <f t="shared" ref="FV13:FV14" si="97">EW13/8</f>
        <v>2.6511626404744884E-3</v>
      </c>
      <c r="FW13" s="66">
        <f t="shared" ref="FW13:FW14" si="98">EX13/8</f>
        <v>0.77002788642724407</v>
      </c>
      <c r="FX13" s="66">
        <f t="shared" ref="FX13:FX14" si="99">EY13/8</f>
        <v>0.23098262499845534</v>
      </c>
      <c r="FZ13" s="75">
        <f t="shared" ref="FZ13:FZ14" ca="1" si="100">GE13</f>
        <v>974.38299335414604</v>
      </c>
      <c r="GA13" s="75">
        <f t="shared" ref="GA13:GA14" ca="1" si="101">GH13</f>
        <v>-15.045721794247804</v>
      </c>
      <c r="GB13" s="76">
        <f t="shared" ref="GB13:GB14" si="102">GU13/(GU13+GS13)</f>
        <v>0.90517593419872855</v>
      </c>
      <c r="GC13" s="77">
        <f t="shared" ref="GC13:GC14" ca="1" si="103">-273.15+((23664+(24.9+126.3*HT13/(HT13+HV13))*GA13)/(13.38+(LN((1-HW13/(1-HX13))/(1-KG13/(1-KH13))))^2+11.59*KD13/(KD13+KF13)))</f>
        <v>1159.6763092113788</v>
      </c>
      <c r="GD13" s="77"/>
      <c r="GE13" s="77">
        <f t="shared" ref="GE13:GE14" ca="1" si="104">10^4/(11.2-1.96*LN(II13/KS13)-3.3*HW13-25.8*IG13+33.2*KE13-23.6*KH13-2.08*KT13-8.33*KU13-0.05*GA13)</f>
        <v>974.38299335414604</v>
      </c>
      <c r="GF13" s="77">
        <f t="shared" ref="GF13:GF14" ca="1" si="105">10^4/(13.4-3.4*LN(II13/KS13)+5.59*LN(HV13)+23.85*KE13+6.48*KQ13-2.38*IK13-0.044*GA13-8.8*HV13/(HV13+HT13))</f>
        <v>1044.7624873087918</v>
      </c>
      <c r="GG13" s="77">
        <f t="shared" ref="GG13:GG14" si="106">-279.8+293*KB13+455*KH13+229*KJ13+519*KS13-563*KT13+371*KU13+327*KV13+1.19/GN13</f>
        <v>26.59853216225158</v>
      </c>
      <c r="GH13" s="77">
        <f t="shared" ref="GH13:GH14" ca="1" si="107">-94.25+0.045*FZ13+187.7*KB13+246.8*KS13-212.5*KT13+127.5*KV13-69.4*II13-133.9*IR13-1.66/GN13</f>
        <v>-15.045721794247804</v>
      </c>
      <c r="GI13" s="77">
        <f t="shared" ref="GI13:GI14" si="108">LV13</f>
        <v>1231.0020806522225</v>
      </c>
      <c r="GJ13" s="77">
        <f t="shared" ref="GJ13:GJ14" si="109">MK13</f>
        <v>1178.1619924446818</v>
      </c>
      <c r="GK13" s="77">
        <f t="shared" ref="GK13:GK14" ca="1" si="110">-273+(93100+755*GA13)/(61.1+36.6*HP13/4+10.9*HT13/4-0.95*(HQ13+HR13+HZ13-HX13-HY13)/4+3.5*LN(IY13)^2)</f>
        <v>890.8703047623103</v>
      </c>
      <c r="GL13" s="78">
        <f t="shared" ref="GL13:GL14" si="111">(HT13/HV13)/(KD13/KF13)</f>
        <v>0.94952710927989514</v>
      </c>
      <c r="GM13" s="79"/>
      <c r="GN13" s="69">
        <f t="shared" ref="GN13:GN14" si="112">KG13/(1-HW13)</f>
        <v>4.5286434395310805E-2</v>
      </c>
      <c r="GP13" s="69">
        <f t="shared" ref="GP13:GP14" si="113">E13/GP$6</f>
        <v>0.88708697613186804</v>
      </c>
      <c r="GQ13" s="69">
        <f t="shared" ref="GQ13:GQ14" si="114">F13/GQ$6</f>
        <v>5.1327761558761517E-3</v>
      </c>
      <c r="GR13" s="69">
        <f t="shared" ref="GR13:GR14" si="115">G13/GR$6</f>
        <v>5.6982571767636644E-2</v>
      </c>
      <c r="GS13" s="69">
        <f t="shared" ref="GS13:GS14" si="116">H13/GS$6</f>
        <v>4.7044806698735078E-2</v>
      </c>
      <c r="GT13" s="69">
        <f t="shared" ref="GT13:GT14" si="117">I13/GT$6</f>
        <v>1.1277533039647577E-3</v>
      </c>
      <c r="GU13" s="69">
        <f t="shared" ref="GU13:GU14" si="118">J13/GU$6</f>
        <v>0.44908248230962378</v>
      </c>
      <c r="GV13" s="69">
        <f t="shared" ref="GV13:GV14" si="119">K13/GV$6</f>
        <v>0.30315242860760305</v>
      </c>
      <c r="GW13" s="69">
        <f t="shared" ref="GW13:GW14" si="120">L13/GW$6</f>
        <v>2.2911022944905442E-2</v>
      </c>
      <c r="GX13" s="69">
        <f t="shared" ref="GX13:GX14" si="121">M13/GX$6</f>
        <v>0</v>
      </c>
      <c r="GY13" s="69">
        <f t="shared" ref="GY13:GY14" si="122">N13/GY$6</f>
        <v>5.3290104751240481E-3</v>
      </c>
      <c r="GZ13" s="69">
        <f t="shared" ref="GZ13:GZ14" si="123">SUM(GP13:GY13)</f>
        <v>1.777849828395337</v>
      </c>
      <c r="HB13" s="80">
        <f t="shared" ref="HB13:HC14" si="124">GP13*2</f>
        <v>1.7741739522637361</v>
      </c>
      <c r="HC13" s="80">
        <f t="shared" si="124"/>
        <v>1.0265552311752303E-2</v>
      </c>
      <c r="HD13" s="80">
        <f t="shared" ref="HD13:HD14" si="125">GR13*3</f>
        <v>0.17094771530290992</v>
      </c>
      <c r="HE13" s="80">
        <f t="shared" ref="HE13:HJ14" si="126">GS13</f>
        <v>4.7044806698735078E-2</v>
      </c>
      <c r="HF13" s="80">
        <f t="shared" si="126"/>
        <v>1.1277533039647577E-3</v>
      </c>
      <c r="HG13" s="80">
        <f t="shared" si="126"/>
        <v>0.44908248230962378</v>
      </c>
      <c r="HH13" s="80">
        <f t="shared" si="126"/>
        <v>0.30315242860760305</v>
      </c>
      <c r="HI13" s="80">
        <f t="shared" si="126"/>
        <v>2.2911022944905442E-2</v>
      </c>
      <c r="HJ13" s="80">
        <f t="shared" si="126"/>
        <v>0</v>
      </c>
      <c r="HK13" s="80">
        <f t="shared" ref="HK13:HK14" si="127">GY13*3</f>
        <v>1.5987031425372146E-2</v>
      </c>
      <c r="HL13" s="80">
        <f t="shared" ref="HL13:HL14" si="128">SUM(HB13:HK13)</f>
        <v>2.7946927451686032</v>
      </c>
      <c r="HM13" s="80">
        <f t="shared" ref="HM13:HM14" si="129">6/HL13</f>
        <v>2.1469265307868475</v>
      </c>
      <c r="HO13" s="81">
        <f t="shared" ref="HO13:HO14" si="130">GP13*$HM13</f>
        <v>1.9045105641729865</v>
      </c>
      <c r="HP13" s="81">
        <f t="shared" ref="HP13:HP14" si="131">GQ13*$HM13</f>
        <v>1.1019693305640638E-2</v>
      </c>
      <c r="HQ13" s="81">
        <f t="shared" ref="HQ13:HQ14" si="132">2-HO13</f>
        <v>9.5489435827013525E-2</v>
      </c>
      <c r="HR13" s="81">
        <f t="shared" ref="HR13:HR14" si="133">IF(HS13-HQ13&lt;0,0,HS13-HQ13)</f>
        <v>0.14918535441379588</v>
      </c>
      <c r="HS13" s="81">
        <f t="shared" ref="HS13:HS14" si="134">GR13*$HM13*2</f>
        <v>0.2446747902408094</v>
      </c>
      <c r="HT13" s="81">
        <f t="shared" ref="HT13:HT14" si="135">GS13*$HM13</f>
        <v>0.10100174363725314</v>
      </c>
      <c r="HU13" s="81">
        <f t="shared" ref="HU13:HU14" si="136">GT13*$HM13</f>
        <v>2.4212034884644623E-3</v>
      </c>
      <c r="HV13" s="81">
        <f t="shared" ref="HV13:HV14" si="137">GU13*$HM13</f>
        <v>0.96414709578214641</v>
      </c>
      <c r="HW13" s="81">
        <f t="shared" ref="HW13:HW14" si="138">GV13*$HM13</f>
        <v>0.6508459918501287</v>
      </c>
      <c r="HX13" s="81">
        <f t="shared" ref="HX13:HX14" si="139">GW13*$HM13*2</f>
        <v>9.83765660157674E-2</v>
      </c>
      <c r="HY13" s="81">
        <f t="shared" ref="HY13:HY14" si="140">GX13*$HM13*2</f>
        <v>0</v>
      </c>
      <c r="HZ13" s="81">
        <f t="shared" ref="HZ13:HZ14" si="141">GY13*$HM13*2</f>
        <v>2.2881987943769683E-2</v>
      </c>
      <c r="IA13" s="80">
        <f t="shared" ref="IA13:IA14" si="142">HO13+HP13+HS13+HT13+HU13+HV13+HW13+HX13+HY13+HZ13</f>
        <v>3.9998796364369662</v>
      </c>
      <c r="IB13" s="80">
        <f t="shared" ref="IB13:IB14" si="143">IF(HX13+HQ13-HR13-2*HP13-HZ13&gt;0,HX13+HQ13-HR13-2*HP13-HZ13,0)</f>
        <v>0</v>
      </c>
      <c r="IC13" s="80">
        <f t="shared" ref="IC13:IC14" si="144">12-48/IA13</f>
        <v>-3.6110155496871243E-4</v>
      </c>
      <c r="ID13" s="80">
        <f t="shared" ref="ID13:ID14" si="145">IF(HX13&lt;HR13,HX13,HR13)</f>
        <v>9.83765660157674E-2</v>
      </c>
      <c r="IE13" s="80">
        <f t="shared" ref="IE13:IE14" si="146">IF(HR13&gt;HX13,HR13-HX13,0)</f>
        <v>5.0808788398028479E-2</v>
      </c>
      <c r="IF13" s="80">
        <f t="shared" ref="IF13:IF14" si="147">IF(HQ13&gt;IE13,(HQ13-IE13)/2,0)</f>
        <v>2.2340323714492523E-2</v>
      </c>
      <c r="IG13" s="80">
        <f t="shared" ref="IG13:IG14" si="148">HZ13/2</f>
        <v>1.1440993971884842E-2</v>
      </c>
      <c r="IH13" s="80">
        <f t="shared" ref="IH13:IH14" si="149">IF(HW13-IF13-IE13-IG13&gt;0,HW13-IF13-IE13-IG13,0)</f>
        <v>0.56625588576572283</v>
      </c>
      <c r="II13" s="80">
        <f t="shared" ref="II13:II14" si="150">((HT13+HV13)-IH13)/2</f>
        <v>0.24944647682683835</v>
      </c>
      <c r="IJ13" s="80">
        <f t="shared" ref="IJ13:IJ14" si="151">II13*(HV13/(HV13+HU13+HT13))</f>
        <v>0.22528085888453611</v>
      </c>
      <c r="IK13" s="80">
        <f t="shared" ref="IK13:IK14" si="152">IM13*(HV13/(HV13+HU13+HT13))</f>
        <v>0.51139873337349417</v>
      </c>
      <c r="IL13" s="80">
        <f t="shared" ref="IL13:IL14" si="153">SUM(ID13:II13)</f>
        <v>0.99866903469273449</v>
      </c>
      <c r="IM13" s="80">
        <f t="shared" ref="IM13:IM14" si="154">HW13-IE13-IF13-IG13</f>
        <v>0.56625588576572283</v>
      </c>
      <c r="IN13" s="80"/>
      <c r="IO13" s="69">
        <f t="shared" ref="IO13:IO14" si="155">HV13/(HV13+IP13)</f>
        <v>0.90517593419872855</v>
      </c>
      <c r="IP13" s="80">
        <f t="shared" ref="IP13:IP14" si="156">HT13-IB13</f>
        <v>0.10100174363725314</v>
      </c>
      <c r="IQ13" s="82">
        <f t="shared" ref="IQ13:IQ14" si="157">((0.5*HV13/(0.5*HV13+0.5*(HT13-IB13)+HX13+HW13+HU13)))*(0.5*HV13/(0.5*HV13+0.5*(HT13-IB13)+HZ13+HR13+HP13))</f>
        <v>0.25286001660713137</v>
      </c>
      <c r="IR13" s="81">
        <f t="shared" ref="IR13:IR14" si="158">HW13/(HW13+0.5*HV13+0.5*(HT13-IB13)+HU13+HX13)</f>
        <v>0.50680328424478416</v>
      </c>
      <c r="IS13" s="81">
        <f t="shared" ref="IS13:IS14" si="159">(HV13/(HW13+HV13+HT13-IB13+HU13+HX13))*(HV13/(HT13+HS13+HP13+HZ13+HV13))</f>
        <v>0.38077703214367187</v>
      </c>
      <c r="IT13" s="81">
        <f t="shared" ref="IT13:IT14" si="160">(1-IB13-HR13-HP13-HZ13)*IO13</f>
        <v>0.73944995565260985</v>
      </c>
      <c r="IU13" s="81">
        <f t="shared" ref="IU13:IU14" si="161">(1-IB13-HR13-HP13-HZ13)*(1-IO13)</f>
        <v>7.7463008684183848E-2</v>
      </c>
      <c r="IV13" s="81">
        <f t="shared" ref="IV13:IV14" si="162">(1-HW13-HX13-HU13)*(IO13)</f>
        <v>0.22480609033014906</v>
      </c>
      <c r="IW13" s="81">
        <f t="shared" ref="IW13:IW14" si="163">(1-HW13-HX13-HU13)*(1-IO13)</f>
        <v>2.3550148315490391E-2</v>
      </c>
      <c r="IX13" s="81">
        <f t="shared" ref="IX13:IX14" si="164">(IV13/(IV13+IW13+HW13+HX13+HU13))*(IT13/(IT13+IU13+IB13+HR13+HP13+HZ13))</f>
        <v>0.16623285352506534</v>
      </c>
      <c r="IY13" s="81">
        <f t="shared" ref="IY13:IY14" si="165">(1-HW13-HX13-HY13)*(1-0.5*(HQ13+HR13+HZ13+HX13+HY13))</f>
        <v>0.20489352810903314</v>
      </c>
      <c r="IZ13" s="69">
        <f t="shared" ref="IZ13:IZ14" si="166">P13/GP$6</f>
        <v>0.93035951155293484</v>
      </c>
      <c r="JA13" s="69">
        <f t="shared" ref="JA13:JA14" si="167">Q13/GQ$6</f>
        <v>1.2518966233844276E-3</v>
      </c>
      <c r="JB13" s="69">
        <f t="shared" ref="JB13:JB14" si="168">R13/GR$6</f>
        <v>4.0015299967634685E-2</v>
      </c>
      <c r="JC13" s="69">
        <f t="shared" ref="JC13:JC14" si="169">S13/GS$6</f>
        <v>9.0331596294316766E-2</v>
      </c>
      <c r="JD13" s="69">
        <f t="shared" ref="JD13:JD14" si="170">T13/GT$6</f>
        <v>1.9735682819383262E-3</v>
      </c>
      <c r="JE13" s="69">
        <f t="shared" ref="JE13:JE14" si="171">U13/GU$6</f>
        <v>0.81876916664185551</v>
      </c>
      <c r="JF13" s="69">
        <f t="shared" ref="JF13:JF14" si="172">V13/GV$6</f>
        <v>7.6679731941923131E-3</v>
      </c>
      <c r="JG13" s="69">
        <f t="shared" ref="JG13:JG14" si="173">W13/GW$6</f>
        <v>9.6807139203825812E-4</v>
      </c>
      <c r="JH13" s="69">
        <f t="shared" ref="JH13:JH14" si="174">X13/GX$6</f>
        <v>0</v>
      </c>
      <c r="JI13" s="69">
        <f t="shared" ref="JI13:JI14" si="175">Y13/GY$6</f>
        <v>2.236868594496514E-3</v>
      </c>
      <c r="JJ13" s="69">
        <f t="shared" ref="JJ13:JJ14" si="176">SUM(IZ13:JI13)</f>
        <v>1.8935739525427917</v>
      </c>
      <c r="JL13" s="80">
        <f t="shared" ref="JL13:JM14" si="177">IZ13*2</f>
        <v>1.8607190231058697</v>
      </c>
      <c r="JM13" s="80">
        <f t="shared" si="177"/>
        <v>2.5037932467688552E-3</v>
      </c>
      <c r="JN13" s="80">
        <f t="shared" ref="JN13:JN14" si="178">JB13*3</f>
        <v>0.12004589990290405</v>
      </c>
      <c r="JO13" s="80">
        <f t="shared" ref="JO13:JT14" si="179">JC13</f>
        <v>9.0331596294316766E-2</v>
      </c>
      <c r="JP13" s="80">
        <f t="shared" si="179"/>
        <v>1.9735682819383262E-3</v>
      </c>
      <c r="JQ13" s="80">
        <f t="shared" si="179"/>
        <v>0.81876916664185551</v>
      </c>
      <c r="JR13" s="80">
        <f t="shared" si="179"/>
        <v>7.6679731941923131E-3</v>
      </c>
      <c r="JS13" s="80">
        <f t="shared" si="179"/>
        <v>9.6807139203825812E-4</v>
      </c>
      <c r="JT13" s="80">
        <f t="shared" si="179"/>
        <v>0</v>
      </c>
      <c r="JU13" s="80">
        <f t="shared" ref="JU13:JU14" si="180">JI13*3</f>
        <v>6.710605783489542E-3</v>
      </c>
      <c r="JV13" s="80">
        <f t="shared" ref="JV13:JV14" si="181">SUM(JL13:JU13)</f>
        <v>2.9096896978433739</v>
      </c>
      <c r="JW13" s="80">
        <f t="shared" ref="JW13:JW14" si="182">6/JV13</f>
        <v>2.0620755554955315</v>
      </c>
      <c r="JY13" s="81">
        <f t="shared" ref="JY13:JY14" si="183">IZ13*$JW13</f>
        <v>1.9184716065960694</v>
      </c>
      <c r="JZ13" s="81">
        <f t="shared" ref="JZ13:JZ14" si="184">JA13*$JW13</f>
        <v>2.5815054250884237E-3</v>
      </c>
      <c r="KA13" s="81">
        <f t="shared" ref="KA13:KA14" si="185">2-JY13</f>
        <v>8.1528393403930588E-2</v>
      </c>
      <c r="KB13" s="81">
        <f t="shared" ref="KB13:KB14" si="186">IF(KC13-KA13&lt;0,0,KC13-KA13)</f>
        <v>8.3500750414230634E-2</v>
      </c>
      <c r="KC13" s="81">
        <f t="shared" ref="KC13:KC14" si="187">JB13*$JW13*2</f>
        <v>0.16502914381816122</v>
      </c>
      <c r="KD13" s="81">
        <f t="shared" ref="KD13:KD14" si="188">JC13*$JW13</f>
        <v>0.18627057660740134</v>
      </c>
      <c r="KE13" s="81">
        <f t="shared" ref="KE13:KE14" si="189">JD13*$JW13</f>
        <v>4.069646911286336E-3</v>
      </c>
      <c r="KF13" s="81">
        <f t="shared" ref="KF13:KF14" si="190">JE13*$JW13</f>
        <v>1.6883638841256177</v>
      </c>
      <c r="KG13" s="81">
        <f t="shared" ref="KG13:KG14" si="191">JF13*$JW13</f>
        <v>1.581194008393896E-2</v>
      </c>
      <c r="KH13" s="81">
        <f t="shared" ref="KH13:KH14" si="192">JG13*$JW13*2</f>
        <v>3.9924727069932473E-3</v>
      </c>
      <c r="KI13" s="81">
        <f t="shared" ref="KI13:KI14" si="193">JH13*$JW13*2</f>
        <v>0</v>
      </c>
      <c r="KJ13" s="81">
        <f t="shared" ref="KJ13:KJ14" si="194">JI13*$JW13*2</f>
        <v>9.2251840991338149E-3</v>
      </c>
      <c r="KK13" s="80">
        <f t="shared" ref="KK13:KK14" si="195">JY13+JZ13+KC13+KD13+KE13+KF13+KG13+KH13+KI13+KJ13</f>
        <v>3.99381596037369</v>
      </c>
      <c r="KL13" s="80">
        <f t="shared" ref="KL13:KL14" si="196">IF(KH13+KA13-KB13-2*JZ13-KJ13&gt;0,KH13+KA13-KB13-2*JZ13-KJ13,0)</f>
        <v>0</v>
      </c>
      <c r="KM13" s="80">
        <f t="shared" ref="KM13:KM14" si="197">12-48/KK13</f>
        <v>-1.8580845049449124E-2</v>
      </c>
      <c r="KN13" s="80">
        <f t="shared" ref="KN13:KN14" si="198">KH13</f>
        <v>3.9924727069932473E-3</v>
      </c>
      <c r="KO13" s="80">
        <f t="shared" ref="KO13:KO14" si="199">JZ13</f>
        <v>2.5815054250884237E-3</v>
      </c>
      <c r="KP13" s="80">
        <f t="shared" ref="KP13:KP14" si="200">KJ13</f>
        <v>9.2251840991338149E-3</v>
      </c>
      <c r="KQ13" s="80">
        <f t="shared" ref="KQ13:KQ14" si="201">(KB13-KN13-KP13)</f>
        <v>7.0283093608103572E-2</v>
      </c>
      <c r="KR13" s="80">
        <f t="shared" ref="KR13:KR14" si="202">KG13</f>
        <v>1.581194008393896E-2</v>
      </c>
      <c r="KS13" s="80">
        <f t="shared" ref="KS13:KS14" si="203">((KD13+KF13+KE13)-KO13-KQ13-KR13)/2</f>
        <v>0.89501378426358724</v>
      </c>
      <c r="KT13" s="80">
        <f t="shared" ref="KT13:KT14" si="204">KS13*(KF13/(KF13+KD13+KE13))</f>
        <v>0.80433578816198315</v>
      </c>
      <c r="KU13" s="80">
        <f t="shared" ref="KU13:KU14" si="205">KR13*(KF13/(KF13+KD13+KE13))</f>
        <v>1.4209959123980971E-2</v>
      </c>
      <c r="KV13" s="82">
        <f t="shared" ref="KV13:KV14" si="206">((0.5*KF13/(0.5*(KD13-KL13)+0.5*KF13+KH13+KG13+KE13)))*(0.5*KF13/(0.5*KF13+0.5*(KD13-KL13)+JZ13+KB13+KJ13+KL13))</f>
        <v>0.71799230960305527</v>
      </c>
      <c r="KW13" s="80">
        <f t="shared" ref="KW13:KW14" si="207">KG13/(KG13+LC13+LD13+KE13+KH13)</f>
        <v>1.581194008393896E-2</v>
      </c>
      <c r="KX13" s="80">
        <f t="shared" ref="KX13:KX14" si="208">(KD13-KL13)/((KD13-KL13)+KF13)</f>
        <v>9.9363678898000143E-2</v>
      </c>
      <c r="KY13" s="80">
        <f t="shared" ref="KY13:KY14" si="209">(KF13/(KG13+KF13-KL13+KD13+KE13+KH13))*(KF13/(KL13+KD13-KL13+KC13+JZ13+KJ13+KF13))</f>
        <v>0.73190434254336367</v>
      </c>
      <c r="KZ13" s="81">
        <f t="shared" ref="KZ13:KZ14" si="210">KF13/(KF13+(KD13-KL13))</f>
        <v>0.90063632110199987</v>
      </c>
      <c r="LA13" s="81">
        <f t="shared" ref="LA13:LA14" si="211">(1-KL13-KB13-JZ13-KJ13)*KZ13</f>
        <v>0.81479897902218179</v>
      </c>
      <c r="LB13" s="81">
        <f t="shared" ref="LB13:LB14" si="212">(1-KL13-KB13-JZ13-KJ13)*(1-KZ13)</f>
        <v>8.9893581039365261E-2</v>
      </c>
      <c r="LC13" s="81">
        <f t="shared" ref="LC13:LC14" si="213">(1-KG13-KH13-KE13)*KZ13</f>
        <v>0.87913447580202431</v>
      </c>
      <c r="LD13" s="81">
        <f t="shared" ref="LD13:LD14" si="214">(1-KG13-KH13-KE13)*(1-KZ13)</f>
        <v>9.6991464495757213E-2</v>
      </c>
      <c r="LE13" s="83">
        <f t="shared" ref="LE13:LE14" si="215">(LC13/(LC13+LD13+KG13+KH13+KE13))*(LA13/(KL13+JZ13+KB13+KJ13+LA13+LB13))</f>
        <v>0.71631787330669039</v>
      </c>
      <c r="LF13" s="80">
        <f t="shared" ref="LF13:LF14" si="216">SUM(KN13:KS13)</f>
        <v>0.99690798018684523</v>
      </c>
      <c r="LH13" s="69" t="str">
        <f t="shared" ref="LH13:LH14" si="217">B13</f>
        <v xml:space="preserve">A2-10 </v>
      </c>
      <c r="LI13" s="69">
        <f t="shared" ref="LI13:LI14" si="218">MO13</f>
        <v>15</v>
      </c>
      <c r="LK13" s="69">
        <f t="shared" ref="LK13:LK14" si="219">((1-HS13/2)*(1-HW13))/((1-KC13/2)*(1-KG13))</f>
        <v>0.33936524172786531</v>
      </c>
      <c r="LL13" s="69">
        <f t="shared" ref="LL13:LL14" si="220">1616.67+287.935*LN(LK13)+2.933*LI13</f>
        <v>1349.4998814915041</v>
      </c>
      <c r="LN13" s="69">
        <f t="shared" ref="LN13:LN14" si="221">(-7-LI13*0.06188+34*(KR13^2)-(21.905-LI13*0.05229)*IM13^2)/(0.0083143*LN(II13/KS13)+0.004431*IM13^2-0.00397)</f>
        <v>1115.4324064277482</v>
      </c>
      <c r="LO13" s="69">
        <f t="shared" ref="LO13:LO14" si="222">(-7-LI13*0.06188+34*(KU13^2)-(21.905-LI13*0.05229)*IK13^2)/(0.0083143*LN(IJ13/KT13)+0.004431*IK13^2-0.00397)</f>
        <v>1003.9180178063441</v>
      </c>
      <c r="LP13" s="69">
        <f t="shared" ref="LP13:LP14" si="223">(12.909+LI13*0.1633+34*KS13^2-(21.905-LI13*0.05229)*II13^2)/(0.0083143*LN(IM13/KR13)+0.004431*II13^2+0.0085)</f>
        <v>1071.4668432154442</v>
      </c>
      <c r="LQ13" s="69">
        <f t="shared" ref="LQ13:LQ14" si="224">(12.909+LI13*0.1633+34*KT13^2-(21.905-LI13*0.05229)*IJ13^2)/(0.0083143*LN(IK13/KU13)+0.004431*IJ13^2+0.0085)</f>
        <v>942.00879995554681</v>
      </c>
      <c r="LR13" s="69">
        <f t="shared" ref="LR13:LR14" si="225">IX13/LE13</f>
        <v>0.2320657625890245</v>
      </c>
      <c r="LS13" s="69">
        <f t="shared" ref="LS13:LS14" si="226">-273.15+(4900/(1.807-LN(LR13)))</f>
        <v>1226.3598340832227</v>
      </c>
      <c r="LT13" s="69">
        <f t="shared" ref="LT13:LT14" si="227">-273.15+(7045/(2.47-LN(KW13/IR13)))</f>
        <v>913.40477858906809</v>
      </c>
      <c r="LV13" s="69">
        <f t="shared" ref="LV13:LV14" si="228">-273.15+(-10202/(LN(IX13/LE13)-7.65*(1-KZ13)+3.88*(1-KZ13)^2-4.6))</f>
        <v>1231.0020806522225</v>
      </c>
      <c r="LW13" s="69">
        <f t="shared" ref="LW13:LW14" si="229">-273.15+(3666/(0.8808-LN(KB13/(0.5*KF13))))</f>
        <v>874.51482225815414</v>
      </c>
      <c r="LY13" s="69">
        <f t="shared" ref="LY13:LY14" si="230">10*(1.279/(KG13/(1-HW13)+0.006)-2.29)</f>
        <v>226.48368499973958</v>
      </c>
      <c r="LZ13" s="69">
        <f t="shared" ref="LZ13:LZ14" si="231">10*(1.073/(KG13/(1-HW13)+0.028)-1.65)</f>
        <v>129.91181670978597</v>
      </c>
      <c r="MB13" s="69">
        <f t="shared" ref="MB13:MB14" si="232">26.23-0.02229*LI13</f>
        <v>25.89565</v>
      </c>
      <c r="MC13" s="69">
        <f t="shared" ref="MC13:MC14" si="233">32.44-0.08646*LI13</f>
        <v>31.143099999999997</v>
      </c>
      <c r="MD13" s="69">
        <f t="shared" ref="MD13:MD14" si="234">28.6-1.749*LI13</f>
        <v>2.3649999999999984</v>
      </c>
      <c r="ME13" s="69">
        <f t="shared" ref="ME13:ME14" si="235">-273.15+((4.261+0.059*LI13+MB13*IR13^2*(1-2*IX13)+2*MC13*IX13*IR13^2-MD13*KW13^2)/(0.002721-0.0083143*LN(IX13/LE13)))</f>
        <v>550.52865183628194</v>
      </c>
      <c r="MF13" s="69">
        <f t="shared" ref="MF13:MF14" si="236">-273.15+(-35.92-1.753*LI13+MC13*IX13^2*(1-2*IR13)+2*MB13*IR13*IX13^2-MD13*LE13^2)/(-0.02097-0.0083143*LN(IR13/KW13))</f>
        <v>986.21940112906771</v>
      </c>
      <c r="MH13" s="69">
        <f t="shared" ref="MH13:MH14" si="237">-273.15+(6425+26.4*LI13)/(-LN(KG13)+1.843)</f>
        <v>865.58313442475753</v>
      </c>
      <c r="MI13" s="69">
        <f>-273.15+((35000+61.5*LI13)/((LN(KH13/HX13))^2+19.8))</f>
        <v>921.55360647222926</v>
      </c>
      <c r="MK13" s="69">
        <f t="shared" ref="MK13:MK14" si="238">-273.15+(7341/(3.355+2.44*(1-KZ13)-LN(IX13/LE13)))</f>
        <v>1178.1619924446818</v>
      </c>
      <c r="MM13" s="69">
        <f t="shared" ref="MM13:MM14" si="239">IF(HV13/(HV13+HT13)&gt;0.7,GG13,0)</f>
        <v>26.59853216225158</v>
      </c>
      <c r="MN13" s="69">
        <f t="shared" ref="MN13:MN14" si="240">IF(MM13=0,0,MM13-LI13)</f>
        <v>11.59853216225158</v>
      </c>
      <c r="MO13" s="66">
        <f t="shared" ref="MO13:MO14" si="241">10*A13</f>
        <v>15</v>
      </c>
    </row>
    <row r="14" spans="1:353" s="69" customFormat="1" ht="15" x14ac:dyDescent="0.2">
      <c r="A14" s="64">
        <v>1.5</v>
      </c>
      <c r="B14" s="65" t="s">
        <v>198</v>
      </c>
      <c r="C14" s="66" t="s">
        <v>200</v>
      </c>
      <c r="D14" s="67"/>
      <c r="E14" s="68">
        <v>53</v>
      </c>
      <c r="F14" s="68">
        <v>0.43</v>
      </c>
      <c r="G14" s="68">
        <v>6.09</v>
      </c>
      <c r="H14" s="68">
        <v>2.4900000000000002</v>
      </c>
      <c r="I14" s="68">
        <v>0.09</v>
      </c>
      <c r="J14" s="68">
        <v>14.5</v>
      </c>
      <c r="K14" s="68">
        <v>20.8</v>
      </c>
      <c r="L14" s="68">
        <v>1.85</v>
      </c>
      <c r="M14" s="68"/>
      <c r="N14" s="68">
        <v>0.92</v>
      </c>
      <c r="P14" s="68">
        <v>55.9</v>
      </c>
      <c r="Q14" s="68">
        <v>0.12</v>
      </c>
      <c r="R14" s="68">
        <v>3.96</v>
      </c>
      <c r="S14" s="68">
        <v>6.47</v>
      </c>
      <c r="T14" s="68">
        <v>0.15</v>
      </c>
      <c r="U14" s="68">
        <v>32.799999999999997</v>
      </c>
      <c r="V14" s="68">
        <v>0.45</v>
      </c>
      <c r="W14" s="68">
        <v>7.0000000000000007E-2</v>
      </c>
      <c r="X14" s="68"/>
      <c r="Y14" s="68">
        <v>0.38</v>
      </c>
      <c r="Z14" s="66"/>
      <c r="AA14" s="68">
        <v>42.5</v>
      </c>
      <c r="AB14" s="68">
        <v>0.02</v>
      </c>
      <c r="AC14" s="68">
        <v>0.32</v>
      </c>
      <c r="AD14" s="68">
        <v>9.7899999999999991</v>
      </c>
      <c r="AE14" s="68">
        <v>0.14000000000000001</v>
      </c>
      <c r="AF14" s="68">
        <v>47.6</v>
      </c>
      <c r="AG14" s="68">
        <v>0.06</v>
      </c>
      <c r="AH14" s="68"/>
      <c r="AI14" s="68"/>
      <c r="AJ14" s="68">
        <v>0.04</v>
      </c>
      <c r="AK14" s="66">
        <f t="shared" si="0"/>
        <v>0.1034411336189911</v>
      </c>
      <c r="AL14" s="66">
        <f t="shared" si="1"/>
        <v>0.8965588663810089</v>
      </c>
      <c r="AM14" s="68"/>
      <c r="AN14" s="68">
        <v>0.1</v>
      </c>
      <c r="AO14" s="68">
        <v>55.8</v>
      </c>
      <c r="AP14" s="68">
        <v>12</v>
      </c>
      <c r="AQ14" s="68">
        <v>0.12</v>
      </c>
      <c r="AR14" s="68">
        <v>19.8</v>
      </c>
      <c r="AS14" s="68"/>
      <c r="AT14" s="68"/>
      <c r="AU14" s="68"/>
      <c r="AV14" s="68">
        <v>12.6</v>
      </c>
      <c r="AW14" s="66"/>
      <c r="AX14" s="70">
        <f t="shared" si="2"/>
        <v>-1.3663973580362956</v>
      </c>
      <c r="AY14" s="70">
        <f t="shared" ca="1" si="3"/>
        <v>-1.3453136809719772</v>
      </c>
      <c r="AZ14" s="71"/>
      <c r="BA14" s="70">
        <f t="shared" si="4"/>
        <v>-1.6586329433501739</v>
      </c>
      <c r="BB14" s="70">
        <f t="shared" ca="1" si="5"/>
        <v>-1.5922120794336792</v>
      </c>
      <c r="BC14" s="66"/>
      <c r="BD14" s="72">
        <f t="shared" si="6"/>
        <v>-2.3861874919867616</v>
      </c>
      <c r="BE14" s="72">
        <f t="shared" ca="1" si="7"/>
        <v>-2.3490765654064827</v>
      </c>
      <c r="BF14" s="72">
        <f t="shared" si="8"/>
        <v>-0.91018870525628959</v>
      </c>
      <c r="BG14" s="72">
        <f t="shared" ca="1" si="9"/>
        <v>-0.87678142961813421</v>
      </c>
      <c r="BH14" s="66"/>
      <c r="BI14" s="72">
        <f t="shared" si="10"/>
        <v>-11.786366853914998</v>
      </c>
      <c r="BJ14" s="72">
        <f t="shared" ca="1" si="11"/>
        <v>-12.17864161662037</v>
      </c>
      <c r="BK14" s="71"/>
      <c r="BL14" s="71"/>
      <c r="BM14" s="72">
        <f t="shared" si="12"/>
        <v>-13.152764211951293</v>
      </c>
      <c r="BN14" s="72">
        <f t="shared" ca="1" si="13"/>
        <v>-13.523955297592346</v>
      </c>
      <c r="BO14" s="73"/>
      <c r="BP14" s="72">
        <f t="shared" si="14"/>
        <v>-13.444999797265172</v>
      </c>
      <c r="BQ14" s="72">
        <f t="shared" ca="1" si="15"/>
        <v>-13.770853696054049</v>
      </c>
      <c r="BR14" s="71"/>
      <c r="BS14" s="72">
        <f t="shared" si="16"/>
        <v>-12.696555559171287</v>
      </c>
      <c r="BT14" s="72">
        <f t="shared" ca="1" si="17"/>
        <v>-13.055423046238504</v>
      </c>
      <c r="BU14" s="66"/>
      <c r="BV14" s="74">
        <v>60.08</v>
      </c>
      <c r="BW14" s="74">
        <v>79.88</v>
      </c>
      <c r="BX14" s="74">
        <v>101.96</v>
      </c>
      <c r="BY14" s="74">
        <v>159.69</v>
      </c>
      <c r="BZ14" s="74">
        <v>71.849999999999994</v>
      </c>
      <c r="CA14" s="74">
        <v>70.94</v>
      </c>
      <c r="CB14" s="74">
        <v>40.299999999999997</v>
      </c>
      <c r="CC14" s="74">
        <v>151.99</v>
      </c>
      <c r="CD14" s="66"/>
      <c r="CE14" s="66">
        <f t="shared" si="18"/>
        <v>0</v>
      </c>
      <c r="CF14" s="66">
        <f t="shared" si="19"/>
        <v>1.2518778167250877E-3</v>
      </c>
      <c r="CG14" s="66">
        <f t="shared" si="20"/>
        <v>0.54727344056492744</v>
      </c>
      <c r="CH14" s="66">
        <f t="shared" si="21"/>
        <v>0.16701461377870566</v>
      </c>
      <c r="CI14" s="66">
        <f t="shared" si="22"/>
        <v>1.6915703411333521E-3</v>
      </c>
      <c r="CJ14" s="66">
        <f t="shared" si="23"/>
        <v>0.49131513647642683</v>
      </c>
      <c r="CK14" s="66">
        <f t="shared" si="24"/>
        <v>8.2900190802026444E-2</v>
      </c>
      <c r="CL14" s="66"/>
      <c r="CM14" s="66">
        <f t="shared" si="25"/>
        <v>0</v>
      </c>
      <c r="CN14" s="66">
        <f t="shared" si="25"/>
        <v>2.5037556334501754E-3</v>
      </c>
      <c r="CO14" s="66">
        <f t="shared" si="26"/>
        <v>1.6418203216947824</v>
      </c>
      <c r="CP14" s="66">
        <f t="shared" si="27"/>
        <v>0.16701461377870566</v>
      </c>
      <c r="CQ14" s="66">
        <f t="shared" si="27"/>
        <v>1.6915703411333521E-3</v>
      </c>
      <c r="CR14" s="66">
        <f t="shared" si="27"/>
        <v>0.49131513647642683</v>
      </c>
      <c r="CS14" s="66">
        <f t="shared" si="28"/>
        <v>0.24870057240607935</v>
      </c>
      <c r="CT14" s="66">
        <f t="shared" si="29"/>
        <v>2.5530459703305777</v>
      </c>
      <c r="CU14" s="74">
        <v>32</v>
      </c>
      <c r="CV14" s="66">
        <f t="shared" si="30"/>
        <v>12.534047710804254</v>
      </c>
      <c r="CW14" s="66"/>
      <c r="CX14" s="66">
        <f t="shared" si="31"/>
        <v>0</v>
      </c>
      <c r="CY14" s="66">
        <f t="shared" si="32"/>
        <v>3.1382192565859425E-2</v>
      </c>
      <c r="CZ14" s="66">
        <f t="shared" si="33"/>
        <v>20.578654244690391</v>
      </c>
      <c r="DA14" s="66">
        <f t="shared" si="34"/>
        <v>2.0933691375038421</v>
      </c>
      <c r="DB14" s="66">
        <f t="shared" si="35"/>
        <v>2.1202223361946864E-2</v>
      </c>
      <c r="DC14" s="66">
        <f t="shared" si="36"/>
        <v>6.1581673616358374</v>
      </c>
      <c r="DD14" s="66">
        <f t="shared" si="37"/>
        <v>3.1172248402421263</v>
      </c>
      <c r="DE14" s="66">
        <f t="shared" si="38"/>
        <v>32</v>
      </c>
      <c r="DF14" s="66"/>
      <c r="DG14" s="66">
        <f t="shared" si="39"/>
        <v>0</v>
      </c>
      <c r="DH14" s="66">
        <f t="shared" si="40"/>
        <v>1.5691096282929713E-2</v>
      </c>
      <c r="DI14" s="66">
        <f t="shared" si="41"/>
        <v>13.719102829793593</v>
      </c>
      <c r="DJ14" s="66">
        <f t="shared" si="42"/>
        <v>2.0933691375038421</v>
      </c>
      <c r="DK14" s="66">
        <f t="shared" si="43"/>
        <v>2.1202223361946864E-2</v>
      </c>
      <c r="DL14" s="66">
        <f t="shared" si="44"/>
        <v>6.1581673616358374</v>
      </c>
      <c r="DM14" s="66">
        <f t="shared" si="45"/>
        <v>2.0781498934947509</v>
      </c>
      <c r="DN14" s="66">
        <f t="shared" si="46"/>
        <v>24.085682542072899</v>
      </c>
      <c r="DO14" s="66">
        <f t="shared" si="47"/>
        <v>0.99644259439510474</v>
      </c>
      <c r="DP14" s="66"/>
      <c r="DQ14" s="66">
        <f t="shared" si="48"/>
        <v>0</v>
      </c>
      <c r="DR14" s="66">
        <f t="shared" si="49"/>
        <v>1.5635276689065867E-2</v>
      </c>
      <c r="DS14" s="66">
        <f t="shared" si="50"/>
        <v>13.67029841649275</v>
      </c>
      <c r="DT14" s="66">
        <f t="shared" si="51"/>
        <v>2.0859221744009711</v>
      </c>
      <c r="DU14" s="66">
        <f t="shared" si="52"/>
        <v>2.1126798453722832E-2</v>
      </c>
      <c r="DV14" s="66">
        <f t="shared" si="53"/>
        <v>6.1362602625476708</v>
      </c>
      <c r="DW14" s="66">
        <f t="shared" si="54"/>
        <v>2.0707570714158203</v>
      </c>
      <c r="DX14" s="66">
        <f t="shared" si="55"/>
        <v>24</v>
      </c>
      <c r="DY14" s="66"/>
      <c r="DZ14" s="66">
        <f t="shared" si="56"/>
        <v>0.25369446499110809</v>
      </c>
      <c r="EA14" s="66">
        <f t="shared" si="57"/>
        <v>0.13155134819303979</v>
      </c>
      <c r="EB14" s="66"/>
      <c r="EC14" s="66">
        <f t="shared" si="58"/>
        <v>1.8582482156876745</v>
      </c>
      <c r="ED14" s="66">
        <f t="shared" si="59"/>
        <v>0.22767395871329654</v>
      </c>
      <c r="EE14" s="66">
        <f t="shared" si="60"/>
        <v>0.89085213172985267</v>
      </c>
      <c r="EF14" s="66">
        <f t="shared" si="61"/>
        <v>0.10914786827014736</v>
      </c>
      <c r="EG14" s="66"/>
      <c r="EH14" s="66">
        <f t="shared" si="62"/>
        <v>0</v>
      </c>
      <c r="EI14" s="66">
        <f t="shared" si="63"/>
        <v>0.1</v>
      </c>
      <c r="EJ14" s="66">
        <f t="shared" si="64"/>
        <v>55.8</v>
      </c>
      <c r="EK14" s="66">
        <f t="shared" si="65"/>
        <v>1.4555523121033771</v>
      </c>
      <c r="EL14" s="66">
        <f t="shared" si="66"/>
        <v>10.690225580758232</v>
      </c>
      <c r="EM14" s="66">
        <f t="shared" si="67"/>
        <v>0.12</v>
      </c>
      <c r="EN14" s="66">
        <f t="shared" si="68"/>
        <v>19.8</v>
      </c>
      <c r="EO14" s="66">
        <f t="shared" si="69"/>
        <v>12.6</v>
      </c>
      <c r="EP14" s="66">
        <f t="shared" si="70"/>
        <v>100.5657778928616</v>
      </c>
      <c r="EQ14" s="66"/>
      <c r="ER14" s="66">
        <f t="shared" si="71"/>
        <v>0</v>
      </c>
      <c r="ES14" s="66">
        <f t="shared" si="72"/>
        <v>1.5635276689065867E-2</v>
      </c>
      <c r="ET14" s="66">
        <f t="shared" si="73"/>
        <v>13.67029841649275</v>
      </c>
      <c r="EU14" s="66">
        <f t="shared" si="74"/>
        <v>0.22767395871329654</v>
      </c>
      <c r="EV14" s="66">
        <f t="shared" si="75"/>
        <v>1.8582482156876745</v>
      </c>
      <c r="EW14" s="66">
        <f t="shared" si="76"/>
        <v>2.1126798453722832E-2</v>
      </c>
      <c r="EX14" s="66">
        <f t="shared" si="77"/>
        <v>6.1362602625476708</v>
      </c>
      <c r="EY14" s="66">
        <f t="shared" si="78"/>
        <v>2.0707570714158203</v>
      </c>
      <c r="EZ14" s="66">
        <f t="shared" si="79"/>
        <v>24</v>
      </c>
      <c r="FA14" s="66"/>
      <c r="FB14" s="66">
        <f t="shared" si="80"/>
        <v>0.23244058352638733</v>
      </c>
      <c r="FC14" s="66">
        <f t="shared" si="81"/>
        <v>1.425748738960946E-2</v>
      </c>
      <c r="FD14" s="66">
        <f t="shared" si="82"/>
        <v>0.85606675610529903</v>
      </c>
      <c r="FE14" s="66"/>
      <c r="FF14" s="66"/>
      <c r="FG14" s="66">
        <f t="shared" si="83"/>
        <v>6.5204384533204941E-4</v>
      </c>
      <c r="FH14" s="66">
        <f t="shared" si="84"/>
        <v>0.57009761474576803</v>
      </c>
      <c r="FI14" s="66">
        <f t="shared" si="85"/>
        <v>9.4947730362332037E-3</v>
      </c>
      <c r="FJ14" s="66">
        <f t="shared" si="86"/>
        <v>7.7495226738504341E-2</v>
      </c>
      <c r="FK14" s="66">
        <f t="shared" si="87"/>
        <v>0.2559027778733145</v>
      </c>
      <c r="FL14" s="66">
        <f t="shared" si="88"/>
        <v>8.6357563760847925E-2</v>
      </c>
      <c r="FM14" s="66">
        <f t="shared" si="89"/>
        <v>2.9973591501932848</v>
      </c>
      <c r="FN14" s="66">
        <f t="shared" si="90"/>
        <v>8.9074004693865724E-3</v>
      </c>
      <c r="FO14" s="66">
        <f t="shared" si="91"/>
        <v>7.8082599305350858E-2</v>
      </c>
      <c r="FP14" s="66"/>
      <c r="FQ14" s="66">
        <f t="shared" si="92"/>
        <v>0</v>
      </c>
      <c r="FR14" s="66">
        <f t="shared" si="93"/>
        <v>1.9544095861332334E-3</v>
      </c>
      <c r="FS14" s="66">
        <f t="shared" si="94"/>
        <v>1.7087873020615938</v>
      </c>
      <c r="FT14" s="66">
        <f t="shared" si="95"/>
        <v>2.8459244839162068E-2</v>
      </c>
      <c r="FU14" s="66">
        <f t="shared" si="96"/>
        <v>0.23228102696095931</v>
      </c>
      <c r="FV14" s="66">
        <f t="shared" si="97"/>
        <v>2.640849806715354E-3</v>
      </c>
      <c r="FW14" s="66">
        <f t="shared" si="98"/>
        <v>0.76703253281845885</v>
      </c>
      <c r="FX14" s="66">
        <f t="shared" si="99"/>
        <v>0.25884463392697754</v>
      </c>
      <c r="FZ14" s="75">
        <f t="shared" ca="1" si="100"/>
        <v>853.67565549100402</v>
      </c>
      <c r="GA14" s="75">
        <f t="shared" ca="1" si="101"/>
        <v>-2.1827758062089799</v>
      </c>
      <c r="GB14" s="76">
        <f t="shared" si="102"/>
        <v>0.91213093993591743</v>
      </c>
      <c r="GC14" s="77">
        <f t="shared" ca="1" si="103"/>
        <v>847.95604311813406</v>
      </c>
      <c r="GD14" s="77"/>
      <c r="GE14" s="77">
        <f t="shared" ca="1" si="104"/>
        <v>853.67565549100402</v>
      </c>
      <c r="GF14" s="77">
        <f t="shared" ca="1" si="105"/>
        <v>833.87512476122822</v>
      </c>
      <c r="GG14" s="77">
        <f t="shared" si="106"/>
        <v>14.358242954477001</v>
      </c>
      <c r="GH14" s="77">
        <f t="shared" ca="1" si="107"/>
        <v>-2.1827758062089799</v>
      </c>
      <c r="GI14" s="77">
        <f t="shared" si="108"/>
        <v>978.51476014036382</v>
      </c>
      <c r="GJ14" s="77">
        <f t="shared" si="109"/>
        <v>869.38646781461705</v>
      </c>
      <c r="GK14" s="77">
        <f t="shared" ca="1" si="110"/>
        <v>725.61740409470394</v>
      </c>
      <c r="GL14" s="78">
        <f t="shared" si="111"/>
        <v>0.87056440867665086</v>
      </c>
      <c r="GM14" s="79"/>
      <c r="GN14" s="69">
        <f t="shared" si="112"/>
        <v>8.4533349223134227E-2</v>
      </c>
      <c r="GP14" s="69">
        <f t="shared" si="113"/>
        <v>0.88209399127559118</v>
      </c>
      <c r="GQ14" s="69">
        <f t="shared" si="114"/>
        <v>5.383155480553038E-3</v>
      </c>
      <c r="GR14" s="69">
        <f t="shared" si="115"/>
        <v>5.9728719804631181E-2</v>
      </c>
      <c r="GS14" s="69">
        <f t="shared" si="116"/>
        <v>3.4657268840192414E-2</v>
      </c>
      <c r="GT14" s="69">
        <f t="shared" si="117"/>
        <v>1.2687224669603525E-3</v>
      </c>
      <c r="GU14" s="69">
        <f t="shared" si="118"/>
        <v>0.35976220958505772</v>
      </c>
      <c r="GV14" s="69">
        <f t="shared" si="119"/>
        <v>0.37091591264930263</v>
      </c>
      <c r="GW14" s="69">
        <f t="shared" si="120"/>
        <v>2.9848867921179627E-2</v>
      </c>
      <c r="GX14" s="69">
        <f t="shared" si="121"/>
        <v>0</v>
      </c>
      <c r="GY14" s="69">
        <f t="shared" si="122"/>
        <v>6.0527032556964497E-3</v>
      </c>
      <c r="GZ14" s="69">
        <f t="shared" si="123"/>
        <v>1.7497115512791648</v>
      </c>
      <c r="HB14" s="80">
        <f t="shared" si="124"/>
        <v>1.7641879825511824</v>
      </c>
      <c r="HC14" s="80">
        <f t="shared" si="124"/>
        <v>1.0766310961106076E-2</v>
      </c>
      <c r="HD14" s="80">
        <f t="shared" si="125"/>
        <v>0.17918615941389354</v>
      </c>
      <c r="HE14" s="80">
        <f t="shared" si="126"/>
        <v>3.4657268840192414E-2</v>
      </c>
      <c r="HF14" s="80">
        <f t="shared" si="126"/>
        <v>1.2687224669603525E-3</v>
      </c>
      <c r="HG14" s="80">
        <f t="shared" si="126"/>
        <v>0.35976220958505772</v>
      </c>
      <c r="HH14" s="80">
        <f t="shared" si="126"/>
        <v>0.37091591264930263</v>
      </c>
      <c r="HI14" s="80">
        <f t="shared" si="126"/>
        <v>2.9848867921179627E-2</v>
      </c>
      <c r="HJ14" s="80">
        <f t="shared" si="126"/>
        <v>0</v>
      </c>
      <c r="HK14" s="80">
        <f t="shared" si="127"/>
        <v>1.8158109767089349E-2</v>
      </c>
      <c r="HL14" s="80">
        <f t="shared" si="128"/>
        <v>2.7687515441559638</v>
      </c>
      <c r="HM14" s="80">
        <f t="shared" si="129"/>
        <v>2.1670416808125199</v>
      </c>
      <c r="HO14" s="81">
        <f t="shared" si="130"/>
        <v>1.9115344454884813</v>
      </c>
      <c r="HP14" s="81">
        <f t="shared" si="131"/>
        <v>1.1665522300652783E-2</v>
      </c>
      <c r="HQ14" s="81">
        <f t="shared" si="132"/>
        <v>8.8465554511518718E-2</v>
      </c>
      <c r="HR14" s="81">
        <f t="shared" si="133"/>
        <v>0.17040369620489726</v>
      </c>
      <c r="HS14" s="81">
        <f t="shared" si="134"/>
        <v>0.25886925071641598</v>
      </c>
      <c r="HT14" s="81">
        <f t="shared" si="135"/>
        <v>7.5103746119821943E-2</v>
      </c>
      <c r="HU14" s="81">
        <f t="shared" si="136"/>
        <v>2.7493744672863691E-3</v>
      </c>
      <c r="HV14" s="81">
        <f t="shared" si="137"/>
        <v>0.77961970335202957</v>
      </c>
      <c r="HW14" s="81">
        <f t="shared" si="138"/>
        <v>0.80379024278765454</v>
      </c>
      <c r="HX14" s="81">
        <f t="shared" si="139"/>
        <v>0.12936748182052801</v>
      </c>
      <c r="HY14" s="81">
        <f t="shared" si="140"/>
        <v>0</v>
      </c>
      <c r="HZ14" s="81">
        <f t="shared" si="141"/>
        <v>2.6232920473367692E-2</v>
      </c>
      <c r="IA14" s="80">
        <f t="shared" si="142"/>
        <v>3.9989326875262381</v>
      </c>
      <c r="IB14" s="80">
        <f t="shared" si="143"/>
        <v>0</v>
      </c>
      <c r="IC14" s="80">
        <f t="shared" si="144"/>
        <v>-3.2027920162533974E-3</v>
      </c>
      <c r="ID14" s="80">
        <f t="shared" si="145"/>
        <v>0.12936748182052801</v>
      </c>
      <c r="IE14" s="80">
        <f t="shared" si="146"/>
        <v>4.1036214384369246E-2</v>
      </c>
      <c r="IF14" s="80">
        <f t="shared" si="147"/>
        <v>2.3714670063574736E-2</v>
      </c>
      <c r="IG14" s="80">
        <f t="shared" si="148"/>
        <v>1.3116460236683846E-2</v>
      </c>
      <c r="IH14" s="80">
        <f t="shared" si="149"/>
        <v>0.72592289810302668</v>
      </c>
      <c r="II14" s="80">
        <f t="shared" si="150"/>
        <v>6.4400275684412422E-2</v>
      </c>
      <c r="IJ14" s="80">
        <f t="shared" si="151"/>
        <v>5.8553137106108689E-2</v>
      </c>
      <c r="IK14" s="80">
        <f t="shared" si="152"/>
        <v>0.66001368052184128</v>
      </c>
      <c r="IL14" s="80">
        <f t="shared" si="153"/>
        <v>0.997558000292595</v>
      </c>
      <c r="IM14" s="80">
        <f t="shared" si="154"/>
        <v>0.72592289810302668</v>
      </c>
      <c r="IN14" s="80"/>
      <c r="IO14" s="69">
        <f t="shared" si="155"/>
        <v>0.91213093993591743</v>
      </c>
      <c r="IP14" s="80">
        <f t="shared" si="156"/>
        <v>7.5103746119821943E-2</v>
      </c>
      <c r="IQ14" s="82">
        <f t="shared" si="157"/>
        <v>0.17534629560120704</v>
      </c>
      <c r="IR14" s="81">
        <f t="shared" si="158"/>
        <v>0.5896050938364723</v>
      </c>
      <c r="IS14" s="81">
        <f t="shared" si="159"/>
        <v>0.29478068373809468</v>
      </c>
      <c r="IT14" s="81">
        <f t="shared" si="160"/>
        <v>0.72213211411841516</v>
      </c>
      <c r="IU14" s="81">
        <f t="shared" si="161"/>
        <v>6.9565746902667175E-2</v>
      </c>
      <c r="IV14" s="81">
        <f t="shared" si="162"/>
        <v>5.8461117963512159E-2</v>
      </c>
      <c r="IW14" s="81">
        <f t="shared" si="163"/>
        <v>5.6317829610189139E-3</v>
      </c>
      <c r="IX14" s="81">
        <f t="shared" si="164"/>
        <v>4.2216650708717093E-2</v>
      </c>
      <c r="IY14" s="81">
        <f t="shared" si="165"/>
        <v>5.2990228047784312E-2</v>
      </c>
      <c r="IZ14" s="69">
        <f t="shared" si="166"/>
        <v>0.93035951155293484</v>
      </c>
      <c r="JA14" s="69">
        <f t="shared" si="167"/>
        <v>1.5022759480613128E-3</v>
      </c>
      <c r="JB14" s="69">
        <f t="shared" si="168"/>
        <v>3.8838379380351312E-2</v>
      </c>
      <c r="JC14" s="69">
        <f t="shared" si="169"/>
        <v>9.0053224657046141E-2</v>
      </c>
      <c r="JD14" s="69">
        <f t="shared" si="170"/>
        <v>2.1145374449339205E-3</v>
      </c>
      <c r="JE14" s="69">
        <f t="shared" si="171"/>
        <v>0.81380692926826836</v>
      </c>
      <c r="JF14" s="69">
        <f t="shared" si="172"/>
        <v>8.0246231102012577E-3</v>
      </c>
      <c r="JG14" s="69">
        <f t="shared" si="173"/>
        <v>1.1294166240446346E-3</v>
      </c>
      <c r="JH14" s="69">
        <f t="shared" si="174"/>
        <v>0</v>
      </c>
      <c r="JI14" s="69">
        <f t="shared" si="175"/>
        <v>2.500029605613751E-3</v>
      </c>
      <c r="JJ14" s="69">
        <f t="shared" si="176"/>
        <v>1.8883289275914552</v>
      </c>
      <c r="JL14" s="80">
        <f t="shared" si="177"/>
        <v>1.8607190231058697</v>
      </c>
      <c r="JM14" s="80">
        <f t="shared" si="177"/>
        <v>3.0045518961226256E-3</v>
      </c>
      <c r="JN14" s="80">
        <f t="shared" si="178"/>
        <v>0.11651513814105394</v>
      </c>
      <c r="JO14" s="80">
        <f t="shared" si="179"/>
        <v>9.0053224657046141E-2</v>
      </c>
      <c r="JP14" s="80">
        <f t="shared" si="179"/>
        <v>2.1145374449339205E-3</v>
      </c>
      <c r="JQ14" s="80">
        <f t="shared" si="179"/>
        <v>0.81380692926826836</v>
      </c>
      <c r="JR14" s="80">
        <f t="shared" si="179"/>
        <v>8.0246231102012577E-3</v>
      </c>
      <c r="JS14" s="80">
        <f t="shared" si="179"/>
        <v>1.1294166240446346E-3</v>
      </c>
      <c r="JT14" s="80">
        <f t="shared" si="179"/>
        <v>0</v>
      </c>
      <c r="JU14" s="80">
        <f t="shared" si="180"/>
        <v>7.5000888168412529E-3</v>
      </c>
      <c r="JV14" s="80">
        <f t="shared" si="181"/>
        <v>2.9028675330643821</v>
      </c>
      <c r="JW14" s="80">
        <f t="shared" si="182"/>
        <v>2.0669217357177034</v>
      </c>
      <c r="JY14" s="81">
        <f t="shared" si="183"/>
        <v>1.9229802964604668</v>
      </c>
      <c r="JZ14" s="81">
        <f t="shared" si="184"/>
        <v>3.105086810093847E-3</v>
      </c>
      <c r="KA14" s="81">
        <f t="shared" si="185"/>
        <v>7.7019703539533246E-2</v>
      </c>
      <c r="KB14" s="81">
        <f t="shared" si="186"/>
        <v>8.3532077503063545E-2</v>
      </c>
      <c r="KC14" s="81">
        <f t="shared" si="187"/>
        <v>0.16055178104259679</v>
      </c>
      <c r="KD14" s="81">
        <f t="shared" si="188"/>
        <v>0.18613296741511809</v>
      </c>
      <c r="KE14" s="81">
        <f t="shared" si="189"/>
        <v>4.3705834059228968E-3</v>
      </c>
      <c r="KF14" s="81">
        <f t="shared" si="190"/>
        <v>1.6820752307822635</v>
      </c>
      <c r="KG14" s="81">
        <f t="shared" si="191"/>
        <v>1.6586267927417579E-2</v>
      </c>
      <c r="KH14" s="81">
        <f t="shared" si="192"/>
        <v>4.6688315378375297E-3</v>
      </c>
      <c r="KI14" s="81">
        <f t="shared" si="193"/>
        <v>0</v>
      </c>
      <c r="KJ14" s="81">
        <f t="shared" si="194"/>
        <v>1.033473106356164E-2</v>
      </c>
      <c r="KK14" s="80">
        <f t="shared" si="195"/>
        <v>3.9908057764452787</v>
      </c>
      <c r="KL14" s="80">
        <f t="shared" si="196"/>
        <v>0</v>
      </c>
      <c r="KM14" s="80">
        <f t="shared" si="197"/>
        <v>-2.7646217039139387E-2</v>
      </c>
      <c r="KN14" s="80">
        <f t="shared" si="198"/>
        <v>4.6688315378375297E-3</v>
      </c>
      <c r="KO14" s="80">
        <f t="shared" si="199"/>
        <v>3.105086810093847E-3</v>
      </c>
      <c r="KP14" s="80">
        <f t="shared" si="200"/>
        <v>1.033473106356164E-2</v>
      </c>
      <c r="KQ14" s="80">
        <f t="shared" si="201"/>
        <v>6.8528514901664367E-2</v>
      </c>
      <c r="KR14" s="80">
        <f t="shared" si="202"/>
        <v>1.6586267927417579E-2</v>
      </c>
      <c r="KS14" s="80">
        <f t="shared" si="203"/>
        <v>0.89217945598206438</v>
      </c>
      <c r="KT14" s="80">
        <f t="shared" si="204"/>
        <v>0.80141512819840499</v>
      </c>
      <c r="KU14" s="80">
        <f t="shared" si="205"/>
        <v>1.4898892760036465E-2</v>
      </c>
      <c r="KV14" s="82">
        <f t="shared" si="206"/>
        <v>0.71481094302665926</v>
      </c>
      <c r="KW14" s="80">
        <f t="shared" si="207"/>
        <v>1.6586267927417579E-2</v>
      </c>
      <c r="KX14" s="80">
        <f t="shared" si="208"/>
        <v>9.9631811697816236E-2</v>
      </c>
      <c r="KY14" s="80">
        <f t="shared" si="209"/>
        <v>0.73156129631712186</v>
      </c>
      <c r="KZ14" s="81">
        <f t="shared" si="210"/>
        <v>0.90036818830218368</v>
      </c>
      <c r="LA14" s="81">
        <f t="shared" si="211"/>
        <v>0.81305777854561823</v>
      </c>
      <c r="LB14" s="81">
        <f t="shared" si="212"/>
        <v>8.9970326077662699E-2</v>
      </c>
      <c r="LC14" s="81">
        <f t="shared" si="213"/>
        <v>0.87729563864145488</v>
      </c>
      <c r="LD14" s="81">
        <f t="shared" si="214"/>
        <v>9.7078678487367162E-2</v>
      </c>
      <c r="LE14" s="83">
        <f t="shared" si="215"/>
        <v>0.71329204308158078</v>
      </c>
      <c r="LF14" s="80">
        <f t="shared" si="216"/>
        <v>0.99540288822263934</v>
      </c>
      <c r="LH14" s="69" t="str">
        <f t="shared" si="217"/>
        <v xml:space="preserve">A2-11 </v>
      </c>
      <c r="LI14" s="69">
        <f t="shared" si="218"/>
        <v>15</v>
      </c>
      <c r="LK14" s="69">
        <f t="shared" si="219"/>
        <v>0.18885485357165172</v>
      </c>
      <c r="LL14" s="69">
        <f t="shared" si="220"/>
        <v>1180.7416999832317</v>
      </c>
      <c r="LN14" s="69">
        <f t="shared" si="221"/>
        <v>810.94159970676026</v>
      </c>
      <c r="LO14" s="69">
        <f t="shared" si="222"/>
        <v>719.56877822233503</v>
      </c>
      <c r="LP14" s="69">
        <f t="shared" si="223"/>
        <v>1060.0280426249637</v>
      </c>
      <c r="LQ14" s="69">
        <f t="shared" si="224"/>
        <v>927.27908410915688</v>
      </c>
      <c r="LR14" s="69">
        <f t="shared" si="225"/>
        <v>5.9185646493870508E-2</v>
      </c>
      <c r="LS14" s="69">
        <f t="shared" si="226"/>
        <v>784.23441984149042</v>
      </c>
      <c r="LT14" s="69">
        <f t="shared" si="227"/>
        <v>893.0712285341848</v>
      </c>
      <c r="LV14" s="69">
        <f t="shared" si="228"/>
        <v>978.51476014036382</v>
      </c>
      <c r="LW14" s="69">
        <f t="shared" si="229"/>
        <v>875.99221327257908</v>
      </c>
      <c r="LY14" s="69">
        <f t="shared" si="230"/>
        <v>118.37390745786898</v>
      </c>
      <c r="LZ14" s="69">
        <f t="shared" si="231"/>
        <v>78.849512602919688</v>
      </c>
      <c r="MB14" s="69">
        <f t="shared" si="232"/>
        <v>25.89565</v>
      </c>
      <c r="MC14" s="69">
        <f t="shared" si="233"/>
        <v>31.143099999999997</v>
      </c>
      <c r="MD14" s="69">
        <f t="shared" si="234"/>
        <v>2.3649999999999984</v>
      </c>
      <c r="ME14" s="69">
        <f t="shared" si="235"/>
        <v>272.16753016546795</v>
      </c>
      <c r="MF14" s="69">
        <f t="shared" si="236"/>
        <v>977.82936833468955</v>
      </c>
      <c r="MH14" s="69">
        <f t="shared" si="237"/>
        <v>874.74518614264332</v>
      </c>
      <c r="MI14" s="69">
        <f t="shared" ref="MI14" si="242">-273.15+((35000+61.5*LI14)/((LN(KH14/HX14))^2+19.8))</f>
        <v>891.87844055020184</v>
      </c>
      <c r="MK14" s="69">
        <f t="shared" si="238"/>
        <v>869.38646781461705</v>
      </c>
      <c r="MM14" s="69">
        <f t="shared" si="239"/>
        <v>14.358242954477001</v>
      </c>
      <c r="MN14" s="69">
        <f t="shared" si="240"/>
        <v>-0.64175704552299884</v>
      </c>
      <c r="MO14" s="66">
        <f t="shared" si="241"/>
        <v>15</v>
      </c>
    </row>
    <row r="15" spans="1:353" s="69" customFormat="1" ht="15" x14ac:dyDescent="0.2">
      <c r="A15" s="64">
        <v>1.5</v>
      </c>
      <c r="B15" s="65" t="s">
        <v>199</v>
      </c>
      <c r="C15" s="66" t="s">
        <v>200</v>
      </c>
      <c r="D15" s="67"/>
      <c r="E15" s="68">
        <v>51.8</v>
      </c>
      <c r="F15" s="68">
        <v>0.45</v>
      </c>
      <c r="G15" s="68">
        <v>6.33</v>
      </c>
      <c r="H15" s="68">
        <v>2.46</v>
      </c>
      <c r="I15" s="68">
        <v>0.09</v>
      </c>
      <c r="J15" s="68">
        <v>14</v>
      </c>
      <c r="K15" s="68">
        <v>20.6</v>
      </c>
      <c r="L15" s="68">
        <v>1.87</v>
      </c>
      <c r="M15" s="68"/>
      <c r="N15" s="68">
        <v>0.94</v>
      </c>
      <c r="P15" s="68">
        <v>54.8</v>
      </c>
      <c r="Q15" s="68">
        <v>0.16</v>
      </c>
      <c r="R15" s="68">
        <v>4.38</v>
      </c>
      <c r="S15" s="68">
        <v>6.02</v>
      </c>
      <c r="T15" s="68">
        <v>0.13</v>
      </c>
      <c r="U15" s="68">
        <v>29.7</v>
      </c>
      <c r="V15" s="68">
        <v>3.44</v>
      </c>
      <c r="W15" s="68">
        <v>0.35</v>
      </c>
      <c r="X15" s="68"/>
      <c r="Y15" s="68">
        <v>0.47</v>
      </c>
      <c r="Z15" s="66"/>
      <c r="AA15" s="68">
        <v>40.700000000000003</v>
      </c>
      <c r="AB15" s="68">
        <v>0.02</v>
      </c>
      <c r="AC15" s="68">
        <v>0.01</v>
      </c>
      <c r="AD15" s="68">
        <v>10</v>
      </c>
      <c r="AE15" s="68">
        <v>0.14000000000000001</v>
      </c>
      <c r="AF15" s="68">
        <v>48.4</v>
      </c>
      <c r="AG15" s="68">
        <v>0.02</v>
      </c>
      <c r="AH15" s="68"/>
      <c r="AI15" s="68"/>
      <c r="AJ15" s="68">
        <v>0.01</v>
      </c>
      <c r="AK15" s="66">
        <f>(AD15/71.84)/(AD15/71.84+AF15/40.3)</f>
        <v>0.1038644803064698</v>
      </c>
      <c r="AL15" s="66">
        <f>1-AK15</f>
        <v>0.89613551969353022</v>
      </c>
      <c r="AM15" s="68"/>
      <c r="AN15" s="68">
        <v>0.08</v>
      </c>
      <c r="AO15" s="68">
        <v>49.7</v>
      </c>
      <c r="AP15" s="68">
        <v>12</v>
      </c>
      <c r="AQ15" s="68">
        <v>0.13</v>
      </c>
      <c r="AR15" s="68">
        <v>21.5</v>
      </c>
      <c r="AS15" s="68"/>
      <c r="AT15" s="68"/>
      <c r="AU15" s="68"/>
      <c r="AV15" s="68">
        <v>10.9</v>
      </c>
      <c r="AW15" s="66"/>
      <c r="AX15" s="70">
        <f>0.27+2505/(GJ15+273.15)-400*A15/(GJ15+273.15)-6*LOG10(AK15)-3200*(1-AK15)*(1-AK15)/(GJ15+273.15)+2*LOG10(FB15)+4*LOG10(FC15)+2630*FD15*FD15/(GJ15+273.15)</f>
        <v>0.79979545479671454</v>
      </c>
      <c r="AY15" s="70">
        <f ca="1">0.27+2505/(GC15+273.15)-400*A15/(GC15+273.15)-6*LOG10(AK15)-3200*(1-AK15)*(1-AK15)/(GC15+273.15)+2*LOG10(FB15)+4*LOG10(FC15)+2630*FD15*FD15/(GC15+273.15)</f>
        <v>0.81834426107839042</v>
      </c>
      <c r="AZ15" s="71"/>
      <c r="BA15" s="70">
        <f>4720/(GJ15+273.15)-0.05*A15*10000/(GJ15+273.15)-2.7*LN(AK15/(AK15+AL15))-0.91*LN(FO15/(FO15+FK15))-1.03*(LN(FO15/(FO15+FK15)))^2+1.91*LN(FN15/(FN15+FL15+FH15))+0.12*(LN(FN15/(FN15+FL15+FH15)))^2-4.4</f>
        <v>-1.5601790138883143</v>
      </c>
      <c r="BB15" s="70">
        <f ca="1">4720/(GC15+273.15)-0.05*A15*10000/(GC15+273.15)-2.7*LN(AK15/(AK15+AL15))-0.91*LN(FO15/(FO15+FK15))-1.03*(LN(FO15/(FO15+FK15)))^2+1.91*LN(FN15/(FN15+FL15+FH15))+0.12*(LN(FN15/(FN15+FL15+FH15)))^2-4.4</f>
        <v>-1.4890710271064229</v>
      </c>
      <c r="BC15" s="66"/>
      <c r="BD15" s="72">
        <f>LOG10(0.25*FU15*FT15*FT15)+1/(GJ15+273.15)*(406*FS15*FS15+653*FW15*FS15+299*FX15*FX15+199*FX15*FS15+346*FW15*FX15)</f>
        <v>-1.2718146296655612</v>
      </c>
      <c r="BE15" s="72">
        <f ca="1">LOG10(0.25*FU15*FT15*FT15)+1/(GC15+273.15)*(406*FS15*FS15+653*FW15*FS15+299*FX15*FX15+199*FS15*FX15+346*FW15*FX15)</f>
        <v>-1.2336355541671407</v>
      </c>
      <c r="BF15" s="72">
        <f>220/(GJ15+273.15)+0.35-0.0369*A15*10000/(GJ15+273.15)-12*LOG10(AK15)-2620*(1-AK15)*(1-AK15)/(GJ15+273.15)+3*LOG10(LB15*LD15)+2*BD15</f>
        <v>1.1448882182750677</v>
      </c>
      <c r="BG15" s="72">
        <f ca="1">220/(GC15+273.15)+0.35-0.0369*A15*10000/(GC15+273.15)-12*LOG10(AK15)-2620*(1-AK15)*(1-AK15)/(GC15+273.15)+3*LOG10(LB15*LD15)+2*BE15</f>
        <v>1.1775872432638694</v>
      </c>
      <c r="BH15" s="66"/>
      <c r="BI15" s="72">
        <f>-25096.3/(273.15+GJ15)+8.735+0.11*(A15*10000-1)/(273.15+GJ15)</f>
        <v>-11.836850921903416</v>
      </c>
      <c r="BJ15" s="72">
        <f ca="1">-25096.3/(273.15+GC15)+8.735+0.11*(A15*10000-1)/(273.15+GC15)</f>
        <v>-12.256807348191275</v>
      </c>
      <c r="BK15" s="71"/>
      <c r="BL15" s="71"/>
      <c r="BM15" s="72">
        <f>BI15+AX15</f>
        <v>-11.0370554671067</v>
      </c>
      <c r="BN15" s="72">
        <f ca="1">BJ15+AY15</f>
        <v>-11.438463087112885</v>
      </c>
      <c r="BO15" s="73"/>
      <c r="BP15" s="72">
        <f>BI15+BA15</f>
        <v>-13.39702993579173</v>
      </c>
      <c r="BQ15" s="72">
        <f ca="1">BJ15+BB15</f>
        <v>-13.745878375297698</v>
      </c>
      <c r="BR15" s="71"/>
      <c r="BS15" s="72">
        <f>BI15+BF15</f>
        <v>-10.691962703628349</v>
      </c>
      <c r="BT15" s="72">
        <f ca="1">BJ15+BG15</f>
        <v>-11.079220104927405</v>
      </c>
      <c r="BU15" s="66"/>
      <c r="BV15" s="74">
        <v>60.08</v>
      </c>
      <c r="BW15" s="74">
        <v>79.88</v>
      </c>
      <c r="BX15" s="74">
        <v>101.96</v>
      </c>
      <c r="BY15" s="74">
        <v>159.69</v>
      </c>
      <c r="BZ15" s="74">
        <v>71.849999999999994</v>
      </c>
      <c r="CA15" s="74">
        <v>70.94</v>
      </c>
      <c r="CB15" s="74">
        <v>40.299999999999997</v>
      </c>
      <c r="CC15" s="74">
        <v>151.99</v>
      </c>
      <c r="CD15" s="66"/>
      <c r="CE15" s="66">
        <f>AM15/BV15</f>
        <v>0</v>
      </c>
      <c r="CF15" s="66">
        <f>AN15/BW15</f>
        <v>1.0015022533800702E-3</v>
      </c>
      <c r="CG15" s="66">
        <f>AO15/BX15</f>
        <v>0.48744605727736373</v>
      </c>
      <c r="CH15" s="66">
        <f>AP15/BZ15</f>
        <v>0.16701461377870566</v>
      </c>
      <c r="CI15" s="66">
        <f>AQ15/CA15</f>
        <v>1.8325345362277983E-3</v>
      </c>
      <c r="CJ15" s="66">
        <f>AR15/CB15</f>
        <v>0.53349875930521096</v>
      </c>
      <c r="CK15" s="66">
        <f>AV15/CC15</f>
        <v>7.1715244423975255E-2</v>
      </c>
      <c r="CL15" s="66"/>
      <c r="CM15" s="66">
        <f>CE15*2</f>
        <v>0</v>
      </c>
      <c r="CN15" s="66">
        <f>CF15*2</f>
        <v>2.0030045067601404E-3</v>
      </c>
      <c r="CO15" s="66">
        <f>CG15*3</f>
        <v>1.4623381718320911</v>
      </c>
      <c r="CP15" s="66">
        <f>CH15</f>
        <v>0.16701461377870566</v>
      </c>
      <c r="CQ15" s="66">
        <f>CI15</f>
        <v>1.8325345362277983E-3</v>
      </c>
      <c r="CR15" s="66">
        <f>CJ15</f>
        <v>0.53349875930521096</v>
      </c>
      <c r="CS15" s="66">
        <f>CK15*3</f>
        <v>0.21514573327192577</v>
      </c>
      <c r="CT15" s="66">
        <f>SUM(CM15:CS15)</f>
        <v>2.3818328172309213</v>
      </c>
      <c r="CU15" s="74">
        <v>32</v>
      </c>
      <c r="CV15" s="66">
        <f>CU15/CT15</f>
        <v>13.435031950396359</v>
      </c>
      <c r="CW15" s="66"/>
      <c r="CX15" s="66">
        <f>CM15*CV15</f>
        <v>0</v>
      </c>
      <c r="CY15" s="66">
        <f>CN15*CV15</f>
        <v>2.6910429545110387E-2</v>
      </c>
      <c r="CZ15" s="66">
        <f>CO15*CV15</f>
        <v>19.646560060848344</v>
      </c>
      <c r="DA15" s="66">
        <f>CP15*CV15</f>
        <v>2.2438466723000188</v>
      </c>
      <c r="DB15" s="66">
        <f>CQ15*CV15</f>
        <v>2.4620160044425243E-2</v>
      </c>
      <c r="DC15" s="66">
        <f>CR15*CV15</f>
        <v>7.1675728767623266</v>
      </c>
      <c r="DD15" s="66">
        <f>CS15*CV15</f>
        <v>2.8904898004997759</v>
      </c>
      <c r="DE15" s="66">
        <f>SUM(CX15:DD15)</f>
        <v>32.000000000000007</v>
      </c>
      <c r="DF15" s="66"/>
      <c r="DG15" s="66">
        <f>CX15/2</f>
        <v>0</v>
      </c>
      <c r="DH15" s="66">
        <f>CY15/2</f>
        <v>1.3455214772555193E-2</v>
      </c>
      <c r="DI15" s="66">
        <f>CZ15*(2/3)</f>
        <v>13.097706707232229</v>
      </c>
      <c r="DJ15" s="66">
        <f>DA15</f>
        <v>2.2438466723000188</v>
      </c>
      <c r="DK15" s="66">
        <f>DB15</f>
        <v>2.4620160044425243E-2</v>
      </c>
      <c r="DL15" s="66">
        <f>DC15</f>
        <v>7.1675728767623266</v>
      </c>
      <c r="DM15" s="66">
        <f>DD15*(2/3)</f>
        <v>1.9269932003331838</v>
      </c>
      <c r="DN15" s="66">
        <f>SUM(DG15:DM15)</f>
        <v>24.474194831444738</v>
      </c>
      <c r="DO15" s="66">
        <f>24/DN15</f>
        <v>0.98062470145757419</v>
      </c>
      <c r="DP15" s="66"/>
      <c r="DQ15" s="66">
        <f>DG15*DO15</f>
        <v>0</v>
      </c>
      <c r="DR15" s="66">
        <f>DH15*DO15</f>
        <v>1.3194515969384479E-2</v>
      </c>
      <c r="DS15" s="66">
        <f>DI15*DO15</f>
        <v>12.843934729558471</v>
      </c>
      <c r="DT15" s="66">
        <f>DJ15*DO15</f>
        <v>2.2003714731407773</v>
      </c>
      <c r="DU15" s="66">
        <f>DK15*DO15</f>
        <v>2.4143137093402201E-2</v>
      </c>
      <c r="DV15" s="66">
        <f>DL15*DO15</f>
        <v>7.0286990124504625</v>
      </c>
      <c r="DW15" s="66">
        <f>DM15*DO15</f>
        <v>1.8896571317875037</v>
      </c>
      <c r="DX15" s="66">
        <f>SUM(DQ15:DW15)</f>
        <v>24.000000000000004</v>
      </c>
      <c r="DY15" s="66"/>
      <c r="DZ15" s="66">
        <f>DT15/(DT15+DV15)</f>
        <v>0.2384174523941579</v>
      </c>
      <c r="EA15" s="66">
        <f>DW15/(DS15+DW15)</f>
        <v>0.1282550208781795</v>
      </c>
      <c r="EB15" s="66"/>
      <c r="EC15" s="66">
        <f>DT15-ED15</f>
        <v>0.96035236642552535</v>
      </c>
      <c r="ED15" s="66">
        <f>(2*32)*(1-(24/DN15))</f>
        <v>1.240019106715252</v>
      </c>
      <c r="EE15" s="66">
        <f>EC15/(EC15+ED15)</f>
        <v>0.43645010769692116</v>
      </c>
      <c r="EF15" s="66">
        <f>ED15/(ED15+EC15)</f>
        <v>0.56354989230307884</v>
      </c>
      <c r="EG15" s="66"/>
      <c r="EH15" s="66">
        <f>AM15</f>
        <v>0</v>
      </c>
      <c r="EI15" s="66">
        <f>AN15</f>
        <v>0.08</v>
      </c>
      <c r="EJ15" s="66">
        <f>AO15</f>
        <v>49.7</v>
      </c>
      <c r="EK15" s="66">
        <f>IF(ED15&lt;0,0,1.1113*(AP15*EF15))</f>
        <v>7.5152759437969374</v>
      </c>
      <c r="EL15" s="66">
        <f>IF(ED15&lt;0,AP15,AP15*EE15)</f>
        <v>5.237401292363054</v>
      </c>
      <c r="EM15" s="66">
        <f>AQ15</f>
        <v>0.13</v>
      </c>
      <c r="EN15" s="66">
        <f>AR15</f>
        <v>21.5</v>
      </c>
      <c r="EO15" s="66">
        <f>AV15</f>
        <v>10.9</v>
      </c>
      <c r="EP15" s="66">
        <f>SUM(EH15:EO15)</f>
        <v>95.062677236159999</v>
      </c>
      <c r="EQ15" s="66"/>
      <c r="ER15" s="66">
        <f>DQ15</f>
        <v>0</v>
      </c>
      <c r="ES15" s="66">
        <f>DR15</f>
        <v>1.3194515969384479E-2</v>
      </c>
      <c r="ET15" s="66">
        <f>DS15</f>
        <v>12.843934729558471</v>
      </c>
      <c r="EU15" s="66">
        <f>IF(ED15&lt;0,0,ED15)</f>
        <v>1.240019106715252</v>
      </c>
      <c r="EV15" s="66">
        <f>IF(ED15&lt;0,DT15,EC15)</f>
        <v>0.96035236642552535</v>
      </c>
      <c r="EW15" s="66">
        <f>DU15</f>
        <v>2.4143137093402201E-2</v>
      </c>
      <c r="EX15" s="66">
        <f>DV15</f>
        <v>7.0286990124504625</v>
      </c>
      <c r="EY15" s="66">
        <f>DW15</f>
        <v>1.8896571317875037</v>
      </c>
      <c r="EZ15" s="66">
        <f>SUM(ER15:EY15)</f>
        <v>24.000000000000004</v>
      </c>
      <c r="FA15" s="66"/>
      <c r="FB15" s="66">
        <f>EV15/(EV15+EX15)</f>
        <v>0.12020856055135812</v>
      </c>
      <c r="FC15" s="66">
        <f>EU15/(EU15+ET15+EY15)</f>
        <v>7.7629229182721068E-2</v>
      </c>
      <c r="FD15" s="66">
        <f>ET15/(EU15+ET15+EY15)</f>
        <v>0.80407208834868626</v>
      </c>
      <c r="FE15" s="66"/>
      <c r="FF15" s="66"/>
      <c r="FG15" s="66">
        <f>FR15/FM15</f>
        <v>5.503251059943517E-4</v>
      </c>
      <c r="FH15" s="66">
        <f>FS15/FM15</f>
        <v>0.53570284486597475</v>
      </c>
      <c r="FI15" s="66">
        <f>FT15/FM15</f>
        <v>5.171949072792905E-2</v>
      </c>
      <c r="FJ15" s="66">
        <f>FU15/FM15</f>
        <v>4.0054975799897294E-2</v>
      </c>
      <c r="FK15" s="66">
        <f>FW15/FM15</f>
        <v>0.29315736462060155</v>
      </c>
      <c r="FL15" s="66">
        <f>FX15/FM15</f>
        <v>7.8814998879602929E-2</v>
      </c>
      <c r="FM15" s="66">
        <f>FR15+FS15+FT15+FU15+FW15+FX15</f>
        <v>2.996982107863325</v>
      </c>
      <c r="FN15" s="66">
        <f>2/3-FH15-FL15-2*FG15</f>
        <v>5.1048172709100247E-2</v>
      </c>
      <c r="FO15" s="66">
        <f>1/3-FK15+FG15</f>
        <v>4.0726293818726118E-2</v>
      </c>
      <c r="FP15" s="66"/>
      <c r="FQ15" s="66">
        <f t="shared" ref="FQ15:FX15" si="243">ER15/8</f>
        <v>0</v>
      </c>
      <c r="FR15" s="66">
        <f t="shared" si="243"/>
        <v>1.6493144961730599E-3</v>
      </c>
      <c r="FS15" s="66">
        <f t="shared" si="243"/>
        <v>1.6054918411948089</v>
      </c>
      <c r="FT15" s="66">
        <f t="shared" si="243"/>
        <v>0.15500238833940649</v>
      </c>
      <c r="FU15" s="66">
        <f t="shared" si="243"/>
        <v>0.12004404580319067</v>
      </c>
      <c r="FV15" s="66">
        <f t="shared" si="243"/>
        <v>3.0178921366752751E-3</v>
      </c>
      <c r="FW15" s="66">
        <f t="shared" si="243"/>
        <v>0.87858737655630781</v>
      </c>
      <c r="FX15" s="66">
        <f t="shared" si="243"/>
        <v>0.23620714147343796</v>
      </c>
      <c r="FZ15" s="75">
        <f ca="1">GE15</f>
        <v>967.01974823947342</v>
      </c>
      <c r="GA15" s="75">
        <f ca="1">GH15</f>
        <v>1.6231782101059662</v>
      </c>
      <c r="GB15" s="76">
        <f>GU15/(GU15+GS15)</f>
        <v>0.91027242949262333</v>
      </c>
      <c r="GC15" s="77">
        <f ca="1">-273.15+((23664+(24.9+126.3*HT15/(HT15+HV15))*GA15)/(13.38+(LN((1-HW15/(1-HX15))/(1-KG15/(1-KH15))))^2+11.59*KD15/(KD15+KF15)))</f>
        <v>843.78145859688073</v>
      </c>
      <c r="GD15" s="77"/>
      <c r="GE15" s="77">
        <f ca="1">10^4/(11.2-1.96*LN(II15/KS15)-3.3*HW15-25.8*IG15+33.2*KE15-23.6*KH15-2.08*KT15-8.33*KU15-0.05*GA15)</f>
        <v>967.01974823947342</v>
      </c>
      <c r="GF15" s="77">
        <f ca="1">10^4/(13.4-3.4*LN(II15/KS15)+5.59*LN(HV15)+23.85*KE15+6.48*KQ15-2.38*IK15-0.044*GA15-8.8*HV15/(HV15+HT15))</f>
        <v>866.62289445344106</v>
      </c>
      <c r="GG15" s="77">
        <f>-279.8+293*KB15+455*KH15+229*KJ15+519*KS15-563*KT15+371*KU15+327*KV15+1.19/GN15</f>
        <v>15.212037057130066</v>
      </c>
      <c r="GH15" s="77">
        <f ca="1">-94.25+0.045*FZ15+187.7*KB15+246.8*KS15-212.5*KT15+127.5*KV15-69.4*II15-133.9*IR15-1.66/GN15</f>
        <v>1.6231782101059662</v>
      </c>
      <c r="GI15" s="77">
        <f>LV15</f>
        <v>974.42428665680347</v>
      </c>
      <c r="GJ15" s="77">
        <f>MK15</f>
        <v>866.58264190029502</v>
      </c>
      <c r="GK15" s="77">
        <f ca="1">-273+(93100+755*GA15)/(61.1+36.6*HP15/4+10.9*HT15/4-0.95*(HQ15+HR15+HZ15-HX15-HY15)/4+3.5*LN(IY15)^2)</f>
        <v>716.8238042888695</v>
      </c>
      <c r="GL15" s="78">
        <f>(HT15/HV15)/(KD15/KF15)</f>
        <v>0.86689606074988135</v>
      </c>
      <c r="GM15" s="79"/>
      <c r="GN15" s="69">
        <f>KG15/(1-HW15)</f>
        <v>0.67877251444463571</v>
      </c>
      <c r="GP15" s="69">
        <f t="shared" ref="GP15:GY15" si="244">E15/GP$6</f>
        <v>0.86212205185048341</v>
      </c>
      <c r="GQ15" s="69">
        <f t="shared" si="244"/>
        <v>5.6335348052299235E-3</v>
      </c>
      <c r="GR15" s="69">
        <f t="shared" si="244"/>
        <v>6.2082560979197933E-2</v>
      </c>
      <c r="GS15" s="69">
        <f t="shared" si="244"/>
        <v>3.4239711384286477E-2</v>
      </c>
      <c r="GT15" s="69">
        <f t="shared" si="244"/>
        <v>1.2687224669603525E-3</v>
      </c>
      <c r="GU15" s="69">
        <f t="shared" si="244"/>
        <v>0.3473566161510902</v>
      </c>
      <c r="GV15" s="69">
        <f t="shared" si="244"/>
        <v>0.36734941348921318</v>
      </c>
      <c r="GW15" s="69">
        <f t="shared" si="244"/>
        <v>3.0171558385192379E-2</v>
      </c>
      <c r="GX15" s="69">
        <f t="shared" si="244"/>
        <v>0</v>
      </c>
      <c r="GY15" s="69">
        <f t="shared" si="244"/>
        <v>6.1842837612550673E-3</v>
      </c>
      <c r="GZ15" s="69">
        <f>SUM(GP15:GY15)</f>
        <v>1.7164084532729091</v>
      </c>
      <c r="HB15" s="80">
        <f>GP15*2</f>
        <v>1.7242441037009668</v>
      </c>
      <c r="HC15" s="80">
        <f>GQ15*2</f>
        <v>1.1267069610459847E-2</v>
      </c>
      <c r="HD15" s="80">
        <f>GR15*3</f>
        <v>0.18624768293759381</v>
      </c>
      <c r="HE15" s="80">
        <f t="shared" ref="HE15:HJ15" si="245">GS15</f>
        <v>3.4239711384286477E-2</v>
      </c>
      <c r="HF15" s="80">
        <f t="shared" si="245"/>
        <v>1.2687224669603525E-3</v>
      </c>
      <c r="HG15" s="80">
        <f t="shared" si="245"/>
        <v>0.3473566161510902</v>
      </c>
      <c r="HH15" s="80">
        <f t="shared" si="245"/>
        <v>0.36734941348921318</v>
      </c>
      <c r="HI15" s="80">
        <f t="shared" si="245"/>
        <v>3.0171558385192379E-2</v>
      </c>
      <c r="HJ15" s="80">
        <f t="shared" si="245"/>
        <v>0</v>
      </c>
      <c r="HK15" s="80">
        <f>GY15*3</f>
        <v>1.8552851283765201E-2</v>
      </c>
      <c r="HL15" s="80">
        <f>SUM(HB15:HK15)</f>
        <v>2.7206977294095283</v>
      </c>
      <c r="HM15" s="80">
        <f>6/HL15</f>
        <v>2.2053166491604994</v>
      </c>
      <c r="HO15" s="81">
        <f>GP15*$HM15</f>
        <v>1.9012521145542824</v>
      </c>
      <c r="HP15" s="81">
        <f>GQ15*$HM15</f>
        <v>1.2423728099598701E-2</v>
      </c>
      <c r="HQ15" s="81">
        <f>2-HO15</f>
        <v>9.8747885445717554E-2</v>
      </c>
      <c r="HR15" s="81">
        <f>IF(HS15-HQ15&lt;0,0,HS15-HQ15)</f>
        <v>0.17507552525417674</v>
      </c>
      <c r="HS15" s="81">
        <f>GR15*$HM15*2</f>
        <v>0.2738234106998943</v>
      </c>
      <c r="HT15" s="81">
        <f>GS15*$HM15</f>
        <v>7.5509405578217254E-2</v>
      </c>
      <c r="HU15" s="81">
        <f>GT15*$HM15</f>
        <v>2.7979347795516469E-3</v>
      </c>
      <c r="HV15" s="81">
        <f>GU15*$HM15</f>
        <v>0.766031328794052</v>
      </c>
      <c r="HW15" s="81">
        <f>GV15*$HM15</f>
        <v>0.81012177762710635</v>
      </c>
      <c r="HX15" s="81">
        <f>GW15*$HM15*2</f>
        <v>0.13307568007596565</v>
      </c>
      <c r="HY15" s="81">
        <f>GX15*$HM15*2</f>
        <v>0</v>
      </c>
      <c r="HZ15" s="81">
        <f>GY15*$HM15*2</f>
        <v>2.727660788365743E-2</v>
      </c>
      <c r="IA15" s="80">
        <f>HO15+HP15+HS15+HT15+HU15+HV15+HW15+HX15+HY15+HZ15</f>
        <v>4.0023119880923259</v>
      </c>
      <c r="IB15" s="80">
        <f>IF(HX15+HQ15-HR15-2*HP15-HZ15&gt;0,HX15+HQ15-HR15-2*HP15-HZ15,0)</f>
        <v>4.6239761846516327E-3</v>
      </c>
      <c r="IC15" s="80">
        <f>12-48/IA15</f>
        <v>6.931957626106211E-3</v>
      </c>
      <c r="ID15" s="80">
        <f>IF(HX15&lt;HR15,HX15,HR15)</f>
        <v>0.13307568007596565</v>
      </c>
      <c r="IE15" s="80">
        <f>IF(HR15&gt;HX15,HR15-HX15,0)</f>
        <v>4.1999845178211093E-2</v>
      </c>
      <c r="IF15" s="80">
        <f>IF(HQ15&gt;IE15,(HQ15-IE15)/2,0)</f>
        <v>2.8374020133753231E-2</v>
      </c>
      <c r="IG15" s="80">
        <f>HZ15/2</f>
        <v>1.3638303941828715E-2</v>
      </c>
      <c r="IH15" s="80">
        <f>IF(HW15-IF15-IE15-IG15&gt;0,HW15-IF15-IE15-IG15,0)</f>
        <v>0.72610960837331329</v>
      </c>
      <c r="II15" s="80">
        <f>((HT15+HV15)-IH15)/2</f>
        <v>5.7715562999477998E-2</v>
      </c>
      <c r="IJ15" s="80">
        <f>II15*(HV15/(HV15+HU15+HT15))</f>
        <v>5.2362791178331293E-2</v>
      </c>
      <c r="IK15" s="80">
        <f>IM15*(HV15/(HV15+HU15+HT15))</f>
        <v>0.658767303303887</v>
      </c>
      <c r="IL15" s="80">
        <f>SUM(ID15:II15)</f>
        <v>1.0009130207025501</v>
      </c>
      <c r="IM15" s="80">
        <f>HW15-IE15-IF15-IG15</f>
        <v>0.72610960837331329</v>
      </c>
      <c r="IN15" s="80"/>
      <c r="IO15" s="69">
        <f>HV15/(HV15+IP15)</f>
        <v>0.91530169673376927</v>
      </c>
      <c r="IP15" s="80">
        <f>HT15-IB15</f>
        <v>7.0885429393565624E-2</v>
      </c>
      <c r="IQ15" s="82">
        <f>((0.5*HV15/(0.5*HV15+0.5*(HT15-IB15)+HX15+HW15+HU15)))*(0.5*HV15/(0.5*HV15+0.5*(HT15-IB15)+HZ15+HR15+HP15))</f>
        <v>0.16978911929531337</v>
      </c>
      <c r="IR15" s="81">
        <f>HW15/(HW15+0.5*HV15+0.5*(HT15-IB15)+HU15+HX15)</f>
        <v>0.59373340050291756</v>
      </c>
      <c r="IS15" s="81">
        <f>(HV15/(HW15+HV15+HT15-IB15+HU15+HX15))*(HV15/(HT15+HS15+HP15+HZ15+HV15))</f>
        <v>0.28494227614821305</v>
      </c>
      <c r="IT15" s="81">
        <f>(1-IB15-HR15-HP15-HZ15)*IO15</f>
        <v>0.7144846532782223</v>
      </c>
      <c r="IU15" s="81">
        <f>(1-IB15-HR15-HP15-HZ15)*(1-IO15)</f>
        <v>6.6115509299693315E-2</v>
      </c>
      <c r="IV15" s="81">
        <f>(1-HW15-HX15-HU15)*(IO15)</f>
        <v>4.943050889209584E-2</v>
      </c>
      <c r="IW15" s="81">
        <f>(1-HW15-HX15-HU15)*(1-IO15)</f>
        <v>4.5740986252805057E-3</v>
      </c>
      <c r="IX15" s="81">
        <f>(IV15/(IV15+IW15+HW15+HX15+HU15))*(IT15/(IT15+IU15+IB15+HR15+HP15+HZ15))</f>
        <v>3.5317340007135177E-2</v>
      </c>
      <c r="IY15" s="81">
        <f>(1-HW15-HX15-HY15)*(1-0.5*(HQ15+HR15+HZ15+HX15+HY15))</f>
        <v>4.4471400553225245E-2</v>
      </c>
      <c r="IZ15" s="69">
        <f t="shared" ref="IZ15:JI15" si="246">P15/GP$6</f>
        <v>0.91205190041325268</v>
      </c>
      <c r="JA15" s="69">
        <f t="shared" si="246"/>
        <v>2.0030345974150839E-3</v>
      </c>
      <c r="JB15" s="69">
        <f t="shared" si="246"/>
        <v>4.2957601435843117E-2</v>
      </c>
      <c r="JC15" s="69">
        <f t="shared" si="246"/>
        <v>8.3789862818457142E-2</v>
      </c>
      <c r="JD15" s="69">
        <f t="shared" si="246"/>
        <v>1.8325991189427314E-3</v>
      </c>
      <c r="JE15" s="69">
        <f t="shared" si="246"/>
        <v>0.73689224997766989</v>
      </c>
      <c r="JF15" s="69">
        <f t="shared" si="246"/>
        <v>6.1343785553538505E-2</v>
      </c>
      <c r="JG15" s="69">
        <f t="shared" si="246"/>
        <v>5.6470831202231724E-3</v>
      </c>
      <c r="JH15" s="69">
        <f t="shared" si="246"/>
        <v>0</v>
      </c>
      <c r="JI15" s="69">
        <f t="shared" si="246"/>
        <v>3.0921418806275336E-3</v>
      </c>
      <c r="JJ15" s="69">
        <f>SUM(IZ15:JI15)</f>
        <v>1.8496102589159702</v>
      </c>
      <c r="JL15" s="80">
        <f>IZ15*2</f>
        <v>1.8241038008265054</v>
      </c>
      <c r="JM15" s="80">
        <f>JA15*2</f>
        <v>4.0060691948301677E-3</v>
      </c>
      <c r="JN15" s="80">
        <f>JB15*3</f>
        <v>0.12887280430752934</v>
      </c>
      <c r="JO15" s="80">
        <f t="shared" ref="JO15:JT15" si="247">JC15</f>
        <v>8.3789862818457142E-2</v>
      </c>
      <c r="JP15" s="80">
        <f t="shared" si="247"/>
        <v>1.8325991189427314E-3</v>
      </c>
      <c r="JQ15" s="80">
        <f t="shared" si="247"/>
        <v>0.73689224997766989</v>
      </c>
      <c r="JR15" s="80">
        <f t="shared" si="247"/>
        <v>6.1343785553538505E-2</v>
      </c>
      <c r="JS15" s="80">
        <f t="shared" si="247"/>
        <v>5.6470831202231724E-3</v>
      </c>
      <c r="JT15" s="80">
        <f t="shared" si="247"/>
        <v>0</v>
      </c>
      <c r="JU15" s="80">
        <f>JI15*3</f>
        <v>9.2764256418826005E-3</v>
      </c>
      <c r="JV15" s="80">
        <f>SUM(JL15:JU15)</f>
        <v>2.8557646805595791</v>
      </c>
      <c r="JW15" s="80">
        <f>6/JV15</f>
        <v>2.1010134486376226</v>
      </c>
      <c r="JY15" s="81">
        <f>IZ15*$JW15</f>
        <v>1.9162333086237455</v>
      </c>
      <c r="JZ15" s="81">
        <f>JA15*$JW15</f>
        <v>4.2084026272555374E-3</v>
      </c>
      <c r="KA15" s="81">
        <f>2-JY15</f>
        <v>8.3766691376254476E-2</v>
      </c>
      <c r="KB15" s="81">
        <f>IF(KC15-KA15&lt;0,0,KC15-KA15)</f>
        <v>9.6742305299587994E-2</v>
      </c>
      <c r="KC15" s="81">
        <f>JB15*$JW15*2</f>
        <v>0.18050899667584247</v>
      </c>
      <c r="KD15" s="81">
        <f>JC15*$JW15</f>
        <v>0.17604362864107995</v>
      </c>
      <c r="KE15" s="81">
        <f>JD15*$JW15</f>
        <v>3.8503153948601368E-3</v>
      </c>
      <c r="KF15" s="81">
        <f>JE15*$JW15</f>
        <v>1.5482205273999212</v>
      </c>
      <c r="KG15" s="81">
        <f>JF15*$JW15</f>
        <v>0.1288841184383267</v>
      </c>
      <c r="KH15" s="81">
        <f>JG15*$JW15*2</f>
        <v>2.3729195162326789E-2</v>
      </c>
      <c r="KI15" s="81">
        <f>JH15*$JW15*2</f>
        <v>0</v>
      </c>
      <c r="KJ15" s="81">
        <f>JI15*$JW15*2</f>
        <v>1.2993263352588156E-2</v>
      </c>
      <c r="KK15" s="80">
        <f>JY15+JZ15+KC15+KD15+KE15+KF15+KG15+KH15+KI15+KJ15</f>
        <v>3.9946717563159457</v>
      </c>
      <c r="KL15" s="80">
        <f>IF(KH15+KA15-KB15-2*JZ15-KJ15&gt;0,KH15+KA15-KB15-2*JZ15-KJ15,0)</f>
        <v>0</v>
      </c>
      <c r="KM15" s="80">
        <f>12-48/KK15</f>
        <v>-1.6006052088648914E-2</v>
      </c>
      <c r="KN15" s="80">
        <f>KH15</f>
        <v>2.3729195162326789E-2</v>
      </c>
      <c r="KO15" s="80">
        <f>JZ15</f>
        <v>4.2084026272555374E-3</v>
      </c>
      <c r="KP15" s="80">
        <f>KJ15</f>
        <v>1.2993263352588156E-2</v>
      </c>
      <c r="KQ15" s="80">
        <f>(KB15-KN15-KP15)</f>
        <v>6.001984678467305E-2</v>
      </c>
      <c r="KR15" s="80">
        <f>KG15</f>
        <v>0.1288841184383267</v>
      </c>
      <c r="KS15" s="80">
        <f>((KD15+KF15+KE15)-KO15-KQ15-KR15)/2</f>
        <v>0.76750105179280304</v>
      </c>
      <c r="KT15" s="80">
        <f>KS15*(KF15/(KF15+KD15+KE15))</f>
        <v>0.68760542361487298</v>
      </c>
      <c r="KU15" s="80">
        <f>KR15*(KF15/(KF15+KD15+KE15))</f>
        <v>0.11546748847966348</v>
      </c>
      <c r="KV15" s="82">
        <f>((0.5*KF15/(0.5*(KD15-KL15)+0.5*KF15+KH15+KG15+KE15)))*(0.5*KF15/(0.5*KF15+0.5*(KD15-KL15)+JZ15+KB15+KJ15+KL15))</f>
        <v>0.60272631560756273</v>
      </c>
      <c r="KW15" s="80">
        <f>KG15/(KG15+LC15+LD15+KE15+KH15)</f>
        <v>0.1288841184383267</v>
      </c>
      <c r="KX15" s="80">
        <f>(KD15-KL15)/((KD15-KL15)+KF15)</f>
        <v>0.10209782997825874</v>
      </c>
      <c r="KY15" s="80">
        <f>(KF15/(KG15+KF15-KL15+KD15+KE15+KH15))*(KF15/(KL15+KD15-KL15+KC15+JZ15+KJ15+KF15))</f>
        <v>0.66311981988615709</v>
      </c>
      <c r="KZ15" s="81">
        <f>KF15/(KF15+(KD15-KL15))</f>
        <v>0.89790217002174122</v>
      </c>
      <c r="LA15" s="81">
        <f>(1-KL15-KB15-JZ15-KJ15)*KZ15</f>
        <v>0.79559163094904461</v>
      </c>
      <c r="LB15" s="81">
        <f>(1-KL15-KB15-JZ15-KJ15)*(1-KZ15)</f>
        <v>9.0464397771523777E-2</v>
      </c>
      <c r="LC15" s="81">
        <f>(1-KG15-KH15-KE15)*KZ15</f>
        <v>0.7574131380171929</v>
      </c>
      <c r="LD15" s="81">
        <f>(1-KG15-KH15-KE15)*(1-KZ15)</f>
        <v>8.6123232987293477E-2</v>
      </c>
      <c r="LE15" s="83">
        <f>(LC15/(LC15+LD15+KG15+KH15+KE15))*(LA15/(KL15+JZ15+KB15+KJ15+LA15+LB15))</f>
        <v>0.60259155377733231</v>
      </c>
      <c r="LF15" s="80">
        <f>SUM(KN15:KS15)</f>
        <v>0.99733587815797331</v>
      </c>
      <c r="LH15" s="69" t="str">
        <f>B15</f>
        <v xml:space="preserve">ABG08 </v>
      </c>
      <c r="LI15" s="69">
        <f>MO15</f>
        <v>15</v>
      </c>
      <c r="LK15" s="69">
        <f>((1-HS15/2)*(1-HW15))/((1-KC15/2)*(1-KG15))</f>
        <v>0.2067923818601847</v>
      </c>
      <c r="LL15" s="69">
        <f>1616.67+287.935*LN(LK15)+2.933*LI15</f>
        <v>1206.8679297331078</v>
      </c>
      <c r="LN15" s="69">
        <f>(-7-LI15*0.06188+34*(KR15^2)-(21.905-LI15*0.05229)*IM15^2)/(0.0083143*LN(II15/KS15)+0.004431*IM15^2-0.00397)</f>
        <v>799.16027649265561</v>
      </c>
      <c r="LO15" s="69">
        <f>(-7-LI15*0.06188+34*(KU15^2)-(21.905-LI15*0.05229)*IK15^2)/(0.0083143*LN(IJ15/KT15)+0.004431*IK15^2-0.00397)</f>
        <v>709.42721396814511</v>
      </c>
      <c r="LP15" s="69">
        <f>(12.909+LI15*0.1633+34*KS15^2-(21.905-LI15*0.05229)*II15^2)/(0.0083143*LN(IM15/KR15)+0.004431*II15^2+0.0085)</f>
        <v>1542.9688287519239</v>
      </c>
      <c r="LQ15" s="69">
        <f>(12.909+LI15*0.1633+34*KT15^2-(21.905-LI15*0.05229)*IJ15^2)/(0.0083143*LN(IK15/KU15)+0.004431*IJ15^2+0.0085)</f>
        <v>1364.7293170016603</v>
      </c>
      <c r="LR15" s="69">
        <f>IX15/LE15</f>
        <v>5.8609085682912718E-2</v>
      </c>
      <c r="LS15" s="69">
        <f>-273.15+(4900/(1.807-LN(LR15)))</f>
        <v>782.00544080325665</v>
      </c>
      <c r="LT15" s="69">
        <f>-273.15+(7045/(2.47-LN(KW15/IR15)))</f>
        <v>1489.1941055400939</v>
      </c>
      <c r="LV15" s="69">
        <f>-273.15+(-10202/(LN(IX15/LE15)-7.65*(1-KZ15)+3.88*(1-KZ15)^2-4.6))</f>
        <v>974.42428665680347</v>
      </c>
      <c r="LW15" s="69">
        <f>-273.15+(3666/(0.8808-LN(KB15/(0.5*KF15))))</f>
        <v>965.16959682969889</v>
      </c>
      <c r="LY15" s="69">
        <f>10*(1.279/(KG15/(1-HW15)+0.006)-2.29)</f>
        <v>-4.2222643575685197</v>
      </c>
      <c r="LZ15" s="69">
        <f>10*(1.073/(KG15/(1-HW15)+0.028)-1.65)</f>
        <v>-1.3183117188260107</v>
      </c>
      <c r="MB15" s="69">
        <f>26.23-0.02229*LI15</f>
        <v>25.89565</v>
      </c>
      <c r="MC15" s="69">
        <f>32.44-0.08646*LI15</f>
        <v>31.143099999999997</v>
      </c>
      <c r="MD15" s="69">
        <f>28.6-1.749*LI15</f>
        <v>2.3649999999999984</v>
      </c>
      <c r="ME15" s="69">
        <f>-273.15+((4.261+0.059*LI15+MB15*IR15^2*(1-2*IX15)+2*MC15*IX15*IR15^2-MD15*KW15^2)/(0.002721-0.0083143*LN(IX15/LE15)))</f>
        <v>272.93254103032621</v>
      </c>
      <c r="MF15" s="69">
        <f>-273.15+(-35.92-1.753*LI15+MC15*IX15^2*(1-2*IR15)+2*MB15*IR15*IX15^2-MD15*LE15^2)/(-0.02097-0.0083143*LN(IR15/KW15))</f>
        <v>1599.2070855864599</v>
      </c>
      <c r="MH15" s="69">
        <f>-273.15+(6425+26.4*LI15)/(-LN(KG15)+1.843)</f>
        <v>1479.4907103145488</v>
      </c>
      <c r="MI15" s="69">
        <f>-273.15+((35000+61.5*LI15)/((LN(KH15/HX15))^2+19.8))</f>
        <v>1304.2727180778475</v>
      </c>
      <c r="MK15" s="69">
        <f>-273.15+(7341/(3.355+2.44*(1-KZ15)-LN(IX15/LE15)))</f>
        <v>866.58264190029502</v>
      </c>
      <c r="MM15" s="69">
        <f>IF(HV15/(HV15+HT15)&gt;0.7,GG15,0)</f>
        <v>15.212037057130066</v>
      </c>
      <c r="MN15" s="69">
        <f>IF(MM15=0,0,MM15-LI15)</f>
        <v>0.21203705713006649</v>
      </c>
      <c r="MO15" s="66">
        <f>10*A15</f>
        <v>15</v>
      </c>
    </row>
    <row r="17" spans="185:254" ht="14.25" x14ac:dyDescent="0.2">
      <c r="GC17"/>
    </row>
    <row r="18" spans="185:254" ht="14.25" x14ac:dyDescent="0.2">
      <c r="GC18"/>
      <c r="IT18" s="18"/>
    </row>
    <row r="19" spans="185:254" ht="14.25" x14ac:dyDescent="0.2">
      <c r="GC19"/>
    </row>
    <row r="20" spans="185:254" ht="14.25" x14ac:dyDescent="0.2">
      <c r="GC20"/>
    </row>
  </sheetData>
  <mergeCells count="13">
    <mergeCell ref="AX7:BG7"/>
    <mergeCell ref="BS9:BT9"/>
    <mergeCell ref="BM9:BN9"/>
    <mergeCell ref="BI7:BT7"/>
    <mergeCell ref="BF9:BG9"/>
    <mergeCell ref="BD9:BE9"/>
    <mergeCell ref="BA9:BB9"/>
    <mergeCell ref="BP9:BQ9"/>
    <mergeCell ref="P9:S9"/>
    <mergeCell ref="E9:H9"/>
    <mergeCell ref="AA9:AD9"/>
    <mergeCell ref="AM9:AP9"/>
    <mergeCell ref="AX9:AY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捕虏体氧逸度计算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791257062@qq.com</cp:lastModifiedBy>
  <dcterms:created xsi:type="dcterms:W3CDTF">2015-06-05T18:19:34Z</dcterms:created>
  <dcterms:modified xsi:type="dcterms:W3CDTF">2024-05-15T13:39:04Z</dcterms:modified>
</cp:coreProperties>
</file>