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xr:revisionPtr revIDLastSave="0" documentId="13_ncr:1_{B33EC12B-8357-41F1-B0DB-468445E5B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捕虏体氧逸度计算" sheetId="5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5" l="1"/>
  <c r="AL26" i="5" s="1"/>
  <c r="AK27" i="5"/>
  <c r="AL27" i="5" s="1"/>
  <c r="MO27" i="5"/>
  <c r="LI27" i="5" s="1"/>
  <c r="LH27" i="5"/>
  <c r="JH27" i="5"/>
  <c r="JT27" i="5" s="1"/>
  <c r="JG27" i="5"/>
  <c r="JS27" i="5" s="1"/>
  <c r="JF27" i="5"/>
  <c r="JR27" i="5" s="1"/>
  <c r="JE27" i="5"/>
  <c r="JQ27" i="5" s="1"/>
  <c r="JD27" i="5"/>
  <c r="JP27" i="5" s="1"/>
  <c r="JC27" i="5"/>
  <c r="JO27" i="5" s="1"/>
  <c r="JB27" i="5"/>
  <c r="JN27" i="5" s="1"/>
  <c r="JA27" i="5"/>
  <c r="JM27" i="5" s="1"/>
  <c r="IZ27" i="5"/>
  <c r="JL27" i="5" s="1"/>
  <c r="GX27" i="5"/>
  <c r="HJ27" i="5" s="1"/>
  <c r="GW27" i="5"/>
  <c r="HI27" i="5" s="1"/>
  <c r="GV27" i="5"/>
  <c r="HH27" i="5" s="1"/>
  <c r="GU27" i="5"/>
  <c r="GT27" i="5"/>
  <c r="HF27" i="5" s="1"/>
  <c r="GS27" i="5"/>
  <c r="HE27" i="5" s="1"/>
  <c r="GR27" i="5"/>
  <c r="HD27" i="5" s="1"/>
  <c r="GQ27" i="5"/>
  <c r="HC27" i="5" s="1"/>
  <c r="GP27" i="5"/>
  <c r="HB27" i="5" s="1"/>
  <c r="EO27" i="5"/>
  <c r="EN27" i="5"/>
  <c r="EM27" i="5"/>
  <c r="EJ27" i="5"/>
  <c r="EI27" i="5"/>
  <c r="EH27" i="5"/>
  <c r="CK27" i="5"/>
  <c r="CS27" i="5" s="1"/>
  <c r="CJ27" i="5"/>
  <c r="CR27" i="5" s="1"/>
  <c r="CI27" i="5"/>
  <c r="CQ27" i="5" s="1"/>
  <c r="CH27" i="5"/>
  <c r="CP27" i="5" s="1"/>
  <c r="CG27" i="5"/>
  <c r="CO27" i="5" s="1"/>
  <c r="CF27" i="5"/>
  <c r="CN27" i="5" s="1"/>
  <c r="CE27" i="5"/>
  <c r="CM27" i="5" s="1"/>
  <c r="MO26" i="5"/>
  <c r="LI26" i="5" s="1"/>
  <c r="LH26" i="5"/>
  <c r="JH26" i="5"/>
  <c r="JT26" i="5" s="1"/>
  <c r="JG26" i="5"/>
  <c r="JS26" i="5" s="1"/>
  <c r="JF26" i="5"/>
  <c r="JR26" i="5" s="1"/>
  <c r="JE26" i="5"/>
  <c r="JQ26" i="5" s="1"/>
  <c r="JD26" i="5"/>
  <c r="JP26" i="5" s="1"/>
  <c r="JC26" i="5"/>
  <c r="JO26" i="5" s="1"/>
  <c r="JB26" i="5"/>
  <c r="JN26" i="5" s="1"/>
  <c r="JA26" i="5"/>
  <c r="JM26" i="5" s="1"/>
  <c r="IZ26" i="5"/>
  <c r="JL26" i="5" s="1"/>
  <c r="GX26" i="5"/>
  <c r="HJ26" i="5" s="1"/>
  <c r="GW26" i="5"/>
  <c r="HI26" i="5" s="1"/>
  <c r="GV26" i="5"/>
  <c r="HH26" i="5" s="1"/>
  <c r="GU26" i="5"/>
  <c r="HG26" i="5" s="1"/>
  <c r="GT26" i="5"/>
  <c r="HF26" i="5" s="1"/>
  <c r="GS26" i="5"/>
  <c r="HE26" i="5" s="1"/>
  <c r="GR26" i="5"/>
  <c r="HD26" i="5" s="1"/>
  <c r="GQ26" i="5"/>
  <c r="HC26" i="5" s="1"/>
  <c r="GP26" i="5"/>
  <c r="HB26" i="5" s="1"/>
  <c r="EO26" i="5"/>
  <c r="EN26" i="5"/>
  <c r="EM26" i="5"/>
  <c r="EJ26" i="5"/>
  <c r="EI26" i="5"/>
  <c r="EH26" i="5"/>
  <c r="CK26" i="5"/>
  <c r="CS26" i="5" s="1"/>
  <c r="CJ26" i="5"/>
  <c r="CR26" i="5" s="1"/>
  <c r="CI26" i="5"/>
  <c r="CQ26" i="5" s="1"/>
  <c r="CH26" i="5"/>
  <c r="CP26" i="5" s="1"/>
  <c r="CG26" i="5"/>
  <c r="CO26" i="5" s="1"/>
  <c r="CF26" i="5"/>
  <c r="CN26" i="5" s="1"/>
  <c r="CE26" i="5"/>
  <c r="CM26" i="5" s="1"/>
  <c r="AK15" i="5"/>
  <c r="AL15" i="5" s="1"/>
  <c r="AK16" i="5"/>
  <c r="AL16" i="5" s="1"/>
  <c r="AK17" i="5"/>
  <c r="AL17" i="5" s="1"/>
  <c r="AK18" i="5"/>
  <c r="AL18" i="5" s="1"/>
  <c r="AK19" i="5"/>
  <c r="AL19" i="5" s="1"/>
  <c r="AK20" i="5"/>
  <c r="AL20" i="5" s="1"/>
  <c r="AK21" i="5"/>
  <c r="AL21" i="5" s="1"/>
  <c r="AK22" i="5"/>
  <c r="AL22" i="5" s="1"/>
  <c r="AK23" i="5"/>
  <c r="AL23" i="5" s="1"/>
  <c r="AK24" i="5"/>
  <c r="AL24" i="5" s="1"/>
  <c r="AK25" i="5"/>
  <c r="AL25" i="5" s="1"/>
  <c r="AK13" i="5"/>
  <c r="AL13" i="5" s="1"/>
  <c r="AK14" i="5"/>
  <c r="AL14" i="5" s="1"/>
  <c r="GB26" i="5" l="1"/>
  <c r="GB27" i="5"/>
  <c r="HG27" i="5"/>
  <c r="CT27" i="5"/>
  <c r="CV27" i="5" s="1"/>
  <c r="DD27" i="5" s="1"/>
  <c r="DM27" i="5" s="1"/>
  <c r="MD26" i="5"/>
  <c r="MC26" i="5"/>
  <c r="MB26" i="5"/>
  <c r="MD27" i="5"/>
  <c r="MC27" i="5"/>
  <c r="MB27" i="5"/>
  <c r="CT26" i="5"/>
  <c r="CV26" i="5" s="1"/>
  <c r="DA26" i="5" s="1"/>
  <c r="DJ26" i="5" s="1"/>
  <c r="EH14" i="5"/>
  <c r="EI14" i="5"/>
  <c r="EJ14" i="5"/>
  <c r="EM14" i="5"/>
  <c r="EN14" i="5"/>
  <c r="EO14" i="5"/>
  <c r="EH15" i="5"/>
  <c r="EI15" i="5"/>
  <c r="EJ15" i="5"/>
  <c r="EM15" i="5"/>
  <c r="EN15" i="5"/>
  <c r="EO15" i="5"/>
  <c r="EH16" i="5"/>
  <c r="EI16" i="5"/>
  <c r="EJ16" i="5"/>
  <c r="EM16" i="5"/>
  <c r="EN16" i="5"/>
  <c r="EO16" i="5"/>
  <c r="EH17" i="5"/>
  <c r="EI17" i="5"/>
  <c r="EJ17" i="5"/>
  <c r="EM17" i="5"/>
  <c r="EN17" i="5"/>
  <c r="EO17" i="5"/>
  <c r="EH18" i="5"/>
  <c r="EI18" i="5"/>
  <c r="EJ18" i="5"/>
  <c r="EM18" i="5"/>
  <c r="EN18" i="5"/>
  <c r="EO18" i="5"/>
  <c r="EH19" i="5"/>
  <c r="EI19" i="5"/>
  <c r="EJ19" i="5"/>
  <c r="EM19" i="5"/>
  <c r="EN19" i="5"/>
  <c r="EO19" i="5"/>
  <c r="EH20" i="5"/>
  <c r="EI20" i="5"/>
  <c r="EJ20" i="5"/>
  <c r="EM20" i="5"/>
  <c r="EN20" i="5"/>
  <c r="EO20" i="5"/>
  <c r="EH21" i="5"/>
  <c r="EI21" i="5"/>
  <c r="EJ21" i="5"/>
  <c r="EM21" i="5"/>
  <c r="EN21" i="5"/>
  <c r="EO21" i="5"/>
  <c r="EH22" i="5"/>
  <c r="EI22" i="5"/>
  <c r="EJ22" i="5"/>
  <c r="EM22" i="5"/>
  <c r="EN22" i="5"/>
  <c r="EO22" i="5"/>
  <c r="EH23" i="5"/>
  <c r="EI23" i="5"/>
  <c r="EJ23" i="5"/>
  <c r="EM23" i="5"/>
  <c r="EN23" i="5"/>
  <c r="EO23" i="5"/>
  <c r="EH24" i="5"/>
  <c r="EI24" i="5"/>
  <c r="EJ24" i="5"/>
  <c r="EM24" i="5"/>
  <c r="EN24" i="5"/>
  <c r="EO24" i="5"/>
  <c r="EH25" i="5"/>
  <c r="EI25" i="5"/>
  <c r="EJ25" i="5"/>
  <c r="EM25" i="5"/>
  <c r="EN25" i="5"/>
  <c r="EO25" i="5"/>
  <c r="EO13" i="5"/>
  <c r="EN13" i="5"/>
  <c r="EM13" i="5"/>
  <c r="EJ13" i="5"/>
  <c r="EI13" i="5"/>
  <c r="EH13" i="5"/>
  <c r="MO25" i="5"/>
  <c r="LI25" i="5" s="1"/>
  <c r="LH25" i="5"/>
  <c r="JH25" i="5"/>
  <c r="JT25" i="5" s="1"/>
  <c r="JG25" i="5"/>
  <c r="JS25" i="5" s="1"/>
  <c r="JF25" i="5"/>
  <c r="JE25" i="5"/>
  <c r="JQ25" i="5" s="1"/>
  <c r="JD25" i="5"/>
  <c r="JC25" i="5"/>
  <c r="JB25" i="5"/>
  <c r="JN25" i="5" s="1"/>
  <c r="JA25" i="5"/>
  <c r="JM25" i="5" s="1"/>
  <c r="IZ25" i="5"/>
  <c r="JL25" i="5" s="1"/>
  <c r="GX25" i="5"/>
  <c r="HJ25" i="5" s="1"/>
  <c r="GW25" i="5"/>
  <c r="GV25" i="5"/>
  <c r="GU25" i="5"/>
  <c r="HG25" i="5" s="1"/>
  <c r="GT25" i="5"/>
  <c r="HF25" i="5" s="1"/>
  <c r="GS25" i="5"/>
  <c r="GR25" i="5"/>
  <c r="HD25" i="5" s="1"/>
  <c r="GQ25" i="5"/>
  <c r="GP25" i="5"/>
  <c r="HB25" i="5" s="1"/>
  <c r="CK25" i="5"/>
  <c r="CS25" i="5" s="1"/>
  <c r="CJ25" i="5"/>
  <c r="CR25" i="5" s="1"/>
  <c r="CI25" i="5"/>
  <c r="CQ25" i="5" s="1"/>
  <c r="CH25" i="5"/>
  <c r="CP25" i="5" s="1"/>
  <c r="CG25" i="5"/>
  <c r="CO25" i="5" s="1"/>
  <c r="CF25" i="5"/>
  <c r="CN25" i="5" s="1"/>
  <c r="CE25" i="5"/>
  <c r="CM25" i="5" s="1"/>
  <c r="MO24" i="5"/>
  <c r="LI24" i="5" s="1"/>
  <c r="MB24" i="5" s="1"/>
  <c r="LH24" i="5"/>
  <c r="JH24" i="5"/>
  <c r="JT24" i="5" s="1"/>
  <c r="JG24" i="5"/>
  <c r="JS24" i="5" s="1"/>
  <c r="JF24" i="5"/>
  <c r="JR24" i="5" s="1"/>
  <c r="JE24" i="5"/>
  <c r="JQ24" i="5" s="1"/>
  <c r="JD24" i="5"/>
  <c r="JC24" i="5"/>
  <c r="JO24" i="5" s="1"/>
  <c r="JB24" i="5"/>
  <c r="JN24" i="5" s="1"/>
  <c r="JA24" i="5"/>
  <c r="JM24" i="5" s="1"/>
  <c r="IZ24" i="5"/>
  <c r="JL24" i="5" s="1"/>
  <c r="GX24" i="5"/>
  <c r="HJ24" i="5" s="1"/>
  <c r="GW24" i="5"/>
  <c r="HI24" i="5" s="1"/>
  <c r="GV24" i="5"/>
  <c r="HH24" i="5" s="1"/>
  <c r="GU24" i="5"/>
  <c r="GT24" i="5"/>
  <c r="HF24" i="5" s="1"/>
  <c r="GS24" i="5"/>
  <c r="GR24" i="5"/>
  <c r="GQ24" i="5"/>
  <c r="GP24" i="5"/>
  <c r="HB24" i="5" s="1"/>
  <c r="CK24" i="5"/>
  <c r="CS24" i="5" s="1"/>
  <c r="CJ24" i="5"/>
  <c r="CR24" i="5" s="1"/>
  <c r="CI24" i="5"/>
  <c r="CQ24" i="5" s="1"/>
  <c r="CH24" i="5"/>
  <c r="CP24" i="5" s="1"/>
  <c r="CG24" i="5"/>
  <c r="CO24" i="5" s="1"/>
  <c r="CF24" i="5"/>
  <c r="CN24" i="5" s="1"/>
  <c r="CE24" i="5"/>
  <c r="CM24" i="5" s="1"/>
  <c r="MO23" i="5"/>
  <c r="LI23" i="5" s="1"/>
  <c r="LH23" i="5"/>
  <c r="JH23" i="5"/>
  <c r="JT23" i="5" s="1"/>
  <c r="JG23" i="5"/>
  <c r="JS23" i="5" s="1"/>
  <c r="JF23" i="5"/>
  <c r="JR23" i="5" s="1"/>
  <c r="JE23" i="5"/>
  <c r="JQ23" i="5" s="1"/>
  <c r="JD23" i="5"/>
  <c r="JC23" i="5"/>
  <c r="JO23" i="5" s="1"/>
  <c r="JB23" i="5"/>
  <c r="JA23" i="5"/>
  <c r="JM23" i="5" s="1"/>
  <c r="IZ23" i="5"/>
  <c r="JL23" i="5" s="1"/>
  <c r="GX23" i="5"/>
  <c r="HJ23" i="5" s="1"/>
  <c r="GW23" i="5"/>
  <c r="GV23" i="5"/>
  <c r="HH23" i="5" s="1"/>
  <c r="GU23" i="5"/>
  <c r="GT23" i="5"/>
  <c r="HF23" i="5" s="1"/>
  <c r="GS23" i="5"/>
  <c r="HE23" i="5" s="1"/>
  <c r="GR23" i="5"/>
  <c r="HD23" i="5" s="1"/>
  <c r="GQ23" i="5"/>
  <c r="GP23" i="5"/>
  <c r="HB23" i="5" s="1"/>
  <c r="CK23" i="5"/>
  <c r="CS23" i="5" s="1"/>
  <c r="CJ23" i="5"/>
  <c r="CR23" i="5" s="1"/>
  <c r="CI23" i="5"/>
  <c r="CQ23" i="5" s="1"/>
  <c r="CH23" i="5"/>
  <c r="CP23" i="5" s="1"/>
  <c r="CG23" i="5"/>
  <c r="CO23" i="5" s="1"/>
  <c r="CF23" i="5"/>
  <c r="CN23" i="5" s="1"/>
  <c r="CE23" i="5"/>
  <c r="CM23" i="5" s="1"/>
  <c r="MO22" i="5"/>
  <c r="LI22" i="5" s="1"/>
  <c r="LH22" i="5"/>
  <c r="JH22" i="5"/>
  <c r="JG22" i="5"/>
  <c r="JS22" i="5" s="1"/>
  <c r="JF22" i="5"/>
  <c r="JR22" i="5" s="1"/>
  <c r="JE22" i="5"/>
  <c r="JQ22" i="5" s="1"/>
  <c r="JD22" i="5"/>
  <c r="JP22" i="5" s="1"/>
  <c r="JC22" i="5"/>
  <c r="JO22" i="5" s="1"/>
  <c r="JB22" i="5"/>
  <c r="JA22" i="5"/>
  <c r="JM22" i="5" s="1"/>
  <c r="IZ22" i="5"/>
  <c r="JL22" i="5" s="1"/>
  <c r="GX22" i="5"/>
  <c r="HJ22" i="5" s="1"/>
  <c r="GW22" i="5"/>
  <c r="HI22" i="5" s="1"/>
  <c r="GV22" i="5"/>
  <c r="HH22" i="5" s="1"/>
  <c r="GU22" i="5"/>
  <c r="GT22" i="5"/>
  <c r="HF22" i="5" s="1"/>
  <c r="GS22" i="5"/>
  <c r="HE22" i="5" s="1"/>
  <c r="GR22" i="5"/>
  <c r="HD22" i="5" s="1"/>
  <c r="GQ22" i="5"/>
  <c r="GP22" i="5"/>
  <c r="HB22" i="5" s="1"/>
  <c r="CK22" i="5"/>
  <c r="CS22" i="5" s="1"/>
  <c r="CJ22" i="5"/>
  <c r="CR22" i="5" s="1"/>
  <c r="CI22" i="5"/>
  <c r="CQ22" i="5" s="1"/>
  <c r="CH22" i="5"/>
  <c r="CP22" i="5" s="1"/>
  <c r="CG22" i="5"/>
  <c r="CO22" i="5" s="1"/>
  <c r="CF22" i="5"/>
  <c r="CN22" i="5" s="1"/>
  <c r="CE22" i="5"/>
  <c r="CM22" i="5" s="1"/>
  <c r="MO21" i="5"/>
  <c r="LI21" i="5" s="1"/>
  <c r="MD21" i="5" s="1"/>
  <c r="LH21" i="5"/>
  <c r="JH21" i="5"/>
  <c r="JT21" i="5" s="1"/>
  <c r="JG21" i="5"/>
  <c r="JS21" i="5" s="1"/>
  <c r="JF21" i="5"/>
  <c r="JE21" i="5"/>
  <c r="JQ21" i="5" s="1"/>
  <c r="JD21" i="5"/>
  <c r="JC21" i="5"/>
  <c r="JB21" i="5"/>
  <c r="JN21" i="5" s="1"/>
  <c r="JA21" i="5"/>
  <c r="JM21" i="5" s="1"/>
  <c r="IZ21" i="5"/>
  <c r="JL21" i="5" s="1"/>
  <c r="GX21" i="5"/>
  <c r="HJ21" i="5" s="1"/>
  <c r="GW21" i="5"/>
  <c r="GV21" i="5"/>
  <c r="GU21" i="5"/>
  <c r="HG21" i="5" s="1"/>
  <c r="GT21" i="5"/>
  <c r="HF21" i="5" s="1"/>
  <c r="GS21" i="5"/>
  <c r="GR21" i="5"/>
  <c r="HD21" i="5" s="1"/>
  <c r="GQ21" i="5"/>
  <c r="GP21" i="5"/>
  <c r="HB21" i="5" s="1"/>
  <c r="CK21" i="5"/>
  <c r="CS21" i="5" s="1"/>
  <c r="CJ21" i="5"/>
  <c r="CR21" i="5" s="1"/>
  <c r="CI21" i="5"/>
  <c r="CQ21" i="5" s="1"/>
  <c r="CH21" i="5"/>
  <c r="CP21" i="5" s="1"/>
  <c r="CG21" i="5"/>
  <c r="CO21" i="5" s="1"/>
  <c r="CF21" i="5"/>
  <c r="CN21" i="5" s="1"/>
  <c r="CE21" i="5"/>
  <c r="CM21" i="5" s="1"/>
  <c r="MO20" i="5"/>
  <c r="LI20" i="5" s="1"/>
  <c r="MB20" i="5" s="1"/>
  <c r="LH20" i="5"/>
  <c r="JH20" i="5"/>
  <c r="JT20" i="5" s="1"/>
  <c r="JG20" i="5"/>
  <c r="JS20" i="5" s="1"/>
  <c r="JF20" i="5"/>
  <c r="JR20" i="5" s="1"/>
  <c r="JE20" i="5"/>
  <c r="JQ20" i="5" s="1"/>
  <c r="JD20" i="5"/>
  <c r="JC20" i="5"/>
  <c r="JB20" i="5"/>
  <c r="JN20" i="5" s="1"/>
  <c r="JA20" i="5"/>
  <c r="JM20" i="5" s="1"/>
  <c r="IZ20" i="5"/>
  <c r="JL20" i="5" s="1"/>
  <c r="GX20" i="5"/>
  <c r="HJ20" i="5" s="1"/>
  <c r="GW20" i="5"/>
  <c r="GV20" i="5"/>
  <c r="HH20" i="5" s="1"/>
  <c r="GU20" i="5"/>
  <c r="HG20" i="5" s="1"/>
  <c r="GT20" i="5"/>
  <c r="HF20" i="5" s="1"/>
  <c r="GS20" i="5"/>
  <c r="GR20" i="5"/>
  <c r="HD20" i="5" s="1"/>
  <c r="GQ20" i="5"/>
  <c r="GP20" i="5"/>
  <c r="HB20" i="5" s="1"/>
  <c r="CK20" i="5"/>
  <c r="CS20" i="5" s="1"/>
  <c r="CJ20" i="5"/>
  <c r="CR20" i="5" s="1"/>
  <c r="CI20" i="5"/>
  <c r="CQ20" i="5" s="1"/>
  <c r="CH20" i="5"/>
  <c r="CP20" i="5" s="1"/>
  <c r="CG20" i="5"/>
  <c r="CO20" i="5" s="1"/>
  <c r="CF20" i="5"/>
  <c r="CN20" i="5" s="1"/>
  <c r="CE20" i="5"/>
  <c r="CM20" i="5" s="1"/>
  <c r="MO19" i="5"/>
  <c r="LI19" i="5" s="1"/>
  <c r="LH19" i="5"/>
  <c r="JH19" i="5"/>
  <c r="JG19" i="5"/>
  <c r="JS19" i="5" s="1"/>
  <c r="JF19" i="5"/>
  <c r="JR19" i="5" s="1"/>
  <c r="JE19" i="5"/>
  <c r="JQ19" i="5" s="1"/>
  <c r="JD19" i="5"/>
  <c r="JC19" i="5"/>
  <c r="JO19" i="5" s="1"/>
  <c r="JB19" i="5"/>
  <c r="JN19" i="5" s="1"/>
  <c r="JA19" i="5"/>
  <c r="JM19" i="5" s="1"/>
  <c r="IZ19" i="5"/>
  <c r="GX19" i="5"/>
  <c r="HJ19" i="5" s="1"/>
  <c r="GW19" i="5"/>
  <c r="GV19" i="5"/>
  <c r="HH19" i="5" s="1"/>
  <c r="GU19" i="5"/>
  <c r="HG19" i="5" s="1"/>
  <c r="GT19" i="5"/>
  <c r="HF19" i="5" s="1"/>
  <c r="GS19" i="5"/>
  <c r="GR19" i="5"/>
  <c r="HD19" i="5" s="1"/>
  <c r="GQ19" i="5"/>
  <c r="GP19" i="5"/>
  <c r="HB19" i="5" s="1"/>
  <c r="CK19" i="5"/>
  <c r="CS19" i="5" s="1"/>
  <c r="CJ19" i="5"/>
  <c r="CR19" i="5" s="1"/>
  <c r="CI19" i="5"/>
  <c r="CQ19" i="5" s="1"/>
  <c r="CH19" i="5"/>
  <c r="CP19" i="5" s="1"/>
  <c r="CG19" i="5"/>
  <c r="CO19" i="5" s="1"/>
  <c r="CF19" i="5"/>
  <c r="CN19" i="5" s="1"/>
  <c r="CE19" i="5"/>
  <c r="CM19" i="5" s="1"/>
  <c r="MO18" i="5"/>
  <c r="LI18" i="5" s="1"/>
  <c r="LH18" i="5"/>
  <c r="JH18" i="5"/>
  <c r="JG18" i="5"/>
  <c r="JF18" i="5"/>
  <c r="JE18" i="5"/>
  <c r="JQ18" i="5" s="1"/>
  <c r="JD18" i="5"/>
  <c r="JC18" i="5"/>
  <c r="JO18" i="5" s="1"/>
  <c r="JB18" i="5"/>
  <c r="JN18" i="5" s="1"/>
  <c r="JA18" i="5"/>
  <c r="JM18" i="5" s="1"/>
  <c r="IZ18" i="5"/>
  <c r="JL18" i="5" s="1"/>
  <c r="GX18" i="5"/>
  <c r="HJ18" i="5" s="1"/>
  <c r="GW18" i="5"/>
  <c r="GV18" i="5"/>
  <c r="HH18" i="5" s="1"/>
  <c r="GU18" i="5"/>
  <c r="GT18" i="5"/>
  <c r="HF18" i="5" s="1"/>
  <c r="GS18" i="5"/>
  <c r="HE18" i="5" s="1"/>
  <c r="GR18" i="5"/>
  <c r="GQ18" i="5"/>
  <c r="GP18" i="5"/>
  <c r="HB18" i="5" s="1"/>
  <c r="CK18" i="5"/>
  <c r="CS18" i="5" s="1"/>
  <c r="CJ18" i="5"/>
  <c r="CR18" i="5" s="1"/>
  <c r="CI18" i="5"/>
  <c r="CQ18" i="5" s="1"/>
  <c r="CH18" i="5"/>
  <c r="CP18" i="5" s="1"/>
  <c r="CG18" i="5"/>
  <c r="CO18" i="5" s="1"/>
  <c r="CF18" i="5"/>
  <c r="CN18" i="5" s="1"/>
  <c r="CE18" i="5"/>
  <c r="CM18" i="5" s="1"/>
  <c r="MO17" i="5"/>
  <c r="LI17" i="5" s="1"/>
  <c r="LH17" i="5"/>
  <c r="JH17" i="5"/>
  <c r="JT17" i="5" s="1"/>
  <c r="JG17" i="5"/>
  <c r="JF17" i="5"/>
  <c r="JR17" i="5" s="1"/>
  <c r="JE17" i="5"/>
  <c r="JQ17" i="5" s="1"/>
  <c r="JD17" i="5"/>
  <c r="JC17" i="5"/>
  <c r="JO17" i="5" s="1"/>
  <c r="JB17" i="5"/>
  <c r="JN17" i="5" s="1"/>
  <c r="JA17" i="5"/>
  <c r="JM17" i="5" s="1"/>
  <c r="IZ17" i="5"/>
  <c r="GX17" i="5"/>
  <c r="HJ17" i="5" s="1"/>
  <c r="GW17" i="5"/>
  <c r="GV17" i="5"/>
  <c r="HH17" i="5" s="1"/>
  <c r="GU17" i="5"/>
  <c r="HG17" i="5" s="1"/>
  <c r="GT17" i="5"/>
  <c r="HF17" i="5" s="1"/>
  <c r="GS17" i="5"/>
  <c r="GR17" i="5"/>
  <c r="HD17" i="5" s="1"/>
  <c r="GQ17" i="5"/>
  <c r="GP17" i="5"/>
  <c r="HB17" i="5" s="1"/>
  <c r="CK17" i="5"/>
  <c r="CS17" i="5" s="1"/>
  <c r="CJ17" i="5"/>
  <c r="CR17" i="5" s="1"/>
  <c r="CI17" i="5"/>
  <c r="CQ17" i="5" s="1"/>
  <c r="CH17" i="5"/>
  <c r="CP17" i="5" s="1"/>
  <c r="CG17" i="5"/>
  <c r="CO17" i="5" s="1"/>
  <c r="CF17" i="5"/>
  <c r="CN17" i="5" s="1"/>
  <c r="CE17" i="5"/>
  <c r="CM17" i="5" s="1"/>
  <c r="MO16" i="5"/>
  <c r="LI16" i="5" s="1"/>
  <c r="MB16" i="5" s="1"/>
  <c r="LH16" i="5"/>
  <c r="JH16" i="5"/>
  <c r="JG16" i="5"/>
  <c r="JS16" i="5" s="1"/>
  <c r="JF16" i="5"/>
  <c r="JR16" i="5" s="1"/>
  <c r="JE16" i="5"/>
  <c r="JQ16" i="5" s="1"/>
  <c r="JD16" i="5"/>
  <c r="JC16" i="5"/>
  <c r="JO16" i="5" s="1"/>
  <c r="JB16" i="5"/>
  <c r="JN16" i="5" s="1"/>
  <c r="JA16" i="5"/>
  <c r="JM16" i="5" s="1"/>
  <c r="IZ16" i="5"/>
  <c r="GX16" i="5"/>
  <c r="HJ16" i="5" s="1"/>
  <c r="GW16" i="5"/>
  <c r="HI16" i="5" s="1"/>
  <c r="GV16" i="5"/>
  <c r="HH16" i="5" s="1"/>
  <c r="GU16" i="5"/>
  <c r="HG16" i="5" s="1"/>
  <c r="GT16" i="5"/>
  <c r="HF16" i="5" s="1"/>
  <c r="GS16" i="5"/>
  <c r="GR16" i="5"/>
  <c r="HD16" i="5" s="1"/>
  <c r="GQ16" i="5"/>
  <c r="GP16" i="5"/>
  <c r="HB16" i="5" s="1"/>
  <c r="CK16" i="5"/>
  <c r="CS16" i="5" s="1"/>
  <c r="CJ16" i="5"/>
  <c r="CR16" i="5" s="1"/>
  <c r="CI16" i="5"/>
  <c r="CQ16" i="5" s="1"/>
  <c r="CH16" i="5"/>
  <c r="CP16" i="5" s="1"/>
  <c r="CG16" i="5"/>
  <c r="CO16" i="5" s="1"/>
  <c r="CF16" i="5"/>
  <c r="CN16" i="5" s="1"/>
  <c r="CE16" i="5"/>
  <c r="CM16" i="5" s="1"/>
  <c r="MO15" i="5"/>
  <c r="LI15" i="5" s="1"/>
  <c r="LH15" i="5"/>
  <c r="JH15" i="5"/>
  <c r="JG15" i="5"/>
  <c r="JS15" i="5" s="1"/>
  <c r="JF15" i="5"/>
  <c r="JR15" i="5" s="1"/>
  <c r="JE15" i="5"/>
  <c r="JQ15" i="5" s="1"/>
  <c r="JD15" i="5"/>
  <c r="JC15" i="5"/>
  <c r="JO15" i="5" s="1"/>
  <c r="JB15" i="5"/>
  <c r="JN15" i="5" s="1"/>
  <c r="JA15" i="5"/>
  <c r="JM15" i="5" s="1"/>
  <c r="IZ15" i="5"/>
  <c r="JL15" i="5" s="1"/>
  <c r="GX15" i="5"/>
  <c r="HJ15" i="5" s="1"/>
  <c r="GW15" i="5"/>
  <c r="GV15" i="5"/>
  <c r="HH15" i="5" s="1"/>
  <c r="GU15" i="5"/>
  <c r="HG15" i="5" s="1"/>
  <c r="GT15" i="5"/>
  <c r="HF15" i="5" s="1"/>
  <c r="GS15" i="5"/>
  <c r="GR15" i="5"/>
  <c r="HD15" i="5" s="1"/>
  <c r="GQ15" i="5"/>
  <c r="HC15" i="5" s="1"/>
  <c r="GP15" i="5"/>
  <c r="HB15" i="5" s="1"/>
  <c r="CK15" i="5"/>
  <c r="CS15" i="5" s="1"/>
  <c r="CJ15" i="5"/>
  <c r="CR15" i="5" s="1"/>
  <c r="CI15" i="5"/>
  <c r="CQ15" i="5" s="1"/>
  <c r="CH15" i="5"/>
  <c r="CP15" i="5" s="1"/>
  <c r="CG15" i="5"/>
  <c r="CO15" i="5" s="1"/>
  <c r="CF15" i="5"/>
  <c r="CN15" i="5" s="1"/>
  <c r="CE15" i="5"/>
  <c r="CM15" i="5" s="1"/>
  <c r="MO14" i="5"/>
  <c r="LI14" i="5" s="1"/>
  <c r="LH14" i="5"/>
  <c r="JH14" i="5"/>
  <c r="JG14" i="5"/>
  <c r="JS14" i="5" s="1"/>
  <c r="JF14" i="5"/>
  <c r="JR14" i="5" s="1"/>
  <c r="JE14" i="5"/>
  <c r="JQ14" i="5" s="1"/>
  <c r="JD14" i="5"/>
  <c r="JC14" i="5"/>
  <c r="JO14" i="5" s="1"/>
  <c r="JB14" i="5"/>
  <c r="JN14" i="5" s="1"/>
  <c r="JA14" i="5"/>
  <c r="JM14" i="5" s="1"/>
  <c r="IZ14" i="5"/>
  <c r="GX14" i="5"/>
  <c r="GW14" i="5"/>
  <c r="HI14" i="5" s="1"/>
  <c r="GV14" i="5"/>
  <c r="HH14" i="5" s="1"/>
  <c r="GU14" i="5"/>
  <c r="HG14" i="5" s="1"/>
  <c r="GT14" i="5"/>
  <c r="HF14" i="5" s="1"/>
  <c r="GS14" i="5"/>
  <c r="GR14" i="5"/>
  <c r="HD14" i="5" s="1"/>
  <c r="GQ14" i="5"/>
  <c r="HC14" i="5" s="1"/>
  <c r="GP14" i="5"/>
  <c r="HB14" i="5" s="1"/>
  <c r="CK14" i="5"/>
  <c r="CS14" i="5" s="1"/>
  <c r="CJ14" i="5"/>
  <c r="CR14" i="5" s="1"/>
  <c r="CI14" i="5"/>
  <c r="CQ14" i="5" s="1"/>
  <c r="CH14" i="5"/>
  <c r="CP14" i="5" s="1"/>
  <c r="CG14" i="5"/>
  <c r="CO14" i="5" s="1"/>
  <c r="CF14" i="5"/>
  <c r="CN14" i="5" s="1"/>
  <c r="CE14" i="5"/>
  <c r="CM14" i="5" s="1"/>
  <c r="MO13" i="5"/>
  <c r="LI13" i="5" s="1"/>
  <c r="MB13" i="5" s="1"/>
  <c r="LH13" i="5"/>
  <c r="JH13" i="5"/>
  <c r="JG13" i="5"/>
  <c r="JS13" i="5" s="1"/>
  <c r="JF13" i="5"/>
  <c r="JR13" i="5" s="1"/>
  <c r="JE13" i="5"/>
  <c r="JD13" i="5"/>
  <c r="JP13" i="5" s="1"/>
  <c r="JC13" i="5"/>
  <c r="JO13" i="5" s="1"/>
  <c r="JB13" i="5"/>
  <c r="JN13" i="5" s="1"/>
  <c r="JA13" i="5"/>
  <c r="JM13" i="5" s="1"/>
  <c r="IZ13" i="5"/>
  <c r="GX13" i="5"/>
  <c r="GW13" i="5"/>
  <c r="HI13" i="5" s="1"/>
  <c r="GV13" i="5"/>
  <c r="HH13" i="5" s="1"/>
  <c r="GU13" i="5"/>
  <c r="HG13" i="5" s="1"/>
  <c r="GT13" i="5"/>
  <c r="GS13" i="5"/>
  <c r="GR13" i="5"/>
  <c r="HD13" i="5" s="1"/>
  <c r="GQ13" i="5"/>
  <c r="HC13" i="5" s="1"/>
  <c r="GP13" i="5"/>
  <c r="HB13" i="5" s="1"/>
  <c r="CK13" i="5"/>
  <c r="CS13" i="5" s="1"/>
  <c r="CJ13" i="5"/>
  <c r="CR13" i="5" s="1"/>
  <c r="CI13" i="5"/>
  <c r="CQ13" i="5" s="1"/>
  <c r="CH13" i="5"/>
  <c r="CP13" i="5" s="1"/>
  <c r="CG13" i="5"/>
  <c r="CO13" i="5" s="1"/>
  <c r="CF13" i="5"/>
  <c r="CN13" i="5" s="1"/>
  <c r="CE13" i="5"/>
  <c r="CM13" i="5" s="1"/>
  <c r="LZ8" i="5"/>
  <c r="LO8" i="5"/>
  <c r="LZ7" i="5"/>
  <c r="LO7" i="5"/>
  <c r="LZ6" i="5"/>
  <c r="LO6" i="5"/>
  <c r="GY6" i="5"/>
  <c r="LZ1" i="5"/>
  <c r="LO1" i="5"/>
  <c r="DD26" i="5" l="1"/>
  <c r="DM26" i="5" s="1"/>
  <c r="JI15" i="5"/>
  <c r="JU15" i="5" s="1"/>
  <c r="JI27" i="5"/>
  <c r="GY27" i="5"/>
  <c r="JI26" i="5"/>
  <c r="GY26" i="5"/>
  <c r="CZ26" i="5"/>
  <c r="DI26" i="5" s="1"/>
  <c r="CZ27" i="5"/>
  <c r="DI27" i="5" s="1"/>
  <c r="CY26" i="5"/>
  <c r="DH26" i="5" s="1"/>
  <c r="CX27" i="5"/>
  <c r="DA27" i="5"/>
  <c r="DJ27" i="5" s="1"/>
  <c r="DC27" i="5"/>
  <c r="DL27" i="5" s="1"/>
  <c r="CY27" i="5"/>
  <c r="DH27" i="5" s="1"/>
  <c r="CX26" i="5"/>
  <c r="DB26" i="5"/>
  <c r="DK26" i="5" s="1"/>
  <c r="DC26" i="5"/>
  <c r="DL26" i="5" s="1"/>
  <c r="DB27" i="5"/>
  <c r="DK27" i="5" s="1"/>
  <c r="GB17" i="5"/>
  <c r="HG24" i="5"/>
  <c r="GB24" i="5"/>
  <c r="GB23" i="5"/>
  <c r="GB13" i="5"/>
  <c r="MB14" i="5"/>
  <c r="MC14" i="5"/>
  <c r="GY21" i="5"/>
  <c r="HK21" i="5" s="1"/>
  <c r="GY22" i="5"/>
  <c r="HK22" i="5" s="1"/>
  <c r="GY18" i="5"/>
  <c r="GZ18" i="5" s="1"/>
  <c r="GY16" i="5"/>
  <c r="HK16" i="5" s="1"/>
  <c r="JI13" i="5"/>
  <c r="JJ13" i="5" s="1"/>
  <c r="JI14" i="5"/>
  <c r="JU14" i="5" s="1"/>
  <c r="MC13" i="5"/>
  <c r="MC15" i="5"/>
  <c r="MB15" i="5"/>
  <c r="GY23" i="5"/>
  <c r="HK23" i="5" s="1"/>
  <c r="GB14" i="5"/>
  <c r="CT19" i="5"/>
  <c r="CV19" i="5" s="1"/>
  <c r="DD19" i="5" s="1"/>
  <c r="DM19" i="5" s="1"/>
  <c r="CT24" i="5"/>
  <c r="CV24" i="5" s="1"/>
  <c r="CY24" i="5" s="1"/>
  <c r="DH24" i="5" s="1"/>
  <c r="CT20" i="5"/>
  <c r="CV20" i="5" s="1"/>
  <c r="DC20" i="5" s="1"/>
  <c r="DL20" i="5" s="1"/>
  <c r="JT13" i="5"/>
  <c r="JT14" i="5"/>
  <c r="CT15" i="5"/>
  <c r="CV15" i="5" s="1"/>
  <c r="CX15" i="5" s="1"/>
  <c r="DG15" i="5" s="1"/>
  <c r="CT13" i="5"/>
  <c r="CV13" i="5" s="1"/>
  <c r="CX13" i="5" s="1"/>
  <c r="DG13" i="5" s="1"/>
  <c r="JP14" i="5"/>
  <c r="GB15" i="5"/>
  <c r="HI15" i="5"/>
  <c r="JL16" i="5"/>
  <c r="JP16" i="5"/>
  <c r="HE17" i="5"/>
  <c r="HI17" i="5"/>
  <c r="MC17" i="5"/>
  <c r="MD17" i="5"/>
  <c r="MB17" i="5"/>
  <c r="JR18" i="5"/>
  <c r="GB19" i="5"/>
  <c r="HE19" i="5"/>
  <c r="CT22" i="5"/>
  <c r="CV22" i="5" s="1"/>
  <c r="CZ22" i="5" s="1"/>
  <c r="DI22" i="5" s="1"/>
  <c r="HC22" i="5"/>
  <c r="HG22" i="5"/>
  <c r="GB22" i="5"/>
  <c r="JN22" i="5"/>
  <c r="MC22" i="5"/>
  <c r="MB22" i="5"/>
  <c r="MC23" i="5"/>
  <c r="MB23" i="5"/>
  <c r="HE13" i="5"/>
  <c r="HJ13" i="5"/>
  <c r="JL13" i="5"/>
  <c r="JQ13" i="5"/>
  <c r="CT14" i="5"/>
  <c r="CV14" i="5" s="1"/>
  <c r="CX14" i="5" s="1"/>
  <c r="DG14" i="5" s="1"/>
  <c r="JL14" i="5"/>
  <c r="HE15" i="5"/>
  <c r="JJ15" i="5"/>
  <c r="JT15" i="5"/>
  <c r="CT16" i="5"/>
  <c r="CV16" i="5" s="1"/>
  <c r="CY16" i="5" s="1"/>
  <c r="DH16" i="5" s="1"/>
  <c r="HE16" i="5"/>
  <c r="CT18" i="5"/>
  <c r="CV18" i="5" s="1"/>
  <c r="DA18" i="5" s="1"/>
  <c r="DJ18" i="5" s="1"/>
  <c r="HC18" i="5"/>
  <c r="HG18" i="5"/>
  <c r="GB18" i="5"/>
  <c r="MD22" i="5"/>
  <c r="HC23" i="5"/>
  <c r="HG23" i="5"/>
  <c r="JN23" i="5"/>
  <c r="MD23" i="5"/>
  <c r="HF13" i="5"/>
  <c r="HE14" i="5"/>
  <c r="HJ14" i="5"/>
  <c r="JP15" i="5"/>
  <c r="JT16" i="5"/>
  <c r="MC16" i="5"/>
  <c r="MD16" i="5"/>
  <c r="JL17" i="5"/>
  <c r="JP17" i="5"/>
  <c r="JS17" i="5"/>
  <c r="HD18" i="5"/>
  <c r="JS18" i="5"/>
  <c r="HI19" i="5"/>
  <c r="JL19" i="5"/>
  <c r="JT19" i="5"/>
  <c r="JP19" i="5"/>
  <c r="MC21" i="5"/>
  <c r="MB21" i="5"/>
  <c r="CT23" i="5"/>
  <c r="CV23" i="5" s="1"/>
  <c r="CX23" i="5" s="1"/>
  <c r="DG23" i="5" s="1"/>
  <c r="HD24" i="5"/>
  <c r="GB25" i="5"/>
  <c r="HE25" i="5"/>
  <c r="HI25" i="5"/>
  <c r="CT17" i="5"/>
  <c r="CV17" i="5" s="1"/>
  <c r="DB17" i="5" s="1"/>
  <c r="DK17" i="5" s="1"/>
  <c r="HE20" i="5"/>
  <c r="GB20" i="5"/>
  <c r="HI20" i="5"/>
  <c r="GB21" i="5"/>
  <c r="HI21" i="5"/>
  <c r="HE21" i="5"/>
  <c r="JR21" i="5"/>
  <c r="HC16" i="5"/>
  <c r="JT18" i="5"/>
  <c r="MC18" i="5"/>
  <c r="MB18" i="5"/>
  <c r="MC19" i="5"/>
  <c r="MB19" i="5"/>
  <c r="JO20" i="5"/>
  <c r="MC20" i="5"/>
  <c r="MD20" i="5"/>
  <c r="HC21" i="5"/>
  <c r="JO21" i="5"/>
  <c r="HE24" i="5"/>
  <c r="MC25" i="5"/>
  <c r="MB25" i="5"/>
  <c r="JI25" i="5"/>
  <c r="JJ25" i="5" s="1"/>
  <c r="JI24" i="5"/>
  <c r="JI23" i="5"/>
  <c r="JJ23" i="5" s="1"/>
  <c r="JI22" i="5"/>
  <c r="JJ22" i="5" s="1"/>
  <c r="JI21" i="5"/>
  <c r="JI20" i="5"/>
  <c r="JI19" i="5"/>
  <c r="JI18" i="5"/>
  <c r="JJ18" i="5" s="1"/>
  <c r="JI17" i="5"/>
  <c r="JI16" i="5"/>
  <c r="GY25" i="5"/>
  <c r="GY24" i="5"/>
  <c r="GY20" i="5"/>
  <c r="GY13" i="5"/>
  <c r="MD13" i="5"/>
  <c r="GY14" i="5"/>
  <c r="MD14" i="5"/>
  <c r="GY15" i="5"/>
  <c r="GZ15" i="5" s="1"/>
  <c r="MD15" i="5"/>
  <c r="GB16" i="5"/>
  <c r="HC17" i="5"/>
  <c r="GY17" i="5"/>
  <c r="HI18" i="5"/>
  <c r="JP18" i="5"/>
  <c r="MD18" i="5"/>
  <c r="HC19" i="5"/>
  <c r="GY19" i="5"/>
  <c r="GZ19" i="5" s="1"/>
  <c r="MD19" i="5"/>
  <c r="JP20" i="5"/>
  <c r="CT21" i="5"/>
  <c r="CV21" i="5" s="1"/>
  <c r="DD21" i="5" s="1"/>
  <c r="DM21" i="5" s="1"/>
  <c r="HH21" i="5"/>
  <c r="JP21" i="5"/>
  <c r="HI23" i="5"/>
  <c r="JP23" i="5"/>
  <c r="JR25" i="5"/>
  <c r="MD25" i="5"/>
  <c r="HC20" i="5"/>
  <c r="JT22" i="5"/>
  <c r="HC24" i="5"/>
  <c r="MC24" i="5"/>
  <c r="MD24" i="5"/>
  <c r="HC25" i="5"/>
  <c r="JO25" i="5"/>
  <c r="JP24" i="5"/>
  <c r="CT25" i="5"/>
  <c r="CV25" i="5" s="1"/>
  <c r="DB25" i="5" s="1"/>
  <c r="DK25" i="5" s="1"/>
  <c r="HH25" i="5"/>
  <c r="JP25" i="5"/>
  <c r="HK26" i="5" l="1"/>
  <c r="HL26" i="5" s="1"/>
  <c r="HM26" i="5" s="1"/>
  <c r="HZ26" i="5" s="1"/>
  <c r="IG26" i="5" s="1"/>
  <c r="GZ26" i="5"/>
  <c r="JU26" i="5"/>
  <c r="JV26" i="5" s="1"/>
  <c r="JW26" i="5" s="1"/>
  <c r="KJ26" i="5" s="1"/>
  <c r="KP26" i="5" s="1"/>
  <c r="JJ26" i="5"/>
  <c r="HK27" i="5"/>
  <c r="HL27" i="5" s="1"/>
  <c r="HM27" i="5" s="1"/>
  <c r="HZ27" i="5" s="1"/>
  <c r="IG27" i="5" s="1"/>
  <c r="GZ27" i="5"/>
  <c r="JU27" i="5"/>
  <c r="JV27" i="5" s="1"/>
  <c r="JW27" i="5" s="1"/>
  <c r="JJ27" i="5"/>
  <c r="DG26" i="5"/>
  <c r="DE26" i="5"/>
  <c r="DG27" i="5"/>
  <c r="DE27" i="5"/>
  <c r="GZ22" i="5"/>
  <c r="GZ23" i="5"/>
  <c r="JU13" i="5"/>
  <c r="JV13" i="5" s="1"/>
  <c r="JW13" i="5" s="1"/>
  <c r="HK18" i="5"/>
  <c r="HL18" i="5" s="1"/>
  <c r="HM18" i="5" s="1"/>
  <c r="JV15" i="5"/>
  <c r="JW15" i="5" s="1"/>
  <c r="JY15" i="5" s="1"/>
  <c r="CZ21" i="5"/>
  <c r="DI21" i="5" s="1"/>
  <c r="CY21" i="5"/>
  <c r="DH21" i="5" s="1"/>
  <c r="DD23" i="5"/>
  <c r="DM23" i="5" s="1"/>
  <c r="CZ19" i="5"/>
  <c r="DI19" i="5" s="1"/>
  <c r="DA23" i="5"/>
  <c r="DJ23" i="5" s="1"/>
  <c r="GZ21" i="5"/>
  <c r="DC15" i="5"/>
  <c r="DL15" i="5" s="1"/>
  <c r="DA15" i="5"/>
  <c r="DJ15" i="5" s="1"/>
  <c r="HL23" i="5"/>
  <c r="HM23" i="5" s="1"/>
  <c r="HY23" i="5" s="1"/>
  <c r="CZ23" i="5"/>
  <c r="DI23" i="5" s="1"/>
  <c r="JJ14" i="5"/>
  <c r="CX24" i="5"/>
  <c r="DG24" i="5" s="1"/>
  <c r="DA25" i="5"/>
  <c r="DJ25" i="5" s="1"/>
  <c r="DB16" i="5"/>
  <c r="DK16" i="5" s="1"/>
  <c r="DC17" i="5"/>
  <c r="DL17" i="5" s="1"/>
  <c r="CZ16" i="5"/>
  <c r="DI16" i="5" s="1"/>
  <c r="CX16" i="5"/>
  <c r="DG16" i="5" s="1"/>
  <c r="CY23" i="5"/>
  <c r="DH23" i="5" s="1"/>
  <c r="DA17" i="5"/>
  <c r="DJ17" i="5" s="1"/>
  <c r="DD17" i="5"/>
  <c r="DM17" i="5" s="1"/>
  <c r="CZ15" i="5"/>
  <c r="DI15" i="5" s="1"/>
  <c r="CX18" i="5"/>
  <c r="DG18" i="5" s="1"/>
  <c r="DD16" i="5"/>
  <c r="DM16" i="5" s="1"/>
  <c r="DC22" i="5"/>
  <c r="DL22" i="5" s="1"/>
  <c r="DD20" i="5"/>
  <c r="DM20" i="5" s="1"/>
  <c r="DA13" i="5"/>
  <c r="DJ13" i="5" s="1"/>
  <c r="DB22" i="5"/>
  <c r="DK22" i="5" s="1"/>
  <c r="DD22" i="5"/>
  <c r="DM22" i="5" s="1"/>
  <c r="DC13" i="5"/>
  <c r="DL13" i="5" s="1"/>
  <c r="HL21" i="5"/>
  <c r="HM21" i="5" s="1"/>
  <c r="HU21" i="5" s="1"/>
  <c r="CY22" i="5"/>
  <c r="DH22" i="5" s="1"/>
  <c r="CX22" i="5"/>
  <c r="DG22" i="5" s="1"/>
  <c r="CZ14" i="5"/>
  <c r="DI14" i="5" s="1"/>
  <c r="CZ18" i="5"/>
  <c r="DI18" i="5" s="1"/>
  <c r="DA22" i="5"/>
  <c r="DJ22" i="5" s="1"/>
  <c r="DC14" i="5"/>
  <c r="DL14" i="5" s="1"/>
  <c r="DB13" i="5"/>
  <c r="DK13" i="5" s="1"/>
  <c r="CY13" i="5"/>
  <c r="DH13" i="5" s="1"/>
  <c r="DA14" i="5"/>
  <c r="DJ14" i="5" s="1"/>
  <c r="GZ16" i="5"/>
  <c r="HL16" i="5"/>
  <c r="HM16" i="5" s="1"/>
  <c r="HU16" i="5" s="1"/>
  <c r="DA19" i="5"/>
  <c r="DJ19" i="5" s="1"/>
  <c r="DB19" i="5"/>
  <c r="DK19" i="5" s="1"/>
  <c r="DD24" i="5"/>
  <c r="DM24" i="5" s="1"/>
  <c r="DB21" i="5"/>
  <c r="DK21" i="5" s="1"/>
  <c r="DC18" i="5"/>
  <c r="DL18" i="5" s="1"/>
  <c r="DB14" i="5"/>
  <c r="DK14" i="5" s="1"/>
  <c r="CX17" i="5"/>
  <c r="DG17" i="5" s="1"/>
  <c r="DA21" i="5"/>
  <c r="DJ21" i="5" s="1"/>
  <c r="CY15" i="5"/>
  <c r="DH15" i="5" s="1"/>
  <c r="DC19" i="5"/>
  <c r="DL19" i="5" s="1"/>
  <c r="DB15" i="5"/>
  <c r="DK15" i="5" s="1"/>
  <c r="DB24" i="5"/>
  <c r="DK24" i="5" s="1"/>
  <c r="CX25" i="5"/>
  <c r="DG25" i="5" s="1"/>
  <c r="CY20" i="5"/>
  <c r="DH20" i="5" s="1"/>
  <c r="DA16" i="5"/>
  <c r="DJ16" i="5" s="1"/>
  <c r="CY14" i="5"/>
  <c r="DH14" i="5" s="1"/>
  <c r="CX20" i="5"/>
  <c r="DG20" i="5" s="1"/>
  <c r="DC16" i="5"/>
  <c r="DL16" i="5" s="1"/>
  <c r="DD14" i="5"/>
  <c r="DM14" i="5" s="1"/>
  <c r="DB20" i="5"/>
  <c r="DK20" i="5" s="1"/>
  <c r="CZ13" i="5"/>
  <c r="DI13" i="5" s="1"/>
  <c r="DA20" i="5"/>
  <c r="DJ20" i="5" s="1"/>
  <c r="CZ20" i="5"/>
  <c r="DI20" i="5" s="1"/>
  <c r="DC25" i="5"/>
  <c r="DL25" i="5" s="1"/>
  <c r="DD25" i="5"/>
  <c r="DM25" i="5" s="1"/>
  <c r="CY25" i="5"/>
  <c r="DH25" i="5" s="1"/>
  <c r="CZ25" i="5"/>
  <c r="DI25" i="5" s="1"/>
  <c r="CY17" i="5"/>
  <c r="DH17" i="5" s="1"/>
  <c r="CZ17" i="5"/>
  <c r="DI17" i="5" s="1"/>
  <c r="CZ24" i="5"/>
  <c r="DI24" i="5" s="1"/>
  <c r="CX21" i="5"/>
  <c r="DG21" i="5" s="1"/>
  <c r="CY18" i="5"/>
  <c r="DH18" i="5" s="1"/>
  <c r="DB18" i="5"/>
  <c r="DK18" i="5" s="1"/>
  <c r="DB23" i="5"/>
  <c r="DK23" i="5" s="1"/>
  <c r="CY19" i="5"/>
  <c r="DH19" i="5" s="1"/>
  <c r="DD13" i="5"/>
  <c r="DM13" i="5" s="1"/>
  <c r="DC21" i="5"/>
  <c r="DL21" i="5" s="1"/>
  <c r="DA24" i="5"/>
  <c r="DJ24" i="5" s="1"/>
  <c r="DC24" i="5"/>
  <c r="DL24" i="5" s="1"/>
  <c r="CX19" i="5"/>
  <c r="DG19" i="5" s="1"/>
  <c r="DD15" i="5"/>
  <c r="DM15" i="5" s="1"/>
  <c r="DD18" i="5"/>
  <c r="DM18" i="5" s="1"/>
  <c r="DC23" i="5"/>
  <c r="DL23" i="5" s="1"/>
  <c r="HK17" i="5"/>
  <c r="HL17" i="5" s="1"/>
  <c r="HM17" i="5" s="1"/>
  <c r="HK25" i="5"/>
  <c r="HL25" i="5" s="1"/>
  <c r="HM25" i="5" s="1"/>
  <c r="JU16" i="5"/>
  <c r="JV16" i="5" s="1"/>
  <c r="JW16" i="5" s="1"/>
  <c r="KJ16" i="5" s="1"/>
  <c r="KP16" i="5" s="1"/>
  <c r="JU20" i="5"/>
  <c r="JV20" i="5" s="1"/>
  <c r="JW20" i="5" s="1"/>
  <c r="KJ20" i="5" s="1"/>
  <c r="KP20" i="5" s="1"/>
  <c r="JJ20" i="5"/>
  <c r="JU24" i="5"/>
  <c r="JV24" i="5" s="1"/>
  <c r="JW24" i="5" s="1"/>
  <c r="JJ24" i="5"/>
  <c r="JJ16" i="5"/>
  <c r="HK13" i="5"/>
  <c r="HL13" i="5" s="1"/>
  <c r="HM13" i="5" s="1"/>
  <c r="JU17" i="5"/>
  <c r="JV17" i="5" s="1"/>
  <c r="JW17" i="5" s="1"/>
  <c r="JU21" i="5"/>
  <c r="JV21" i="5" s="1"/>
  <c r="JW21" i="5" s="1"/>
  <c r="KJ21" i="5" s="1"/>
  <c r="KP21" i="5" s="1"/>
  <c r="JU25" i="5"/>
  <c r="JV25" i="5" s="1"/>
  <c r="JW25" i="5" s="1"/>
  <c r="GZ25" i="5"/>
  <c r="HK14" i="5"/>
  <c r="HL14" i="5" s="1"/>
  <c r="HM14" i="5" s="1"/>
  <c r="GZ14" i="5"/>
  <c r="HK20" i="5"/>
  <c r="HL20" i="5" s="1"/>
  <c r="HM20" i="5" s="1"/>
  <c r="JU18" i="5"/>
  <c r="JV18" i="5" s="1"/>
  <c r="JW18" i="5" s="1"/>
  <c r="JU22" i="5"/>
  <c r="JV22" i="5" s="1"/>
  <c r="JW22" i="5" s="1"/>
  <c r="GZ20" i="5"/>
  <c r="GZ17" i="5"/>
  <c r="JV14" i="5"/>
  <c r="JW14" i="5" s="1"/>
  <c r="HL22" i="5"/>
  <c r="HM22" i="5" s="1"/>
  <c r="JJ21" i="5"/>
  <c r="HK19" i="5"/>
  <c r="HL19" i="5" s="1"/>
  <c r="HM19" i="5" s="1"/>
  <c r="HK15" i="5"/>
  <c r="HL15" i="5" s="1"/>
  <c r="HM15" i="5" s="1"/>
  <c r="HK24" i="5"/>
  <c r="HL24" i="5" s="1"/>
  <c r="HM24" i="5" s="1"/>
  <c r="HZ24" i="5" s="1"/>
  <c r="IG24" i="5" s="1"/>
  <c r="GZ24" i="5"/>
  <c r="JJ19" i="5"/>
  <c r="JU19" i="5"/>
  <c r="JV19" i="5" s="1"/>
  <c r="JW19" i="5" s="1"/>
  <c r="JU23" i="5"/>
  <c r="JV23" i="5" s="1"/>
  <c r="JW23" i="5" s="1"/>
  <c r="JJ17" i="5"/>
  <c r="GZ13" i="5"/>
  <c r="JZ27" i="5" l="1"/>
  <c r="KO27" i="5" s="1"/>
  <c r="JY27" i="5"/>
  <c r="KE27" i="5"/>
  <c r="KH27" i="5"/>
  <c r="KF27" i="5"/>
  <c r="KI27" i="5"/>
  <c r="KC27" i="5"/>
  <c r="KG27" i="5"/>
  <c r="KD27" i="5"/>
  <c r="HP27" i="5"/>
  <c r="HU27" i="5"/>
  <c r="HV27" i="5"/>
  <c r="HX27" i="5"/>
  <c r="HT27" i="5"/>
  <c r="GL27" i="5" s="1"/>
  <c r="HY27" i="5"/>
  <c r="HS27" i="5"/>
  <c r="LK27" i="5" s="1"/>
  <c r="LL27" i="5" s="1"/>
  <c r="HW27" i="5"/>
  <c r="HO27" i="5"/>
  <c r="KH26" i="5"/>
  <c r="KD26" i="5"/>
  <c r="JY26" i="5"/>
  <c r="KG26" i="5"/>
  <c r="KC26" i="5"/>
  <c r="KI26" i="5"/>
  <c r="KE26" i="5"/>
  <c r="JZ26" i="5"/>
  <c r="KO26" i="5" s="1"/>
  <c r="KF26" i="5"/>
  <c r="KJ27" i="5"/>
  <c r="KP27" i="5" s="1"/>
  <c r="HV26" i="5"/>
  <c r="HP26" i="5"/>
  <c r="HT26" i="5"/>
  <c r="HY26" i="5"/>
  <c r="HX26" i="5"/>
  <c r="HU26" i="5"/>
  <c r="HO26" i="5"/>
  <c r="HW26" i="5"/>
  <c r="HS26" i="5"/>
  <c r="DN27" i="5"/>
  <c r="DN26" i="5"/>
  <c r="HS21" i="5"/>
  <c r="HX23" i="5"/>
  <c r="HS23" i="5"/>
  <c r="KG15" i="5"/>
  <c r="MH15" i="5" s="1"/>
  <c r="HP16" i="5"/>
  <c r="HY16" i="5"/>
  <c r="HZ23" i="5"/>
  <c r="IG23" i="5" s="1"/>
  <c r="HW21" i="5"/>
  <c r="HX16" i="5"/>
  <c r="HU23" i="5"/>
  <c r="KI15" i="5"/>
  <c r="HT16" i="5"/>
  <c r="KD15" i="5"/>
  <c r="HS16" i="5"/>
  <c r="KE15" i="5"/>
  <c r="JZ15" i="5"/>
  <c r="KO15" i="5" s="1"/>
  <c r="HO16" i="5"/>
  <c r="HQ16" i="5" s="1"/>
  <c r="HT21" i="5"/>
  <c r="HY21" i="5"/>
  <c r="KH15" i="5"/>
  <c r="KN15" i="5" s="1"/>
  <c r="KF15" i="5"/>
  <c r="KC15" i="5"/>
  <c r="HW16" i="5"/>
  <c r="HZ16" i="5"/>
  <c r="IG16" i="5" s="1"/>
  <c r="HZ21" i="5"/>
  <c r="IG21" i="5" s="1"/>
  <c r="HV21" i="5"/>
  <c r="HO21" i="5"/>
  <c r="HQ21" i="5" s="1"/>
  <c r="DN13" i="5"/>
  <c r="KJ15" i="5"/>
  <c r="KP15" i="5" s="1"/>
  <c r="HX21" i="5"/>
  <c r="HP21" i="5"/>
  <c r="DN21" i="5"/>
  <c r="DN15" i="5"/>
  <c r="DN16" i="5"/>
  <c r="DN14" i="5"/>
  <c r="DN23" i="5"/>
  <c r="DN18" i="5"/>
  <c r="DN24" i="5"/>
  <c r="DN25" i="5"/>
  <c r="DN19" i="5"/>
  <c r="DN20" i="5"/>
  <c r="DN17" i="5"/>
  <c r="DN22" i="5"/>
  <c r="DE13" i="5"/>
  <c r="DE18" i="5"/>
  <c r="HT23" i="5"/>
  <c r="HV23" i="5"/>
  <c r="HO23" i="5"/>
  <c r="HQ23" i="5" s="1"/>
  <c r="HV16" i="5"/>
  <c r="HW23" i="5"/>
  <c r="HP23" i="5"/>
  <c r="DE23" i="5"/>
  <c r="DE16" i="5"/>
  <c r="DE15" i="5"/>
  <c r="DE24" i="5"/>
  <c r="DE14" i="5"/>
  <c r="DE19" i="5"/>
  <c r="DE25" i="5"/>
  <c r="DE22" i="5"/>
  <c r="DE21" i="5"/>
  <c r="DE20" i="5"/>
  <c r="DE17" i="5"/>
  <c r="KF18" i="5"/>
  <c r="JZ18" i="5"/>
  <c r="KO18" i="5" s="1"/>
  <c r="JY18" i="5"/>
  <c r="KG18" i="5"/>
  <c r="KD18" i="5"/>
  <c r="KE18" i="5"/>
  <c r="KH18" i="5"/>
  <c r="KC18" i="5"/>
  <c r="KI18" i="5"/>
  <c r="KJ18" i="5"/>
  <c r="KP18" i="5" s="1"/>
  <c r="KD24" i="5"/>
  <c r="KG24" i="5"/>
  <c r="KF24" i="5"/>
  <c r="JZ24" i="5"/>
  <c r="KO24" i="5" s="1"/>
  <c r="JY24" i="5"/>
  <c r="KC24" i="5"/>
  <c r="KE24" i="5"/>
  <c r="KH24" i="5"/>
  <c r="KI24" i="5"/>
  <c r="KJ24" i="5"/>
  <c r="KP24" i="5" s="1"/>
  <c r="HP15" i="5"/>
  <c r="HV15" i="5"/>
  <c r="HO15" i="5"/>
  <c r="HT15" i="5"/>
  <c r="HY15" i="5"/>
  <c r="HX15" i="5"/>
  <c r="HW15" i="5"/>
  <c r="HS15" i="5"/>
  <c r="HU15" i="5"/>
  <c r="HZ15" i="5"/>
  <c r="IG15" i="5" s="1"/>
  <c r="KF25" i="5"/>
  <c r="JZ25" i="5"/>
  <c r="KO25" i="5" s="1"/>
  <c r="KH25" i="5"/>
  <c r="KC25" i="5"/>
  <c r="KD25" i="5"/>
  <c r="KE25" i="5"/>
  <c r="KI25" i="5"/>
  <c r="KG25" i="5"/>
  <c r="JY25" i="5"/>
  <c r="KJ25" i="5"/>
  <c r="KP25" i="5" s="1"/>
  <c r="HU17" i="5"/>
  <c r="HO17" i="5"/>
  <c r="HY17" i="5"/>
  <c r="HV17" i="5"/>
  <c r="HW17" i="5"/>
  <c r="HX17" i="5"/>
  <c r="HP17" i="5"/>
  <c r="HS17" i="5"/>
  <c r="HT17" i="5"/>
  <c r="HZ17" i="5"/>
  <c r="IG17" i="5" s="1"/>
  <c r="HU19" i="5"/>
  <c r="HS19" i="5"/>
  <c r="HY19" i="5"/>
  <c r="HV19" i="5"/>
  <c r="HO19" i="5"/>
  <c r="HX19" i="5"/>
  <c r="HT19" i="5"/>
  <c r="HP19" i="5"/>
  <c r="HW19" i="5"/>
  <c r="HZ19" i="5"/>
  <c r="IG19" i="5" s="1"/>
  <c r="HO20" i="5"/>
  <c r="HU20" i="5"/>
  <c r="HY20" i="5"/>
  <c r="HS20" i="5"/>
  <c r="HV20" i="5"/>
  <c r="HW20" i="5"/>
  <c r="HP20" i="5"/>
  <c r="HT20" i="5"/>
  <c r="HX20" i="5"/>
  <c r="HZ20" i="5"/>
  <c r="IG20" i="5" s="1"/>
  <c r="KF22" i="5"/>
  <c r="JZ22" i="5"/>
  <c r="KO22" i="5" s="1"/>
  <c r="JY22" i="5"/>
  <c r="KH22" i="5"/>
  <c r="KE22" i="5"/>
  <c r="KG22" i="5"/>
  <c r="KI22" i="5"/>
  <c r="KD22" i="5"/>
  <c r="KC22" i="5"/>
  <c r="KJ22" i="5"/>
  <c r="KP22" i="5" s="1"/>
  <c r="KH19" i="5"/>
  <c r="JZ19" i="5"/>
  <c r="KO19" i="5" s="1"/>
  <c r="KF19" i="5"/>
  <c r="KC19" i="5"/>
  <c r="KE19" i="5"/>
  <c r="KD19" i="5"/>
  <c r="KI19" i="5"/>
  <c r="KG19" i="5"/>
  <c r="JY19" i="5"/>
  <c r="HY22" i="5"/>
  <c r="HO22" i="5"/>
  <c r="HU22" i="5"/>
  <c r="HP22" i="5"/>
  <c r="HV22" i="5"/>
  <c r="HW22" i="5"/>
  <c r="HZ22" i="5"/>
  <c r="IG22" i="5" s="1"/>
  <c r="HS22" i="5"/>
  <c r="HT22" i="5"/>
  <c r="HX22" i="5"/>
  <c r="HV14" i="5"/>
  <c r="HP14" i="5"/>
  <c r="HO14" i="5"/>
  <c r="HX14" i="5"/>
  <c r="HW14" i="5"/>
  <c r="HT14" i="5"/>
  <c r="HS14" i="5"/>
  <c r="HU14" i="5"/>
  <c r="HY14" i="5"/>
  <c r="HU25" i="5"/>
  <c r="HO25" i="5"/>
  <c r="HS25" i="5"/>
  <c r="HY25" i="5"/>
  <c r="HX25" i="5"/>
  <c r="HP25" i="5"/>
  <c r="HT25" i="5"/>
  <c r="HW25" i="5"/>
  <c r="HV25" i="5"/>
  <c r="KF21" i="5"/>
  <c r="JZ21" i="5"/>
  <c r="KO21" i="5" s="1"/>
  <c r="KH21" i="5"/>
  <c r="KC21" i="5"/>
  <c r="JY21" i="5"/>
  <c r="KE21" i="5"/>
  <c r="KD21" i="5"/>
  <c r="KG21" i="5"/>
  <c r="KI21" i="5"/>
  <c r="JZ14" i="5"/>
  <c r="KO14" i="5" s="1"/>
  <c r="KG14" i="5"/>
  <c r="KD14" i="5"/>
  <c r="KC14" i="5"/>
  <c r="KJ14" i="5"/>
  <c r="KP14" i="5" s="1"/>
  <c r="KE14" i="5"/>
  <c r="KI14" i="5"/>
  <c r="JY14" i="5"/>
  <c r="KH14" i="5"/>
  <c r="KF14" i="5"/>
  <c r="KA15" i="5"/>
  <c r="KG17" i="5"/>
  <c r="KF17" i="5"/>
  <c r="JZ17" i="5"/>
  <c r="KO17" i="5" s="1"/>
  <c r="JY17" i="5"/>
  <c r="KH17" i="5"/>
  <c r="KE17" i="5"/>
  <c r="KC17" i="5"/>
  <c r="KD17" i="5"/>
  <c r="KI17" i="5"/>
  <c r="HZ25" i="5"/>
  <c r="IG25" i="5" s="1"/>
  <c r="HV13" i="5"/>
  <c r="HP13" i="5"/>
  <c r="HO13" i="5"/>
  <c r="HX13" i="5"/>
  <c r="HU13" i="5"/>
  <c r="HT13" i="5"/>
  <c r="HY13" i="5"/>
  <c r="HS13" i="5"/>
  <c r="HW13" i="5"/>
  <c r="KF23" i="5"/>
  <c r="JZ23" i="5"/>
  <c r="KO23" i="5" s="1"/>
  <c r="KH23" i="5"/>
  <c r="KD23" i="5"/>
  <c r="JY23" i="5"/>
  <c r="KC23" i="5"/>
  <c r="KE23" i="5"/>
  <c r="KG23" i="5"/>
  <c r="KI23" i="5"/>
  <c r="KJ19" i="5"/>
  <c r="KP19" i="5" s="1"/>
  <c r="KJ17" i="5"/>
  <c r="KP17" i="5" s="1"/>
  <c r="HZ13" i="5"/>
  <c r="IG13" i="5" s="1"/>
  <c r="JY20" i="5"/>
  <c r="KG20" i="5"/>
  <c r="KF20" i="5"/>
  <c r="JZ20" i="5"/>
  <c r="KO20" i="5" s="1"/>
  <c r="KE20" i="5"/>
  <c r="KD20" i="5"/>
  <c r="KH20" i="5"/>
  <c r="KI20" i="5"/>
  <c r="KC20" i="5"/>
  <c r="HY24" i="5"/>
  <c r="HU24" i="5"/>
  <c r="HO24" i="5"/>
  <c r="HT24" i="5"/>
  <c r="HV24" i="5"/>
  <c r="HS24" i="5"/>
  <c r="HX24" i="5"/>
  <c r="HW24" i="5"/>
  <c r="HP24" i="5"/>
  <c r="KH13" i="5"/>
  <c r="KC13" i="5"/>
  <c r="KG13" i="5"/>
  <c r="JZ13" i="5"/>
  <c r="KO13" i="5" s="1"/>
  <c r="KE13" i="5"/>
  <c r="JY13" i="5"/>
  <c r="KI13" i="5"/>
  <c r="KD13" i="5"/>
  <c r="KF13" i="5"/>
  <c r="KJ13" i="5"/>
  <c r="KP13" i="5" s="1"/>
  <c r="KJ23" i="5"/>
  <c r="KP23" i="5" s="1"/>
  <c r="HU18" i="5"/>
  <c r="HO18" i="5"/>
  <c r="HY18" i="5"/>
  <c r="HW18" i="5"/>
  <c r="HP18" i="5"/>
  <c r="HX18" i="5"/>
  <c r="HZ18" i="5"/>
  <c r="IG18" i="5" s="1"/>
  <c r="HV18" i="5"/>
  <c r="HS18" i="5"/>
  <c r="HT18" i="5"/>
  <c r="HZ14" i="5"/>
  <c r="IG14" i="5" s="1"/>
  <c r="KH16" i="5"/>
  <c r="KG16" i="5"/>
  <c r="KF16" i="5"/>
  <c r="JZ16" i="5"/>
  <c r="KO16" i="5" s="1"/>
  <c r="KE16" i="5"/>
  <c r="KI16" i="5"/>
  <c r="JY16" i="5"/>
  <c r="KC16" i="5"/>
  <c r="KD16" i="5"/>
  <c r="MH26" i="5" l="1"/>
  <c r="GN26" i="5"/>
  <c r="LY26" i="5"/>
  <c r="KR26" i="5"/>
  <c r="KU26" i="5" s="1"/>
  <c r="LZ26" i="5"/>
  <c r="MH27" i="5"/>
  <c r="GN27" i="5"/>
  <c r="LY27" i="5"/>
  <c r="KR27" i="5"/>
  <c r="KU27" i="5" s="1"/>
  <c r="LZ27" i="5"/>
  <c r="LK26" i="5"/>
  <c r="LL26" i="5" s="1"/>
  <c r="HR26" i="5"/>
  <c r="IE26" i="5" s="1"/>
  <c r="KK26" i="5"/>
  <c r="KM26" i="5" s="1"/>
  <c r="KA26" i="5"/>
  <c r="HQ26" i="5"/>
  <c r="IA26" i="5"/>
  <c r="IC26" i="5" s="1"/>
  <c r="KN26" i="5"/>
  <c r="MI26" i="5"/>
  <c r="KN27" i="5"/>
  <c r="MI27" i="5"/>
  <c r="KR15" i="5"/>
  <c r="KU15" i="5" s="1"/>
  <c r="HQ27" i="5"/>
  <c r="IA27" i="5"/>
  <c r="IC27" i="5" s="1"/>
  <c r="KK27" i="5"/>
  <c r="KM27" i="5" s="1"/>
  <c r="KA27" i="5"/>
  <c r="GL26" i="5"/>
  <c r="ED27" i="5"/>
  <c r="DO27" i="5"/>
  <c r="DO26" i="5"/>
  <c r="ED26" i="5"/>
  <c r="LZ15" i="5"/>
  <c r="IA16" i="5"/>
  <c r="IC16" i="5" s="1"/>
  <c r="IA21" i="5"/>
  <c r="IC21" i="5" s="1"/>
  <c r="KK15" i="5"/>
  <c r="KM15" i="5" s="1"/>
  <c r="LK23" i="5"/>
  <c r="LL23" i="5" s="1"/>
  <c r="GN15" i="5"/>
  <c r="GL23" i="5"/>
  <c r="GL21" i="5"/>
  <c r="IA23" i="5"/>
  <c r="IC23" i="5" s="1"/>
  <c r="DO13" i="5"/>
  <c r="ED13" i="5"/>
  <c r="DO18" i="5"/>
  <c r="DT18" i="5" s="1"/>
  <c r="ED18" i="5"/>
  <c r="DO14" i="5"/>
  <c r="DQ14" i="5" s="1"/>
  <c r="ER14" i="5" s="1"/>
  <c r="FQ14" i="5" s="1"/>
  <c r="ED14" i="5"/>
  <c r="DO15" i="5"/>
  <c r="DQ15" i="5" s="1"/>
  <c r="ER15" i="5" s="1"/>
  <c r="FQ15" i="5" s="1"/>
  <c r="ED15" i="5"/>
  <c r="DO22" i="5"/>
  <c r="DS22" i="5" s="1"/>
  <c r="ET22" i="5" s="1"/>
  <c r="FS22" i="5" s="1"/>
  <c r="ED22" i="5"/>
  <c r="DO20" i="5"/>
  <c r="DV20" i="5" s="1"/>
  <c r="EX20" i="5" s="1"/>
  <c r="FW20" i="5" s="1"/>
  <c r="ED20" i="5"/>
  <c r="DO17" i="5"/>
  <c r="DU17" i="5" s="1"/>
  <c r="EW17" i="5" s="1"/>
  <c r="FV17" i="5" s="1"/>
  <c r="ED17" i="5"/>
  <c r="DO19" i="5"/>
  <c r="DW19" i="5" s="1"/>
  <c r="EY19" i="5" s="1"/>
  <c r="FX19" i="5" s="1"/>
  <c r="ED19" i="5"/>
  <c r="DO23" i="5"/>
  <c r="DQ23" i="5" s="1"/>
  <c r="ER23" i="5" s="1"/>
  <c r="FQ23" i="5" s="1"/>
  <c r="ED23" i="5"/>
  <c r="DO16" i="5"/>
  <c r="DQ16" i="5" s="1"/>
  <c r="ER16" i="5" s="1"/>
  <c r="FQ16" i="5" s="1"/>
  <c r="ED16" i="5"/>
  <c r="DO21" i="5"/>
  <c r="DS21" i="5" s="1"/>
  <c r="ET21" i="5" s="1"/>
  <c r="FS21" i="5" s="1"/>
  <c r="ED21" i="5"/>
  <c r="DO25" i="5"/>
  <c r="DU25" i="5" s="1"/>
  <c r="EW25" i="5" s="1"/>
  <c r="FV25" i="5" s="1"/>
  <c r="ED25" i="5"/>
  <c r="DO24" i="5"/>
  <c r="DR24" i="5" s="1"/>
  <c r="ES24" i="5" s="1"/>
  <c r="FR24" i="5" s="1"/>
  <c r="ED24" i="5"/>
  <c r="IA24" i="5"/>
  <c r="IC24" i="5" s="1"/>
  <c r="HQ24" i="5"/>
  <c r="HR24" i="5" s="1"/>
  <c r="IE24" i="5" s="1"/>
  <c r="HQ22" i="5"/>
  <c r="HR22" i="5" s="1"/>
  <c r="IE22" i="5" s="1"/>
  <c r="IA22" i="5"/>
  <c r="IC22" i="5" s="1"/>
  <c r="KA22" i="5"/>
  <c r="KB22" i="5" s="1"/>
  <c r="KK22" i="5"/>
  <c r="KM22" i="5" s="1"/>
  <c r="GL19" i="5"/>
  <c r="MI18" i="5"/>
  <c r="KN18" i="5"/>
  <c r="KA20" i="5"/>
  <c r="KB20" i="5" s="1"/>
  <c r="KK20" i="5"/>
  <c r="KM20" i="5" s="1"/>
  <c r="HQ13" i="5"/>
  <c r="IA13" i="5"/>
  <c r="IC13" i="5" s="1"/>
  <c r="HR21" i="5"/>
  <c r="IB21" i="5" s="1"/>
  <c r="KR21" i="5"/>
  <c r="LY21" i="5"/>
  <c r="GN21" i="5"/>
  <c r="LZ21" i="5"/>
  <c r="MH21" i="5"/>
  <c r="HQ25" i="5"/>
  <c r="HR25" i="5" s="1"/>
  <c r="IA25" i="5"/>
  <c r="IC25" i="5" s="1"/>
  <c r="HQ14" i="5"/>
  <c r="HR14" i="5" s="1"/>
  <c r="IA14" i="5"/>
  <c r="GL22" i="5"/>
  <c r="GL15" i="5"/>
  <c r="KN24" i="5"/>
  <c r="MI24" i="5"/>
  <c r="KA17" i="5"/>
  <c r="KB17" i="5" s="1"/>
  <c r="KL17" i="5" s="1"/>
  <c r="KK17" i="5"/>
  <c r="KM17" i="5" s="1"/>
  <c r="LY16" i="5"/>
  <c r="KR16" i="5"/>
  <c r="LZ16" i="5"/>
  <c r="GN16" i="5"/>
  <c r="MH16" i="5"/>
  <c r="GL18" i="5"/>
  <c r="IA18" i="5"/>
  <c r="IC18" i="5" s="1"/>
  <c r="HQ18" i="5"/>
  <c r="HR18" i="5" s="1"/>
  <c r="KA13" i="5"/>
  <c r="KB13" i="5" s="1"/>
  <c r="KK13" i="5"/>
  <c r="KM13" i="5" s="1"/>
  <c r="LY20" i="5"/>
  <c r="KR20" i="5"/>
  <c r="GN20" i="5"/>
  <c r="LZ20" i="5"/>
  <c r="MH20" i="5"/>
  <c r="LY23" i="5"/>
  <c r="LZ23" i="5"/>
  <c r="GN23" i="5"/>
  <c r="KR23" i="5"/>
  <c r="MH23" i="5"/>
  <c r="HR23" i="5"/>
  <c r="IB23" i="5" s="1"/>
  <c r="LK13" i="5"/>
  <c r="LL13" i="5" s="1"/>
  <c r="KN14" i="5"/>
  <c r="MI14" i="5"/>
  <c r="KA21" i="5"/>
  <c r="KB21" i="5" s="1"/>
  <c r="KK21" i="5"/>
  <c r="KM21" i="5" s="1"/>
  <c r="GL25" i="5"/>
  <c r="LK25" i="5"/>
  <c r="LL25" i="5" s="1"/>
  <c r="KA25" i="5"/>
  <c r="KK25" i="5"/>
  <c r="KM25" i="5" s="1"/>
  <c r="KA24" i="5"/>
  <c r="KB24" i="5" s="1"/>
  <c r="KL24" i="5" s="1"/>
  <c r="KK24" i="5"/>
  <c r="KM24" i="5" s="1"/>
  <c r="KA18" i="5"/>
  <c r="KB18" i="5" s="1"/>
  <c r="KK18" i="5"/>
  <c r="KM18" i="5" s="1"/>
  <c r="KN16" i="5"/>
  <c r="MI16" i="5"/>
  <c r="LK18" i="5"/>
  <c r="LL18" i="5" s="1"/>
  <c r="KN13" i="5"/>
  <c r="MI13" i="5"/>
  <c r="LK24" i="5"/>
  <c r="LL24" i="5" s="1"/>
  <c r="HR16" i="5"/>
  <c r="KN23" i="5"/>
  <c r="MI23" i="5"/>
  <c r="KN17" i="5"/>
  <c r="MI17" i="5"/>
  <c r="KR17" i="5"/>
  <c r="LY17" i="5"/>
  <c r="LZ17" i="5"/>
  <c r="GN17" i="5"/>
  <c r="MH17" i="5"/>
  <c r="KA14" i="5"/>
  <c r="KB14" i="5" s="1"/>
  <c r="KK14" i="5"/>
  <c r="LK14" i="5"/>
  <c r="LL14" i="5" s="1"/>
  <c r="LZ22" i="5"/>
  <c r="GN22" i="5"/>
  <c r="LY22" i="5"/>
  <c r="KR22" i="5"/>
  <c r="MH22" i="5"/>
  <c r="LK19" i="5"/>
  <c r="LL19" i="5" s="1"/>
  <c r="IA17" i="5"/>
  <c r="IC17" i="5" s="1"/>
  <c r="HQ17" i="5"/>
  <c r="KR25" i="5"/>
  <c r="LY25" i="5"/>
  <c r="LZ25" i="5"/>
  <c r="GN25" i="5"/>
  <c r="MH25" i="5"/>
  <c r="LK15" i="5"/>
  <c r="LL15" i="5" s="1"/>
  <c r="LK16" i="5"/>
  <c r="LL16" i="5" s="1"/>
  <c r="GL13" i="5"/>
  <c r="LK21" i="5"/>
  <c r="LL21" i="5" s="1"/>
  <c r="KN21" i="5"/>
  <c r="MI21" i="5"/>
  <c r="GL16" i="5"/>
  <c r="GL14" i="5"/>
  <c r="LK22" i="5"/>
  <c r="LL22" i="5" s="1"/>
  <c r="KA19" i="5"/>
  <c r="KB19" i="5" s="1"/>
  <c r="KK19" i="5"/>
  <c r="KM19" i="5" s="1"/>
  <c r="KN19" i="5"/>
  <c r="MI19" i="5"/>
  <c r="IA20" i="5"/>
  <c r="IC20" i="5" s="1"/>
  <c r="HQ20" i="5"/>
  <c r="HR20" i="5" s="1"/>
  <c r="IE20" i="5" s="1"/>
  <c r="IA19" i="5"/>
  <c r="IC19" i="5" s="1"/>
  <c r="HQ19" i="5"/>
  <c r="GL17" i="5"/>
  <c r="KN25" i="5"/>
  <c r="MI25" i="5"/>
  <c r="HQ15" i="5"/>
  <c r="IA15" i="5"/>
  <c r="IC15" i="5" s="1"/>
  <c r="KA16" i="5"/>
  <c r="KK16" i="5"/>
  <c r="KM16" i="5" s="1"/>
  <c r="LY13" i="5"/>
  <c r="KR13" i="5"/>
  <c r="MH13" i="5"/>
  <c r="GN13" i="5"/>
  <c r="LZ13" i="5"/>
  <c r="GL24" i="5"/>
  <c r="KN20" i="5"/>
  <c r="MI20" i="5"/>
  <c r="LY15" i="5"/>
  <c r="KA23" i="5"/>
  <c r="KB23" i="5" s="1"/>
  <c r="KK23" i="5"/>
  <c r="KM23" i="5" s="1"/>
  <c r="LY14" i="5"/>
  <c r="KR14" i="5"/>
  <c r="MH14" i="5"/>
  <c r="GN14" i="5"/>
  <c r="LZ14" i="5"/>
  <c r="KB15" i="5"/>
  <c r="LY19" i="5"/>
  <c r="KR19" i="5"/>
  <c r="LZ19" i="5"/>
  <c r="GN19" i="5"/>
  <c r="MH19" i="5"/>
  <c r="KN22" i="5"/>
  <c r="MI22" i="5"/>
  <c r="GL20" i="5"/>
  <c r="LK20" i="5"/>
  <c r="LL20" i="5" s="1"/>
  <c r="LK17" i="5"/>
  <c r="LL17" i="5" s="1"/>
  <c r="MI15" i="5"/>
  <c r="LY24" i="5"/>
  <c r="KR24" i="5"/>
  <c r="LZ24" i="5"/>
  <c r="GN24" i="5"/>
  <c r="MH24" i="5"/>
  <c r="LZ18" i="5"/>
  <c r="KR18" i="5"/>
  <c r="GN18" i="5"/>
  <c r="LY18" i="5"/>
  <c r="MH18" i="5"/>
  <c r="KB27" i="5" l="1"/>
  <c r="KL27" i="5" s="1"/>
  <c r="ID26" i="5"/>
  <c r="KB26" i="5"/>
  <c r="HR27" i="5"/>
  <c r="IY27" i="5" s="1"/>
  <c r="IY26" i="5"/>
  <c r="IF26" i="5"/>
  <c r="IB26" i="5"/>
  <c r="DW26" i="5"/>
  <c r="DS26" i="5"/>
  <c r="ET26" i="5" s="1"/>
  <c r="DT26" i="5"/>
  <c r="DR26" i="5"/>
  <c r="ES26" i="5" s="1"/>
  <c r="FR26" i="5" s="1"/>
  <c r="DV26" i="5"/>
  <c r="EX26" i="5" s="1"/>
  <c r="FW26" i="5" s="1"/>
  <c r="DU26" i="5"/>
  <c r="EW26" i="5" s="1"/>
  <c r="FV26" i="5" s="1"/>
  <c r="DQ26" i="5"/>
  <c r="DS27" i="5"/>
  <c r="ET27" i="5" s="1"/>
  <c r="DW27" i="5"/>
  <c r="DU27" i="5"/>
  <c r="EW27" i="5" s="1"/>
  <c r="FV27" i="5" s="1"/>
  <c r="DV27" i="5"/>
  <c r="EX27" i="5" s="1"/>
  <c r="FW27" i="5" s="1"/>
  <c r="DT27" i="5"/>
  <c r="DR27" i="5"/>
  <c r="ES27" i="5" s="1"/>
  <c r="FR27" i="5" s="1"/>
  <c r="DQ27" i="5"/>
  <c r="EU27" i="5"/>
  <c r="EU26" i="5"/>
  <c r="DV23" i="5"/>
  <c r="EX23" i="5" s="1"/>
  <c r="FW23" i="5" s="1"/>
  <c r="DS24" i="5"/>
  <c r="ET24" i="5" s="1"/>
  <c r="FS24" i="5" s="1"/>
  <c r="DU19" i="5"/>
  <c r="EW19" i="5" s="1"/>
  <c r="FV19" i="5" s="1"/>
  <c r="DR20" i="5"/>
  <c r="ES20" i="5" s="1"/>
  <c r="FR20" i="5" s="1"/>
  <c r="DT17" i="5"/>
  <c r="EC17" i="5" s="1"/>
  <c r="DT14" i="5"/>
  <c r="EC14" i="5" s="1"/>
  <c r="EE14" i="5" s="1"/>
  <c r="EL14" i="5" s="1"/>
  <c r="DT15" i="5"/>
  <c r="EC15" i="5" s="1"/>
  <c r="EE15" i="5" s="1"/>
  <c r="EL15" i="5" s="1"/>
  <c r="DS25" i="5"/>
  <c r="ET25" i="5" s="1"/>
  <c r="FS25" i="5" s="1"/>
  <c r="DW15" i="5"/>
  <c r="EY15" i="5" s="1"/>
  <c r="FX15" i="5" s="1"/>
  <c r="DS23" i="5"/>
  <c r="ET23" i="5" s="1"/>
  <c r="FS23" i="5" s="1"/>
  <c r="EU13" i="5"/>
  <c r="FT13" i="5" s="1"/>
  <c r="IY22" i="5"/>
  <c r="DV19" i="5"/>
  <c r="EX19" i="5" s="1"/>
  <c r="FW19" i="5" s="1"/>
  <c r="DQ19" i="5"/>
  <c r="ER19" i="5" s="1"/>
  <c r="FQ19" i="5" s="1"/>
  <c r="DW20" i="5"/>
  <c r="EY20" i="5" s="1"/>
  <c r="FX20" i="5" s="1"/>
  <c r="DQ13" i="5"/>
  <c r="DT13" i="5"/>
  <c r="DU13" i="5"/>
  <c r="EW13" i="5" s="1"/>
  <c r="FV13" i="5" s="1"/>
  <c r="DW13" i="5"/>
  <c r="DV13" i="5"/>
  <c r="EX13" i="5" s="1"/>
  <c r="FW13" i="5" s="1"/>
  <c r="DR13" i="5"/>
  <c r="ES13" i="5" s="1"/>
  <c r="FR13" i="5" s="1"/>
  <c r="DS13" i="5"/>
  <c r="ET13" i="5" s="1"/>
  <c r="FS13" i="5" s="1"/>
  <c r="DR25" i="5"/>
  <c r="ES25" i="5" s="1"/>
  <c r="FR25" i="5" s="1"/>
  <c r="DS15" i="5"/>
  <c r="ET15" i="5" s="1"/>
  <c r="FS15" i="5" s="1"/>
  <c r="DS20" i="5"/>
  <c r="ET20" i="5" s="1"/>
  <c r="FS20" i="5" s="1"/>
  <c r="DV15" i="5"/>
  <c r="EX15" i="5" s="1"/>
  <c r="FW15" i="5" s="1"/>
  <c r="DU15" i="5"/>
  <c r="EW15" i="5" s="1"/>
  <c r="FV15" i="5" s="1"/>
  <c r="DS19" i="5"/>
  <c r="ET19" i="5" s="1"/>
  <c r="FS19" i="5" s="1"/>
  <c r="DW25" i="5"/>
  <c r="EY25" i="5" s="1"/>
  <c r="FX25" i="5" s="1"/>
  <c r="EU24" i="5"/>
  <c r="FT24" i="5" s="1"/>
  <c r="EU21" i="5"/>
  <c r="FT21" i="5" s="1"/>
  <c r="EU23" i="5"/>
  <c r="FT23" i="5" s="1"/>
  <c r="EU17" i="5"/>
  <c r="FT17" i="5" s="1"/>
  <c r="EU22" i="5"/>
  <c r="FT22" i="5" s="1"/>
  <c r="EU18" i="5"/>
  <c r="FT18" i="5" s="1"/>
  <c r="EC18" i="5"/>
  <c r="EE18" i="5" s="1"/>
  <c r="EL18" i="5" s="1"/>
  <c r="DV18" i="5"/>
  <c r="DQ22" i="5"/>
  <c r="ER22" i="5" s="1"/>
  <c r="FQ22" i="5" s="1"/>
  <c r="DQ25" i="5"/>
  <c r="ER25" i="5" s="1"/>
  <c r="FQ25" i="5" s="1"/>
  <c r="DV25" i="5"/>
  <c r="EX25" i="5" s="1"/>
  <c r="FW25" i="5" s="1"/>
  <c r="EU25" i="5"/>
  <c r="FT25" i="5" s="1"/>
  <c r="EU16" i="5"/>
  <c r="FT16" i="5" s="1"/>
  <c r="EU19" i="5"/>
  <c r="FT19" i="5" s="1"/>
  <c r="EU20" i="5"/>
  <c r="FT20" i="5" s="1"/>
  <c r="EU15" i="5"/>
  <c r="FT15" i="5" s="1"/>
  <c r="EU14" i="5"/>
  <c r="FT14" i="5" s="1"/>
  <c r="DR17" i="5"/>
  <c r="ES17" i="5" s="1"/>
  <c r="FR17" i="5" s="1"/>
  <c r="DQ17" i="5"/>
  <c r="ER17" i="5" s="1"/>
  <c r="FQ17" i="5" s="1"/>
  <c r="DQ24" i="5"/>
  <c r="ER24" i="5" s="1"/>
  <c r="FQ24" i="5" s="1"/>
  <c r="DR18" i="5"/>
  <c r="ES18" i="5" s="1"/>
  <c r="FR18" i="5" s="1"/>
  <c r="DQ21" i="5"/>
  <c r="ER21" i="5" s="1"/>
  <c r="FQ21" i="5" s="1"/>
  <c r="DT21" i="5"/>
  <c r="DU21" i="5"/>
  <c r="EW21" i="5" s="1"/>
  <c r="FV21" i="5" s="1"/>
  <c r="DR21" i="5"/>
  <c r="ES21" i="5" s="1"/>
  <c r="FR21" i="5" s="1"/>
  <c r="DV21" i="5"/>
  <c r="EX21" i="5" s="1"/>
  <c r="FW21" i="5" s="1"/>
  <c r="DW21" i="5"/>
  <c r="DV14" i="5"/>
  <c r="EX14" i="5" s="1"/>
  <c r="FW14" i="5" s="1"/>
  <c r="DU23" i="5"/>
  <c r="EW23" i="5" s="1"/>
  <c r="FV23" i="5" s="1"/>
  <c r="DW17" i="5"/>
  <c r="EY17" i="5" s="1"/>
  <c r="FX17" i="5" s="1"/>
  <c r="DW23" i="5"/>
  <c r="DR14" i="5"/>
  <c r="DT23" i="5"/>
  <c r="EC23" i="5" s="1"/>
  <c r="EV23" i="5" s="1"/>
  <c r="FU23" i="5" s="1"/>
  <c r="DU18" i="5"/>
  <c r="DW22" i="5"/>
  <c r="DT22" i="5"/>
  <c r="DR22" i="5"/>
  <c r="ES22" i="5" s="1"/>
  <c r="FR22" i="5" s="1"/>
  <c r="DU24" i="5"/>
  <c r="EW24" i="5" s="1"/>
  <c r="FV24" i="5" s="1"/>
  <c r="DV22" i="5"/>
  <c r="EX22" i="5" s="1"/>
  <c r="FW22" i="5" s="1"/>
  <c r="DV24" i="5"/>
  <c r="EX24" i="5" s="1"/>
  <c r="FW24" i="5" s="1"/>
  <c r="DS18" i="5"/>
  <c r="ET18" i="5" s="1"/>
  <c r="FS18" i="5" s="1"/>
  <c r="DS17" i="5"/>
  <c r="DT24" i="5"/>
  <c r="EC24" i="5" s="1"/>
  <c r="EE24" i="5" s="1"/>
  <c r="EL24" i="5" s="1"/>
  <c r="DU14" i="5"/>
  <c r="EW14" i="5" s="1"/>
  <c r="FV14" i="5" s="1"/>
  <c r="DR16" i="5"/>
  <c r="ES16" i="5" s="1"/>
  <c r="FR16" i="5" s="1"/>
  <c r="DT16" i="5"/>
  <c r="DW16" i="5"/>
  <c r="DV16" i="5"/>
  <c r="EX16" i="5" s="1"/>
  <c r="FW16" i="5" s="1"/>
  <c r="DU16" i="5"/>
  <c r="EW16" i="5" s="1"/>
  <c r="FV16" i="5" s="1"/>
  <c r="DS16" i="5"/>
  <c r="ET16" i="5" s="1"/>
  <c r="FS16" i="5" s="1"/>
  <c r="DT20" i="5"/>
  <c r="DR19" i="5"/>
  <c r="ES19" i="5" s="1"/>
  <c r="FR19" i="5" s="1"/>
  <c r="DW14" i="5"/>
  <c r="DR23" i="5"/>
  <c r="ES23" i="5" s="1"/>
  <c r="FR23" i="5" s="1"/>
  <c r="DQ20" i="5"/>
  <c r="DR15" i="5"/>
  <c r="DV17" i="5"/>
  <c r="EX17" i="5" s="1"/>
  <c r="FW17" i="5" s="1"/>
  <c r="DU22" i="5"/>
  <c r="EW22" i="5" s="1"/>
  <c r="FV22" i="5" s="1"/>
  <c r="DU20" i="5"/>
  <c r="EW20" i="5" s="1"/>
  <c r="FV20" i="5" s="1"/>
  <c r="DW24" i="5"/>
  <c r="DT19" i="5"/>
  <c r="EC19" i="5" s="1"/>
  <c r="EV19" i="5" s="1"/>
  <c r="FU19" i="5" s="1"/>
  <c r="DW18" i="5"/>
  <c r="DQ18" i="5"/>
  <c r="ER18" i="5" s="1"/>
  <c r="FQ18" i="5" s="1"/>
  <c r="DT25" i="5"/>
  <c r="DS14" i="5"/>
  <c r="ET14" i="5" s="1"/>
  <c r="FS14" i="5" s="1"/>
  <c r="IE14" i="5"/>
  <c r="IF14" i="5" s="1"/>
  <c r="IY14" i="5"/>
  <c r="IY24" i="5"/>
  <c r="ID24" i="5"/>
  <c r="ID20" i="5"/>
  <c r="IB14" i="5"/>
  <c r="IQ14" i="5" s="1"/>
  <c r="IB20" i="5"/>
  <c r="IQ20" i="5" s="1"/>
  <c r="IY20" i="5"/>
  <c r="KL22" i="5"/>
  <c r="KX22" i="5" s="1"/>
  <c r="IQ21" i="5"/>
  <c r="IP21" i="5"/>
  <c r="IO21" i="5" s="1"/>
  <c r="IU21" i="5" s="1"/>
  <c r="IS21" i="5"/>
  <c r="IR21" i="5"/>
  <c r="LW13" i="5"/>
  <c r="KQ13" i="5"/>
  <c r="KS13" i="5" s="1"/>
  <c r="IE25" i="5"/>
  <c r="ID25" i="5"/>
  <c r="IB25" i="5"/>
  <c r="KV24" i="5"/>
  <c r="KY24" i="5"/>
  <c r="KZ24" i="5"/>
  <c r="KX24" i="5"/>
  <c r="KZ17" i="5"/>
  <c r="LB17" i="5" s="1"/>
  <c r="KX17" i="5"/>
  <c r="KV17" i="5"/>
  <c r="KY17" i="5"/>
  <c r="LW14" i="5"/>
  <c r="KQ14" i="5"/>
  <c r="KS14" i="5" s="1"/>
  <c r="LW23" i="5"/>
  <c r="KQ23" i="5"/>
  <c r="KS23" i="5" s="1"/>
  <c r="KU22" i="5"/>
  <c r="KL23" i="5"/>
  <c r="IE23" i="5"/>
  <c r="ID23" i="5"/>
  <c r="IY23" i="5"/>
  <c r="LW22" i="5"/>
  <c r="KQ22" i="5"/>
  <c r="KS22" i="5" s="1"/>
  <c r="IC14" i="5"/>
  <c r="IA11" i="5"/>
  <c r="ID22" i="5"/>
  <c r="IY21" i="5"/>
  <c r="KU24" i="5"/>
  <c r="KU14" i="5"/>
  <c r="KB16" i="5"/>
  <c r="KB25" i="5"/>
  <c r="KL25" i="5" s="1"/>
  <c r="LW21" i="5"/>
  <c r="KQ21" i="5"/>
  <c r="KS21" i="5" s="1"/>
  <c r="KU17" i="5"/>
  <c r="IE16" i="5"/>
  <c r="ID16" i="5"/>
  <c r="IB16" i="5"/>
  <c r="KL13" i="5"/>
  <c r="IE18" i="5"/>
  <c r="IF18" i="5" s="1"/>
  <c r="IH18" i="5" s="1"/>
  <c r="II18" i="5" s="1"/>
  <c r="ID18" i="5"/>
  <c r="KU20" i="5"/>
  <c r="IB18" i="5"/>
  <c r="KU21" i="5"/>
  <c r="KL18" i="5"/>
  <c r="IB22" i="5"/>
  <c r="KU18" i="5"/>
  <c r="HR17" i="5"/>
  <c r="IY17" i="5" s="1"/>
  <c r="LW19" i="5"/>
  <c r="KQ19" i="5"/>
  <c r="KS19" i="5" s="1"/>
  <c r="KL19" i="5"/>
  <c r="KU19" i="5"/>
  <c r="LW15" i="5"/>
  <c r="KQ15" i="5"/>
  <c r="KL15" i="5"/>
  <c r="KU13" i="5"/>
  <c r="HR19" i="5"/>
  <c r="IF20" i="5"/>
  <c r="IH20" i="5" s="1"/>
  <c r="II20" i="5" s="1"/>
  <c r="IY16" i="5"/>
  <c r="IY18" i="5"/>
  <c r="HR15" i="5"/>
  <c r="IB15" i="5" s="1"/>
  <c r="KM14" i="5"/>
  <c r="KK11" i="5"/>
  <c r="KL21" i="5"/>
  <c r="HR13" i="5"/>
  <c r="IB24" i="5"/>
  <c r="KL20" i="5"/>
  <c r="IR23" i="5"/>
  <c r="IS23" i="5"/>
  <c r="IP23" i="5"/>
  <c r="IO23" i="5" s="1"/>
  <c r="IT23" i="5" s="1"/>
  <c r="IQ23" i="5"/>
  <c r="KU25" i="5"/>
  <c r="KL14" i="5"/>
  <c r="LW18" i="5"/>
  <c r="KQ18" i="5"/>
  <c r="KS18" i="5" s="1"/>
  <c r="KU23" i="5"/>
  <c r="IY25" i="5"/>
  <c r="IE21" i="5"/>
  <c r="ID21" i="5"/>
  <c r="LW20" i="5"/>
  <c r="KQ20" i="5"/>
  <c r="KS20" i="5" s="1"/>
  <c r="LW24" i="5"/>
  <c r="KQ24" i="5"/>
  <c r="KS24" i="5" s="1"/>
  <c r="LW17" i="5"/>
  <c r="KQ17" i="5"/>
  <c r="KS17" i="5" s="1"/>
  <c r="ID14" i="5"/>
  <c r="KU16" i="5"/>
  <c r="IF22" i="5"/>
  <c r="IH22" i="5" s="1"/>
  <c r="II22" i="5" s="1"/>
  <c r="IF24" i="5"/>
  <c r="LW27" i="5" l="1"/>
  <c r="KQ27" i="5"/>
  <c r="KS27" i="5" s="1"/>
  <c r="KY27" i="5"/>
  <c r="KX27" i="5"/>
  <c r="KV27" i="5"/>
  <c r="KZ27" i="5"/>
  <c r="LA27" i="5" s="1"/>
  <c r="LF27" i="5"/>
  <c r="IH26" i="5"/>
  <c r="II26" i="5" s="1"/>
  <c r="IJ26" i="5" s="1"/>
  <c r="IM26" i="5"/>
  <c r="IL26" i="5"/>
  <c r="LC27" i="5"/>
  <c r="LD27" i="5"/>
  <c r="IR26" i="5"/>
  <c r="IQ26" i="5"/>
  <c r="IS26" i="5"/>
  <c r="IP26" i="5"/>
  <c r="IO26" i="5" s="1"/>
  <c r="IT26" i="5" s="1"/>
  <c r="IE27" i="5"/>
  <c r="IB27" i="5"/>
  <c r="ID27" i="5"/>
  <c r="KT27" i="5"/>
  <c r="GG27" i="5" s="1"/>
  <c r="MM27" i="5" s="1"/>
  <c r="MN27" i="5" s="1"/>
  <c r="KQ26" i="5"/>
  <c r="LW26" i="5"/>
  <c r="LB27" i="5"/>
  <c r="KL26" i="5"/>
  <c r="FS26" i="5"/>
  <c r="ER27" i="5"/>
  <c r="DX27" i="5"/>
  <c r="EC27" i="5"/>
  <c r="DZ27" i="5"/>
  <c r="EA26" i="5"/>
  <c r="EY26" i="5"/>
  <c r="FX26" i="5" s="1"/>
  <c r="FT26" i="5"/>
  <c r="EA27" i="5"/>
  <c r="EY27" i="5"/>
  <c r="FX27" i="5" s="1"/>
  <c r="FS27" i="5"/>
  <c r="FT27" i="5"/>
  <c r="EC26" i="5"/>
  <c r="DZ26" i="5"/>
  <c r="ER26" i="5"/>
  <c r="DX26" i="5"/>
  <c r="FM19" i="5"/>
  <c r="FL19" i="5" s="1"/>
  <c r="IP20" i="5"/>
  <c r="IO20" i="5" s="1"/>
  <c r="IU20" i="5" s="1"/>
  <c r="EA15" i="5"/>
  <c r="FB23" i="5"/>
  <c r="EV14" i="5"/>
  <c r="FU14" i="5" s="1"/>
  <c r="FC15" i="5"/>
  <c r="EA19" i="5"/>
  <c r="EE17" i="5"/>
  <c r="EL17" i="5" s="1"/>
  <c r="EF17" i="5"/>
  <c r="EK17" i="5" s="1"/>
  <c r="EA20" i="5"/>
  <c r="DZ17" i="5"/>
  <c r="LF18" i="5"/>
  <c r="IS20" i="5"/>
  <c r="FC19" i="5"/>
  <c r="KZ22" i="5"/>
  <c r="LB22" i="5" s="1"/>
  <c r="EA25" i="5"/>
  <c r="DZ24" i="5"/>
  <c r="FC20" i="5"/>
  <c r="FC25" i="5"/>
  <c r="EV17" i="5"/>
  <c r="FU17" i="5" s="1"/>
  <c r="FB19" i="5"/>
  <c r="KY22" i="5"/>
  <c r="FD19" i="5"/>
  <c r="LF13" i="5"/>
  <c r="LF22" i="5"/>
  <c r="DX23" i="5"/>
  <c r="DZ21" i="5"/>
  <c r="FD20" i="5"/>
  <c r="EC13" i="5"/>
  <c r="DZ13" i="5"/>
  <c r="EZ19" i="5"/>
  <c r="DZ15" i="5"/>
  <c r="EY13" i="5"/>
  <c r="FX13" i="5" s="1"/>
  <c r="EA13" i="5"/>
  <c r="KV22" i="5"/>
  <c r="IL20" i="5"/>
  <c r="EF14" i="5"/>
  <c r="EK14" i="5" s="1"/>
  <c r="EP14" i="5" s="1"/>
  <c r="FD15" i="5"/>
  <c r="DX13" i="5"/>
  <c r="ER13" i="5"/>
  <c r="FQ13" i="5" s="1"/>
  <c r="FD25" i="5"/>
  <c r="EA24" i="5"/>
  <c r="EY24" i="5"/>
  <c r="FX24" i="5" s="1"/>
  <c r="EA22" i="5"/>
  <c r="EY22" i="5"/>
  <c r="FX22" i="5" s="1"/>
  <c r="EA18" i="5"/>
  <c r="EY18" i="5"/>
  <c r="FX18" i="5" s="1"/>
  <c r="DX18" i="5"/>
  <c r="EW18" i="5"/>
  <c r="FV18" i="5" s="1"/>
  <c r="DX20" i="5"/>
  <c r="ER20" i="5"/>
  <c r="FQ20" i="5" s="1"/>
  <c r="EA14" i="5"/>
  <c r="EY14" i="5"/>
  <c r="FX14" i="5" s="1"/>
  <c r="EA16" i="5"/>
  <c r="EY16" i="5"/>
  <c r="FX16" i="5" s="1"/>
  <c r="DX14" i="5"/>
  <c r="ES14" i="5"/>
  <c r="FR14" i="5" s="1"/>
  <c r="EA21" i="5"/>
  <c r="EY21" i="5"/>
  <c r="FX21" i="5" s="1"/>
  <c r="EV18" i="5"/>
  <c r="FU18" i="5" s="1"/>
  <c r="EV24" i="5"/>
  <c r="FU24" i="5" s="1"/>
  <c r="DX19" i="5"/>
  <c r="DX25" i="5"/>
  <c r="DZ14" i="5"/>
  <c r="EF18" i="5"/>
  <c r="EK18" i="5" s="1"/>
  <c r="EP18" i="5" s="1"/>
  <c r="DZ25" i="5"/>
  <c r="DX15" i="5"/>
  <c r="ES15" i="5"/>
  <c r="FR15" i="5" s="1"/>
  <c r="DX17" i="5"/>
  <c r="ET17" i="5"/>
  <c r="FS17" i="5" s="1"/>
  <c r="EA23" i="5"/>
  <c r="EY23" i="5"/>
  <c r="FX23" i="5" s="1"/>
  <c r="EV15" i="5"/>
  <c r="FU15" i="5" s="1"/>
  <c r="DZ18" i="5"/>
  <c r="EX18" i="5"/>
  <c r="FW18" i="5" s="1"/>
  <c r="EE19" i="5"/>
  <c r="EL19" i="5" s="1"/>
  <c r="EF19" i="5"/>
  <c r="EK19" i="5" s="1"/>
  <c r="EE23" i="5"/>
  <c r="EL23" i="5" s="1"/>
  <c r="EF23" i="5"/>
  <c r="EK23" i="5" s="1"/>
  <c r="DZ22" i="5"/>
  <c r="EC22" i="5"/>
  <c r="EV22" i="5" s="1"/>
  <c r="FU22" i="5" s="1"/>
  <c r="DX16" i="5"/>
  <c r="DZ16" i="5"/>
  <c r="EC16" i="5"/>
  <c r="EV16" i="5" s="1"/>
  <c r="FU16" i="5" s="1"/>
  <c r="DX22" i="5"/>
  <c r="DX21" i="5"/>
  <c r="DZ19" i="5"/>
  <c r="EF24" i="5"/>
  <c r="EK24" i="5" s="1"/>
  <c r="EP24" i="5" s="1"/>
  <c r="EF15" i="5"/>
  <c r="EK15" i="5" s="1"/>
  <c r="EP15" i="5" s="1"/>
  <c r="EC25" i="5"/>
  <c r="EV25" i="5" s="1"/>
  <c r="FU25" i="5" s="1"/>
  <c r="FM25" i="5" s="1"/>
  <c r="EA17" i="5"/>
  <c r="DX24" i="5"/>
  <c r="DZ23" i="5"/>
  <c r="EC21" i="5"/>
  <c r="EV21" i="5" s="1"/>
  <c r="FU21" i="5" s="1"/>
  <c r="DZ20" i="5"/>
  <c r="EC20" i="5"/>
  <c r="EV20" i="5" s="1"/>
  <c r="FU20" i="5" s="1"/>
  <c r="FM20" i="5" s="1"/>
  <c r="FK20" i="5" s="1"/>
  <c r="IL22" i="5"/>
  <c r="IT21" i="5"/>
  <c r="LF24" i="5"/>
  <c r="LF14" i="5"/>
  <c r="LF23" i="5"/>
  <c r="IM22" i="5"/>
  <c r="IK22" i="5" s="1"/>
  <c r="IR20" i="5"/>
  <c r="IR14" i="5"/>
  <c r="IS14" i="5"/>
  <c r="IP14" i="5"/>
  <c r="IO14" i="5" s="1"/>
  <c r="LF20" i="5"/>
  <c r="IE19" i="5"/>
  <c r="ID19" i="5"/>
  <c r="IY19" i="5"/>
  <c r="IB19" i="5"/>
  <c r="KT19" i="5"/>
  <c r="IJ18" i="5"/>
  <c r="IF16" i="5"/>
  <c r="IH16" i="5" s="1"/>
  <c r="II16" i="5" s="1"/>
  <c r="KY23" i="5"/>
  <c r="KX23" i="5"/>
  <c r="KZ23" i="5"/>
  <c r="LA23" i="5" s="1"/>
  <c r="KV23" i="5"/>
  <c r="KZ18" i="5"/>
  <c r="LA18" i="5" s="1"/>
  <c r="KX18" i="5"/>
  <c r="KY18" i="5"/>
  <c r="KV18" i="5"/>
  <c r="KV13" i="5"/>
  <c r="KX13" i="5"/>
  <c r="KY13" i="5"/>
  <c r="KZ13" i="5"/>
  <c r="LA9" i="5"/>
  <c r="KT14" i="5"/>
  <c r="KT13" i="5"/>
  <c r="IH24" i="5"/>
  <c r="IM24" i="5"/>
  <c r="KT24" i="5"/>
  <c r="KT18" i="5"/>
  <c r="KX20" i="5"/>
  <c r="KY20" i="5"/>
  <c r="KZ20" i="5"/>
  <c r="LB20" i="5" s="1"/>
  <c r="KV20" i="5"/>
  <c r="IE15" i="5"/>
  <c r="ID15" i="5"/>
  <c r="KV19" i="5"/>
  <c r="KX19" i="5"/>
  <c r="KY19" i="5"/>
  <c r="KZ19" i="5"/>
  <c r="LB19" i="5" s="1"/>
  <c r="IE17" i="5"/>
  <c r="ID17" i="5"/>
  <c r="IB17" i="5"/>
  <c r="IR22" i="5"/>
  <c r="IS22" i="5"/>
  <c r="IP22" i="5"/>
  <c r="IO22" i="5" s="1"/>
  <c r="IT22" i="5" s="1"/>
  <c r="IQ22" i="5"/>
  <c r="IP16" i="5"/>
  <c r="IO16" i="5" s="1"/>
  <c r="IR16" i="5"/>
  <c r="IQ16" i="5"/>
  <c r="IS16" i="5"/>
  <c r="LF19" i="5"/>
  <c r="LW16" i="5"/>
  <c r="KQ16" i="5"/>
  <c r="KT22" i="5"/>
  <c r="LD17" i="5"/>
  <c r="LC17" i="5"/>
  <c r="IS25" i="5"/>
  <c r="IR25" i="5"/>
  <c r="IQ25" i="5"/>
  <c r="IP25" i="5"/>
  <c r="IO25" i="5" s="1"/>
  <c r="IV21" i="5"/>
  <c r="IW21" i="5"/>
  <c r="IY15" i="5"/>
  <c r="KT17" i="5"/>
  <c r="GG17" i="5" s="1"/>
  <c r="MM17" i="5" s="1"/>
  <c r="MN17" i="5" s="1"/>
  <c r="IW23" i="5"/>
  <c r="IV23" i="5"/>
  <c r="IE13" i="5"/>
  <c r="IY13" i="5"/>
  <c r="ID13" i="5"/>
  <c r="KS15" i="5"/>
  <c r="LF15" i="5" s="1"/>
  <c r="IM18" i="5"/>
  <c r="LP18" i="5" s="1"/>
  <c r="LC24" i="5"/>
  <c r="LD24" i="5"/>
  <c r="LB24" i="5"/>
  <c r="KT20" i="5"/>
  <c r="IF21" i="5"/>
  <c r="IH21" i="5" s="1"/>
  <c r="II21" i="5" s="1"/>
  <c r="KZ14" i="5"/>
  <c r="KV14" i="5"/>
  <c r="KY14" i="5"/>
  <c r="KX14" i="5"/>
  <c r="IB13" i="5"/>
  <c r="KT21" i="5"/>
  <c r="KT23" i="5"/>
  <c r="KY25" i="5"/>
  <c r="KZ25" i="5"/>
  <c r="LB25" i="5" s="1"/>
  <c r="KV25" i="5"/>
  <c r="KX25" i="5"/>
  <c r="IJ22" i="5"/>
  <c r="IM14" i="5"/>
  <c r="IH14" i="5"/>
  <c r="II14" i="5" s="1"/>
  <c r="LF17" i="5"/>
  <c r="IP15" i="5"/>
  <c r="IO15" i="5" s="1"/>
  <c r="IT15" i="5" s="1"/>
  <c r="IR15" i="5"/>
  <c r="IS15" i="5"/>
  <c r="IQ15" i="5"/>
  <c r="IF25" i="5"/>
  <c r="IH25" i="5" s="1"/>
  <c r="II25" i="5" s="1"/>
  <c r="IU23" i="5"/>
  <c r="IQ24" i="5"/>
  <c r="IP24" i="5"/>
  <c r="IO24" i="5" s="1"/>
  <c r="IR24" i="5"/>
  <c r="IS24" i="5"/>
  <c r="KZ21" i="5"/>
  <c r="LB21" i="5" s="1"/>
  <c r="KV21" i="5"/>
  <c r="KX21" i="5"/>
  <c r="KY21" i="5"/>
  <c r="IJ20" i="5"/>
  <c r="KX15" i="5"/>
  <c r="KZ15" i="5"/>
  <c r="LB15" i="5" s="1"/>
  <c r="KY15" i="5"/>
  <c r="KV15" i="5"/>
  <c r="IQ18" i="5"/>
  <c r="IR18" i="5"/>
  <c r="IP18" i="5"/>
  <c r="IO18" i="5" s="1"/>
  <c r="IT18" i="5" s="1"/>
  <c r="IS18" i="5"/>
  <c r="IL18" i="5"/>
  <c r="LW25" i="5"/>
  <c r="KQ25" i="5"/>
  <c r="KL16" i="5"/>
  <c r="IF23" i="5"/>
  <c r="IH23" i="5" s="1"/>
  <c r="II23" i="5" s="1"/>
  <c r="LF21" i="5"/>
  <c r="LA17" i="5"/>
  <c r="LA24" i="5"/>
  <c r="IM20" i="5"/>
  <c r="LP20" i="5" s="1"/>
  <c r="IU26" i="5" l="1"/>
  <c r="FM24" i="5"/>
  <c r="FK24" i="5" s="1"/>
  <c r="FD27" i="5"/>
  <c r="IR27" i="5"/>
  <c r="IQ27" i="5"/>
  <c r="IS27" i="5"/>
  <c r="IP27" i="5"/>
  <c r="IO27" i="5" s="1"/>
  <c r="IT27" i="5" s="1"/>
  <c r="KS26" i="5"/>
  <c r="LN26" i="5" s="1"/>
  <c r="KX26" i="5"/>
  <c r="KZ26" i="5"/>
  <c r="LA26" i="5" s="1"/>
  <c r="KY26" i="5"/>
  <c r="KV26" i="5"/>
  <c r="IF27" i="5"/>
  <c r="IH27" i="5" s="1"/>
  <c r="II27" i="5" s="1"/>
  <c r="FC27" i="5"/>
  <c r="IK26" i="5"/>
  <c r="IW26" i="5"/>
  <c r="IV26" i="5"/>
  <c r="FC26" i="5"/>
  <c r="FM22" i="5"/>
  <c r="FK22" i="5" s="1"/>
  <c r="LE27" i="5"/>
  <c r="KW27" i="5"/>
  <c r="EE27" i="5"/>
  <c r="EL27" i="5" s="1"/>
  <c r="EV27" i="5"/>
  <c r="EF27" i="5"/>
  <c r="EK27" i="5" s="1"/>
  <c r="FQ26" i="5"/>
  <c r="FQ27" i="5"/>
  <c r="FD26" i="5"/>
  <c r="EE26" i="5"/>
  <c r="EL26" i="5" s="1"/>
  <c r="EV26" i="5"/>
  <c r="EZ26" i="5" s="1"/>
  <c r="EF26" i="5"/>
  <c r="EK26" i="5" s="1"/>
  <c r="FI25" i="5"/>
  <c r="FG25" i="5"/>
  <c r="FM21" i="5"/>
  <c r="FL21" i="5" s="1"/>
  <c r="FH19" i="5"/>
  <c r="FM16" i="5"/>
  <c r="FH16" i="5" s="1"/>
  <c r="FK19" i="5"/>
  <c r="FG19" i="5"/>
  <c r="FG24" i="5"/>
  <c r="FI20" i="5"/>
  <c r="FM17" i="5"/>
  <c r="FH17" i="5" s="1"/>
  <c r="FH20" i="5"/>
  <c r="FL20" i="5"/>
  <c r="FH25" i="5"/>
  <c r="FK25" i="5"/>
  <c r="FG20" i="5"/>
  <c r="FO20" i="5" s="1"/>
  <c r="FJ25" i="5"/>
  <c r="FL25" i="5"/>
  <c r="FJ20" i="5"/>
  <c r="FM23" i="5"/>
  <c r="FM15" i="5"/>
  <c r="FG15" i="5" s="1"/>
  <c r="FM14" i="5"/>
  <c r="FG14" i="5" s="1"/>
  <c r="FI19" i="5"/>
  <c r="FM18" i="5"/>
  <c r="FL18" i="5" s="1"/>
  <c r="FJ19" i="5"/>
  <c r="IV20" i="5"/>
  <c r="IW20" i="5"/>
  <c r="IT20" i="5"/>
  <c r="LA22" i="5"/>
  <c r="LC22" i="5"/>
  <c r="LD22" i="5"/>
  <c r="FC13" i="5"/>
  <c r="FD18" i="5"/>
  <c r="EZ14" i="5"/>
  <c r="FB14" i="5"/>
  <c r="FB25" i="5"/>
  <c r="FB22" i="5"/>
  <c r="FD17" i="5"/>
  <c r="FB16" i="5"/>
  <c r="FB21" i="5"/>
  <c r="FB24" i="5"/>
  <c r="FD21" i="5"/>
  <c r="FC14" i="5"/>
  <c r="FC24" i="5"/>
  <c r="FB20" i="5"/>
  <c r="FB15" i="5"/>
  <c r="FD23" i="5"/>
  <c r="FD22" i="5"/>
  <c r="FB17" i="5"/>
  <c r="EZ16" i="5"/>
  <c r="EP17" i="5"/>
  <c r="FC22" i="5"/>
  <c r="IL25" i="5"/>
  <c r="FD13" i="5"/>
  <c r="FB18" i="5"/>
  <c r="EZ17" i="5"/>
  <c r="LN22" i="5"/>
  <c r="EP23" i="5"/>
  <c r="GG19" i="5"/>
  <c r="MM19" i="5" s="1"/>
  <c r="MN19" i="5" s="1"/>
  <c r="GG13" i="5"/>
  <c r="MM13" i="5" s="1"/>
  <c r="MN13" i="5" s="1"/>
  <c r="EZ20" i="5"/>
  <c r="EZ22" i="5"/>
  <c r="EZ24" i="5"/>
  <c r="FD16" i="5"/>
  <c r="EE13" i="5"/>
  <c r="EL13" i="5" s="1"/>
  <c r="EF13" i="5"/>
  <c r="EK13" i="5" s="1"/>
  <c r="EV13" i="5"/>
  <c r="FU13" i="5" s="1"/>
  <c r="FC16" i="5"/>
  <c r="EZ18" i="5"/>
  <c r="FD24" i="5"/>
  <c r="FC18" i="5"/>
  <c r="FC23" i="5"/>
  <c r="EZ21" i="5"/>
  <c r="EZ25" i="5"/>
  <c r="EZ23" i="5"/>
  <c r="EP19" i="5"/>
  <c r="EZ15" i="5"/>
  <c r="FC17" i="5"/>
  <c r="FD14" i="5"/>
  <c r="FC21" i="5"/>
  <c r="EE16" i="5"/>
  <c r="EL16" i="5" s="1"/>
  <c r="EF16" i="5"/>
  <c r="EK16" i="5" s="1"/>
  <c r="EE20" i="5"/>
  <c r="EL20" i="5" s="1"/>
  <c r="EF20" i="5"/>
  <c r="EK20" i="5" s="1"/>
  <c r="EE25" i="5"/>
  <c r="EL25" i="5" s="1"/>
  <c r="EF25" i="5"/>
  <c r="EK25" i="5" s="1"/>
  <c r="EE21" i="5"/>
  <c r="EL21" i="5" s="1"/>
  <c r="EF21" i="5"/>
  <c r="EK21" i="5" s="1"/>
  <c r="EE22" i="5"/>
  <c r="EL22" i="5" s="1"/>
  <c r="EF22" i="5"/>
  <c r="EK22" i="5" s="1"/>
  <c r="IU15" i="5"/>
  <c r="LB18" i="5"/>
  <c r="LA21" i="5"/>
  <c r="LO22" i="5"/>
  <c r="IX23" i="5"/>
  <c r="GG14" i="5"/>
  <c r="MM14" i="5" s="1"/>
  <c r="MN14" i="5" s="1"/>
  <c r="LP22" i="5"/>
  <c r="LA25" i="5"/>
  <c r="IM16" i="5"/>
  <c r="IL23" i="5"/>
  <c r="IM23" i="5"/>
  <c r="LP23" i="5" s="1"/>
  <c r="IX21" i="5"/>
  <c r="IL16" i="5"/>
  <c r="LP14" i="5"/>
  <c r="IW14" i="5"/>
  <c r="IU14" i="5"/>
  <c r="IT14" i="5"/>
  <c r="IV14" i="5"/>
  <c r="KX16" i="5"/>
  <c r="KY16" i="5"/>
  <c r="KZ16" i="5"/>
  <c r="LA16" i="5" s="1"/>
  <c r="KV16" i="5"/>
  <c r="IW24" i="5"/>
  <c r="IV24" i="5"/>
  <c r="GG21" i="5"/>
  <c r="MM21" i="5" s="1"/>
  <c r="MN21" i="5" s="1"/>
  <c r="IJ21" i="5"/>
  <c r="IF13" i="5"/>
  <c r="IH13" i="5" s="1"/>
  <c r="II13" i="5" s="1"/>
  <c r="LE17" i="5"/>
  <c r="KW17" i="5"/>
  <c r="II24" i="5"/>
  <c r="LC15" i="5"/>
  <c r="LD15" i="5"/>
  <c r="IK14" i="5"/>
  <c r="LN14" i="5"/>
  <c r="LD14" i="5"/>
  <c r="LC14" i="5"/>
  <c r="IW25" i="5"/>
  <c r="IV25" i="5"/>
  <c r="IU25" i="5"/>
  <c r="IW16" i="5"/>
  <c r="IV16" i="5"/>
  <c r="GG18" i="5"/>
  <c r="MM18" i="5" s="1"/>
  <c r="MN18" i="5" s="1"/>
  <c r="IU24" i="5"/>
  <c r="IJ25" i="5"/>
  <c r="IV15" i="5"/>
  <c r="IW15" i="5"/>
  <c r="IS13" i="5"/>
  <c r="IQ13" i="5"/>
  <c r="IP13" i="5"/>
  <c r="IO13" i="5" s="1"/>
  <c r="IU13" i="5" s="1"/>
  <c r="IR13" i="5"/>
  <c r="LA14" i="5"/>
  <c r="IT25" i="5"/>
  <c r="LQ22" i="5"/>
  <c r="GG22" i="5"/>
  <c r="MM22" i="5" s="1"/>
  <c r="MN22" i="5" s="1"/>
  <c r="KS16" i="5"/>
  <c r="LF16" i="5" s="1"/>
  <c r="IU16" i="5"/>
  <c r="IW22" i="5"/>
  <c r="IV22" i="5"/>
  <c r="IU22" i="5"/>
  <c r="LD19" i="5"/>
  <c r="LC19" i="5"/>
  <c r="LA19" i="5"/>
  <c r="IF15" i="5"/>
  <c r="IH15" i="5" s="1"/>
  <c r="II15" i="5" s="1"/>
  <c r="KZ9" i="5"/>
  <c r="LD13" i="5"/>
  <c r="LC13" i="5"/>
  <c r="LA13" i="5"/>
  <c r="IM25" i="5"/>
  <c r="IJ14" i="5"/>
  <c r="IK18" i="5"/>
  <c r="LQ18" i="5" s="1"/>
  <c r="LN18" i="5"/>
  <c r="KT15" i="5"/>
  <c r="LD23" i="5"/>
  <c r="LC23" i="5"/>
  <c r="IR19" i="5"/>
  <c r="IS19" i="5"/>
  <c r="IQ19" i="5"/>
  <c r="IP19" i="5"/>
  <c r="IO19" i="5" s="1"/>
  <c r="IT19" i="5" s="1"/>
  <c r="IK20" i="5"/>
  <c r="LQ20" i="5" s="1"/>
  <c r="LN20" i="5"/>
  <c r="IW18" i="5"/>
  <c r="IV18" i="5"/>
  <c r="IU18" i="5"/>
  <c r="IM21" i="5"/>
  <c r="LP21" i="5" s="1"/>
  <c r="IF17" i="5"/>
  <c r="IH17" i="5" s="1"/>
  <c r="II17" i="5" s="1"/>
  <c r="IL21" i="5"/>
  <c r="IJ23" i="5"/>
  <c r="KS25" i="5"/>
  <c r="LA15" i="5"/>
  <c r="LC21" i="5"/>
  <c r="LD21" i="5"/>
  <c r="IT24" i="5"/>
  <c r="IL14" i="5"/>
  <c r="LD25" i="5"/>
  <c r="LC25" i="5"/>
  <c r="GG23" i="5"/>
  <c r="MM23" i="5" s="1"/>
  <c r="MN23" i="5" s="1"/>
  <c r="LB14" i="5"/>
  <c r="GG20" i="5"/>
  <c r="MM20" i="5" s="1"/>
  <c r="MN20" i="5" s="1"/>
  <c r="LE24" i="5"/>
  <c r="KW24" i="5"/>
  <c r="LT24" i="5" s="1"/>
  <c r="IT16" i="5"/>
  <c r="IQ17" i="5"/>
  <c r="IP17" i="5"/>
  <c r="IO17" i="5" s="1"/>
  <c r="IT17" i="5" s="1"/>
  <c r="IR17" i="5"/>
  <c r="IS17" i="5"/>
  <c r="LC20" i="5"/>
  <c r="LD20" i="5"/>
  <c r="LA20" i="5"/>
  <c r="GG24" i="5"/>
  <c r="MM24" i="5" s="1"/>
  <c r="MN24" i="5" s="1"/>
  <c r="IK24" i="5"/>
  <c r="LB13" i="5"/>
  <c r="LD18" i="5"/>
  <c r="LC18" i="5"/>
  <c r="LB23" i="5"/>
  <c r="IJ16" i="5"/>
  <c r="IF19" i="5"/>
  <c r="IH19" i="5" s="1"/>
  <c r="II19" i="5" s="1"/>
  <c r="IX26" i="5" l="1"/>
  <c r="FJ24" i="5"/>
  <c r="LF26" i="5"/>
  <c r="FL24" i="5"/>
  <c r="FH24" i="5"/>
  <c r="FI24" i="5"/>
  <c r="FO24" i="5"/>
  <c r="FH22" i="5"/>
  <c r="EP27" i="5"/>
  <c r="FJ21" i="5"/>
  <c r="FG22" i="5"/>
  <c r="FO22" i="5" s="1"/>
  <c r="FG21" i="5"/>
  <c r="FO25" i="5"/>
  <c r="FI21" i="5"/>
  <c r="FH21" i="5"/>
  <c r="FN21" i="5" s="1"/>
  <c r="FK21" i="5"/>
  <c r="FO21" i="5" s="1"/>
  <c r="FJ14" i="5"/>
  <c r="FI22" i="5"/>
  <c r="FL22" i="5"/>
  <c r="KT26" i="5"/>
  <c r="LQ26" i="5" s="1"/>
  <c r="LP26" i="5"/>
  <c r="IV27" i="5"/>
  <c r="IW27" i="5"/>
  <c r="LD26" i="5"/>
  <c r="LC26" i="5"/>
  <c r="FJ22" i="5"/>
  <c r="IJ27" i="5"/>
  <c r="FK16" i="5"/>
  <c r="LT27" i="5"/>
  <c r="IM27" i="5"/>
  <c r="LP27" i="5" s="1"/>
  <c r="IU27" i="5"/>
  <c r="EP26" i="5"/>
  <c r="LB26" i="5"/>
  <c r="IL27" i="5"/>
  <c r="FU27" i="5"/>
  <c r="FB27" i="5"/>
  <c r="FU26" i="5"/>
  <c r="FB26" i="5"/>
  <c r="EZ27" i="5"/>
  <c r="FN20" i="5"/>
  <c r="FN24" i="5"/>
  <c r="FO19" i="5"/>
  <c r="FL16" i="5"/>
  <c r="FN19" i="5"/>
  <c r="FG16" i="5"/>
  <c r="FN25" i="5"/>
  <c r="FI16" i="5"/>
  <c r="FJ16" i="5"/>
  <c r="FH15" i="5"/>
  <c r="FI15" i="5"/>
  <c r="FL15" i="5"/>
  <c r="FK15" i="5"/>
  <c r="FO15" i="5" s="1"/>
  <c r="FI18" i="5"/>
  <c r="FH18" i="5"/>
  <c r="FG18" i="5"/>
  <c r="FH14" i="5"/>
  <c r="FN14" i="5" s="1"/>
  <c r="FI14" i="5"/>
  <c r="FK14" i="5"/>
  <c r="FO14" i="5" s="1"/>
  <c r="FK23" i="5"/>
  <c r="FG23" i="5"/>
  <c r="FJ23" i="5"/>
  <c r="FI23" i="5"/>
  <c r="FH23" i="5"/>
  <c r="FM13" i="5"/>
  <c r="FJ13" i="5" s="1"/>
  <c r="FJ15" i="5"/>
  <c r="FL14" i="5"/>
  <c r="FL23" i="5"/>
  <c r="FK17" i="5"/>
  <c r="FI17" i="5"/>
  <c r="FL17" i="5"/>
  <c r="FG17" i="5"/>
  <c r="FK18" i="5"/>
  <c r="FJ18" i="5"/>
  <c r="FJ17" i="5"/>
  <c r="IX20" i="5"/>
  <c r="KW22" i="5"/>
  <c r="LT22" i="5" s="1"/>
  <c r="LE22" i="5"/>
  <c r="FB13" i="5"/>
  <c r="IL15" i="5"/>
  <c r="LN23" i="5"/>
  <c r="EZ13" i="5"/>
  <c r="EP16" i="5"/>
  <c r="IK23" i="5"/>
  <c r="LO23" i="5" s="1"/>
  <c r="IM13" i="5"/>
  <c r="IK13" i="5" s="1"/>
  <c r="EP22" i="5"/>
  <c r="EP20" i="5"/>
  <c r="IL13" i="5"/>
  <c r="EP21" i="5"/>
  <c r="EP25" i="5"/>
  <c r="EP13" i="5"/>
  <c r="LN16" i="5"/>
  <c r="IM15" i="5"/>
  <c r="LP15" i="5" s="1"/>
  <c r="LQ14" i="5"/>
  <c r="IL17" i="5"/>
  <c r="IK16" i="5"/>
  <c r="IU17" i="5"/>
  <c r="IX15" i="5"/>
  <c r="IX14" i="5"/>
  <c r="LE13" i="5"/>
  <c r="KW13" i="5"/>
  <c r="LT13" i="5" s="1"/>
  <c r="IX16" i="5"/>
  <c r="IJ24" i="5"/>
  <c r="LQ24" i="5" s="1"/>
  <c r="LP24" i="5"/>
  <c r="IJ19" i="5"/>
  <c r="IM19" i="5"/>
  <c r="LN24" i="5"/>
  <c r="LE20" i="5"/>
  <c r="KW20" i="5"/>
  <c r="LE25" i="5"/>
  <c r="KW25" i="5"/>
  <c r="LT25" i="5" s="1"/>
  <c r="LE21" i="5"/>
  <c r="KW21" i="5"/>
  <c r="IM17" i="5"/>
  <c r="LO20" i="5"/>
  <c r="IJ15" i="5"/>
  <c r="LE19" i="5"/>
  <c r="KW19" i="5"/>
  <c r="LT19" i="5" s="1"/>
  <c r="IX22" i="5"/>
  <c r="KT16" i="5"/>
  <c r="LP16" i="5"/>
  <c r="LO14" i="5"/>
  <c r="LC16" i="5"/>
  <c r="LD16" i="5"/>
  <c r="LB16" i="5"/>
  <c r="KT25" i="5"/>
  <c r="LP25" i="5"/>
  <c r="IJ17" i="5"/>
  <c r="IK21" i="5"/>
  <c r="LN21" i="5"/>
  <c r="IL19" i="5"/>
  <c r="LE15" i="5"/>
  <c r="KW15" i="5"/>
  <c r="LT15" i="5" s="1"/>
  <c r="LE18" i="5"/>
  <c r="KW18" i="5"/>
  <c r="LT18" i="5" s="1"/>
  <c r="IW17" i="5"/>
  <c r="IV17" i="5"/>
  <c r="LF25" i="5"/>
  <c r="LF11" i="5" s="1"/>
  <c r="IX18" i="5"/>
  <c r="IW19" i="5"/>
  <c r="IV19" i="5"/>
  <c r="IU19" i="5"/>
  <c r="LE23" i="5"/>
  <c r="KW23" i="5"/>
  <c r="GG15" i="5"/>
  <c r="MM15" i="5" s="1"/>
  <c r="MN15" i="5" s="1"/>
  <c r="LO18" i="5"/>
  <c r="IK25" i="5"/>
  <c r="LN25" i="5"/>
  <c r="IW13" i="5"/>
  <c r="IV13" i="5"/>
  <c r="IT13" i="5"/>
  <c r="IX25" i="5"/>
  <c r="LE14" i="5"/>
  <c r="KW14" i="5"/>
  <c r="IL24" i="5"/>
  <c r="LT17" i="5"/>
  <c r="IJ13" i="5"/>
  <c r="IX24" i="5"/>
  <c r="FN22" i="5" l="1"/>
  <c r="FO16" i="5"/>
  <c r="LO26" i="5"/>
  <c r="GG26" i="5"/>
  <c r="MM26" i="5" s="1"/>
  <c r="MN26" i="5" s="1"/>
  <c r="FN17" i="5"/>
  <c r="LE26" i="5"/>
  <c r="KW26" i="5"/>
  <c r="IK27" i="5"/>
  <c r="LN27" i="5"/>
  <c r="IX27" i="5"/>
  <c r="FN16" i="5"/>
  <c r="FM26" i="5"/>
  <c r="FM27" i="5"/>
  <c r="FN18" i="5"/>
  <c r="FO23" i="5"/>
  <c r="FN23" i="5"/>
  <c r="FO17" i="5"/>
  <c r="FO18" i="5"/>
  <c r="FN15" i="5"/>
  <c r="FG13" i="5"/>
  <c r="FK13" i="5"/>
  <c r="FI13" i="5"/>
  <c r="FH13" i="5"/>
  <c r="FL13" i="5"/>
  <c r="LQ23" i="5"/>
  <c r="LN13" i="5"/>
  <c r="LP13" i="5"/>
  <c r="LO25" i="5"/>
  <c r="LN15" i="5"/>
  <c r="IK15" i="5"/>
  <c r="LQ15" i="5" s="1"/>
  <c r="MK15" i="5"/>
  <c r="GJ15" i="5" s="1"/>
  <c r="LO13" i="5"/>
  <c r="ME15" i="5"/>
  <c r="MF15" i="5"/>
  <c r="IL11" i="5"/>
  <c r="LT23" i="5"/>
  <c r="ME23" i="5"/>
  <c r="LE16" i="5"/>
  <c r="LV16" i="5" s="1"/>
  <c r="GI16" i="5" s="1"/>
  <c r="KW16" i="5"/>
  <c r="LT16" i="5" s="1"/>
  <c r="LR22" i="5"/>
  <c r="LS22" i="5" s="1"/>
  <c r="LV22" i="5"/>
  <c r="GI22" i="5" s="1"/>
  <c r="MF22" i="5"/>
  <c r="MK22" i="5"/>
  <c r="GJ22" i="5" s="1"/>
  <c r="ME22" i="5"/>
  <c r="LR21" i="5"/>
  <c r="LS21" i="5" s="1"/>
  <c r="MK21" i="5"/>
  <c r="GJ21" i="5" s="1"/>
  <c r="MF21" i="5"/>
  <c r="LV21" i="5"/>
  <c r="GI21" i="5" s="1"/>
  <c r="LT20" i="5"/>
  <c r="ME20" i="5"/>
  <c r="LR24" i="5"/>
  <c r="LS24" i="5" s="1"/>
  <c r="LV24" i="5"/>
  <c r="GI24" i="5" s="1"/>
  <c r="MF24" i="5"/>
  <c r="MK24" i="5"/>
  <c r="GJ24" i="5" s="1"/>
  <c r="ME24" i="5"/>
  <c r="LO21" i="5"/>
  <c r="IK17" i="5"/>
  <c r="LN17" i="5"/>
  <c r="IK19" i="5"/>
  <c r="LQ19" i="5" s="1"/>
  <c r="LN19" i="5"/>
  <c r="LQ21" i="5"/>
  <c r="LT14" i="5"/>
  <c r="ME14" i="5"/>
  <c r="LR15" i="5"/>
  <c r="LS15" i="5" s="1"/>
  <c r="IX19" i="5"/>
  <c r="LP17" i="5"/>
  <c r="LQ25" i="5"/>
  <c r="LQ16" i="5"/>
  <c r="LO16" i="5"/>
  <c r="LT21" i="5"/>
  <c r="ME21" i="5"/>
  <c r="LP19" i="5"/>
  <c r="LR14" i="5"/>
  <c r="LS14" i="5" s="1"/>
  <c r="MF14" i="5"/>
  <c r="LV14" i="5"/>
  <c r="GI14" i="5" s="1"/>
  <c r="MK14" i="5"/>
  <c r="GJ14" i="5" s="1"/>
  <c r="LQ13" i="5"/>
  <c r="LR25" i="5"/>
  <c r="LS25" i="5" s="1"/>
  <c r="LV25" i="5"/>
  <c r="GI25" i="5" s="1"/>
  <c r="MF25" i="5"/>
  <c r="ME25" i="5"/>
  <c r="MK25" i="5"/>
  <c r="GJ25" i="5" s="1"/>
  <c r="LV15" i="5"/>
  <c r="GI15" i="5" s="1"/>
  <c r="IX13" i="5"/>
  <c r="LV23" i="5"/>
  <c r="GI23" i="5" s="1"/>
  <c r="LR23" i="5"/>
  <c r="LS23" i="5" s="1"/>
  <c r="MK23" i="5"/>
  <c r="GJ23" i="5" s="1"/>
  <c r="MF23" i="5"/>
  <c r="LR18" i="5"/>
  <c r="LS18" i="5" s="1"/>
  <c r="LV18" i="5"/>
  <c r="GI18" i="5" s="1"/>
  <c r="MF18" i="5"/>
  <c r="MK18" i="5"/>
  <c r="GJ18" i="5" s="1"/>
  <c r="ME18" i="5"/>
  <c r="IX17" i="5"/>
  <c r="LO24" i="5"/>
  <c r="GG25" i="5"/>
  <c r="MM25" i="5" s="1"/>
  <c r="MN25" i="5" s="1"/>
  <c r="GG16" i="5"/>
  <c r="MM16" i="5" s="1"/>
  <c r="MN16" i="5" s="1"/>
  <c r="LR20" i="5"/>
  <c r="LS20" i="5" s="1"/>
  <c r="MK20" i="5"/>
  <c r="GJ20" i="5" s="1"/>
  <c r="LV20" i="5"/>
  <c r="GI20" i="5" s="1"/>
  <c r="MF20" i="5"/>
  <c r="ME27" i="5" l="1"/>
  <c r="LV27" i="5"/>
  <c r="GI27" i="5" s="1"/>
  <c r="MF27" i="5"/>
  <c r="LR27" i="5"/>
  <c r="LS27" i="5" s="1"/>
  <c r="MK27" i="5"/>
  <c r="GJ27" i="5" s="1"/>
  <c r="LQ27" i="5"/>
  <c r="LO27" i="5"/>
  <c r="LT26" i="5"/>
  <c r="ME26" i="5"/>
  <c r="LR26" i="5"/>
  <c r="LS26" i="5" s="1"/>
  <c r="LV26" i="5"/>
  <c r="GI26" i="5" s="1"/>
  <c r="MK26" i="5"/>
  <c r="GJ26" i="5" s="1"/>
  <c r="MF26" i="5"/>
  <c r="FO13" i="5"/>
  <c r="FG27" i="5"/>
  <c r="FK27" i="5"/>
  <c r="FH27" i="5"/>
  <c r="FL27" i="5"/>
  <c r="FI27" i="5"/>
  <c r="FJ27" i="5"/>
  <c r="FG26" i="5"/>
  <c r="FK26" i="5"/>
  <c r="FO26" i="5" s="1"/>
  <c r="FL26" i="5"/>
  <c r="FH26" i="5"/>
  <c r="FN26" i="5" s="1"/>
  <c r="FI26" i="5"/>
  <c r="FJ26" i="5"/>
  <c r="FN13" i="5"/>
  <c r="BD14" i="5"/>
  <c r="BF14" i="5" s="1"/>
  <c r="BA14" i="5"/>
  <c r="BD22" i="5"/>
  <c r="BF22" i="5" s="1"/>
  <c r="BA22" i="5"/>
  <c r="BD21" i="5"/>
  <c r="BF21" i="5" s="1"/>
  <c r="BA21" i="5"/>
  <c r="BD23" i="5"/>
  <c r="BA23" i="5"/>
  <c r="BD24" i="5"/>
  <c r="BA24" i="5"/>
  <c r="BD18" i="5"/>
  <c r="BF18" i="5" s="1"/>
  <c r="BA18" i="5"/>
  <c r="BD15" i="5"/>
  <c r="BF15" i="5" s="1"/>
  <c r="BA15" i="5"/>
  <c r="BD20" i="5"/>
  <c r="BF20" i="5" s="1"/>
  <c r="BA20" i="5"/>
  <c r="BD25" i="5"/>
  <c r="BF25" i="5" s="1"/>
  <c r="BA25" i="5"/>
  <c r="LR16" i="5"/>
  <c r="LS16" i="5" s="1"/>
  <c r="LO15" i="5"/>
  <c r="BI20" i="5"/>
  <c r="BP20" i="5" s="1"/>
  <c r="AX20" i="5"/>
  <c r="BI18" i="5"/>
  <c r="AX18" i="5"/>
  <c r="BI14" i="5"/>
  <c r="AX14" i="5"/>
  <c r="BI24" i="5"/>
  <c r="BP24" i="5" s="1"/>
  <c r="AX24" i="5"/>
  <c r="BF24" i="5"/>
  <c r="BI23" i="5"/>
  <c r="BP23" i="5" s="1"/>
  <c r="AX23" i="5"/>
  <c r="BF23" i="5"/>
  <c r="BI25" i="5"/>
  <c r="AX25" i="5"/>
  <c r="BI22" i="5"/>
  <c r="AX22" i="5"/>
  <c r="BI15" i="5"/>
  <c r="BP15" i="5" s="1"/>
  <c r="AX15" i="5"/>
  <c r="BI21" i="5"/>
  <c r="BP21" i="5" s="1"/>
  <c r="AX21" i="5"/>
  <c r="MK16" i="5"/>
  <c r="GJ16" i="5" s="1"/>
  <c r="LO17" i="5"/>
  <c r="LR17" i="5"/>
  <c r="LS17" i="5" s="1"/>
  <c r="LV17" i="5"/>
  <c r="GI17" i="5" s="1"/>
  <c r="MF17" i="5"/>
  <c r="MK17" i="5"/>
  <c r="GJ17" i="5" s="1"/>
  <c r="ME17" i="5"/>
  <c r="ME16" i="5"/>
  <c r="LR19" i="5"/>
  <c r="LS19" i="5" s="1"/>
  <c r="LV19" i="5"/>
  <c r="GI19" i="5" s="1"/>
  <c r="MF19" i="5"/>
  <c r="MK19" i="5"/>
  <c r="GJ19" i="5" s="1"/>
  <c r="ME19" i="5"/>
  <c r="LQ17" i="5"/>
  <c r="MF16" i="5"/>
  <c r="LO19" i="5"/>
  <c r="LV13" i="5"/>
  <c r="GI13" i="5" s="1"/>
  <c r="MF13" i="5"/>
  <c r="LR13" i="5"/>
  <c r="LS13" i="5" s="1"/>
  <c r="MK13" i="5"/>
  <c r="GJ13" i="5" s="1"/>
  <c r="ME13" i="5"/>
  <c r="BP22" i="5" l="1"/>
  <c r="BP25" i="5"/>
  <c r="BP14" i="5"/>
  <c r="BP18" i="5"/>
  <c r="BA13" i="5"/>
  <c r="FO27" i="5"/>
  <c r="BM23" i="5"/>
  <c r="BM21" i="5"/>
  <c r="BM14" i="5"/>
  <c r="BM24" i="5"/>
  <c r="BM15" i="5"/>
  <c r="BM18" i="5"/>
  <c r="BM22" i="5"/>
  <c r="BM20" i="5"/>
  <c r="BM25" i="5"/>
  <c r="BI27" i="5"/>
  <c r="BP27" i="5" s="1"/>
  <c r="BD27" i="5"/>
  <c r="BF27" i="5" s="1"/>
  <c r="AX27" i="5"/>
  <c r="BI26" i="5"/>
  <c r="BD26" i="5"/>
  <c r="BF26" i="5" s="1"/>
  <c r="AX26" i="5"/>
  <c r="BA26" i="5"/>
  <c r="FN27" i="5"/>
  <c r="BA27" i="5"/>
  <c r="BD19" i="5"/>
  <c r="BF19" i="5" s="1"/>
  <c r="BA19" i="5"/>
  <c r="BD17" i="5"/>
  <c r="BF17" i="5" s="1"/>
  <c r="BA17" i="5"/>
  <c r="BD16" i="5"/>
  <c r="BF16" i="5" s="1"/>
  <c r="BA16" i="5"/>
  <c r="BD13" i="5"/>
  <c r="BF13" i="5" s="1"/>
  <c r="BI19" i="5"/>
  <c r="BP19" i="5" s="1"/>
  <c r="AX19" i="5"/>
  <c r="BI16" i="5"/>
  <c r="AX16" i="5"/>
  <c r="BI13" i="5"/>
  <c r="AX13" i="5"/>
  <c r="BI17" i="5"/>
  <c r="AX17" i="5"/>
  <c r="BS21" i="5"/>
  <c r="BS15" i="5"/>
  <c r="BS22" i="5"/>
  <c r="BS25" i="5"/>
  <c r="BS23" i="5"/>
  <c r="BS24" i="5"/>
  <c r="BS14" i="5"/>
  <c r="BS18" i="5"/>
  <c r="BS20" i="5"/>
  <c r="BM17" i="5" l="1"/>
  <c r="BP17" i="5"/>
  <c r="BP13" i="5"/>
  <c r="BP26" i="5"/>
  <c r="BP16" i="5"/>
  <c r="BS27" i="5"/>
  <c r="BM13" i="5"/>
  <c r="BM26" i="5"/>
  <c r="BS26" i="5"/>
  <c r="BM16" i="5"/>
  <c r="BM19" i="5"/>
  <c r="BM27" i="5"/>
  <c r="BS17" i="5"/>
  <c r="BS13" i="5"/>
  <c r="BS16" i="5"/>
  <c r="BS19" i="5"/>
  <c r="AY13" i="5" l="1"/>
  <c r="BB13" i="5"/>
  <c r="BE13" i="5"/>
  <c r="BG13" i="5"/>
  <c r="BJ13" i="5"/>
  <c r="BN13" i="5"/>
  <c r="BQ13" i="5"/>
  <c r="BT13" i="5"/>
  <c r="FZ13" i="5"/>
  <c r="GA13" i="5"/>
  <c r="GC13" i="5"/>
  <c r="GE13" i="5"/>
  <c r="GF13" i="5"/>
  <c r="GH13" i="5"/>
  <c r="GK13" i="5"/>
  <c r="AY14" i="5"/>
  <c r="BB14" i="5"/>
  <c r="BE14" i="5"/>
  <c r="BG14" i="5"/>
  <c r="BJ14" i="5"/>
  <c r="BN14" i="5"/>
  <c r="BQ14" i="5"/>
  <c r="BT14" i="5"/>
  <c r="FZ14" i="5"/>
  <c r="GA14" i="5"/>
  <c r="GC14" i="5"/>
  <c r="GE14" i="5"/>
  <c r="GF14" i="5"/>
  <c r="GH14" i="5"/>
  <c r="GK14" i="5"/>
  <c r="AY15" i="5"/>
  <c r="BB15" i="5"/>
  <c r="BE15" i="5"/>
  <c r="BG15" i="5"/>
  <c r="BJ15" i="5"/>
  <c r="BN15" i="5"/>
  <c r="BQ15" i="5"/>
  <c r="BT15" i="5"/>
  <c r="FZ15" i="5"/>
  <c r="GA15" i="5"/>
  <c r="GC15" i="5"/>
  <c r="GE15" i="5"/>
  <c r="GF15" i="5"/>
  <c r="GH15" i="5"/>
  <c r="GK15" i="5"/>
  <c r="AY16" i="5"/>
  <c r="BB16" i="5"/>
  <c r="BE16" i="5"/>
  <c r="BG16" i="5"/>
  <c r="BJ16" i="5"/>
  <c r="BN16" i="5"/>
  <c r="BQ16" i="5"/>
  <c r="BT16" i="5"/>
  <c r="FZ16" i="5"/>
  <c r="GA16" i="5"/>
  <c r="GC16" i="5"/>
  <c r="GE16" i="5"/>
  <c r="GF16" i="5"/>
  <c r="GH16" i="5"/>
  <c r="GK16" i="5"/>
  <c r="AY17" i="5"/>
  <c r="BB17" i="5"/>
  <c r="BE17" i="5"/>
  <c r="BG17" i="5"/>
  <c r="BJ17" i="5"/>
  <c r="BN17" i="5"/>
  <c r="BQ17" i="5"/>
  <c r="BT17" i="5"/>
  <c r="FZ17" i="5"/>
  <c r="GA17" i="5"/>
  <c r="GC17" i="5"/>
  <c r="GE17" i="5"/>
  <c r="GF17" i="5"/>
  <c r="GH17" i="5"/>
  <c r="GK17" i="5"/>
  <c r="AY18" i="5"/>
  <c r="BB18" i="5"/>
  <c r="BE18" i="5"/>
  <c r="BG18" i="5"/>
  <c r="BJ18" i="5"/>
  <c r="BN18" i="5"/>
  <c r="BQ18" i="5"/>
  <c r="BT18" i="5"/>
  <c r="FZ18" i="5"/>
  <c r="GA18" i="5"/>
  <c r="GC18" i="5"/>
  <c r="GE18" i="5"/>
  <c r="GF18" i="5"/>
  <c r="GH18" i="5"/>
  <c r="GK18" i="5"/>
  <c r="AY19" i="5"/>
  <c r="BB19" i="5"/>
  <c r="BE19" i="5"/>
  <c r="BG19" i="5"/>
  <c r="BJ19" i="5"/>
  <c r="BN19" i="5"/>
  <c r="BQ19" i="5"/>
  <c r="BT19" i="5"/>
  <c r="FZ19" i="5"/>
  <c r="GA19" i="5"/>
  <c r="GC19" i="5"/>
  <c r="GE19" i="5"/>
  <c r="GF19" i="5"/>
  <c r="GH19" i="5"/>
  <c r="GK19" i="5"/>
  <c r="AY20" i="5"/>
  <c r="BB20" i="5"/>
  <c r="BE20" i="5"/>
  <c r="BG20" i="5"/>
  <c r="BJ20" i="5"/>
  <c r="BN20" i="5"/>
  <c r="BQ20" i="5"/>
  <c r="BT20" i="5"/>
  <c r="FZ20" i="5"/>
  <c r="GA20" i="5"/>
  <c r="GC20" i="5"/>
  <c r="GE20" i="5"/>
  <c r="GF20" i="5"/>
  <c r="GH20" i="5"/>
  <c r="GK20" i="5"/>
  <c r="AY21" i="5"/>
  <c r="BB21" i="5"/>
  <c r="BE21" i="5"/>
  <c r="BG21" i="5"/>
  <c r="BJ21" i="5"/>
  <c r="BN21" i="5"/>
  <c r="BQ21" i="5"/>
  <c r="BT21" i="5"/>
  <c r="FZ21" i="5"/>
  <c r="GA21" i="5"/>
  <c r="GC21" i="5"/>
  <c r="GE21" i="5"/>
  <c r="GF21" i="5"/>
  <c r="GH21" i="5"/>
  <c r="GK21" i="5"/>
  <c r="AY22" i="5"/>
  <c r="BB22" i="5"/>
  <c r="BE22" i="5"/>
  <c r="BG22" i="5"/>
  <c r="BJ22" i="5"/>
  <c r="BN22" i="5"/>
  <c r="BQ22" i="5"/>
  <c r="BT22" i="5"/>
  <c r="FZ22" i="5"/>
  <c r="GA22" i="5"/>
  <c r="GC22" i="5"/>
  <c r="GE22" i="5"/>
  <c r="GF22" i="5"/>
  <c r="GH22" i="5"/>
  <c r="GK22" i="5"/>
  <c r="AY23" i="5"/>
  <c r="BB23" i="5"/>
  <c r="BE23" i="5"/>
  <c r="BG23" i="5"/>
  <c r="BJ23" i="5"/>
  <c r="BN23" i="5"/>
  <c r="BQ23" i="5"/>
  <c r="BT23" i="5"/>
  <c r="FZ23" i="5"/>
  <c r="GA23" i="5"/>
  <c r="GC23" i="5"/>
  <c r="GE23" i="5"/>
  <c r="GF23" i="5"/>
  <c r="GH23" i="5"/>
  <c r="GK23" i="5"/>
  <c r="AY24" i="5"/>
  <c r="BB24" i="5"/>
  <c r="BE24" i="5"/>
  <c r="BG24" i="5"/>
  <c r="BJ24" i="5"/>
  <c r="BN24" i="5"/>
  <c r="BQ24" i="5"/>
  <c r="BT24" i="5"/>
  <c r="FZ24" i="5"/>
  <c r="GA24" i="5"/>
  <c r="GC24" i="5"/>
  <c r="GE24" i="5"/>
  <c r="GF24" i="5"/>
  <c r="GH24" i="5"/>
  <c r="GK24" i="5"/>
  <c r="AY25" i="5"/>
  <c r="BB25" i="5"/>
  <c r="BE25" i="5"/>
  <c r="BG25" i="5"/>
  <c r="BJ25" i="5"/>
  <c r="BN25" i="5"/>
  <c r="BQ25" i="5"/>
  <c r="BT25" i="5"/>
  <c r="FZ25" i="5"/>
  <c r="GA25" i="5"/>
  <c r="GC25" i="5"/>
  <c r="GE25" i="5"/>
  <c r="GF25" i="5"/>
  <c r="GH25" i="5"/>
  <c r="GK25" i="5"/>
  <c r="AY26" i="5"/>
  <c r="BB26" i="5"/>
  <c r="BE26" i="5"/>
  <c r="BG26" i="5"/>
  <c r="BJ26" i="5"/>
  <c r="BN26" i="5"/>
  <c r="BQ26" i="5"/>
  <c r="BT26" i="5"/>
  <c r="FZ26" i="5"/>
  <c r="GA26" i="5"/>
  <c r="GC26" i="5"/>
  <c r="GE26" i="5"/>
  <c r="GF26" i="5"/>
  <c r="GH26" i="5"/>
  <c r="GK26" i="5"/>
  <c r="AY27" i="5"/>
  <c r="BB27" i="5"/>
  <c r="BE27" i="5"/>
  <c r="BG27" i="5"/>
  <c r="BJ27" i="5"/>
  <c r="BN27" i="5"/>
  <c r="BQ27" i="5"/>
  <c r="BT27" i="5"/>
  <c r="FZ27" i="5"/>
  <c r="GA27" i="5"/>
  <c r="GC27" i="5"/>
  <c r="GE27" i="5"/>
  <c r="GF27" i="5"/>
  <c r="GH27" i="5"/>
  <c r="GK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Putirka</author>
    <author>Wang</author>
  </authors>
  <commentList>
    <comment ref="GL10" authorId="0" shapeId="0" xr:uid="{48E67030-45D1-4FD5-BA8F-25A3A7DB2DFB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For subsolidus systems, a value of 0.7±0.2 is probably better. The 1.09 value is calibrated on both subsolidus and (mostly) igneous systems.</t>
        </r>
      </text>
    </comment>
    <comment ref="CE11" authorId="1" shapeId="0" xr:uid="{506EE593-FD5A-460C-8965-9FC7424AD6B1}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摩尔数=质量数/分子量</t>
        </r>
      </text>
    </comment>
    <comment ref="CM11" authorId="1" shapeId="0" xr:uid="{2E5478F4-6F76-4EBF-A83C-EDBAEA6931DC}">
      <text>
        <r>
          <rPr>
            <b/>
            <sz val="9"/>
            <color indexed="81"/>
            <rFont val="宋体"/>
            <family val="3"/>
            <charset val="134"/>
          </rPr>
          <t>Wang:</t>
        </r>
        <r>
          <rPr>
            <sz val="9"/>
            <color indexed="81"/>
            <rFont val="宋体"/>
            <family val="3"/>
            <charset val="134"/>
          </rPr>
          <t xml:space="preserve">
O原子数</t>
        </r>
      </text>
    </comment>
    <comment ref="GE11" authorId="0" shapeId="0" xr:uid="{4C6FEB21-CD73-4028-A765-40FE655A8F45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This Eqn. is for cases where Mg#(cpx)&gt;0.75 (see column AE)</t>
        </r>
      </text>
    </comment>
    <comment ref="GF11" authorId="0" shapeId="0" xr:uid="{0831B00C-0E85-4E13-8666-E98C394A84D7}">
      <text>
        <r>
          <rPr>
            <b/>
            <sz val="12"/>
            <color indexed="81"/>
            <rFont val="Verdana"/>
            <family val="2"/>
          </rPr>
          <t>Keith Putirka:</t>
        </r>
        <r>
          <rPr>
            <sz val="12"/>
            <color indexed="81"/>
            <rFont val="Verdana"/>
            <family val="2"/>
          </rPr>
          <t xml:space="preserve">
Eqn., 37 is for low Mg# cpx; use Eqn. 37 when Mg#(cpx)&lt;0.75 (See column AE). There is a typogrpahical error in the RiMG v. 69 Ch. 2.</t>
        </r>
      </text>
    </comment>
    <comment ref="GK11" authorId="0" shapeId="0" xr:uid="{59D4E47F-674D-4A44-B4B0-089F49CA43D5}">
      <text>
        <r>
          <rPr>
            <b/>
            <sz val="9"/>
            <color indexed="81"/>
            <rFont val="Verdana"/>
            <family val="2"/>
          </rPr>
          <t>Keith Putirka: This is a modified form of Eqn. 32; here the P coefficient is changed from 544 to 755 and the coefficient for the En activity term is changed from 0.395 to 3.5; these changes provide a much better fit to subsolidus T estimates, but provide poorer fits to pyroxenes from volcanic systems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<sst xmlns="http://schemas.openxmlformats.org/spreadsheetml/2006/main" count="452" uniqueCount="215">
  <si>
    <t>SiO2</t>
  </si>
  <si>
    <t>TiO2</t>
  </si>
  <si>
    <t>Al2O3</t>
  </si>
  <si>
    <t>Cr2O3</t>
  </si>
  <si>
    <t>FeO</t>
  </si>
  <si>
    <t>MnO</t>
  </si>
  <si>
    <t>MgO</t>
  </si>
  <si>
    <t>CaO</t>
  </si>
  <si>
    <t>TOTAL</t>
  </si>
  <si>
    <t>Al</t>
  </si>
  <si>
    <t>Cr</t>
  </si>
  <si>
    <t>Fe(iii)</t>
  </si>
  <si>
    <t>Fe(ii)</t>
  </si>
  <si>
    <t>Mn</t>
  </si>
  <si>
    <t>Mg</t>
  </si>
  <si>
    <t>Na2O</t>
  </si>
  <si>
    <t>R</t>
  </si>
  <si>
    <t>NOTE: WOOD AND BANNO AND WELLS MODELS WORK BETTER IF USE Al-TOT</t>
  </si>
  <si>
    <t>Gray field = input</t>
  </si>
  <si>
    <t>Blue field = output</t>
  </si>
  <si>
    <t>INSTEAD OF Al(VI) FOR CALC OF a(En)-cpx, and use Al(VI) for calc of a(En)-opx</t>
  </si>
  <si>
    <t>K2O</t>
  </si>
  <si>
    <t>Barometers and Thermometers</t>
  </si>
  <si>
    <t>Models</t>
  </si>
  <si>
    <t>Enter Clinopyroxene Composition Here</t>
    <phoneticPr fontId="8"/>
  </si>
  <si>
    <t>Enter Orthopyroxene Composition Here</t>
    <phoneticPr fontId="8"/>
  </si>
  <si>
    <t>Enter Olivine Composition Here</t>
    <phoneticPr fontId="8"/>
  </si>
  <si>
    <t>Enter Spinel Composition Here</t>
    <phoneticPr fontId="8"/>
  </si>
  <si>
    <t>Test for Equilibrium</t>
    <phoneticPr fontId="8"/>
  </si>
  <si>
    <t>Wood and Banno Activities (modified))</t>
  </si>
  <si>
    <t>Wood and Banno (original)</t>
  </si>
  <si>
    <t>Putirka (2008) RiMG</t>
  </si>
  <si>
    <t>Cpx-only</t>
  </si>
  <si>
    <r>
      <t>(K</t>
    </r>
    <r>
      <rPr>
        <b/>
        <vertAlign val="subscript"/>
        <sz val="10"/>
        <rFont val="Verdana"/>
        <family val="2"/>
      </rPr>
      <t>D</t>
    </r>
    <r>
      <rPr>
        <b/>
        <sz val="10"/>
        <rFont val="Verdana"/>
        <family val="2"/>
      </rPr>
      <t xml:space="preserve"> should be 1.09±.14)</t>
    </r>
    <phoneticPr fontId="8"/>
  </si>
  <si>
    <t>Clinopyroxene</t>
  </si>
  <si>
    <t>assign half of all Mg and Fe to M1 and M2</t>
  </si>
  <si>
    <t>(Mg and Fe in M1 and M2 = sites left after filling sites with other cations)</t>
  </si>
  <si>
    <t>Orthopyroxene</t>
  </si>
  <si>
    <t>Orthpyroxene</t>
  </si>
  <si>
    <t>Modified (assign half of total Mg and Fe to each of M1 and M2)</t>
  </si>
  <si>
    <t>Nickel and Brey (1984)</t>
  </si>
  <si>
    <t>Sen and Jones (1989)</t>
  </si>
  <si>
    <t>Wood and Banno (1973)</t>
  </si>
  <si>
    <t>Sen (1985)</t>
  </si>
  <si>
    <t>Mercier et al. (1984)</t>
  </si>
  <si>
    <t>Carlson and Lindsley (1988)</t>
  </si>
  <si>
    <t>Wells (1977)</t>
  </si>
  <si>
    <t>Clinopyroxene Composition - in Weight Percent</t>
  </si>
  <si>
    <t>Orthopyroxene Composition - in Weight Percent</t>
  </si>
  <si>
    <t>Olivine Composition - in Weight Percent</t>
    <phoneticPr fontId="8"/>
  </si>
  <si>
    <t>Ol</t>
    <phoneticPr fontId="8"/>
  </si>
  <si>
    <t>Spinel Composition - in Weight Percent</t>
    <phoneticPr fontId="8"/>
  </si>
  <si>
    <t>Mol Prop</t>
  </si>
  <si>
    <t>At Prop O</t>
  </si>
  <si>
    <t>For Calculation inputs - iterative</t>
    <phoneticPr fontId="8"/>
  </si>
  <si>
    <t>T(BKN)</t>
  </si>
  <si>
    <t>Eqn 36</t>
    <phoneticPr fontId="8"/>
  </si>
  <si>
    <t>Eqn 37</t>
    <phoneticPr fontId="8"/>
  </si>
  <si>
    <t>Eqn 38</t>
  </si>
  <si>
    <t>Eqn 39</t>
  </si>
  <si>
    <t>Wood &amp; Banno (1979)</t>
  </si>
  <si>
    <t>Eqn. 32 modified</t>
  </si>
  <si>
    <t>Observed</t>
  </si>
  <si>
    <t>Mole Proportions</t>
  </si>
  <si>
    <t>Numers of oxygens</t>
  </si>
  <si>
    <t>Cations on the basis of 6 oxygens</t>
  </si>
  <si>
    <t>Lindley</t>
  </si>
  <si>
    <t>Droop</t>
  </si>
  <si>
    <t>Cpx Components</t>
  </si>
  <si>
    <t xml:space="preserve"> (to be filled by Fe and Mg)</t>
  </si>
  <si>
    <t>use all Mg</t>
  </si>
  <si>
    <t>Nimis and Taylor  (2000)</t>
  </si>
  <si>
    <t>OPX COMPONENTS</t>
  </si>
  <si>
    <t>Wood and Banno modified</t>
  </si>
  <si>
    <t>Wood &amp; Banno (original; assign Mg and Fe as space remiaing after filling other M1 and M2 cations</t>
  </si>
  <si>
    <t>Nickel et al. 1985</t>
  </si>
  <si>
    <t>Use FmO</t>
  </si>
  <si>
    <t>Use Mg only</t>
  </si>
  <si>
    <t>KD1</t>
  </si>
  <si>
    <t>KD2</t>
  </si>
  <si>
    <t>P (GPa)</t>
  </si>
  <si>
    <t>FeOt</t>
  </si>
  <si>
    <t>Fe/(Fe+Mg)</t>
    <phoneticPr fontId="1" type="noConversion"/>
  </si>
  <si>
    <t>Fe2O3</t>
    <phoneticPr fontId="8"/>
  </si>
  <si>
    <t>FeO</t>
    <phoneticPr fontId="8"/>
  </si>
  <si>
    <t>SUM</t>
    <phoneticPr fontId="8"/>
  </si>
  <si>
    <t>No Oxyg</t>
  </si>
  <si>
    <t>T2</t>
    <phoneticPr fontId="8"/>
  </si>
  <si>
    <t>T(C )</t>
    <phoneticPr fontId="8"/>
  </si>
  <si>
    <t>P(kbar)</t>
    <phoneticPr fontId="8"/>
  </si>
  <si>
    <t>Mg#(cpx)</t>
  </si>
  <si>
    <t>T(C )</t>
  </si>
  <si>
    <t>P(kbar)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</si>
  <si>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>(Fe-Mg)</t>
    </r>
  </si>
  <si>
    <t>Kf</t>
  </si>
  <si>
    <t>Oxy factor</t>
  </si>
  <si>
    <t>Al(IV)</t>
  </si>
  <si>
    <t>AL(VI)</t>
  </si>
  <si>
    <t>Al (total)</t>
  </si>
  <si>
    <t>Fe3+</t>
  </si>
  <si>
    <t>Jd</t>
  </si>
  <si>
    <t>CaTs</t>
  </si>
  <si>
    <t>CaTi</t>
  </si>
  <si>
    <t>CrCaTs</t>
  </si>
  <si>
    <t>DiHd (1996)</t>
  </si>
  <si>
    <t>EnFs</t>
  </si>
  <si>
    <t>En</t>
  </si>
  <si>
    <t>Di</t>
  </si>
  <si>
    <t>Comp sum</t>
  </si>
  <si>
    <t>DiHd (2003)</t>
  </si>
  <si>
    <t>Mg# cpx</t>
  </si>
  <si>
    <t>Fe2+</t>
  </si>
  <si>
    <t>a(En)-cpx</t>
  </si>
  <si>
    <t>a(Di)-cpx</t>
  </si>
  <si>
    <t>X(En)</t>
  </si>
  <si>
    <t>X(Mg) M1</t>
  </si>
  <si>
    <t>X(Fe) M1</t>
  </si>
  <si>
    <t>X(Mg) M2</t>
  </si>
  <si>
    <t>X(Fe) M2</t>
  </si>
  <si>
    <t>NaAlSi2O6</t>
  </si>
  <si>
    <t>FmTiAlSiO6</t>
  </si>
  <si>
    <t>CrAl2SiO6</t>
  </si>
  <si>
    <t>FmAl2SiO6</t>
  </si>
  <si>
    <t>CaFmSi2O6</t>
  </si>
  <si>
    <t>Fm2Si2O6</t>
  </si>
  <si>
    <t>a(En)-opx</t>
  </si>
  <si>
    <t>a(Di)-opx</t>
  </si>
  <si>
    <t>X(Fe)opx</t>
  </si>
  <si>
    <t>Mg#</t>
  </si>
  <si>
    <t>comp sum</t>
  </si>
  <si>
    <t>KD</t>
  </si>
  <si>
    <t>T(A)</t>
  </si>
  <si>
    <t xml:space="preserve">T(A) </t>
  </si>
  <si>
    <t xml:space="preserve">T(B) </t>
  </si>
  <si>
    <t>T(B)</t>
  </si>
  <si>
    <t>P(kbar) 1</t>
  </si>
  <si>
    <t>P(kbar) 2</t>
  </si>
  <si>
    <t>WG1cpx</t>
  </si>
  <si>
    <t>WG2cpx</t>
  </si>
  <si>
    <t>WGOen</t>
  </si>
  <si>
    <t>TA</t>
  </si>
  <si>
    <t>TB</t>
  </si>
  <si>
    <t>Tca-in-opx</t>
  </si>
  <si>
    <t>T(D-Na)</t>
  </si>
  <si>
    <t>T(C ) Eqn 5</t>
  </si>
  <si>
    <t>No anions</t>
    <phoneticPr fontId="22" type="noConversion"/>
  </si>
  <si>
    <t>Formula</t>
  </si>
  <si>
    <t>Si</t>
    <phoneticPr fontId="22" type="noConversion"/>
  </si>
  <si>
    <t>Ti</t>
    <phoneticPr fontId="22" type="noConversion"/>
  </si>
  <si>
    <t>Norm</t>
  </si>
  <si>
    <t>T/S</t>
  </si>
  <si>
    <t>SUM</t>
    <phoneticPr fontId="1" type="noConversion"/>
  </si>
  <si>
    <t>Fe/Fe+Mg</t>
  </si>
  <si>
    <t>Cr/Cr+Al</t>
  </si>
  <si>
    <t>Fe2/(Fe2+Fe3)</t>
  </si>
  <si>
    <t>Fe3/(Fe3+Fe2)</t>
  </si>
  <si>
    <t>FeO</t>
    <phoneticPr fontId="1" type="noConversion"/>
  </si>
  <si>
    <t>Fe(iii)</t>
    <phoneticPr fontId="1" type="noConversion"/>
  </si>
  <si>
    <t>Al/ΣR3+</t>
    <phoneticPr fontId="22" type="noConversion"/>
  </si>
  <si>
    <t>Fe3/ΣR3+</t>
    <phoneticPr fontId="22" type="noConversion"/>
  </si>
  <si>
    <t>Fe2+/Fe2++Mg2+</t>
    <phoneticPr fontId="22" type="noConversion"/>
  </si>
  <si>
    <t>wt. % of spinel after calculating Fe3+</t>
    <phoneticPr fontId="1" type="noConversion"/>
  </si>
  <si>
    <t>Formula ratio of Fe in spinel</t>
    <phoneticPr fontId="1" type="noConversion"/>
  </si>
  <si>
    <t>Formula concentration of Fe in spinel</t>
    <phoneticPr fontId="1" type="noConversion"/>
  </si>
  <si>
    <t>Δlogf(O2)</t>
    <phoneticPr fontId="1" type="noConversion"/>
  </si>
  <si>
    <t>Temperature based on Well, 1979</t>
    <phoneticPr fontId="1" type="noConversion"/>
  </si>
  <si>
    <t>logaFe3O4 of spinel</t>
    <phoneticPr fontId="1" type="noConversion"/>
  </si>
  <si>
    <t>Output of Δlogf(O2)</t>
    <phoneticPr fontId="1" type="noConversion"/>
  </si>
  <si>
    <t>Formula based on Wood et al. (1990)</t>
    <phoneticPr fontId="1" type="noConversion"/>
  </si>
  <si>
    <t>Brey and Kohler (1990)</t>
    <phoneticPr fontId="1" type="noConversion"/>
  </si>
  <si>
    <t>Based on 32 Oxygen</t>
    <phoneticPr fontId="1" type="noConversion"/>
  </si>
  <si>
    <t>logf(O2)FMQ</t>
    <phoneticPr fontId="1" type="noConversion"/>
  </si>
  <si>
    <r>
      <t>log ( fO2 )</t>
    </r>
    <r>
      <rPr>
        <b/>
        <vertAlign val="subscript"/>
        <sz val="11"/>
        <color rgb="FF000000"/>
        <rFont val="Verdana"/>
        <family val="2"/>
      </rPr>
      <t xml:space="preserve"> P. T</t>
    </r>
    <phoneticPr fontId="1" type="noConversion"/>
  </si>
  <si>
    <t>Temperature based on Brey and Kohler (1990)</t>
    <phoneticPr fontId="1" type="noConversion"/>
  </si>
  <si>
    <t>Output of logf(O2)</t>
    <phoneticPr fontId="1" type="noConversion"/>
  </si>
  <si>
    <t>Mg/(Fe+Mg)</t>
    <phoneticPr fontId="1" type="noConversion"/>
  </si>
  <si>
    <t>Cations （4 oxygen）</t>
    <phoneticPr fontId="1" type="noConversion"/>
  </si>
  <si>
    <t>Cr</t>
    <phoneticPr fontId="1" type="noConversion"/>
  </si>
  <si>
    <t>SiO2</t>
    <phoneticPr fontId="1" type="noConversion"/>
  </si>
  <si>
    <t>TiO2</t>
    <phoneticPr fontId="1" type="noConversion"/>
  </si>
  <si>
    <t>Al2O3</t>
    <phoneticPr fontId="1" type="noConversion"/>
  </si>
  <si>
    <t>FeOt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</si>
  <si>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</si>
  <si>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</si>
  <si>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</si>
  <si>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Na2O</t>
    <phoneticPr fontId="1" type="noConversion"/>
  </si>
  <si>
    <t>K2O</t>
    <phoneticPr fontId="1" type="noConversion"/>
  </si>
  <si>
    <t>Cr2O3</t>
    <phoneticPr fontId="1" type="noConversion"/>
  </si>
  <si>
    <t>Formula based on Ballhaus et al. (1991)</t>
    <phoneticPr fontId="1" type="noConversion"/>
  </si>
  <si>
    <t>Formula based on Nell and Wood (1991)</t>
    <phoneticPr fontId="1" type="noConversion"/>
  </si>
  <si>
    <t>Enter  Estimated Pressure Here</t>
    <phoneticPr fontId="8"/>
  </si>
  <si>
    <t>Formula based on Nikolaev et al. (2016)</t>
    <phoneticPr fontId="1" type="noConversion"/>
  </si>
  <si>
    <t>total</t>
    <phoneticPr fontId="1" type="noConversion"/>
  </si>
  <si>
    <t>Ti</t>
    <phoneticPr fontId="1" type="noConversion"/>
  </si>
  <si>
    <t>elements normalized to one and proportion of these elements</t>
    <phoneticPr fontId="1" type="noConversion"/>
  </si>
  <si>
    <t>XFe3+</t>
    <phoneticPr fontId="1" type="noConversion"/>
  </si>
  <si>
    <t>XFe2+</t>
    <phoneticPr fontId="1" type="noConversion"/>
  </si>
  <si>
    <t xml:space="preserve">A2-1 </t>
  </si>
  <si>
    <t xml:space="preserve">A2-10 </t>
  </si>
  <si>
    <t xml:space="preserve">A2-11 </t>
  </si>
  <si>
    <t xml:space="preserve">A2-2 </t>
  </si>
  <si>
    <t xml:space="preserve">ABG05-1 </t>
  </si>
  <si>
    <t xml:space="preserve">ABG06-1 </t>
  </si>
  <si>
    <t xml:space="preserve">ABG07-1 </t>
  </si>
  <si>
    <t xml:space="preserve">ABG08 </t>
  </si>
  <si>
    <t>10ABG37</t>
    <phoneticPr fontId="1" type="noConversion"/>
  </si>
  <si>
    <t>10ABG38</t>
    <phoneticPr fontId="1" type="noConversion"/>
  </si>
  <si>
    <t>10ABG40</t>
    <phoneticPr fontId="1" type="noConversion"/>
  </si>
  <si>
    <t>21ABG04-1</t>
    <phoneticPr fontId="1" type="noConversion"/>
  </si>
  <si>
    <t>10ABG30</t>
    <phoneticPr fontId="1" type="noConversion"/>
  </si>
  <si>
    <t>10ABG52</t>
    <phoneticPr fontId="1" type="noConversion"/>
  </si>
  <si>
    <t>Chen Shengsheng ,2012</t>
  </si>
  <si>
    <t>ZhangMin2012</t>
  </si>
  <si>
    <t>本文</t>
    <phoneticPr fontId="1" type="noConversion"/>
  </si>
  <si>
    <t>Spinel calculation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</si>
</sst>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"/>
    <numFmt numFmtId="178" formatCode="0.000"/>
  </numFmts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name val="Verdana"/>
      <family val="2"/>
    </font>
    <font>
      <sz val="10"/>
      <color indexed="8"/>
      <name val="Verdana"/>
      <family val="2"/>
    </font>
    <font>
      <sz val="18"/>
      <color indexed="8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2"/>
      <color indexed="8"/>
      <name val="Verdana"/>
      <family val="2"/>
    </font>
    <font>
      <vertAlign val="subscript"/>
      <sz val="10"/>
      <name val="Verdana"/>
      <family val="2"/>
    </font>
    <font>
      <b/>
      <sz val="12"/>
      <color indexed="81"/>
      <name val="Verdana"/>
      <family val="2"/>
    </font>
    <font>
      <sz val="12"/>
      <color indexed="81"/>
      <name val="Verdan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9"/>
      <name val="宋体"/>
      <family val="3"/>
      <charset val="134"/>
    </font>
    <font>
      <b/>
      <vertAlign val="subscript"/>
      <sz val="11"/>
      <color rgb="FF000000"/>
      <name val="Verdana"/>
      <family val="2"/>
    </font>
    <font>
      <sz val="10"/>
      <name val="微软雅黑"/>
      <family val="2"/>
      <charset val="134"/>
    </font>
    <font>
      <sz val="11"/>
      <color rgb="FF242021"/>
      <name val="Times New Roman"/>
      <family val="1"/>
    </font>
    <font>
      <sz val="11"/>
      <color rgb="FF00B0F0"/>
      <name val="Times New Roman"/>
      <family val="1"/>
    </font>
    <font>
      <sz val="1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0" fontId="7" fillId="2" borderId="1" xfId="0" applyFont="1" applyFill="1" applyBorder="1"/>
    <xf numFmtId="0" fontId="3" fillId="2" borderId="1" xfId="0" applyFont="1" applyFill="1" applyBorder="1"/>
    <xf numFmtId="0" fontId="6" fillId="0" borderId="2" xfId="0" applyFont="1" applyBorder="1"/>
    <xf numFmtId="0" fontId="3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4" xfId="0" applyBorder="1"/>
    <xf numFmtId="177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177" fontId="3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7" xfId="0" applyBorder="1"/>
    <xf numFmtId="0" fontId="3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2" fillId="3" borderId="0" xfId="0" applyFont="1" applyFill="1"/>
    <xf numFmtId="0" fontId="12" fillId="0" borderId="0" xfId="0" applyFont="1"/>
    <xf numFmtId="176" fontId="3" fillId="2" borderId="0" xfId="0" applyNumberFormat="1" applyFont="1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 applyAlignment="1">
      <alignment horizontal="center"/>
    </xf>
    <xf numFmtId="177" fontId="3" fillId="0" borderId="0" xfId="0" applyNumberFormat="1" applyFont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8" fontId="3" fillId="0" borderId="0" xfId="0" applyNumberFormat="1" applyFon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6" fontId="3" fillId="2" borderId="0" xfId="0" applyNumberFormat="1" applyFont="1" applyFill="1" applyAlignment="1">
      <alignment horizontal="center" wrapText="1"/>
    </xf>
    <xf numFmtId="0" fontId="13" fillId="0" borderId="1" xfId="0" applyFont="1" applyBorder="1" applyAlignment="1">
      <alignment horizontal="center"/>
    </xf>
    <xf numFmtId="178" fontId="0" fillId="0" borderId="1" xfId="0" applyNumberFormat="1" applyBorder="1"/>
    <xf numFmtId="0" fontId="0" fillId="0" borderId="1" xfId="0" applyBorder="1"/>
    <xf numFmtId="178" fontId="0" fillId="0" borderId="0" xfId="0" applyNumberFormat="1"/>
    <xf numFmtId="176" fontId="10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/>
    </xf>
    <xf numFmtId="0" fontId="24" fillId="0" borderId="0" xfId="0" applyFont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0" fontId="10" fillId="0" borderId="9" xfId="0" applyFont="1" applyBorder="1"/>
    <xf numFmtId="0" fontId="10" fillId="0" borderId="10" xfId="0" applyFont="1" applyBorder="1"/>
    <xf numFmtId="178" fontId="14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176" fontId="10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176" fontId="10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6FFF-FAB0-420C-9F32-E3FA552B140B}">
  <dimension ref="A1:MO31"/>
  <sheetViews>
    <sheetView tabSelected="1" topLeftCell="AJ3" zoomScale="115" zoomScaleNormal="115" workbookViewId="0">
      <selection activeCell="AS28" sqref="A28:XFD28"/>
    </sheetView>
  </sheetViews>
  <sheetFormatPr defaultColWidth="10.75" defaultRowHeight="12.75" x14ac:dyDescent="0.2"/>
  <cols>
    <col min="1" max="1" width="39.5" style="2" customWidth="1"/>
    <col min="2" max="2" width="13.5" style="3" customWidth="1"/>
    <col min="3" max="3" width="4.25" style="3" customWidth="1"/>
    <col min="4" max="4" width="10.75" style="2"/>
    <col min="5" max="6" width="10.75" style="3"/>
    <col min="7" max="7" width="19.25" style="3" customWidth="1"/>
    <col min="8" max="14" width="10.75" style="3"/>
    <col min="15" max="15" width="10.75" style="2"/>
    <col min="16" max="19" width="14.625" style="2" customWidth="1"/>
    <col min="20" max="49" width="10.75" style="2"/>
    <col min="50" max="50" width="21.125" style="2" customWidth="1"/>
    <col min="51" max="51" width="21" style="2" customWidth="1"/>
    <col min="52" max="52" width="9.75" style="2" customWidth="1"/>
    <col min="53" max="54" width="21" style="2" customWidth="1"/>
    <col min="55" max="55" width="10.75" style="2"/>
    <col min="56" max="56" width="22.625" style="2" customWidth="1"/>
    <col min="57" max="57" width="24.25" style="2" customWidth="1"/>
    <col min="58" max="58" width="19.125" style="2" customWidth="1"/>
    <col min="59" max="59" width="23.125" style="2" customWidth="1"/>
    <col min="60" max="60" width="10.75" style="2"/>
    <col min="61" max="61" width="19" style="2" customWidth="1"/>
    <col min="62" max="62" width="22.625" style="2" customWidth="1"/>
    <col min="63" max="64" width="10.75" style="2"/>
    <col min="65" max="65" width="18.875" style="2" customWidth="1"/>
    <col min="66" max="66" width="22" style="2" customWidth="1"/>
    <col min="67" max="67" width="7.125" style="2" customWidth="1"/>
    <col min="68" max="69" width="22" style="2" customWidth="1"/>
    <col min="70" max="70" width="10.75" style="2"/>
    <col min="71" max="71" width="18.5" style="2" customWidth="1"/>
    <col min="72" max="72" width="17.875" style="2" customWidth="1"/>
    <col min="73" max="133" width="10.75" style="2"/>
    <col min="134" max="134" width="22" style="2" customWidth="1"/>
    <col min="135" max="135" width="12.75" style="2" customWidth="1"/>
    <col min="136" max="136" width="13.125" style="2" customWidth="1"/>
    <col min="137" max="157" width="10.75" style="2"/>
    <col min="158" max="158" width="15.75" style="2" customWidth="1"/>
    <col min="159" max="181" width="10.75" style="2"/>
    <col min="182" max="182" width="12.25" style="2" customWidth="1"/>
    <col min="183" max="183" width="16" style="2" customWidth="1"/>
    <col min="184" max="184" width="10.75" style="2"/>
    <col min="185" max="185" width="20.125" style="2" customWidth="1"/>
    <col min="186" max="186" width="3.875" style="2" customWidth="1"/>
    <col min="187" max="190" width="13.25" style="2" customWidth="1"/>
    <col min="191" max="191" width="16.25" style="2" customWidth="1"/>
    <col min="192" max="192" width="13.25" style="2" customWidth="1"/>
    <col min="193" max="193" width="14.75" style="2" customWidth="1"/>
    <col min="194" max="194" width="21.75" style="2" customWidth="1"/>
    <col min="195" max="195" width="10.75" style="2"/>
    <col min="196" max="196" width="10.625" style="2" customWidth="1"/>
    <col min="197" max="222" width="10.75" style="2"/>
    <col min="223" max="234" width="10.75" style="3"/>
    <col min="235" max="235" width="13.25" style="2" customWidth="1"/>
    <col min="236" max="236" width="15.875" style="2" customWidth="1"/>
    <col min="237" max="247" width="10.75" style="2"/>
    <col min="248" max="248" width="1.25" style="2" customWidth="1"/>
    <col min="249" max="251" width="10.75" style="2"/>
    <col min="252" max="258" width="12.25" style="3" customWidth="1"/>
    <col min="259" max="259" width="24.375" style="3" customWidth="1"/>
    <col min="260" max="284" width="10.75" style="2"/>
    <col min="285" max="296" width="10.75" style="3"/>
    <col min="297" max="305" width="10.75" style="2"/>
    <col min="306" max="306" width="7.25" style="2" customWidth="1"/>
    <col min="307" max="307" width="10.75" style="2"/>
    <col min="308" max="308" width="9.875" style="2" customWidth="1"/>
    <col min="309" max="309" width="8.625" style="2" customWidth="1"/>
    <col min="310" max="310" width="7.875" style="2" customWidth="1"/>
    <col min="311" max="311" width="15" style="2" customWidth="1"/>
    <col min="312" max="316" width="11.875" style="3" customWidth="1"/>
    <col min="317" max="317" width="22" style="3" customWidth="1"/>
    <col min="318" max="318" width="10.75" style="2"/>
    <col min="319" max="319" width="2" style="2" customWidth="1"/>
    <col min="320" max="320" width="5.125" style="2" customWidth="1"/>
    <col min="321" max="321" width="7.625" style="2" customWidth="1"/>
    <col min="322" max="322" width="2" style="2" customWidth="1"/>
    <col min="323" max="324" width="10.75" style="2"/>
    <col min="325" max="325" width="1.125" style="2" customWidth="1"/>
    <col min="326" max="329" width="10.75" style="2"/>
    <col min="330" max="330" width="8.625" style="2" customWidth="1"/>
    <col min="331" max="332" width="10.75" style="2"/>
    <col min="333" max="333" width="2.125" style="2" customWidth="1"/>
    <col min="334" max="334" width="12.875" style="2" customWidth="1"/>
    <col min="335" max="335" width="10.75" style="2"/>
    <col min="336" max="336" width="3.125" style="2" customWidth="1"/>
    <col min="337" max="338" width="10.75" style="2"/>
    <col min="339" max="339" width="1.875" style="2" customWidth="1"/>
    <col min="340" max="344" width="10.75" style="2"/>
    <col min="345" max="345" width="1" style="2" customWidth="1"/>
    <col min="346" max="347" width="10.75" style="2"/>
    <col min="348" max="348" width="0.625" style="2" customWidth="1"/>
    <col min="349" max="349" width="10.625" style="2" customWidth="1"/>
    <col min="350" max="350" width="2.75" style="2" customWidth="1"/>
    <col min="351" max="352" width="6.75" style="2" customWidth="1"/>
    <col min="353" max="353" width="10.75" style="3"/>
    <col min="354" max="358" width="10.75" style="2"/>
    <col min="359" max="359" width="47.375" style="2" customWidth="1"/>
    <col min="360" max="360" width="10.75" style="2"/>
    <col min="361" max="361" width="18.625" style="2" customWidth="1"/>
    <col min="362" max="362" width="10.75" style="2"/>
    <col min="363" max="363" width="4.25" style="2" customWidth="1"/>
    <col min="364" max="366" width="10.75" style="2"/>
    <col min="367" max="367" width="19.25" style="2" customWidth="1"/>
    <col min="368" max="375" width="10.75" style="2"/>
    <col min="376" max="379" width="14.625" style="2" customWidth="1"/>
    <col min="380" max="437" width="10.75" style="2"/>
    <col min="438" max="438" width="12.25" style="2" customWidth="1"/>
    <col min="439" max="439" width="16" style="2" customWidth="1"/>
    <col min="440" max="440" width="10.75" style="2"/>
    <col min="441" max="441" width="20.125" style="2" customWidth="1"/>
    <col min="442" max="442" width="3.875" style="2" customWidth="1"/>
    <col min="443" max="446" width="13.25" style="2" customWidth="1"/>
    <col min="447" max="447" width="16.25" style="2" customWidth="1"/>
    <col min="448" max="448" width="13.25" style="2" customWidth="1"/>
    <col min="449" max="449" width="14.75" style="2" customWidth="1"/>
    <col min="450" max="450" width="21.75" style="2" customWidth="1"/>
    <col min="451" max="451" width="10.75" style="2"/>
    <col min="452" max="452" width="10.625" style="2" customWidth="1"/>
    <col min="453" max="490" width="10.75" style="2"/>
    <col min="491" max="491" width="13.25" style="2" customWidth="1"/>
    <col min="492" max="492" width="15.875" style="2" customWidth="1"/>
    <col min="493" max="503" width="10.75" style="2"/>
    <col min="504" max="504" width="1.25" style="2" customWidth="1"/>
    <col min="505" max="507" width="10.75" style="2"/>
    <col min="508" max="514" width="12.25" style="2" customWidth="1"/>
    <col min="515" max="515" width="24.375" style="2" customWidth="1"/>
    <col min="516" max="561" width="10.75" style="2"/>
    <col min="562" max="562" width="7.25" style="2" customWidth="1"/>
    <col min="563" max="563" width="10.75" style="2"/>
    <col min="564" max="564" width="9.875" style="2" customWidth="1"/>
    <col min="565" max="565" width="8.625" style="2" customWidth="1"/>
    <col min="566" max="566" width="7.875" style="2" customWidth="1"/>
    <col min="567" max="567" width="15" style="2" customWidth="1"/>
    <col min="568" max="572" width="11.875" style="2" customWidth="1"/>
    <col min="573" max="573" width="22" style="2" customWidth="1"/>
    <col min="574" max="574" width="10.75" style="2"/>
    <col min="575" max="575" width="2" style="2" customWidth="1"/>
    <col min="576" max="576" width="5.125" style="2" customWidth="1"/>
    <col min="577" max="577" width="7.625" style="2" customWidth="1"/>
    <col min="578" max="578" width="2" style="2" customWidth="1"/>
    <col min="579" max="580" width="10.75" style="2"/>
    <col min="581" max="581" width="1.125" style="2" customWidth="1"/>
    <col min="582" max="585" width="10.75" style="2"/>
    <col min="586" max="586" width="8.625" style="2" customWidth="1"/>
    <col min="587" max="588" width="10.75" style="2"/>
    <col min="589" max="589" width="2.125" style="2" customWidth="1"/>
    <col min="590" max="590" width="12.875" style="2" customWidth="1"/>
    <col min="591" max="591" width="10.75" style="2"/>
    <col min="592" max="592" width="3.125" style="2" customWidth="1"/>
    <col min="593" max="594" width="10.75" style="2"/>
    <col min="595" max="595" width="1.875" style="2" customWidth="1"/>
    <col min="596" max="600" width="10.75" style="2"/>
    <col min="601" max="601" width="1" style="2" customWidth="1"/>
    <col min="602" max="603" width="10.75" style="2"/>
    <col min="604" max="604" width="0.625" style="2" customWidth="1"/>
    <col min="605" max="605" width="10.625" style="2" customWidth="1"/>
    <col min="606" max="606" width="2.75" style="2" customWidth="1"/>
    <col min="607" max="608" width="6.75" style="2" customWidth="1"/>
    <col min="609" max="614" width="10.75" style="2"/>
    <col min="615" max="615" width="47.375" style="2" customWidth="1"/>
    <col min="616" max="616" width="10.75" style="2"/>
    <col min="617" max="617" width="18.625" style="2" customWidth="1"/>
    <col min="618" max="618" width="10.75" style="2"/>
    <col min="619" max="619" width="4.25" style="2" customWidth="1"/>
    <col min="620" max="622" width="10.75" style="2"/>
    <col min="623" max="623" width="19.25" style="2" customWidth="1"/>
    <col min="624" max="631" width="10.75" style="2"/>
    <col min="632" max="635" width="14.625" style="2" customWidth="1"/>
    <col min="636" max="693" width="10.75" style="2"/>
    <col min="694" max="694" width="12.25" style="2" customWidth="1"/>
    <col min="695" max="695" width="16" style="2" customWidth="1"/>
    <col min="696" max="696" width="10.75" style="2"/>
    <col min="697" max="697" width="20.125" style="2" customWidth="1"/>
    <col min="698" max="698" width="3.875" style="2" customWidth="1"/>
    <col min="699" max="702" width="13.25" style="2" customWidth="1"/>
    <col min="703" max="703" width="16.25" style="2" customWidth="1"/>
    <col min="704" max="704" width="13.25" style="2" customWidth="1"/>
    <col min="705" max="705" width="14.75" style="2" customWidth="1"/>
    <col min="706" max="706" width="21.75" style="2" customWidth="1"/>
    <col min="707" max="707" width="10.75" style="2"/>
    <col min="708" max="708" width="10.625" style="2" customWidth="1"/>
    <col min="709" max="746" width="10.75" style="2"/>
    <col min="747" max="747" width="13.25" style="2" customWidth="1"/>
    <col min="748" max="748" width="15.875" style="2" customWidth="1"/>
    <col min="749" max="759" width="10.75" style="2"/>
    <col min="760" max="760" width="1.25" style="2" customWidth="1"/>
    <col min="761" max="763" width="10.75" style="2"/>
    <col min="764" max="770" width="12.25" style="2" customWidth="1"/>
    <col min="771" max="771" width="24.375" style="2" customWidth="1"/>
    <col min="772" max="817" width="10.75" style="2"/>
    <col min="818" max="818" width="7.25" style="2" customWidth="1"/>
    <col min="819" max="819" width="10.75" style="2"/>
    <col min="820" max="820" width="9.875" style="2" customWidth="1"/>
    <col min="821" max="821" width="8.625" style="2" customWidth="1"/>
    <col min="822" max="822" width="7.875" style="2" customWidth="1"/>
    <col min="823" max="823" width="15" style="2" customWidth="1"/>
    <col min="824" max="828" width="11.875" style="2" customWidth="1"/>
    <col min="829" max="829" width="22" style="2" customWidth="1"/>
    <col min="830" max="830" width="10.75" style="2"/>
    <col min="831" max="831" width="2" style="2" customWidth="1"/>
    <col min="832" max="832" width="5.125" style="2" customWidth="1"/>
    <col min="833" max="833" width="7.625" style="2" customWidth="1"/>
    <col min="834" max="834" width="2" style="2" customWidth="1"/>
    <col min="835" max="836" width="10.75" style="2"/>
    <col min="837" max="837" width="1.125" style="2" customWidth="1"/>
    <col min="838" max="841" width="10.75" style="2"/>
    <col min="842" max="842" width="8.625" style="2" customWidth="1"/>
    <col min="843" max="844" width="10.75" style="2"/>
    <col min="845" max="845" width="2.125" style="2" customWidth="1"/>
    <col min="846" max="846" width="12.875" style="2" customWidth="1"/>
    <col min="847" max="847" width="10.75" style="2"/>
    <col min="848" max="848" width="3.125" style="2" customWidth="1"/>
    <col min="849" max="850" width="10.75" style="2"/>
    <col min="851" max="851" width="1.875" style="2" customWidth="1"/>
    <col min="852" max="856" width="10.75" style="2"/>
    <col min="857" max="857" width="1" style="2" customWidth="1"/>
    <col min="858" max="859" width="10.75" style="2"/>
    <col min="860" max="860" width="0.625" style="2" customWidth="1"/>
    <col min="861" max="861" width="10.625" style="2" customWidth="1"/>
    <col min="862" max="862" width="2.75" style="2" customWidth="1"/>
    <col min="863" max="864" width="6.75" style="2" customWidth="1"/>
    <col min="865" max="870" width="10.75" style="2"/>
    <col min="871" max="871" width="47.375" style="2" customWidth="1"/>
    <col min="872" max="872" width="10.75" style="2"/>
    <col min="873" max="873" width="18.625" style="2" customWidth="1"/>
    <col min="874" max="874" width="10.75" style="2"/>
    <col min="875" max="875" width="4.25" style="2" customWidth="1"/>
    <col min="876" max="878" width="10.75" style="2"/>
    <col min="879" max="879" width="19.25" style="2" customWidth="1"/>
    <col min="880" max="887" width="10.75" style="2"/>
    <col min="888" max="891" width="14.625" style="2" customWidth="1"/>
    <col min="892" max="949" width="10.75" style="2"/>
    <col min="950" max="950" width="12.25" style="2" customWidth="1"/>
    <col min="951" max="951" width="16" style="2" customWidth="1"/>
    <col min="952" max="952" width="10.75" style="2"/>
    <col min="953" max="953" width="20.125" style="2" customWidth="1"/>
    <col min="954" max="954" width="3.875" style="2" customWidth="1"/>
    <col min="955" max="958" width="13.25" style="2" customWidth="1"/>
    <col min="959" max="959" width="16.25" style="2" customWidth="1"/>
    <col min="960" max="960" width="13.25" style="2" customWidth="1"/>
    <col min="961" max="961" width="14.75" style="2" customWidth="1"/>
    <col min="962" max="962" width="21.75" style="2" customWidth="1"/>
    <col min="963" max="963" width="10.75" style="2"/>
    <col min="964" max="964" width="10.625" style="2" customWidth="1"/>
    <col min="965" max="1002" width="10.75" style="2"/>
    <col min="1003" max="1003" width="13.25" style="2" customWidth="1"/>
    <col min="1004" max="1004" width="15.875" style="2" customWidth="1"/>
    <col min="1005" max="1015" width="10.75" style="2"/>
    <col min="1016" max="1016" width="1.25" style="2" customWidth="1"/>
    <col min="1017" max="1019" width="10.75" style="2"/>
    <col min="1020" max="1026" width="12.25" style="2" customWidth="1"/>
    <col min="1027" max="1027" width="24.375" style="2" customWidth="1"/>
    <col min="1028" max="1073" width="10.75" style="2"/>
    <col min="1074" max="1074" width="7.25" style="2" customWidth="1"/>
    <col min="1075" max="1075" width="10.75" style="2"/>
    <col min="1076" max="1076" width="9.875" style="2" customWidth="1"/>
    <col min="1077" max="1077" width="8.625" style="2" customWidth="1"/>
    <col min="1078" max="1078" width="7.875" style="2" customWidth="1"/>
    <col min="1079" max="1079" width="15" style="2" customWidth="1"/>
    <col min="1080" max="1084" width="11.875" style="2" customWidth="1"/>
    <col min="1085" max="1085" width="22" style="2" customWidth="1"/>
    <col min="1086" max="1086" width="10.75" style="2"/>
    <col min="1087" max="1087" width="2" style="2" customWidth="1"/>
    <col min="1088" max="1088" width="5.125" style="2" customWidth="1"/>
    <col min="1089" max="1089" width="7.625" style="2" customWidth="1"/>
    <col min="1090" max="1090" width="2" style="2" customWidth="1"/>
    <col min="1091" max="1092" width="10.75" style="2"/>
    <col min="1093" max="1093" width="1.125" style="2" customWidth="1"/>
    <col min="1094" max="1097" width="10.75" style="2"/>
    <col min="1098" max="1098" width="8.625" style="2" customWidth="1"/>
    <col min="1099" max="1100" width="10.75" style="2"/>
    <col min="1101" max="1101" width="2.125" style="2" customWidth="1"/>
    <col min="1102" max="1102" width="12.875" style="2" customWidth="1"/>
    <col min="1103" max="1103" width="10.75" style="2"/>
    <col min="1104" max="1104" width="3.125" style="2" customWidth="1"/>
    <col min="1105" max="1106" width="10.75" style="2"/>
    <col min="1107" max="1107" width="1.875" style="2" customWidth="1"/>
    <col min="1108" max="1112" width="10.75" style="2"/>
    <col min="1113" max="1113" width="1" style="2" customWidth="1"/>
    <col min="1114" max="1115" width="10.75" style="2"/>
    <col min="1116" max="1116" width="0.625" style="2" customWidth="1"/>
    <col min="1117" max="1117" width="10.625" style="2" customWidth="1"/>
    <col min="1118" max="1118" width="2.75" style="2" customWidth="1"/>
    <col min="1119" max="1120" width="6.75" style="2" customWidth="1"/>
    <col min="1121" max="1126" width="10.75" style="2"/>
    <col min="1127" max="1127" width="47.375" style="2" customWidth="1"/>
    <col min="1128" max="1128" width="10.75" style="2"/>
    <col min="1129" max="1129" width="18.625" style="2" customWidth="1"/>
    <col min="1130" max="1130" width="10.75" style="2"/>
    <col min="1131" max="1131" width="4.25" style="2" customWidth="1"/>
    <col min="1132" max="1134" width="10.75" style="2"/>
    <col min="1135" max="1135" width="19.25" style="2" customWidth="1"/>
    <col min="1136" max="1143" width="10.75" style="2"/>
    <col min="1144" max="1147" width="14.625" style="2" customWidth="1"/>
    <col min="1148" max="1205" width="10.75" style="2"/>
    <col min="1206" max="1206" width="12.25" style="2" customWidth="1"/>
    <col min="1207" max="1207" width="16" style="2" customWidth="1"/>
    <col min="1208" max="1208" width="10.75" style="2"/>
    <col min="1209" max="1209" width="20.125" style="2" customWidth="1"/>
    <col min="1210" max="1210" width="3.875" style="2" customWidth="1"/>
    <col min="1211" max="1214" width="13.25" style="2" customWidth="1"/>
    <col min="1215" max="1215" width="16.25" style="2" customWidth="1"/>
    <col min="1216" max="1216" width="13.25" style="2" customWidth="1"/>
    <col min="1217" max="1217" width="14.75" style="2" customWidth="1"/>
    <col min="1218" max="1218" width="21.75" style="2" customWidth="1"/>
    <col min="1219" max="1219" width="10.75" style="2"/>
    <col min="1220" max="1220" width="10.625" style="2" customWidth="1"/>
    <col min="1221" max="1258" width="10.75" style="2"/>
    <col min="1259" max="1259" width="13.25" style="2" customWidth="1"/>
    <col min="1260" max="1260" width="15.875" style="2" customWidth="1"/>
    <col min="1261" max="1271" width="10.75" style="2"/>
    <col min="1272" max="1272" width="1.25" style="2" customWidth="1"/>
    <col min="1273" max="1275" width="10.75" style="2"/>
    <col min="1276" max="1282" width="12.25" style="2" customWidth="1"/>
    <col min="1283" max="1283" width="24.375" style="2" customWidth="1"/>
    <col min="1284" max="1329" width="10.75" style="2"/>
    <col min="1330" max="1330" width="7.25" style="2" customWidth="1"/>
    <col min="1331" max="1331" width="10.75" style="2"/>
    <col min="1332" max="1332" width="9.875" style="2" customWidth="1"/>
    <col min="1333" max="1333" width="8.625" style="2" customWidth="1"/>
    <col min="1334" max="1334" width="7.875" style="2" customWidth="1"/>
    <col min="1335" max="1335" width="15" style="2" customWidth="1"/>
    <col min="1336" max="1340" width="11.875" style="2" customWidth="1"/>
    <col min="1341" max="1341" width="22" style="2" customWidth="1"/>
    <col min="1342" max="1342" width="10.75" style="2"/>
    <col min="1343" max="1343" width="2" style="2" customWidth="1"/>
    <col min="1344" max="1344" width="5.125" style="2" customWidth="1"/>
    <col min="1345" max="1345" width="7.625" style="2" customWidth="1"/>
    <col min="1346" max="1346" width="2" style="2" customWidth="1"/>
    <col min="1347" max="1348" width="10.75" style="2"/>
    <col min="1349" max="1349" width="1.125" style="2" customWidth="1"/>
    <col min="1350" max="1353" width="10.75" style="2"/>
    <col min="1354" max="1354" width="8.625" style="2" customWidth="1"/>
    <col min="1355" max="1356" width="10.75" style="2"/>
    <col min="1357" max="1357" width="2.125" style="2" customWidth="1"/>
    <col min="1358" max="1358" width="12.875" style="2" customWidth="1"/>
    <col min="1359" max="1359" width="10.75" style="2"/>
    <col min="1360" max="1360" width="3.125" style="2" customWidth="1"/>
    <col min="1361" max="1362" width="10.75" style="2"/>
    <col min="1363" max="1363" width="1.875" style="2" customWidth="1"/>
    <col min="1364" max="1368" width="10.75" style="2"/>
    <col min="1369" max="1369" width="1" style="2" customWidth="1"/>
    <col min="1370" max="1371" width="10.75" style="2"/>
    <col min="1372" max="1372" width="0.625" style="2" customWidth="1"/>
    <col min="1373" max="1373" width="10.625" style="2" customWidth="1"/>
    <col min="1374" max="1374" width="2.75" style="2" customWidth="1"/>
    <col min="1375" max="1376" width="6.75" style="2" customWidth="1"/>
    <col min="1377" max="1382" width="10.75" style="2"/>
    <col min="1383" max="1383" width="47.375" style="2" customWidth="1"/>
    <col min="1384" max="1384" width="10.75" style="2"/>
    <col min="1385" max="1385" width="18.625" style="2" customWidth="1"/>
    <col min="1386" max="1386" width="10.75" style="2"/>
    <col min="1387" max="1387" width="4.25" style="2" customWidth="1"/>
    <col min="1388" max="1390" width="10.75" style="2"/>
    <col min="1391" max="1391" width="19.25" style="2" customWidth="1"/>
    <col min="1392" max="1399" width="10.75" style="2"/>
    <col min="1400" max="1403" width="14.625" style="2" customWidth="1"/>
    <col min="1404" max="1461" width="10.75" style="2"/>
    <col min="1462" max="1462" width="12.25" style="2" customWidth="1"/>
    <col min="1463" max="1463" width="16" style="2" customWidth="1"/>
    <col min="1464" max="1464" width="10.75" style="2"/>
    <col min="1465" max="1465" width="20.125" style="2" customWidth="1"/>
    <col min="1466" max="1466" width="3.875" style="2" customWidth="1"/>
    <col min="1467" max="1470" width="13.25" style="2" customWidth="1"/>
    <col min="1471" max="1471" width="16.25" style="2" customWidth="1"/>
    <col min="1472" max="1472" width="13.25" style="2" customWidth="1"/>
    <col min="1473" max="1473" width="14.75" style="2" customWidth="1"/>
    <col min="1474" max="1474" width="21.75" style="2" customWidth="1"/>
    <col min="1475" max="1475" width="10.75" style="2"/>
    <col min="1476" max="1476" width="10.625" style="2" customWidth="1"/>
    <col min="1477" max="1514" width="10.75" style="2"/>
    <col min="1515" max="1515" width="13.25" style="2" customWidth="1"/>
    <col min="1516" max="1516" width="15.875" style="2" customWidth="1"/>
    <col min="1517" max="1527" width="10.75" style="2"/>
    <col min="1528" max="1528" width="1.25" style="2" customWidth="1"/>
    <col min="1529" max="1531" width="10.75" style="2"/>
    <col min="1532" max="1538" width="12.25" style="2" customWidth="1"/>
    <col min="1539" max="1539" width="24.375" style="2" customWidth="1"/>
    <col min="1540" max="1585" width="10.75" style="2"/>
    <col min="1586" max="1586" width="7.25" style="2" customWidth="1"/>
    <col min="1587" max="1587" width="10.75" style="2"/>
    <col min="1588" max="1588" width="9.875" style="2" customWidth="1"/>
    <col min="1589" max="1589" width="8.625" style="2" customWidth="1"/>
    <col min="1590" max="1590" width="7.875" style="2" customWidth="1"/>
    <col min="1591" max="1591" width="15" style="2" customWidth="1"/>
    <col min="1592" max="1596" width="11.875" style="2" customWidth="1"/>
    <col min="1597" max="1597" width="22" style="2" customWidth="1"/>
    <col min="1598" max="1598" width="10.75" style="2"/>
    <col min="1599" max="1599" width="2" style="2" customWidth="1"/>
    <col min="1600" max="1600" width="5.125" style="2" customWidth="1"/>
    <col min="1601" max="1601" width="7.625" style="2" customWidth="1"/>
    <col min="1602" max="1602" width="2" style="2" customWidth="1"/>
    <col min="1603" max="1604" width="10.75" style="2"/>
    <col min="1605" max="1605" width="1.125" style="2" customWidth="1"/>
    <col min="1606" max="1609" width="10.75" style="2"/>
    <col min="1610" max="1610" width="8.625" style="2" customWidth="1"/>
    <col min="1611" max="1612" width="10.75" style="2"/>
    <col min="1613" max="1613" width="2.125" style="2" customWidth="1"/>
    <col min="1614" max="1614" width="12.875" style="2" customWidth="1"/>
    <col min="1615" max="1615" width="10.75" style="2"/>
    <col min="1616" max="1616" width="3.125" style="2" customWidth="1"/>
    <col min="1617" max="1618" width="10.75" style="2"/>
    <col min="1619" max="1619" width="1.875" style="2" customWidth="1"/>
    <col min="1620" max="1624" width="10.75" style="2"/>
    <col min="1625" max="1625" width="1" style="2" customWidth="1"/>
    <col min="1626" max="1627" width="10.75" style="2"/>
    <col min="1628" max="1628" width="0.625" style="2" customWidth="1"/>
    <col min="1629" max="1629" width="10.625" style="2" customWidth="1"/>
    <col min="1630" max="1630" width="2.75" style="2" customWidth="1"/>
    <col min="1631" max="1632" width="6.75" style="2" customWidth="1"/>
    <col min="1633" max="1638" width="10.75" style="2"/>
    <col min="1639" max="1639" width="47.375" style="2" customWidth="1"/>
    <col min="1640" max="1640" width="10.75" style="2"/>
    <col min="1641" max="1641" width="18.625" style="2" customWidth="1"/>
    <col min="1642" max="1642" width="10.75" style="2"/>
    <col min="1643" max="1643" width="4.25" style="2" customWidth="1"/>
    <col min="1644" max="1646" width="10.75" style="2"/>
    <col min="1647" max="1647" width="19.25" style="2" customWidth="1"/>
    <col min="1648" max="1655" width="10.75" style="2"/>
    <col min="1656" max="1659" width="14.625" style="2" customWidth="1"/>
    <col min="1660" max="1717" width="10.75" style="2"/>
    <col min="1718" max="1718" width="12.25" style="2" customWidth="1"/>
    <col min="1719" max="1719" width="16" style="2" customWidth="1"/>
    <col min="1720" max="1720" width="10.75" style="2"/>
    <col min="1721" max="1721" width="20.125" style="2" customWidth="1"/>
    <col min="1722" max="1722" width="3.875" style="2" customWidth="1"/>
    <col min="1723" max="1726" width="13.25" style="2" customWidth="1"/>
    <col min="1727" max="1727" width="16.25" style="2" customWidth="1"/>
    <col min="1728" max="1728" width="13.25" style="2" customWidth="1"/>
    <col min="1729" max="1729" width="14.75" style="2" customWidth="1"/>
    <col min="1730" max="1730" width="21.75" style="2" customWidth="1"/>
    <col min="1731" max="1731" width="10.75" style="2"/>
    <col min="1732" max="1732" width="10.625" style="2" customWidth="1"/>
    <col min="1733" max="1770" width="10.75" style="2"/>
    <col min="1771" max="1771" width="13.25" style="2" customWidth="1"/>
    <col min="1772" max="1772" width="15.875" style="2" customWidth="1"/>
    <col min="1773" max="1783" width="10.75" style="2"/>
    <col min="1784" max="1784" width="1.25" style="2" customWidth="1"/>
    <col min="1785" max="1787" width="10.75" style="2"/>
    <col min="1788" max="1794" width="12.25" style="2" customWidth="1"/>
    <col min="1795" max="1795" width="24.375" style="2" customWidth="1"/>
    <col min="1796" max="1841" width="10.75" style="2"/>
    <col min="1842" max="1842" width="7.25" style="2" customWidth="1"/>
    <col min="1843" max="1843" width="10.75" style="2"/>
    <col min="1844" max="1844" width="9.875" style="2" customWidth="1"/>
    <col min="1845" max="1845" width="8.625" style="2" customWidth="1"/>
    <col min="1846" max="1846" width="7.875" style="2" customWidth="1"/>
    <col min="1847" max="1847" width="15" style="2" customWidth="1"/>
    <col min="1848" max="1852" width="11.875" style="2" customWidth="1"/>
    <col min="1853" max="1853" width="22" style="2" customWidth="1"/>
    <col min="1854" max="1854" width="10.75" style="2"/>
    <col min="1855" max="1855" width="2" style="2" customWidth="1"/>
    <col min="1856" max="1856" width="5.125" style="2" customWidth="1"/>
    <col min="1857" max="1857" width="7.625" style="2" customWidth="1"/>
    <col min="1858" max="1858" width="2" style="2" customWidth="1"/>
    <col min="1859" max="1860" width="10.75" style="2"/>
    <col min="1861" max="1861" width="1.125" style="2" customWidth="1"/>
    <col min="1862" max="1865" width="10.75" style="2"/>
    <col min="1866" max="1866" width="8.625" style="2" customWidth="1"/>
    <col min="1867" max="1868" width="10.75" style="2"/>
    <col min="1869" max="1869" width="2.125" style="2" customWidth="1"/>
    <col min="1870" max="1870" width="12.875" style="2" customWidth="1"/>
    <col min="1871" max="1871" width="10.75" style="2"/>
    <col min="1872" max="1872" width="3.125" style="2" customWidth="1"/>
    <col min="1873" max="1874" width="10.75" style="2"/>
    <col min="1875" max="1875" width="1.875" style="2" customWidth="1"/>
    <col min="1876" max="1880" width="10.75" style="2"/>
    <col min="1881" max="1881" width="1" style="2" customWidth="1"/>
    <col min="1882" max="1883" width="10.75" style="2"/>
    <col min="1884" max="1884" width="0.625" style="2" customWidth="1"/>
    <col min="1885" max="1885" width="10.625" style="2" customWidth="1"/>
    <col min="1886" max="1886" width="2.75" style="2" customWidth="1"/>
    <col min="1887" max="1888" width="6.75" style="2" customWidth="1"/>
    <col min="1889" max="1894" width="10.75" style="2"/>
    <col min="1895" max="1895" width="47.375" style="2" customWidth="1"/>
    <col min="1896" max="1896" width="10.75" style="2"/>
    <col min="1897" max="1897" width="18.625" style="2" customWidth="1"/>
    <col min="1898" max="1898" width="10.75" style="2"/>
    <col min="1899" max="1899" width="4.25" style="2" customWidth="1"/>
    <col min="1900" max="1902" width="10.75" style="2"/>
    <col min="1903" max="1903" width="19.25" style="2" customWidth="1"/>
    <col min="1904" max="1911" width="10.75" style="2"/>
    <col min="1912" max="1915" width="14.625" style="2" customWidth="1"/>
    <col min="1916" max="1973" width="10.75" style="2"/>
    <col min="1974" max="1974" width="12.25" style="2" customWidth="1"/>
    <col min="1975" max="1975" width="16" style="2" customWidth="1"/>
    <col min="1976" max="1976" width="10.75" style="2"/>
    <col min="1977" max="1977" width="20.125" style="2" customWidth="1"/>
    <col min="1978" max="1978" width="3.875" style="2" customWidth="1"/>
    <col min="1979" max="1982" width="13.25" style="2" customWidth="1"/>
    <col min="1983" max="1983" width="16.25" style="2" customWidth="1"/>
    <col min="1984" max="1984" width="13.25" style="2" customWidth="1"/>
    <col min="1985" max="1985" width="14.75" style="2" customWidth="1"/>
    <col min="1986" max="1986" width="21.75" style="2" customWidth="1"/>
    <col min="1987" max="1987" width="10.75" style="2"/>
    <col min="1988" max="1988" width="10.625" style="2" customWidth="1"/>
    <col min="1989" max="2026" width="10.75" style="2"/>
    <col min="2027" max="2027" width="13.25" style="2" customWidth="1"/>
    <col min="2028" max="2028" width="15.875" style="2" customWidth="1"/>
    <col min="2029" max="2039" width="10.75" style="2"/>
    <col min="2040" max="2040" width="1.25" style="2" customWidth="1"/>
    <col min="2041" max="2043" width="10.75" style="2"/>
    <col min="2044" max="2050" width="12.25" style="2" customWidth="1"/>
    <col min="2051" max="2051" width="24.375" style="2" customWidth="1"/>
    <col min="2052" max="2097" width="10.75" style="2"/>
    <col min="2098" max="2098" width="7.25" style="2" customWidth="1"/>
    <col min="2099" max="2099" width="10.75" style="2"/>
    <col min="2100" max="2100" width="9.875" style="2" customWidth="1"/>
    <col min="2101" max="2101" width="8.625" style="2" customWidth="1"/>
    <col min="2102" max="2102" width="7.875" style="2" customWidth="1"/>
    <col min="2103" max="2103" width="15" style="2" customWidth="1"/>
    <col min="2104" max="2108" width="11.875" style="2" customWidth="1"/>
    <col min="2109" max="2109" width="22" style="2" customWidth="1"/>
    <col min="2110" max="2110" width="10.75" style="2"/>
    <col min="2111" max="2111" width="2" style="2" customWidth="1"/>
    <col min="2112" max="2112" width="5.125" style="2" customWidth="1"/>
    <col min="2113" max="2113" width="7.625" style="2" customWidth="1"/>
    <col min="2114" max="2114" width="2" style="2" customWidth="1"/>
    <col min="2115" max="2116" width="10.75" style="2"/>
    <col min="2117" max="2117" width="1.125" style="2" customWidth="1"/>
    <col min="2118" max="2121" width="10.75" style="2"/>
    <col min="2122" max="2122" width="8.625" style="2" customWidth="1"/>
    <col min="2123" max="2124" width="10.75" style="2"/>
    <col min="2125" max="2125" width="2.125" style="2" customWidth="1"/>
    <col min="2126" max="2126" width="12.875" style="2" customWidth="1"/>
    <col min="2127" max="2127" width="10.75" style="2"/>
    <col min="2128" max="2128" width="3.125" style="2" customWidth="1"/>
    <col min="2129" max="2130" width="10.75" style="2"/>
    <col min="2131" max="2131" width="1.875" style="2" customWidth="1"/>
    <col min="2132" max="2136" width="10.75" style="2"/>
    <col min="2137" max="2137" width="1" style="2" customWidth="1"/>
    <col min="2138" max="2139" width="10.75" style="2"/>
    <col min="2140" max="2140" width="0.625" style="2" customWidth="1"/>
    <col min="2141" max="2141" width="10.625" style="2" customWidth="1"/>
    <col min="2142" max="2142" width="2.75" style="2" customWidth="1"/>
    <col min="2143" max="2144" width="6.75" style="2" customWidth="1"/>
    <col min="2145" max="2150" width="10.75" style="2"/>
    <col min="2151" max="2151" width="47.375" style="2" customWidth="1"/>
    <col min="2152" max="2152" width="10.75" style="2"/>
    <col min="2153" max="2153" width="18.625" style="2" customWidth="1"/>
    <col min="2154" max="2154" width="10.75" style="2"/>
    <col min="2155" max="2155" width="4.25" style="2" customWidth="1"/>
    <col min="2156" max="2158" width="10.75" style="2"/>
    <col min="2159" max="2159" width="19.25" style="2" customWidth="1"/>
    <col min="2160" max="2167" width="10.75" style="2"/>
    <col min="2168" max="2171" width="14.625" style="2" customWidth="1"/>
    <col min="2172" max="2229" width="10.75" style="2"/>
    <col min="2230" max="2230" width="12.25" style="2" customWidth="1"/>
    <col min="2231" max="2231" width="16" style="2" customWidth="1"/>
    <col min="2232" max="2232" width="10.75" style="2"/>
    <col min="2233" max="2233" width="20.125" style="2" customWidth="1"/>
    <col min="2234" max="2234" width="3.875" style="2" customWidth="1"/>
    <col min="2235" max="2238" width="13.25" style="2" customWidth="1"/>
    <col min="2239" max="2239" width="16.25" style="2" customWidth="1"/>
    <col min="2240" max="2240" width="13.25" style="2" customWidth="1"/>
    <col min="2241" max="2241" width="14.75" style="2" customWidth="1"/>
    <col min="2242" max="2242" width="21.75" style="2" customWidth="1"/>
    <col min="2243" max="2243" width="10.75" style="2"/>
    <col min="2244" max="2244" width="10.625" style="2" customWidth="1"/>
    <col min="2245" max="2282" width="10.75" style="2"/>
    <col min="2283" max="2283" width="13.25" style="2" customWidth="1"/>
    <col min="2284" max="2284" width="15.875" style="2" customWidth="1"/>
    <col min="2285" max="2295" width="10.75" style="2"/>
    <col min="2296" max="2296" width="1.25" style="2" customWidth="1"/>
    <col min="2297" max="2299" width="10.75" style="2"/>
    <col min="2300" max="2306" width="12.25" style="2" customWidth="1"/>
    <col min="2307" max="2307" width="24.375" style="2" customWidth="1"/>
    <col min="2308" max="2353" width="10.75" style="2"/>
    <col min="2354" max="2354" width="7.25" style="2" customWidth="1"/>
    <col min="2355" max="2355" width="10.75" style="2"/>
    <col min="2356" max="2356" width="9.875" style="2" customWidth="1"/>
    <col min="2357" max="2357" width="8.625" style="2" customWidth="1"/>
    <col min="2358" max="2358" width="7.875" style="2" customWidth="1"/>
    <col min="2359" max="2359" width="15" style="2" customWidth="1"/>
    <col min="2360" max="2364" width="11.875" style="2" customWidth="1"/>
    <col min="2365" max="2365" width="22" style="2" customWidth="1"/>
    <col min="2366" max="2366" width="10.75" style="2"/>
    <col min="2367" max="2367" width="2" style="2" customWidth="1"/>
    <col min="2368" max="2368" width="5.125" style="2" customWidth="1"/>
    <col min="2369" max="2369" width="7.625" style="2" customWidth="1"/>
    <col min="2370" max="2370" width="2" style="2" customWidth="1"/>
    <col min="2371" max="2372" width="10.75" style="2"/>
    <col min="2373" max="2373" width="1.125" style="2" customWidth="1"/>
    <col min="2374" max="2377" width="10.75" style="2"/>
    <col min="2378" max="2378" width="8.625" style="2" customWidth="1"/>
    <col min="2379" max="2380" width="10.75" style="2"/>
    <col min="2381" max="2381" width="2.125" style="2" customWidth="1"/>
    <col min="2382" max="2382" width="12.875" style="2" customWidth="1"/>
    <col min="2383" max="2383" width="10.75" style="2"/>
    <col min="2384" max="2384" width="3.125" style="2" customWidth="1"/>
    <col min="2385" max="2386" width="10.75" style="2"/>
    <col min="2387" max="2387" width="1.875" style="2" customWidth="1"/>
    <col min="2388" max="2392" width="10.75" style="2"/>
    <col min="2393" max="2393" width="1" style="2" customWidth="1"/>
    <col min="2394" max="2395" width="10.75" style="2"/>
    <col min="2396" max="2396" width="0.625" style="2" customWidth="1"/>
    <col min="2397" max="2397" width="10.625" style="2" customWidth="1"/>
    <col min="2398" max="2398" width="2.75" style="2" customWidth="1"/>
    <col min="2399" max="2400" width="6.75" style="2" customWidth="1"/>
    <col min="2401" max="2406" width="10.75" style="2"/>
    <col min="2407" max="2407" width="47.375" style="2" customWidth="1"/>
    <col min="2408" max="2408" width="10.75" style="2"/>
    <col min="2409" max="2409" width="18.625" style="2" customWidth="1"/>
    <col min="2410" max="2410" width="10.75" style="2"/>
    <col min="2411" max="2411" width="4.25" style="2" customWidth="1"/>
    <col min="2412" max="2414" width="10.75" style="2"/>
    <col min="2415" max="2415" width="19.25" style="2" customWidth="1"/>
    <col min="2416" max="2423" width="10.75" style="2"/>
    <col min="2424" max="2427" width="14.625" style="2" customWidth="1"/>
    <col min="2428" max="2485" width="10.75" style="2"/>
    <col min="2486" max="2486" width="12.25" style="2" customWidth="1"/>
    <col min="2487" max="2487" width="16" style="2" customWidth="1"/>
    <col min="2488" max="2488" width="10.75" style="2"/>
    <col min="2489" max="2489" width="20.125" style="2" customWidth="1"/>
    <col min="2490" max="2490" width="3.875" style="2" customWidth="1"/>
    <col min="2491" max="2494" width="13.25" style="2" customWidth="1"/>
    <col min="2495" max="2495" width="16.25" style="2" customWidth="1"/>
    <col min="2496" max="2496" width="13.25" style="2" customWidth="1"/>
    <col min="2497" max="2497" width="14.75" style="2" customWidth="1"/>
    <col min="2498" max="2498" width="21.75" style="2" customWidth="1"/>
    <col min="2499" max="2499" width="10.75" style="2"/>
    <col min="2500" max="2500" width="10.625" style="2" customWidth="1"/>
    <col min="2501" max="2538" width="10.75" style="2"/>
    <col min="2539" max="2539" width="13.25" style="2" customWidth="1"/>
    <col min="2540" max="2540" width="15.875" style="2" customWidth="1"/>
    <col min="2541" max="2551" width="10.75" style="2"/>
    <col min="2552" max="2552" width="1.25" style="2" customWidth="1"/>
    <col min="2553" max="2555" width="10.75" style="2"/>
    <col min="2556" max="2562" width="12.25" style="2" customWidth="1"/>
    <col min="2563" max="2563" width="24.375" style="2" customWidth="1"/>
    <col min="2564" max="2609" width="10.75" style="2"/>
    <col min="2610" max="2610" width="7.25" style="2" customWidth="1"/>
    <col min="2611" max="2611" width="10.75" style="2"/>
    <col min="2612" max="2612" width="9.875" style="2" customWidth="1"/>
    <col min="2613" max="2613" width="8.625" style="2" customWidth="1"/>
    <col min="2614" max="2614" width="7.875" style="2" customWidth="1"/>
    <col min="2615" max="2615" width="15" style="2" customWidth="1"/>
    <col min="2616" max="2620" width="11.875" style="2" customWidth="1"/>
    <col min="2621" max="2621" width="22" style="2" customWidth="1"/>
    <col min="2622" max="2622" width="10.75" style="2"/>
    <col min="2623" max="2623" width="2" style="2" customWidth="1"/>
    <col min="2624" max="2624" width="5.125" style="2" customWidth="1"/>
    <col min="2625" max="2625" width="7.625" style="2" customWidth="1"/>
    <col min="2626" max="2626" width="2" style="2" customWidth="1"/>
    <col min="2627" max="2628" width="10.75" style="2"/>
    <col min="2629" max="2629" width="1.125" style="2" customWidth="1"/>
    <col min="2630" max="2633" width="10.75" style="2"/>
    <col min="2634" max="2634" width="8.625" style="2" customWidth="1"/>
    <col min="2635" max="2636" width="10.75" style="2"/>
    <col min="2637" max="2637" width="2.125" style="2" customWidth="1"/>
    <col min="2638" max="2638" width="12.875" style="2" customWidth="1"/>
    <col min="2639" max="2639" width="10.75" style="2"/>
    <col min="2640" max="2640" width="3.125" style="2" customWidth="1"/>
    <col min="2641" max="2642" width="10.75" style="2"/>
    <col min="2643" max="2643" width="1.875" style="2" customWidth="1"/>
    <col min="2644" max="2648" width="10.75" style="2"/>
    <col min="2649" max="2649" width="1" style="2" customWidth="1"/>
    <col min="2650" max="2651" width="10.75" style="2"/>
    <col min="2652" max="2652" width="0.625" style="2" customWidth="1"/>
    <col min="2653" max="2653" width="10.625" style="2" customWidth="1"/>
    <col min="2654" max="2654" width="2.75" style="2" customWidth="1"/>
    <col min="2655" max="2656" width="6.75" style="2" customWidth="1"/>
    <col min="2657" max="2662" width="10.75" style="2"/>
    <col min="2663" max="2663" width="47.375" style="2" customWidth="1"/>
    <col min="2664" max="2664" width="10.75" style="2"/>
    <col min="2665" max="2665" width="18.625" style="2" customWidth="1"/>
    <col min="2666" max="2666" width="10.75" style="2"/>
    <col min="2667" max="2667" width="4.25" style="2" customWidth="1"/>
    <col min="2668" max="2670" width="10.75" style="2"/>
    <col min="2671" max="2671" width="19.25" style="2" customWidth="1"/>
    <col min="2672" max="2679" width="10.75" style="2"/>
    <col min="2680" max="2683" width="14.625" style="2" customWidth="1"/>
    <col min="2684" max="2741" width="10.75" style="2"/>
    <col min="2742" max="2742" width="12.25" style="2" customWidth="1"/>
    <col min="2743" max="2743" width="16" style="2" customWidth="1"/>
    <col min="2744" max="2744" width="10.75" style="2"/>
    <col min="2745" max="2745" width="20.125" style="2" customWidth="1"/>
    <col min="2746" max="2746" width="3.875" style="2" customWidth="1"/>
    <col min="2747" max="2750" width="13.25" style="2" customWidth="1"/>
    <col min="2751" max="2751" width="16.25" style="2" customWidth="1"/>
    <col min="2752" max="2752" width="13.25" style="2" customWidth="1"/>
    <col min="2753" max="2753" width="14.75" style="2" customWidth="1"/>
    <col min="2754" max="2754" width="21.75" style="2" customWidth="1"/>
    <col min="2755" max="2755" width="10.75" style="2"/>
    <col min="2756" max="2756" width="10.625" style="2" customWidth="1"/>
    <col min="2757" max="2794" width="10.75" style="2"/>
    <col min="2795" max="2795" width="13.25" style="2" customWidth="1"/>
    <col min="2796" max="2796" width="15.875" style="2" customWidth="1"/>
    <col min="2797" max="2807" width="10.75" style="2"/>
    <col min="2808" max="2808" width="1.25" style="2" customWidth="1"/>
    <col min="2809" max="2811" width="10.75" style="2"/>
    <col min="2812" max="2818" width="12.25" style="2" customWidth="1"/>
    <col min="2819" max="2819" width="24.375" style="2" customWidth="1"/>
    <col min="2820" max="2865" width="10.75" style="2"/>
    <col min="2866" max="2866" width="7.25" style="2" customWidth="1"/>
    <col min="2867" max="2867" width="10.75" style="2"/>
    <col min="2868" max="2868" width="9.875" style="2" customWidth="1"/>
    <col min="2869" max="2869" width="8.625" style="2" customWidth="1"/>
    <col min="2870" max="2870" width="7.875" style="2" customWidth="1"/>
    <col min="2871" max="2871" width="15" style="2" customWidth="1"/>
    <col min="2872" max="2876" width="11.875" style="2" customWidth="1"/>
    <col min="2877" max="2877" width="22" style="2" customWidth="1"/>
    <col min="2878" max="2878" width="10.75" style="2"/>
    <col min="2879" max="2879" width="2" style="2" customWidth="1"/>
    <col min="2880" max="2880" width="5.125" style="2" customWidth="1"/>
    <col min="2881" max="2881" width="7.625" style="2" customWidth="1"/>
    <col min="2882" max="2882" width="2" style="2" customWidth="1"/>
    <col min="2883" max="2884" width="10.75" style="2"/>
    <col min="2885" max="2885" width="1.125" style="2" customWidth="1"/>
    <col min="2886" max="2889" width="10.75" style="2"/>
    <col min="2890" max="2890" width="8.625" style="2" customWidth="1"/>
    <col min="2891" max="2892" width="10.75" style="2"/>
    <col min="2893" max="2893" width="2.125" style="2" customWidth="1"/>
    <col min="2894" max="2894" width="12.875" style="2" customWidth="1"/>
    <col min="2895" max="2895" width="10.75" style="2"/>
    <col min="2896" max="2896" width="3.125" style="2" customWidth="1"/>
    <col min="2897" max="2898" width="10.75" style="2"/>
    <col min="2899" max="2899" width="1.875" style="2" customWidth="1"/>
    <col min="2900" max="2904" width="10.75" style="2"/>
    <col min="2905" max="2905" width="1" style="2" customWidth="1"/>
    <col min="2906" max="2907" width="10.75" style="2"/>
    <col min="2908" max="2908" width="0.625" style="2" customWidth="1"/>
    <col min="2909" max="2909" width="10.625" style="2" customWidth="1"/>
    <col min="2910" max="2910" width="2.75" style="2" customWidth="1"/>
    <col min="2911" max="2912" width="6.75" style="2" customWidth="1"/>
    <col min="2913" max="2918" width="10.75" style="2"/>
    <col min="2919" max="2919" width="47.375" style="2" customWidth="1"/>
    <col min="2920" max="2920" width="10.75" style="2"/>
    <col min="2921" max="2921" width="18.625" style="2" customWidth="1"/>
    <col min="2922" max="2922" width="10.75" style="2"/>
    <col min="2923" max="2923" width="4.25" style="2" customWidth="1"/>
    <col min="2924" max="2926" width="10.75" style="2"/>
    <col min="2927" max="2927" width="19.25" style="2" customWidth="1"/>
    <col min="2928" max="2935" width="10.75" style="2"/>
    <col min="2936" max="2939" width="14.625" style="2" customWidth="1"/>
    <col min="2940" max="2997" width="10.75" style="2"/>
    <col min="2998" max="2998" width="12.25" style="2" customWidth="1"/>
    <col min="2999" max="2999" width="16" style="2" customWidth="1"/>
    <col min="3000" max="3000" width="10.75" style="2"/>
    <col min="3001" max="3001" width="20.125" style="2" customWidth="1"/>
    <col min="3002" max="3002" width="3.875" style="2" customWidth="1"/>
    <col min="3003" max="3006" width="13.25" style="2" customWidth="1"/>
    <col min="3007" max="3007" width="16.25" style="2" customWidth="1"/>
    <col min="3008" max="3008" width="13.25" style="2" customWidth="1"/>
    <col min="3009" max="3009" width="14.75" style="2" customWidth="1"/>
    <col min="3010" max="3010" width="21.75" style="2" customWidth="1"/>
    <col min="3011" max="3011" width="10.75" style="2"/>
    <col min="3012" max="3012" width="10.625" style="2" customWidth="1"/>
    <col min="3013" max="3050" width="10.75" style="2"/>
    <col min="3051" max="3051" width="13.25" style="2" customWidth="1"/>
    <col min="3052" max="3052" width="15.875" style="2" customWidth="1"/>
    <col min="3053" max="3063" width="10.75" style="2"/>
    <col min="3064" max="3064" width="1.25" style="2" customWidth="1"/>
    <col min="3065" max="3067" width="10.75" style="2"/>
    <col min="3068" max="3074" width="12.25" style="2" customWidth="1"/>
    <col min="3075" max="3075" width="24.375" style="2" customWidth="1"/>
    <col min="3076" max="3121" width="10.75" style="2"/>
    <col min="3122" max="3122" width="7.25" style="2" customWidth="1"/>
    <col min="3123" max="3123" width="10.75" style="2"/>
    <col min="3124" max="3124" width="9.875" style="2" customWidth="1"/>
    <col min="3125" max="3125" width="8.625" style="2" customWidth="1"/>
    <col min="3126" max="3126" width="7.875" style="2" customWidth="1"/>
    <col min="3127" max="3127" width="15" style="2" customWidth="1"/>
    <col min="3128" max="3132" width="11.875" style="2" customWidth="1"/>
    <col min="3133" max="3133" width="22" style="2" customWidth="1"/>
    <col min="3134" max="3134" width="10.75" style="2"/>
    <col min="3135" max="3135" width="2" style="2" customWidth="1"/>
    <col min="3136" max="3136" width="5.125" style="2" customWidth="1"/>
    <col min="3137" max="3137" width="7.625" style="2" customWidth="1"/>
    <col min="3138" max="3138" width="2" style="2" customWidth="1"/>
    <col min="3139" max="3140" width="10.75" style="2"/>
    <col min="3141" max="3141" width="1.125" style="2" customWidth="1"/>
    <col min="3142" max="3145" width="10.75" style="2"/>
    <col min="3146" max="3146" width="8.625" style="2" customWidth="1"/>
    <col min="3147" max="3148" width="10.75" style="2"/>
    <col min="3149" max="3149" width="2.125" style="2" customWidth="1"/>
    <col min="3150" max="3150" width="12.875" style="2" customWidth="1"/>
    <col min="3151" max="3151" width="10.75" style="2"/>
    <col min="3152" max="3152" width="3.125" style="2" customWidth="1"/>
    <col min="3153" max="3154" width="10.75" style="2"/>
    <col min="3155" max="3155" width="1.875" style="2" customWidth="1"/>
    <col min="3156" max="3160" width="10.75" style="2"/>
    <col min="3161" max="3161" width="1" style="2" customWidth="1"/>
    <col min="3162" max="3163" width="10.75" style="2"/>
    <col min="3164" max="3164" width="0.625" style="2" customWidth="1"/>
    <col min="3165" max="3165" width="10.625" style="2" customWidth="1"/>
    <col min="3166" max="3166" width="2.75" style="2" customWidth="1"/>
    <col min="3167" max="3168" width="6.75" style="2" customWidth="1"/>
    <col min="3169" max="3174" width="10.75" style="2"/>
    <col min="3175" max="3175" width="47.375" style="2" customWidth="1"/>
    <col min="3176" max="3176" width="10.75" style="2"/>
    <col min="3177" max="3177" width="18.625" style="2" customWidth="1"/>
    <col min="3178" max="3178" width="10.75" style="2"/>
    <col min="3179" max="3179" width="4.25" style="2" customWidth="1"/>
    <col min="3180" max="3182" width="10.75" style="2"/>
    <col min="3183" max="3183" width="19.25" style="2" customWidth="1"/>
    <col min="3184" max="3191" width="10.75" style="2"/>
    <col min="3192" max="3195" width="14.625" style="2" customWidth="1"/>
    <col min="3196" max="3253" width="10.75" style="2"/>
    <col min="3254" max="3254" width="12.25" style="2" customWidth="1"/>
    <col min="3255" max="3255" width="16" style="2" customWidth="1"/>
    <col min="3256" max="3256" width="10.75" style="2"/>
    <col min="3257" max="3257" width="20.125" style="2" customWidth="1"/>
    <col min="3258" max="3258" width="3.875" style="2" customWidth="1"/>
    <col min="3259" max="3262" width="13.25" style="2" customWidth="1"/>
    <col min="3263" max="3263" width="16.25" style="2" customWidth="1"/>
    <col min="3264" max="3264" width="13.25" style="2" customWidth="1"/>
    <col min="3265" max="3265" width="14.75" style="2" customWidth="1"/>
    <col min="3266" max="3266" width="21.75" style="2" customWidth="1"/>
    <col min="3267" max="3267" width="10.75" style="2"/>
    <col min="3268" max="3268" width="10.625" style="2" customWidth="1"/>
    <col min="3269" max="3306" width="10.75" style="2"/>
    <col min="3307" max="3307" width="13.25" style="2" customWidth="1"/>
    <col min="3308" max="3308" width="15.875" style="2" customWidth="1"/>
    <col min="3309" max="3319" width="10.75" style="2"/>
    <col min="3320" max="3320" width="1.25" style="2" customWidth="1"/>
    <col min="3321" max="3323" width="10.75" style="2"/>
    <col min="3324" max="3330" width="12.25" style="2" customWidth="1"/>
    <col min="3331" max="3331" width="24.375" style="2" customWidth="1"/>
    <col min="3332" max="3377" width="10.75" style="2"/>
    <col min="3378" max="3378" width="7.25" style="2" customWidth="1"/>
    <col min="3379" max="3379" width="10.75" style="2"/>
    <col min="3380" max="3380" width="9.875" style="2" customWidth="1"/>
    <col min="3381" max="3381" width="8.625" style="2" customWidth="1"/>
    <col min="3382" max="3382" width="7.875" style="2" customWidth="1"/>
    <col min="3383" max="3383" width="15" style="2" customWidth="1"/>
    <col min="3384" max="3388" width="11.875" style="2" customWidth="1"/>
    <col min="3389" max="3389" width="22" style="2" customWidth="1"/>
    <col min="3390" max="3390" width="10.75" style="2"/>
    <col min="3391" max="3391" width="2" style="2" customWidth="1"/>
    <col min="3392" max="3392" width="5.125" style="2" customWidth="1"/>
    <col min="3393" max="3393" width="7.625" style="2" customWidth="1"/>
    <col min="3394" max="3394" width="2" style="2" customWidth="1"/>
    <col min="3395" max="3396" width="10.75" style="2"/>
    <col min="3397" max="3397" width="1.125" style="2" customWidth="1"/>
    <col min="3398" max="3401" width="10.75" style="2"/>
    <col min="3402" max="3402" width="8.625" style="2" customWidth="1"/>
    <col min="3403" max="3404" width="10.75" style="2"/>
    <col min="3405" max="3405" width="2.125" style="2" customWidth="1"/>
    <col min="3406" max="3406" width="12.875" style="2" customWidth="1"/>
    <col min="3407" max="3407" width="10.75" style="2"/>
    <col min="3408" max="3408" width="3.125" style="2" customWidth="1"/>
    <col min="3409" max="3410" width="10.75" style="2"/>
    <col min="3411" max="3411" width="1.875" style="2" customWidth="1"/>
    <col min="3412" max="3416" width="10.75" style="2"/>
    <col min="3417" max="3417" width="1" style="2" customWidth="1"/>
    <col min="3418" max="3419" width="10.75" style="2"/>
    <col min="3420" max="3420" width="0.625" style="2" customWidth="1"/>
    <col min="3421" max="3421" width="10.625" style="2" customWidth="1"/>
    <col min="3422" max="3422" width="2.75" style="2" customWidth="1"/>
    <col min="3423" max="3424" width="6.75" style="2" customWidth="1"/>
    <col min="3425" max="3430" width="10.75" style="2"/>
    <col min="3431" max="3431" width="47.375" style="2" customWidth="1"/>
    <col min="3432" max="3432" width="10.75" style="2"/>
    <col min="3433" max="3433" width="18.625" style="2" customWidth="1"/>
    <col min="3434" max="3434" width="10.75" style="2"/>
    <col min="3435" max="3435" width="4.25" style="2" customWidth="1"/>
    <col min="3436" max="3438" width="10.75" style="2"/>
    <col min="3439" max="3439" width="19.25" style="2" customWidth="1"/>
    <col min="3440" max="3447" width="10.75" style="2"/>
    <col min="3448" max="3451" width="14.625" style="2" customWidth="1"/>
    <col min="3452" max="3509" width="10.75" style="2"/>
    <col min="3510" max="3510" width="12.25" style="2" customWidth="1"/>
    <col min="3511" max="3511" width="16" style="2" customWidth="1"/>
    <col min="3512" max="3512" width="10.75" style="2"/>
    <col min="3513" max="3513" width="20.125" style="2" customWidth="1"/>
    <col min="3514" max="3514" width="3.875" style="2" customWidth="1"/>
    <col min="3515" max="3518" width="13.25" style="2" customWidth="1"/>
    <col min="3519" max="3519" width="16.25" style="2" customWidth="1"/>
    <col min="3520" max="3520" width="13.25" style="2" customWidth="1"/>
    <col min="3521" max="3521" width="14.75" style="2" customWidth="1"/>
    <col min="3522" max="3522" width="21.75" style="2" customWidth="1"/>
    <col min="3523" max="3523" width="10.75" style="2"/>
    <col min="3524" max="3524" width="10.625" style="2" customWidth="1"/>
    <col min="3525" max="3562" width="10.75" style="2"/>
    <col min="3563" max="3563" width="13.25" style="2" customWidth="1"/>
    <col min="3564" max="3564" width="15.875" style="2" customWidth="1"/>
    <col min="3565" max="3575" width="10.75" style="2"/>
    <col min="3576" max="3576" width="1.25" style="2" customWidth="1"/>
    <col min="3577" max="3579" width="10.75" style="2"/>
    <col min="3580" max="3586" width="12.25" style="2" customWidth="1"/>
    <col min="3587" max="3587" width="24.375" style="2" customWidth="1"/>
    <col min="3588" max="3633" width="10.75" style="2"/>
    <col min="3634" max="3634" width="7.25" style="2" customWidth="1"/>
    <col min="3635" max="3635" width="10.75" style="2"/>
    <col min="3636" max="3636" width="9.875" style="2" customWidth="1"/>
    <col min="3637" max="3637" width="8.625" style="2" customWidth="1"/>
    <col min="3638" max="3638" width="7.875" style="2" customWidth="1"/>
    <col min="3639" max="3639" width="15" style="2" customWidth="1"/>
    <col min="3640" max="3644" width="11.875" style="2" customWidth="1"/>
    <col min="3645" max="3645" width="22" style="2" customWidth="1"/>
    <col min="3646" max="3646" width="10.75" style="2"/>
    <col min="3647" max="3647" width="2" style="2" customWidth="1"/>
    <col min="3648" max="3648" width="5.125" style="2" customWidth="1"/>
    <col min="3649" max="3649" width="7.625" style="2" customWidth="1"/>
    <col min="3650" max="3650" width="2" style="2" customWidth="1"/>
    <col min="3651" max="3652" width="10.75" style="2"/>
    <col min="3653" max="3653" width="1.125" style="2" customWidth="1"/>
    <col min="3654" max="3657" width="10.75" style="2"/>
    <col min="3658" max="3658" width="8.625" style="2" customWidth="1"/>
    <col min="3659" max="3660" width="10.75" style="2"/>
    <col min="3661" max="3661" width="2.125" style="2" customWidth="1"/>
    <col min="3662" max="3662" width="12.875" style="2" customWidth="1"/>
    <col min="3663" max="3663" width="10.75" style="2"/>
    <col min="3664" max="3664" width="3.125" style="2" customWidth="1"/>
    <col min="3665" max="3666" width="10.75" style="2"/>
    <col min="3667" max="3667" width="1.875" style="2" customWidth="1"/>
    <col min="3668" max="3672" width="10.75" style="2"/>
    <col min="3673" max="3673" width="1" style="2" customWidth="1"/>
    <col min="3674" max="3675" width="10.75" style="2"/>
    <col min="3676" max="3676" width="0.625" style="2" customWidth="1"/>
    <col min="3677" max="3677" width="10.625" style="2" customWidth="1"/>
    <col min="3678" max="3678" width="2.75" style="2" customWidth="1"/>
    <col min="3679" max="3680" width="6.75" style="2" customWidth="1"/>
    <col min="3681" max="3686" width="10.75" style="2"/>
    <col min="3687" max="3687" width="47.375" style="2" customWidth="1"/>
    <col min="3688" max="3688" width="10.75" style="2"/>
    <col min="3689" max="3689" width="18.625" style="2" customWidth="1"/>
    <col min="3690" max="3690" width="10.75" style="2"/>
    <col min="3691" max="3691" width="4.25" style="2" customWidth="1"/>
    <col min="3692" max="3694" width="10.75" style="2"/>
    <col min="3695" max="3695" width="19.25" style="2" customWidth="1"/>
    <col min="3696" max="3703" width="10.75" style="2"/>
    <col min="3704" max="3707" width="14.625" style="2" customWidth="1"/>
    <col min="3708" max="3765" width="10.75" style="2"/>
    <col min="3766" max="3766" width="12.25" style="2" customWidth="1"/>
    <col min="3767" max="3767" width="16" style="2" customWidth="1"/>
    <col min="3768" max="3768" width="10.75" style="2"/>
    <col min="3769" max="3769" width="20.125" style="2" customWidth="1"/>
    <col min="3770" max="3770" width="3.875" style="2" customWidth="1"/>
    <col min="3771" max="3774" width="13.25" style="2" customWidth="1"/>
    <col min="3775" max="3775" width="16.25" style="2" customWidth="1"/>
    <col min="3776" max="3776" width="13.25" style="2" customWidth="1"/>
    <col min="3777" max="3777" width="14.75" style="2" customWidth="1"/>
    <col min="3778" max="3778" width="21.75" style="2" customWidth="1"/>
    <col min="3779" max="3779" width="10.75" style="2"/>
    <col min="3780" max="3780" width="10.625" style="2" customWidth="1"/>
    <col min="3781" max="3818" width="10.75" style="2"/>
    <col min="3819" max="3819" width="13.25" style="2" customWidth="1"/>
    <col min="3820" max="3820" width="15.875" style="2" customWidth="1"/>
    <col min="3821" max="3831" width="10.75" style="2"/>
    <col min="3832" max="3832" width="1.25" style="2" customWidth="1"/>
    <col min="3833" max="3835" width="10.75" style="2"/>
    <col min="3836" max="3842" width="12.25" style="2" customWidth="1"/>
    <col min="3843" max="3843" width="24.375" style="2" customWidth="1"/>
    <col min="3844" max="3889" width="10.75" style="2"/>
    <col min="3890" max="3890" width="7.25" style="2" customWidth="1"/>
    <col min="3891" max="3891" width="10.75" style="2"/>
    <col min="3892" max="3892" width="9.875" style="2" customWidth="1"/>
    <col min="3893" max="3893" width="8.625" style="2" customWidth="1"/>
    <col min="3894" max="3894" width="7.875" style="2" customWidth="1"/>
    <col min="3895" max="3895" width="15" style="2" customWidth="1"/>
    <col min="3896" max="3900" width="11.875" style="2" customWidth="1"/>
    <col min="3901" max="3901" width="22" style="2" customWidth="1"/>
    <col min="3902" max="3902" width="10.75" style="2"/>
    <col min="3903" max="3903" width="2" style="2" customWidth="1"/>
    <col min="3904" max="3904" width="5.125" style="2" customWidth="1"/>
    <col min="3905" max="3905" width="7.625" style="2" customWidth="1"/>
    <col min="3906" max="3906" width="2" style="2" customWidth="1"/>
    <col min="3907" max="3908" width="10.75" style="2"/>
    <col min="3909" max="3909" width="1.125" style="2" customWidth="1"/>
    <col min="3910" max="3913" width="10.75" style="2"/>
    <col min="3914" max="3914" width="8.625" style="2" customWidth="1"/>
    <col min="3915" max="3916" width="10.75" style="2"/>
    <col min="3917" max="3917" width="2.125" style="2" customWidth="1"/>
    <col min="3918" max="3918" width="12.875" style="2" customWidth="1"/>
    <col min="3919" max="3919" width="10.75" style="2"/>
    <col min="3920" max="3920" width="3.125" style="2" customWidth="1"/>
    <col min="3921" max="3922" width="10.75" style="2"/>
    <col min="3923" max="3923" width="1.875" style="2" customWidth="1"/>
    <col min="3924" max="3928" width="10.75" style="2"/>
    <col min="3929" max="3929" width="1" style="2" customWidth="1"/>
    <col min="3930" max="3931" width="10.75" style="2"/>
    <col min="3932" max="3932" width="0.625" style="2" customWidth="1"/>
    <col min="3933" max="3933" width="10.625" style="2" customWidth="1"/>
    <col min="3934" max="3934" width="2.75" style="2" customWidth="1"/>
    <col min="3935" max="3936" width="6.75" style="2" customWidth="1"/>
    <col min="3937" max="3942" width="10.75" style="2"/>
    <col min="3943" max="3943" width="47.375" style="2" customWidth="1"/>
    <col min="3944" max="3944" width="10.75" style="2"/>
    <col min="3945" max="3945" width="18.625" style="2" customWidth="1"/>
    <col min="3946" max="3946" width="10.75" style="2"/>
    <col min="3947" max="3947" width="4.25" style="2" customWidth="1"/>
    <col min="3948" max="3950" width="10.75" style="2"/>
    <col min="3951" max="3951" width="19.25" style="2" customWidth="1"/>
    <col min="3952" max="3959" width="10.75" style="2"/>
    <col min="3960" max="3963" width="14.625" style="2" customWidth="1"/>
    <col min="3964" max="4021" width="10.75" style="2"/>
    <col min="4022" max="4022" width="12.25" style="2" customWidth="1"/>
    <col min="4023" max="4023" width="16" style="2" customWidth="1"/>
    <col min="4024" max="4024" width="10.75" style="2"/>
    <col min="4025" max="4025" width="20.125" style="2" customWidth="1"/>
    <col min="4026" max="4026" width="3.875" style="2" customWidth="1"/>
    <col min="4027" max="4030" width="13.25" style="2" customWidth="1"/>
    <col min="4031" max="4031" width="16.25" style="2" customWidth="1"/>
    <col min="4032" max="4032" width="13.25" style="2" customWidth="1"/>
    <col min="4033" max="4033" width="14.75" style="2" customWidth="1"/>
    <col min="4034" max="4034" width="21.75" style="2" customWidth="1"/>
    <col min="4035" max="4035" width="10.75" style="2"/>
    <col min="4036" max="4036" width="10.625" style="2" customWidth="1"/>
    <col min="4037" max="4074" width="10.75" style="2"/>
    <col min="4075" max="4075" width="13.25" style="2" customWidth="1"/>
    <col min="4076" max="4076" width="15.875" style="2" customWidth="1"/>
    <col min="4077" max="4087" width="10.75" style="2"/>
    <col min="4088" max="4088" width="1.25" style="2" customWidth="1"/>
    <col min="4089" max="4091" width="10.75" style="2"/>
    <col min="4092" max="4098" width="12.25" style="2" customWidth="1"/>
    <col min="4099" max="4099" width="24.375" style="2" customWidth="1"/>
    <col min="4100" max="4145" width="10.75" style="2"/>
    <col min="4146" max="4146" width="7.25" style="2" customWidth="1"/>
    <col min="4147" max="4147" width="10.75" style="2"/>
    <col min="4148" max="4148" width="9.875" style="2" customWidth="1"/>
    <col min="4149" max="4149" width="8.625" style="2" customWidth="1"/>
    <col min="4150" max="4150" width="7.875" style="2" customWidth="1"/>
    <col min="4151" max="4151" width="15" style="2" customWidth="1"/>
    <col min="4152" max="4156" width="11.875" style="2" customWidth="1"/>
    <col min="4157" max="4157" width="22" style="2" customWidth="1"/>
    <col min="4158" max="4158" width="10.75" style="2"/>
    <col min="4159" max="4159" width="2" style="2" customWidth="1"/>
    <col min="4160" max="4160" width="5.125" style="2" customWidth="1"/>
    <col min="4161" max="4161" width="7.625" style="2" customWidth="1"/>
    <col min="4162" max="4162" width="2" style="2" customWidth="1"/>
    <col min="4163" max="4164" width="10.75" style="2"/>
    <col min="4165" max="4165" width="1.125" style="2" customWidth="1"/>
    <col min="4166" max="4169" width="10.75" style="2"/>
    <col min="4170" max="4170" width="8.625" style="2" customWidth="1"/>
    <col min="4171" max="4172" width="10.75" style="2"/>
    <col min="4173" max="4173" width="2.125" style="2" customWidth="1"/>
    <col min="4174" max="4174" width="12.875" style="2" customWidth="1"/>
    <col min="4175" max="4175" width="10.75" style="2"/>
    <col min="4176" max="4176" width="3.125" style="2" customWidth="1"/>
    <col min="4177" max="4178" width="10.75" style="2"/>
    <col min="4179" max="4179" width="1.875" style="2" customWidth="1"/>
    <col min="4180" max="4184" width="10.75" style="2"/>
    <col min="4185" max="4185" width="1" style="2" customWidth="1"/>
    <col min="4186" max="4187" width="10.75" style="2"/>
    <col min="4188" max="4188" width="0.625" style="2" customWidth="1"/>
    <col min="4189" max="4189" width="10.625" style="2" customWidth="1"/>
    <col min="4190" max="4190" width="2.75" style="2" customWidth="1"/>
    <col min="4191" max="4192" width="6.75" style="2" customWidth="1"/>
    <col min="4193" max="4198" width="10.75" style="2"/>
    <col min="4199" max="4199" width="47.375" style="2" customWidth="1"/>
    <col min="4200" max="4200" width="10.75" style="2"/>
    <col min="4201" max="4201" width="18.625" style="2" customWidth="1"/>
    <col min="4202" max="4202" width="10.75" style="2"/>
    <col min="4203" max="4203" width="4.25" style="2" customWidth="1"/>
    <col min="4204" max="4206" width="10.75" style="2"/>
    <col min="4207" max="4207" width="19.25" style="2" customWidth="1"/>
    <col min="4208" max="4215" width="10.75" style="2"/>
    <col min="4216" max="4219" width="14.625" style="2" customWidth="1"/>
    <col min="4220" max="4277" width="10.75" style="2"/>
    <col min="4278" max="4278" width="12.25" style="2" customWidth="1"/>
    <col min="4279" max="4279" width="16" style="2" customWidth="1"/>
    <col min="4280" max="4280" width="10.75" style="2"/>
    <col min="4281" max="4281" width="20.125" style="2" customWidth="1"/>
    <col min="4282" max="4282" width="3.875" style="2" customWidth="1"/>
    <col min="4283" max="4286" width="13.25" style="2" customWidth="1"/>
    <col min="4287" max="4287" width="16.25" style="2" customWidth="1"/>
    <col min="4288" max="4288" width="13.25" style="2" customWidth="1"/>
    <col min="4289" max="4289" width="14.75" style="2" customWidth="1"/>
    <col min="4290" max="4290" width="21.75" style="2" customWidth="1"/>
    <col min="4291" max="4291" width="10.75" style="2"/>
    <col min="4292" max="4292" width="10.625" style="2" customWidth="1"/>
    <col min="4293" max="4330" width="10.75" style="2"/>
    <col min="4331" max="4331" width="13.25" style="2" customWidth="1"/>
    <col min="4332" max="4332" width="15.875" style="2" customWidth="1"/>
    <col min="4333" max="4343" width="10.75" style="2"/>
    <col min="4344" max="4344" width="1.25" style="2" customWidth="1"/>
    <col min="4345" max="4347" width="10.75" style="2"/>
    <col min="4348" max="4354" width="12.25" style="2" customWidth="1"/>
    <col min="4355" max="4355" width="24.375" style="2" customWidth="1"/>
    <col min="4356" max="4401" width="10.75" style="2"/>
    <col min="4402" max="4402" width="7.25" style="2" customWidth="1"/>
    <col min="4403" max="4403" width="10.75" style="2"/>
    <col min="4404" max="4404" width="9.875" style="2" customWidth="1"/>
    <col min="4405" max="4405" width="8.625" style="2" customWidth="1"/>
    <col min="4406" max="4406" width="7.875" style="2" customWidth="1"/>
    <col min="4407" max="4407" width="15" style="2" customWidth="1"/>
    <col min="4408" max="4412" width="11.875" style="2" customWidth="1"/>
    <col min="4413" max="4413" width="22" style="2" customWidth="1"/>
    <col min="4414" max="4414" width="10.75" style="2"/>
    <col min="4415" max="4415" width="2" style="2" customWidth="1"/>
    <col min="4416" max="4416" width="5.125" style="2" customWidth="1"/>
    <col min="4417" max="4417" width="7.625" style="2" customWidth="1"/>
    <col min="4418" max="4418" width="2" style="2" customWidth="1"/>
    <col min="4419" max="4420" width="10.75" style="2"/>
    <col min="4421" max="4421" width="1.125" style="2" customWidth="1"/>
    <col min="4422" max="4425" width="10.75" style="2"/>
    <col min="4426" max="4426" width="8.625" style="2" customWidth="1"/>
    <col min="4427" max="4428" width="10.75" style="2"/>
    <col min="4429" max="4429" width="2.125" style="2" customWidth="1"/>
    <col min="4430" max="4430" width="12.875" style="2" customWidth="1"/>
    <col min="4431" max="4431" width="10.75" style="2"/>
    <col min="4432" max="4432" width="3.125" style="2" customWidth="1"/>
    <col min="4433" max="4434" width="10.75" style="2"/>
    <col min="4435" max="4435" width="1.875" style="2" customWidth="1"/>
    <col min="4436" max="4440" width="10.75" style="2"/>
    <col min="4441" max="4441" width="1" style="2" customWidth="1"/>
    <col min="4442" max="4443" width="10.75" style="2"/>
    <col min="4444" max="4444" width="0.625" style="2" customWidth="1"/>
    <col min="4445" max="4445" width="10.625" style="2" customWidth="1"/>
    <col min="4446" max="4446" width="2.75" style="2" customWidth="1"/>
    <col min="4447" max="4448" width="6.75" style="2" customWidth="1"/>
    <col min="4449" max="4454" width="10.75" style="2"/>
    <col min="4455" max="4455" width="47.375" style="2" customWidth="1"/>
    <col min="4456" max="4456" width="10.75" style="2"/>
    <col min="4457" max="4457" width="18.625" style="2" customWidth="1"/>
    <col min="4458" max="4458" width="10.75" style="2"/>
    <col min="4459" max="4459" width="4.25" style="2" customWidth="1"/>
    <col min="4460" max="4462" width="10.75" style="2"/>
    <col min="4463" max="4463" width="19.25" style="2" customWidth="1"/>
    <col min="4464" max="4471" width="10.75" style="2"/>
    <col min="4472" max="4475" width="14.625" style="2" customWidth="1"/>
    <col min="4476" max="4533" width="10.75" style="2"/>
    <col min="4534" max="4534" width="12.25" style="2" customWidth="1"/>
    <col min="4535" max="4535" width="16" style="2" customWidth="1"/>
    <col min="4536" max="4536" width="10.75" style="2"/>
    <col min="4537" max="4537" width="20.125" style="2" customWidth="1"/>
    <col min="4538" max="4538" width="3.875" style="2" customWidth="1"/>
    <col min="4539" max="4542" width="13.25" style="2" customWidth="1"/>
    <col min="4543" max="4543" width="16.25" style="2" customWidth="1"/>
    <col min="4544" max="4544" width="13.25" style="2" customWidth="1"/>
    <col min="4545" max="4545" width="14.75" style="2" customWidth="1"/>
    <col min="4546" max="4546" width="21.75" style="2" customWidth="1"/>
    <col min="4547" max="4547" width="10.75" style="2"/>
    <col min="4548" max="4548" width="10.625" style="2" customWidth="1"/>
    <col min="4549" max="4586" width="10.75" style="2"/>
    <col min="4587" max="4587" width="13.25" style="2" customWidth="1"/>
    <col min="4588" max="4588" width="15.875" style="2" customWidth="1"/>
    <col min="4589" max="4599" width="10.75" style="2"/>
    <col min="4600" max="4600" width="1.25" style="2" customWidth="1"/>
    <col min="4601" max="4603" width="10.75" style="2"/>
    <col min="4604" max="4610" width="12.25" style="2" customWidth="1"/>
    <col min="4611" max="4611" width="24.375" style="2" customWidth="1"/>
    <col min="4612" max="4657" width="10.75" style="2"/>
    <col min="4658" max="4658" width="7.25" style="2" customWidth="1"/>
    <col min="4659" max="4659" width="10.75" style="2"/>
    <col min="4660" max="4660" width="9.875" style="2" customWidth="1"/>
    <col min="4661" max="4661" width="8.625" style="2" customWidth="1"/>
    <col min="4662" max="4662" width="7.875" style="2" customWidth="1"/>
    <col min="4663" max="4663" width="15" style="2" customWidth="1"/>
    <col min="4664" max="4668" width="11.875" style="2" customWidth="1"/>
    <col min="4669" max="4669" width="22" style="2" customWidth="1"/>
    <col min="4670" max="4670" width="10.75" style="2"/>
    <col min="4671" max="4671" width="2" style="2" customWidth="1"/>
    <col min="4672" max="4672" width="5.125" style="2" customWidth="1"/>
    <col min="4673" max="4673" width="7.625" style="2" customWidth="1"/>
    <col min="4674" max="4674" width="2" style="2" customWidth="1"/>
    <col min="4675" max="4676" width="10.75" style="2"/>
    <col min="4677" max="4677" width="1.125" style="2" customWidth="1"/>
    <col min="4678" max="4681" width="10.75" style="2"/>
    <col min="4682" max="4682" width="8.625" style="2" customWidth="1"/>
    <col min="4683" max="4684" width="10.75" style="2"/>
    <col min="4685" max="4685" width="2.125" style="2" customWidth="1"/>
    <col min="4686" max="4686" width="12.875" style="2" customWidth="1"/>
    <col min="4687" max="4687" width="10.75" style="2"/>
    <col min="4688" max="4688" width="3.125" style="2" customWidth="1"/>
    <col min="4689" max="4690" width="10.75" style="2"/>
    <col min="4691" max="4691" width="1.875" style="2" customWidth="1"/>
    <col min="4692" max="4696" width="10.75" style="2"/>
    <col min="4697" max="4697" width="1" style="2" customWidth="1"/>
    <col min="4698" max="4699" width="10.75" style="2"/>
    <col min="4700" max="4700" width="0.625" style="2" customWidth="1"/>
    <col min="4701" max="4701" width="10.625" style="2" customWidth="1"/>
    <col min="4702" max="4702" width="2.75" style="2" customWidth="1"/>
    <col min="4703" max="4704" width="6.75" style="2" customWidth="1"/>
    <col min="4705" max="4710" width="10.75" style="2"/>
    <col min="4711" max="4711" width="47.375" style="2" customWidth="1"/>
    <col min="4712" max="4712" width="10.75" style="2"/>
    <col min="4713" max="4713" width="18.625" style="2" customWidth="1"/>
    <col min="4714" max="4714" width="10.75" style="2"/>
    <col min="4715" max="4715" width="4.25" style="2" customWidth="1"/>
    <col min="4716" max="4718" width="10.75" style="2"/>
    <col min="4719" max="4719" width="19.25" style="2" customWidth="1"/>
    <col min="4720" max="4727" width="10.75" style="2"/>
    <col min="4728" max="4731" width="14.625" style="2" customWidth="1"/>
    <col min="4732" max="4789" width="10.75" style="2"/>
    <col min="4790" max="4790" width="12.25" style="2" customWidth="1"/>
    <col min="4791" max="4791" width="16" style="2" customWidth="1"/>
    <col min="4792" max="4792" width="10.75" style="2"/>
    <col min="4793" max="4793" width="20.125" style="2" customWidth="1"/>
    <col min="4794" max="4794" width="3.875" style="2" customWidth="1"/>
    <col min="4795" max="4798" width="13.25" style="2" customWidth="1"/>
    <col min="4799" max="4799" width="16.25" style="2" customWidth="1"/>
    <col min="4800" max="4800" width="13.25" style="2" customWidth="1"/>
    <col min="4801" max="4801" width="14.75" style="2" customWidth="1"/>
    <col min="4802" max="4802" width="21.75" style="2" customWidth="1"/>
    <col min="4803" max="4803" width="10.75" style="2"/>
    <col min="4804" max="4804" width="10.625" style="2" customWidth="1"/>
    <col min="4805" max="4842" width="10.75" style="2"/>
    <col min="4843" max="4843" width="13.25" style="2" customWidth="1"/>
    <col min="4844" max="4844" width="15.875" style="2" customWidth="1"/>
    <col min="4845" max="4855" width="10.75" style="2"/>
    <col min="4856" max="4856" width="1.25" style="2" customWidth="1"/>
    <col min="4857" max="4859" width="10.75" style="2"/>
    <col min="4860" max="4866" width="12.25" style="2" customWidth="1"/>
    <col min="4867" max="4867" width="24.375" style="2" customWidth="1"/>
    <col min="4868" max="4913" width="10.75" style="2"/>
    <col min="4914" max="4914" width="7.25" style="2" customWidth="1"/>
    <col min="4915" max="4915" width="10.75" style="2"/>
    <col min="4916" max="4916" width="9.875" style="2" customWidth="1"/>
    <col min="4917" max="4917" width="8.625" style="2" customWidth="1"/>
    <col min="4918" max="4918" width="7.875" style="2" customWidth="1"/>
    <col min="4919" max="4919" width="15" style="2" customWidth="1"/>
    <col min="4920" max="4924" width="11.875" style="2" customWidth="1"/>
    <col min="4925" max="4925" width="22" style="2" customWidth="1"/>
    <col min="4926" max="4926" width="10.75" style="2"/>
    <col min="4927" max="4927" width="2" style="2" customWidth="1"/>
    <col min="4928" max="4928" width="5.125" style="2" customWidth="1"/>
    <col min="4929" max="4929" width="7.625" style="2" customWidth="1"/>
    <col min="4930" max="4930" width="2" style="2" customWidth="1"/>
    <col min="4931" max="4932" width="10.75" style="2"/>
    <col min="4933" max="4933" width="1.125" style="2" customWidth="1"/>
    <col min="4934" max="4937" width="10.75" style="2"/>
    <col min="4938" max="4938" width="8.625" style="2" customWidth="1"/>
    <col min="4939" max="4940" width="10.75" style="2"/>
    <col min="4941" max="4941" width="2.125" style="2" customWidth="1"/>
    <col min="4942" max="4942" width="12.875" style="2" customWidth="1"/>
    <col min="4943" max="4943" width="10.75" style="2"/>
    <col min="4944" max="4944" width="3.125" style="2" customWidth="1"/>
    <col min="4945" max="4946" width="10.75" style="2"/>
    <col min="4947" max="4947" width="1.875" style="2" customWidth="1"/>
    <col min="4948" max="4952" width="10.75" style="2"/>
    <col min="4953" max="4953" width="1" style="2" customWidth="1"/>
    <col min="4954" max="4955" width="10.75" style="2"/>
    <col min="4956" max="4956" width="0.625" style="2" customWidth="1"/>
    <col min="4957" max="4957" width="10.625" style="2" customWidth="1"/>
    <col min="4958" max="4958" width="2.75" style="2" customWidth="1"/>
    <col min="4959" max="4960" width="6.75" style="2" customWidth="1"/>
    <col min="4961" max="4966" width="10.75" style="2"/>
    <col min="4967" max="4967" width="47.375" style="2" customWidth="1"/>
    <col min="4968" max="4968" width="10.75" style="2"/>
    <col min="4969" max="4969" width="18.625" style="2" customWidth="1"/>
    <col min="4970" max="4970" width="10.75" style="2"/>
    <col min="4971" max="4971" width="4.25" style="2" customWidth="1"/>
    <col min="4972" max="4974" width="10.75" style="2"/>
    <col min="4975" max="4975" width="19.25" style="2" customWidth="1"/>
    <col min="4976" max="4983" width="10.75" style="2"/>
    <col min="4984" max="4987" width="14.625" style="2" customWidth="1"/>
    <col min="4988" max="5045" width="10.75" style="2"/>
    <col min="5046" max="5046" width="12.25" style="2" customWidth="1"/>
    <col min="5047" max="5047" width="16" style="2" customWidth="1"/>
    <col min="5048" max="5048" width="10.75" style="2"/>
    <col min="5049" max="5049" width="20.125" style="2" customWidth="1"/>
    <col min="5050" max="5050" width="3.875" style="2" customWidth="1"/>
    <col min="5051" max="5054" width="13.25" style="2" customWidth="1"/>
    <col min="5055" max="5055" width="16.25" style="2" customWidth="1"/>
    <col min="5056" max="5056" width="13.25" style="2" customWidth="1"/>
    <col min="5057" max="5057" width="14.75" style="2" customWidth="1"/>
    <col min="5058" max="5058" width="21.75" style="2" customWidth="1"/>
    <col min="5059" max="5059" width="10.75" style="2"/>
    <col min="5060" max="5060" width="10.625" style="2" customWidth="1"/>
    <col min="5061" max="5098" width="10.75" style="2"/>
    <col min="5099" max="5099" width="13.25" style="2" customWidth="1"/>
    <col min="5100" max="5100" width="15.875" style="2" customWidth="1"/>
    <col min="5101" max="5111" width="10.75" style="2"/>
    <col min="5112" max="5112" width="1.25" style="2" customWidth="1"/>
    <col min="5113" max="5115" width="10.75" style="2"/>
    <col min="5116" max="5122" width="12.25" style="2" customWidth="1"/>
    <col min="5123" max="5123" width="24.375" style="2" customWidth="1"/>
    <col min="5124" max="5169" width="10.75" style="2"/>
    <col min="5170" max="5170" width="7.25" style="2" customWidth="1"/>
    <col min="5171" max="5171" width="10.75" style="2"/>
    <col min="5172" max="5172" width="9.875" style="2" customWidth="1"/>
    <col min="5173" max="5173" width="8.625" style="2" customWidth="1"/>
    <col min="5174" max="5174" width="7.875" style="2" customWidth="1"/>
    <col min="5175" max="5175" width="15" style="2" customWidth="1"/>
    <col min="5176" max="5180" width="11.875" style="2" customWidth="1"/>
    <col min="5181" max="5181" width="22" style="2" customWidth="1"/>
    <col min="5182" max="5182" width="10.75" style="2"/>
    <col min="5183" max="5183" width="2" style="2" customWidth="1"/>
    <col min="5184" max="5184" width="5.125" style="2" customWidth="1"/>
    <col min="5185" max="5185" width="7.625" style="2" customWidth="1"/>
    <col min="5186" max="5186" width="2" style="2" customWidth="1"/>
    <col min="5187" max="5188" width="10.75" style="2"/>
    <col min="5189" max="5189" width="1.125" style="2" customWidth="1"/>
    <col min="5190" max="5193" width="10.75" style="2"/>
    <col min="5194" max="5194" width="8.625" style="2" customWidth="1"/>
    <col min="5195" max="5196" width="10.75" style="2"/>
    <col min="5197" max="5197" width="2.125" style="2" customWidth="1"/>
    <col min="5198" max="5198" width="12.875" style="2" customWidth="1"/>
    <col min="5199" max="5199" width="10.75" style="2"/>
    <col min="5200" max="5200" width="3.125" style="2" customWidth="1"/>
    <col min="5201" max="5202" width="10.75" style="2"/>
    <col min="5203" max="5203" width="1.875" style="2" customWidth="1"/>
    <col min="5204" max="5208" width="10.75" style="2"/>
    <col min="5209" max="5209" width="1" style="2" customWidth="1"/>
    <col min="5210" max="5211" width="10.75" style="2"/>
    <col min="5212" max="5212" width="0.625" style="2" customWidth="1"/>
    <col min="5213" max="5213" width="10.625" style="2" customWidth="1"/>
    <col min="5214" max="5214" width="2.75" style="2" customWidth="1"/>
    <col min="5215" max="5216" width="6.75" style="2" customWidth="1"/>
    <col min="5217" max="5222" width="10.75" style="2"/>
    <col min="5223" max="5223" width="47.375" style="2" customWidth="1"/>
    <col min="5224" max="5224" width="10.75" style="2"/>
    <col min="5225" max="5225" width="18.625" style="2" customWidth="1"/>
    <col min="5226" max="5226" width="10.75" style="2"/>
    <col min="5227" max="5227" width="4.25" style="2" customWidth="1"/>
    <col min="5228" max="5230" width="10.75" style="2"/>
    <col min="5231" max="5231" width="19.25" style="2" customWidth="1"/>
    <col min="5232" max="5239" width="10.75" style="2"/>
    <col min="5240" max="5243" width="14.625" style="2" customWidth="1"/>
    <col min="5244" max="5301" width="10.75" style="2"/>
    <col min="5302" max="5302" width="12.25" style="2" customWidth="1"/>
    <col min="5303" max="5303" width="16" style="2" customWidth="1"/>
    <col min="5304" max="5304" width="10.75" style="2"/>
    <col min="5305" max="5305" width="20.125" style="2" customWidth="1"/>
    <col min="5306" max="5306" width="3.875" style="2" customWidth="1"/>
    <col min="5307" max="5310" width="13.25" style="2" customWidth="1"/>
    <col min="5311" max="5311" width="16.25" style="2" customWidth="1"/>
    <col min="5312" max="5312" width="13.25" style="2" customWidth="1"/>
    <col min="5313" max="5313" width="14.75" style="2" customWidth="1"/>
    <col min="5314" max="5314" width="21.75" style="2" customWidth="1"/>
    <col min="5315" max="5315" width="10.75" style="2"/>
    <col min="5316" max="5316" width="10.625" style="2" customWidth="1"/>
    <col min="5317" max="5354" width="10.75" style="2"/>
    <col min="5355" max="5355" width="13.25" style="2" customWidth="1"/>
    <col min="5356" max="5356" width="15.875" style="2" customWidth="1"/>
    <col min="5357" max="5367" width="10.75" style="2"/>
    <col min="5368" max="5368" width="1.25" style="2" customWidth="1"/>
    <col min="5369" max="5371" width="10.75" style="2"/>
    <col min="5372" max="5378" width="12.25" style="2" customWidth="1"/>
    <col min="5379" max="5379" width="24.375" style="2" customWidth="1"/>
    <col min="5380" max="5425" width="10.75" style="2"/>
    <col min="5426" max="5426" width="7.25" style="2" customWidth="1"/>
    <col min="5427" max="5427" width="10.75" style="2"/>
    <col min="5428" max="5428" width="9.875" style="2" customWidth="1"/>
    <col min="5429" max="5429" width="8.625" style="2" customWidth="1"/>
    <col min="5430" max="5430" width="7.875" style="2" customWidth="1"/>
    <col min="5431" max="5431" width="15" style="2" customWidth="1"/>
    <col min="5432" max="5436" width="11.875" style="2" customWidth="1"/>
    <col min="5437" max="5437" width="22" style="2" customWidth="1"/>
    <col min="5438" max="5438" width="10.75" style="2"/>
    <col min="5439" max="5439" width="2" style="2" customWidth="1"/>
    <col min="5440" max="5440" width="5.125" style="2" customWidth="1"/>
    <col min="5441" max="5441" width="7.625" style="2" customWidth="1"/>
    <col min="5442" max="5442" width="2" style="2" customWidth="1"/>
    <col min="5443" max="5444" width="10.75" style="2"/>
    <col min="5445" max="5445" width="1.125" style="2" customWidth="1"/>
    <col min="5446" max="5449" width="10.75" style="2"/>
    <col min="5450" max="5450" width="8.625" style="2" customWidth="1"/>
    <col min="5451" max="5452" width="10.75" style="2"/>
    <col min="5453" max="5453" width="2.125" style="2" customWidth="1"/>
    <col min="5454" max="5454" width="12.875" style="2" customWidth="1"/>
    <col min="5455" max="5455" width="10.75" style="2"/>
    <col min="5456" max="5456" width="3.125" style="2" customWidth="1"/>
    <col min="5457" max="5458" width="10.75" style="2"/>
    <col min="5459" max="5459" width="1.875" style="2" customWidth="1"/>
    <col min="5460" max="5464" width="10.75" style="2"/>
    <col min="5465" max="5465" width="1" style="2" customWidth="1"/>
    <col min="5466" max="5467" width="10.75" style="2"/>
    <col min="5468" max="5468" width="0.625" style="2" customWidth="1"/>
    <col min="5469" max="5469" width="10.625" style="2" customWidth="1"/>
    <col min="5470" max="5470" width="2.75" style="2" customWidth="1"/>
    <col min="5471" max="5472" width="6.75" style="2" customWidth="1"/>
    <col min="5473" max="5478" width="10.75" style="2"/>
    <col min="5479" max="5479" width="47.375" style="2" customWidth="1"/>
    <col min="5480" max="5480" width="10.75" style="2"/>
    <col min="5481" max="5481" width="18.625" style="2" customWidth="1"/>
    <col min="5482" max="5482" width="10.75" style="2"/>
    <col min="5483" max="5483" width="4.25" style="2" customWidth="1"/>
    <col min="5484" max="5486" width="10.75" style="2"/>
    <col min="5487" max="5487" width="19.25" style="2" customWidth="1"/>
    <col min="5488" max="5495" width="10.75" style="2"/>
    <col min="5496" max="5499" width="14.625" style="2" customWidth="1"/>
    <col min="5500" max="5557" width="10.75" style="2"/>
    <col min="5558" max="5558" width="12.25" style="2" customWidth="1"/>
    <col min="5559" max="5559" width="16" style="2" customWidth="1"/>
    <col min="5560" max="5560" width="10.75" style="2"/>
    <col min="5561" max="5561" width="20.125" style="2" customWidth="1"/>
    <col min="5562" max="5562" width="3.875" style="2" customWidth="1"/>
    <col min="5563" max="5566" width="13.25" style="2" customWidth="1"/>
    <col min="5567" max="5567" width="16.25" style="2" customWidth="1"/>
    <col min="5568" max="5568" width="13.25" style="2" customWidth="1"/>
    <col min="5569" max="5569" width="14.75" style="2" customWidth="1"/>
    <col min="5570" max="5570" width="21.75" style="2" customWidth="1"/>
    <col min="5571" max="5571" width="10.75" style="2"/>
    <col min="5572" max="5572" width="10.625" style="2" customWidth="1"/>
    <col min="5573" max="5610" width="10.75" style="2"/>
    <col min="5611" max="5611" width="13.25" style="2" customWidth="1"/>
    <col min="5612" max="5612" width="15.875" style="2" customWidth="1"/>
    <col min="5613" max="5623" width="10.75" style="2"/>
    <col min="5624" max="5624" width="1.25" style="2" customWidth="1"/>
    <col min="5625" max="5627" width="10.75" style="2"/>
    <col min="5628" max="5634" width="12.25" style="2" customWidth="1"/>
    <col min="5635" max="5635" width="24.375" style="2" customWidth="1"/>
    <col min="5636" max="5681" width="10.75" style="2"/>
    <col min="5682" max="5682" width="7.25" style="2" customWidth="1"/>
    <col min="5683" max="5683" width="10.75" style="2"/>
    <col min="5684" max="5684" width="9.875" style="2" customWidth="1"/>
    <col min="5685" max="5685" width="8.625" style="2" customWidth="1"/>
    <col min="5686" max="5686" width="7.875" style="2" customWidth="1"/>
    <col min="5687" max="5687" width="15" style="2" customWidth="1"/>
    <col min="5688" max="5692" width="11.875" style="2" customWidth="1"/>
    <col min="5693" max="5693" width="22" style="2" customWidth="1"/>
    <col min="5694" max="5694" width="10.75" style="2"/>
    <col min="5695" max="5695" width="2" style="2" customWidth="1"/>
    <col min="5696" max="5696" width="5.125" style="2" customWidth="1"/>
    <col min="5697" max="5697" width="7.625" style="2" customWidth="1"/>
    <col min="5698" max="5698" width="2" style="2" customWidth="1"/>
    <col min="5699" max="5700" width="10.75" style="2"/>
    <col min="5701" max="5701" width="1.125" style="2" customWidth="1"/>
    <col min="5702" max="5705" width="10.75" style="2"/>
    <col min="5706" max="5706" width="8.625" style="2" customWidth="1"/>
    <col min="5707" max="5708" width="10.75" style="2"/>
    <col min="5709" max="5709" width="2.125" style="2" customWidth="1"/>
    <col min="5710" max="5710" width="12.875" style="2" customWidth="1"/>
    <col min="5711" max="5711" width="10.75" style="2"/>
    <col min="5712" max="5712" width="3.125" style="2" customWidth="1"/>
    <col min="5713" max="5714" width="10.75" style="2"/>
    <col min="5715" max="5715" width="1.875" style="2" customWidth="1"/>
    <col min="5716" max="5720" width="10.75" style="2"/>
    <col min="5721" max="5721" width="1" style="2" customWidth="1"/>
    <col min="5722" max="5723" width="10.75" style="2"/>
    <col min="5724" max="5724" width="0.625" style="2" customWidth="1"/>
    <col min="5725" max="5725" width="10.625" style="2" customWidth="1"/>
    <col min="5726" max="5726" width="2.75" style="2" customWidth="1"/>
    <col min="5727" max="5728" width="6.75" style="2" customWidth="1"/>
    <col min="5729" max="5734" width="10.75" style="2"/>
    <col min="5735" max="5735" width="47.375" style="2" customWidth="1"/>
    <col min="5736" max="5736" width="10.75" style="2"/>
    <col min="5737" max="5737" width="18.625" style="2" customWidth="1"/>
    <col min="5738" max="5738" width="10.75" style="2"/>
    <col min="5739" max="5739" width="4.25" style="2" customWidth="1"/>
    <col min="5740" max="5742" width="10.75" style="2"/>
    <col min="5743" max="5743" width="19.25" style="2" customWidth="1"/>
    <col min="5744" max="5751" width="10.75" style="2"/>
    <col min="5752" max="5755" width="14.625" style="2" customWidth="1"/>
    <col min="5756" max="5813" width="10.75" style="2"/>
    <col min="5814" max="5814" width="12.25" style="2" customWidth="1"/>
    <col min="5815" max="5815" width="16" style="2" customWidth="1"/>
    <col min="5816" max="5816" width="10.75" style="2"/>
    <col min="5817" max="5817" width="20.125" style="2" customWidth="1"/>
    <col min="5818" max="5818" width="3.875" style="2" customWidth="1"/>
    <col min="5819" max="5822" width="13.25" style="2" customWidth="1"/>
    <col min="5823" max="5823" width="16.25" style="2" customWidth="1"/>
    <col min="5824" max="5824" width="13.25" style="2" customWidth="1"/>
    <col min="5825" max="5825" width="14.75" style="2" customWidth="1"/>
    <col min="5826" max="5826" width="21.75" style="2" customWidth="1"/>
    <col min="5827" max="5827" width="10.75" style="2"/>
    <col min="5828" max="5828" width="10.625" style="2" customWidth="1"/>
    <col min="5829" max="5866" width="10.75" style="2"/>
    <col min="5867" max="5867" width="13.25" style="2" customWidth="1"/>
    <col min="5868" max="5868" width="15.875" style="2" customWidth="1"/>
    <col min="5869" max="5879" width="10.75" style="2"/>
    <col min="5880" max="5880" width="1.25" style="2" customWidth="1"/>
    <col min="5881" max="5883" width="10.75" style="2"/>
    <col min="5884" max="5890" width="12.25" style="2" customWidth="1"/>
    <col min="5891" max="5891" width="24.375" style="2" customWidth="1"/>
    <col min="5892" max="5937" width="10.75" style="2"/>
    <col min="5938" max="5938" width="7.25" style="2" customWidth="1"/>
    <col min="5939" max="5939" width="10.75" style="2"/>
    <col min="5940" max="5940" width="9.875" style="2" customWidth="1"/>
    <col min="5941" max="5941" width="8.625" style="2" customWidth="1"/>
    <col min="5942" max="5942" width="7.875" style="2" customWidth="1"/>
    <col min="5943" max="5943" width="15" style="2" customWidth="1"/>
    <col min="5944" max="5948" width="11.875" style="2" customWidth="1"/>
    <col min="5949" max="5949" width="22" style="2" customWidth="1"/>
    <col min="5950" max="5950" width="10.75" style="2"/>
    <col min="5951" max="5951" width="2" style="2" customWidth="1"/>
    <col min="5952" max="5952" width="5.125" style="2" customWidth="1"/>
    <col min="5953" max="5953" width="7.625" style="2" customWidth="1"/>
    <col min="5954" max="5954" width="2" style="2" customWidth="1"/>
    <col min="5955" max="5956" width="10.75" style="2"/>
    <col min="5957" max="5957" width="1.125" style="2" customWidth="1"/>
    <col min="5958" max="5961" width="10.75" style="2"/>
    <col min="5962" max="5962" width="8.625" style="2" customWidth="1"/>
    <col min="5963" max="5964" width="10.75" style="2"/>
    <col min="5965" max="5965" width="2.125" style="2" customWidth="1"/>
    <col min="5966" max="5966" width="12.875" style="2" customWidth="1"/>
    <col min="5967" max="5967" width="10.75" style="2"/>
    <col min="5968" max="5968" width="3.125" style="2" customWidth="1"/>
    <col min="5969" max="5970" width="10.75" style="2"/>
    <col min="5971" max="5971" width="1.875" style="2" customWidth="1"/>
    <col min="5972" max="5976" width="10.75" style="2"/>
    <col min="5977" max="5977" width="1" style="2" customWidth="1"/>
    <col min="5978" max="5979" width="10.75" style="2"/>
    <col min="5980" max="5980" width="0.625" style="2" customWidth="1"/>
    <col min="5981" max="5981" width="10.625" style="2" customWidth="1"/>
    <col min="5982" max="5982" width="2.75" style="2" customWidth="1"/>
    <col min="5983" max="5984" width="6.75" style="2" customWidth="1"/>
    <col min="5985" max="5990" width="10.75" style="2"/>
    <col min="5991" max="5991" width="47.375" style="2" customWidth="1"/>
    <col min="5992" max="5992" width="10.75" style="2"/>
    <col min="5993" max="5993" width="18.625" style="2" customWidth="1"/>
    <col min="5994" max="5994" width="10.75" style="2"/>
    <col min="5995" max="5995" width="4.25" style="2" customWidth="1"/>
    <col min="5996" max="5998" width="10.75" style="2"/>
    <col min="5999" max="5999" width="19.25" style="2" customWidth="1"/>
    <col min="6000" max="6007" width="10.75" style="2"/>
    <col min="6008" max="6011" width="14.625" style="2" customWidth="1"/>
    <col min="6012" max="6069" width="10.75" style="2"/>
    <col min="6070" max="6070" width="12.25" style="2" customWidth="1"/>
    <col min="6071" max="6071" width="16" style="2" customWidth="1"/>
    <col min="6072" max="6072" width="10.75" style="2"/>
    <col min="6073" max="6073" width="20.125" style="2" customWidth="1"/>
    <col min="6074" max="6074" width="3.875" style="2" customWidth="1"/>
    <col min="6075" max="6078" width="13.25" style="2" customWidth="1"/>
    <col min="6079" max="6079" width="16.25" style="2" customWidth="1"/>
    <col min="6080" max="6080" width="13.25" style="2" customWidth="1"/>
    <col min="6081" max="6081" width="14.75" style="2" customWidth="1"/>
    <col min="6082" max="6082" width="21.75" style="2" customWidth="1"/>
    <col min="6083" max="6083" width="10.75" style="2"/>
    <col min="6084" max="6084" width="10.625" style="2" customWidth="1"/>
    <col min="6085" max="6122" width="10.75" style="2"/>
    <col min="6123" max="6123" width="13.25" style="2" customWidth="1"/>
    <col min="6124" max="6124" width="15.875" style="2" customWidth="1"/>
    <col min="6125" max="6135" width="10.75" style="2"/>
    <col min="6136" max="6136" width="1.25" style="2" customWidth="1"/>
    <col min="6137" max="6139" width="10.75" style="2"/>
    <col min="6140" max="6146" width="12.25" style="2" customWidth="1"/>
    <col min="6147" max="6147" width="24.375" style="2" customWidth="1"/>
    <col min="6148" max="6193" width="10.75" style="2"/>
    <col min="6194" max="6194" width="7.25" style="2" customWidth="1"/>
    <col min="6195" max="6195" width="10.75" style="2"/>
    <col min="6196" max="6196" width="9.875" style="2" customWidth="1"/>
    <col min="6197" max="6197" width="8.625" style="2" customWidth="1"/>
    <col min="6198" max="6198" width="7.875" style="2" customWidth="1"/>
    <col min="6199" max="6199" width="15" style="2" customWidth="1"/>
    <col min="6200" max="6204" width="11.875" style="2" customWidth="1"/>
    <col min="6205" max="6205" width="22" style="2" customWidth="1"/>
    <col min="6206" max="6206" width="10.75" style="2"/>
    <col min="6207" max="6207" width="2" style="2" customWidth="1"/>
    <col min="6208" max="6208" width="5.125" style="2" customWidth="1"/>
    <col min="6209" max="6209" width="7.625" style="2" customWidth="1"/>
    <col min="6210" max="6210" width="2" style="2" customWidth="1"/>
    <col min="6211" max="6212" width="10.75" style="2"/>
    <col min="6213" max="6213" width="1.125" style="2" customWidth="1"/>
    <col min="6214" max="6217" width="10.75" style="2"/>
    <col min="6218" max="6218" width="8.625" style="2" customWidth="1"/>
    <col min="6219" max="6220" width="10.75" style="2"/>
    <col min="6221" max="6221" width="2.125" style="2" customWidth="1"/>
    <col min="6222" max="6222" width="12.875" style="2" customWidth="1"/>
    <col min="6223" max="6223" width="10.75" style="2"/>
    <col min="6224" max="6224" width="3.125" style="2" customWidth="1"/>
    <col min="6225" max="6226" width="10.75" style="2"/>
    <col min="6227" max="6227" width="1.875" style="2" customWidth="1"/>
    <col min="6228" max="6232" width="10.75" style="2"/>
    <col min="6233" max="6233" width="1" style="2" customWidth="1"/>
    <col min="6234" max="6235" width="10.75" style="2"/>
    <col min="6236" max="6236" width="0.625" style="2" customWidth="1"/>
    <col min="6237" max="6237" width="10.625" style="2" customWidth="1"/>
    <col min="6238" max="6238" width="2.75" style="2" customWidth="1"/>
    <col min="6239" max="6240" width="6.75" style="2" customWidth="1"/>
    <col min="6241" max="6246" width="10.75" style="2"/>
    <col min="6247" max="6247" width="47.375" style="2" customWidth="1"/>
    <col min="6248" max="6248" width="10.75" style="2"/>
    <col min="6249" max="6249" width="18.625" style="2" customWidth="1"/>
    <col min="6250" max="6250" width="10.75" style="2"/>
    <col min="6251" max="6251" width="4.25" style="2" customWidth="1"/>
    <col min="6252" max="6254" width="10.75" style="2"/>
    <col min="6255" max="6255" width="19.25" style="2" customWidth="1"/>
    <col min="6256" max="6263" width="10.75" style="2"/>
    <col min="6264" max="6267" width="14.625" style="2" customWidth="1"/>
    <col min="6268" max="6325" width="10.75" style="2"/>
    <col min="6326" max="6326" width="12.25" style="2" customWidth="1"/>
    <col min="6327" max="6327" width="16" style="2" customWidth="1"/>
    <col min="6328" max="6328" width="10.75" style="2"/>
    <col min="6329" max="6329" width="20.125" style="2" customWidth="1"/>
    <col min="6330" max="6330" width="3.875" style="2" customWidth="1"/>
    <col min="6331" max="6334" width="13.25" style="2" customWidth="1"/>
    <col min="6335" max="6335" width="16.25" style="2" customWidth="1"/>
    <col min="6336" max="6336" width="13.25" style="2" customWidth="1"/>
    <col min="6337" max="6337" width="14.75" style="2" customWidth="1"/>
    <col min="6338" max="6338" width="21.75" style="2" customWidth="1"/>
    <col min="6339" max="6339" width="10.75" style="2"/>
    <col min="6340" max="6340" width="10.625" style="2" customWidth="1"/>
    <col min="6341" max="6378" width="10.75" style="2"/>
    <col min="6379" max="6379" width="13.25" style="2" customWidth="1"/>
    <col min="6380" max="6380" width="15.875" style="2" customWidth="1"/>
    <col min="6381" max="6391" width="10.75" style="2"/>
    <col min="6392" max="6392" width="1.25" style="2" customWidth="1"/>
    <col min="6393" max="6395" width="10.75" style="2"/>
    <col min="6396" max="6402" width="12.25" style="2" customWidth="1"/>
    <col min="6403" max="6403" width="24.375" style="2" customWidth="1"/>
    <col min="6404" max="6449" width="10.75" style="2"/>
    <col min="6450" max="6450" width="7.25" style="2" customWidth="1"/>
    <col min="6451" max="6451" width="10.75" style="2"/>
    <col min="6452" max="6452" width="9.875" style="2" customWidth="1"/>
    <col min="6453" max="6453" width="8.625" style="2" customWidth="1"/>
    <col min="6454" max="6454" width="7.875" style="2" customWidth="1"/>
    <col min="6455" max="6455" width="15" style="2" customWidth="1"/>
    <col min="6456" max="6460" width="11.875" style="2" customWidth="1"/>
    <col min="6461" max="6461" width="22" style="2" customWidth="1"/>
    <col min="6462" max="6462" width="10.75" style="2"/>
    <col min="6463" max="6463" width="2" style="2" customWidth="1"/>
    <col min="6464" max="6464" width="5.125" style="2" customWidth="1"/>
    <col min="6465" max="6465" width="7.625" style="2" customWidth="1"/>
    <col min="6466" max="6466" width="2" style="2" customWidth="1"/>
    <col min="6467" max="6468" width="10.75" style="2"/>
    <col min="6469" max="6469" width="1.125" style="2" customWidth="1"/>
    <col min="6470" max="6473" width="10.75" style="2"/>
    <col min="6474" max="6474" width="8.625" style="2" customWidth="1"/>
    <col min="6475" max="6476" width="10.75" style="2"/>
    <col min="6477" max="6477" width="2.125" style="2" customWidth="1"/>
    <col min="6478" max="6478" width="12.875" style="2" customWidth="1"/>
    <col min="6479" max="6479" width="10.75" style="2"/>
    <col min="6480" max="6480" width="3.125" style="2" customWidth="1"/>
    <col min="6481" max="6482" width="10.75" style="2"/>
    <col min="6483" max="6483" width="1.875" style="2" customWidth="1"/>
    <col min="6484" max="6488" width="10.75" style="2"/>
    <col min="6489" max="6489" width="1" style="2" customWidth="1"/>
    <col min="6490" max="6491" width="10.75" style="2"/>
    <col min="6492" max="6492" width="0.625" style="2" customWidth="1"/>
    <col min="6493" max="6493" width="10.625" style="2" customWidth="1"/>
    <col min="6494" max="6494" width="2.75" style="2" customWidth="1"/>
    <col min="6495" max="6496" width="6.75" style="2" customWidth="1"/>
    <col min="6497" max="6502" width="10.75" style="2"/>
    <col min="6503" max="6503" width="47.375" style="2" customWidth="1"/>
    <col min="6504" max="6504" width="10.75" style="2"/>
    <col min="6505" max="6505" width="18.625" style="2" customWidth="1"/>
    <col min="6506" max="6506" width="10.75" style="2"/>
    <col min="6507" max="6507" width="4.25" style="2" customWidth="1"/>
    <col min="6508" max="6510" width="10.75" style="2"/>
    <col min="6511" max="6511" width="19.25" style="2" customWidth="1"/>
    <col min="6512" max="6519" width="10.75" style="2"/>
    <col min="6520" max="6523" width="14.625" style="2" customWidth="1"/>
    <col min="6524" max="6581" width="10.75" style="2"/>
    <col min="6582" max="6582" width="12.25" style="2" customWidth="1"/>
    <col min="6583" max="6583" width="16" style="2" customWidth="1"/>
    <col min="6584" max="6584" width="10.75" style="2"/>
    <col min="6585" max="6585" width="20.125" style="2" customWidth="1"/>
    <col min="6586" max="6586" width="3.875" style="2" customWidth="1"/>
    <col min="6587" max="6590" width="13.25" style="2" customWidth="1"/>
    <col min="6591" max="6591" width="16.25" style="2" customWidth="1"/>
    <col min="6592" max="6592" width="13.25" style="2" customWidth="1"/>
    <col min="6593" max="6593" width="14.75" style="2" customWidth="1"/>
    <col min="6594" max="6594" width="21.75" style="2" customWidth="1"/>
    <col min="6595" max="6595" width="10.75" style="2"/>
    <col min="6596" max="6596" width="10.625" style="2" customWidth="1"/>
    <col min="6597" max="6634" width="10.75" style="2"/>
    <col min="6635" max="6635" width="13.25" style="2" customWidth="1"/>
    <col min="6636" max="6636" width="15.875" style="2" customWidth="1"/>
    <col min="6637" max="6647" width="10.75" style="2"/>
    <col min="6648" max="6648" width="1.25" style="2" customWidth="1"/>
    <col min="6649" max="6651" width="10.75" style="2"/>
    <col min="6652" max="6658" width="12.25" style="2" customWidth="1"/>
    <col min="6659" max="6659" width="24.375" style="2" customWidth="1"/>
    <col min="6660" max="6705" width="10.75" style="2"/>
    <col min="6706" max="6706" width="7.25" style="2" customWidth="1"/>
    <col min="6707" max="6707" width="10.75" style="2"/>
    <col min="6708" max="6708" width="9.875" style="2" customWidth="1"/>
    <col min="6709" max="6709" width="8.625" style="2" customWidth="1"/>
    <col min="6710" max="6710" width="7.875" style="2" customWidth="1"/>
    <col min="6711" max="6711" width="15" style="2" customWidth="1"/>
    <col min="6712" max="6716" width="11.875" style="2" customWidth="1"/>
    <col min="6717" max="6717" width="22" style="2" customWidth="1"/>
    <col min="6718" max="6718" width="10.75" style="2"/>
    <col min="6719" max="6719" width="2" style="2" customWidth="1"/>
    <col min="6720" max="6720" width="5.125" style="2" customWidth="1"/>
    <col min="6721" max="6721" width="7.625" style="2" customWidth="1"/>
    <col min="6722" max="6722" width="2" style="2" customWidth="1"/>
    <col min="6723" max="6724" width="10.75" style="2"/>
    <col min="6725" max="6725" width="1.125" style="2" customWidth="1"/>
    <col min="6726" max="6729" width="10.75" style="2"/>
    <col min="6730" max="6730" width="8.625" style="2" customWidth="1"/>
    <col min="6731" max="6732" width="10.75" style="2"/>
    <col min="6733" max="6733" width="2.125" style="2" customWidth="1"/>
    <col min="6734" max="6734" width="12.875" style="2" customWidth="1"/>
    <col min="6735" max="6735" width="10.75" style="2"/>
    <col min="6736" max="6736" width="3.125" style="2" customWidth="1"/>
    <col min="6737" max="6738" width="10.75" style="2"/>
    <col min="6739" max="6739" width="1.875" style="2" customWidth="1"/>
    <col min="6740" max="6744" width="10.75" style="2"/>
    <col min="6745" max="6745" width="1" style="2" customWidth="1"/>
    <col min="6746" max="6747" width="10.75" style="2"/>
    <col min="6748" max="6748" width="0.625" style="2" customWidth="1"/>
    <col min="6749" max="6749" width="10.625" style="2" customWidth="1"/>
    <col min="6750" max="6750" width="2.75" style="2" customWidth="1"/>
    <col min="6751" max="6752" width="6.75" style="2" customWidth="1"/>
    <col min="6753" max="6758" width="10.75" style="2"/>
    <col min="6759" max="6759" width="47.375" style="2" customWidth="1"/>
    <col min="6760" max="6760" width="10.75" style="2"/>
    <col min="6761" max="6761" width="18.625" style="2" customWidth="1"/>
    <col min="6762" max="6762" width="10.75" style="2"/>
    <col min="6763" max="6763" width="4.25" style="2" customWidth="1"/>
    <col min="6764" max="6766" width="10.75" style="2"/>
    <col min="6767" max="6767" width="19.25" style="2" customWidth="1"/>
    <col min="6768" max="6775" width="10.75" style="2"/>
    <col min="6776" max="6779" width="14.625" style="2" customWidth="1"/>
    <col min="6780" max="6837" width="10.75" style="2"/>
    <col min="6838" max="6838" width="12.25" style="2" customWidth="1"/>
    <col min="6839" max="6839" width="16" style="2" customWidth="1"/>
    <col min="6840" max="6840" width="10.75" style="2"/>
    <col min="6841" max="6841" width="20.125" style="2" customWidth="1"/>
    <col min="6842" max="6842" width="3.875" style="2" customWidth="1"/>
    <col min="6843" max="6846" width="13.25" style="2" customWidth="1"/>
    <col min="6847" max="6847" width="16.25" style="2" customWidth="1"/>
    <col min="6848" max="6848" width="13.25" style="2" customWidth="1"/>
    <col min="6849" max="6849" width="14.75" style="2" customWidth="1"/>
    <col min="6850" max="6850" width="21.75" style="2" customWidth="1"/>
    <col min="6851" max="6851" width="10.75" style="2"/>
    <col min="6852" max="6852" width="10.625" style="2" customWidth="1"/>
    <col min="6853" max="6890" width="10.75" style="2"/>
    <col min="6891" max="6891" width="13.25" style="2" customWidth="1"/>
    <col min="6892" max="6892" width="15.875" style="2" customWidth="1"/>
    <col min="6893" max="6903" width="10.75" style="2"/>
    <col min="6904" max="6904" width="1.25" style="2" customWidth="1"/>
    <col min="6905" max="6907" width="10.75" style="2"/>
    <col min="6908" max="6914" width="12.25" style="2" customWidth="1"/>
    <col min="6915" max="6915" width="24.375" style="2" customWidth="1"/>
    <col min="6916" max="6961" width="10.75" style="2"/>
    <col min="6962" max="6962" width="7.25" style="2" customWidth="1"/>
    <col min="6963" max="6963" width="10.75" style="2"/>
    <col min="6964" max="6964" width="9.875" style="2" customWidth="1"/>
    <col min="6965" max="6965" width="8.625" style="2" customWidth="1"/>
    <col min="6966" max="6966" width="7.875" style="2" customWidth="1"/>
    <col min="6967" max="6967" width="15" style="2" customWidth="1"/>
    <col min="6968" max="6972" width="11.875" style="2" customWidth="1"/>
    <col min="6973" max="6973" width="22" style="2" customWidth="1"/>
    <col min="6974" max="6974" width="10.75" style="2"/>
    <col min="6975" max="6975" width="2" style="2" customWidth="1"/>
    <col min="6976" max="6976" width="5.125" style="2" customWidth="1"/>
    <col min="6977" max="6977" width="7.625" style="2" customWidth="1"/>
    <col min="6978" max="6978" width="2" style="2" customWidth="1"/>
    <col min="6979" max="6980" width="10.75" style="2"/>
    <col min="6981" max="6981" width="1.125" style="2" customWidth="1"/>
    <col min="6982" max="6985" width="10.75" style="2"/>
    <col min="6986" max="6986" width="8.625" style="2" customWidth="1"/>
    <col min="6987" max="6988" width="10.75" style="2"/>
    <col min="6989" max="6989" width="2.125" style="2" customWidth="1"/>
    <col min="6990" max="6990" width="12.875" style="2" customWidth="1"/>
    <col min="6991" max="6991" width="10.75" style="2"/>
    <col min="6992" max="6992" width="3.125" style="2" customWidth="1"/>
    <col min="6993" max="6994" width="10.75" style="2"/>
    <col min="6995" max="6995" width="1.875" style="2" customWidth="1"/>
    <col min="6996" max="7000" width="10.75" style="2"/>
    <col min="7001" max="7001" width="1" style="2" customWidth="1"/>
    <col min="7002" max="7003" width="10.75" style="2"/>
    <col min="7004" max="7004" width="0.625" style="2" customWidth="1"/>
    <col min="7005" max="7005" width="10.625" style="2" customWidth="1"/>
    <col min="7006" max="7006" width="2.75" style="2" customWidth="1"/>
    <col min="7007" max="7008" width="6.75" style="2" customWidth="1"/>
    <col min="7009" max="7014" width="10.75" style="2"/>
    <col min="7015" max="7015" width="47.375" style="2" customWidth="1"/>
    <col min="7016" max="7016" width="10.75" style="2"/>
    <col min="7017" max="7017" width="18.625" style="2" customWidth="1"/>
    <col min="7018" max="7018" width="10.75" style="2"/>
    <col min="7019" max="7019" width="4.25" style="2" customWidth="1"/>
    <col min="7020" max="7022" width="10.75" style="2"/>
    <col min="7023" max="7023" width="19.25" style="2" customWidth="1"/>
    <col min="7024" max="7031" width="10.75" style="2"/>
    <col min="7032" max="7035" width="14.625" style="2" customWidth="1"/>
    <col min="7036" max="7093" width="10.75" style="2"/>
    <col min="7094" max="7094" width="12.25" style="2" customWidth="1"/>
    <col min="7095" max="7095" width="16" style="2" customWidth="1"/>
    <col min="7096" max="7096" width="10.75" style="2"/>
    <col min="7097" max="7097" width="20.125" style="2" customWidth="1"/>
    <col min="7098" max="7098" width="3.875" style="2" customWidth="1"/>
    <col min="7099" max="7102" width="13.25" style="2" customWidth="1"/>
    <col min="7103" max="7103" width="16.25" style="2" customWidth="1"/>
    <col min="7104" max="7104" width="13.25" style="2" customWidth="1"/>
    <col min="7105" max="7105" width="14.75" style="2" customWidth="1"/>
    <col min="7106" max="7106" width="21.75" style="2" customWidth="1"/>
    <col min="7107" max="7107" width="10.75" style="2"/>
    <col min="7108" max="7108" width="10.625" style="2" customWidth="1"/>
    <col min="7109" max="7146" width="10.75" style="2"/>
    <col min="7147" max="7147" width="13.25" style="2" customWidth="1"/>
    <col min="7148" max="7148" width="15.875" style="2" customWidth="1"/>
    <col min="7149" max="7159" width="10.75" style="2"/>
    <col min="7160" max="7160" width="1.25" style="2" customWidth="1"/>
    <col min="7161" max="7163" width="10.75" style="2"/>
    <col min="7164" max="7170" width="12.25" style="2" customWidth="1"/>
    <col min="7171" max="7171" width="24.375" style="2" customWidth="1"/>
    <col min="7172" max="7217" width="10.75" style="2"/>
    <col min="7218" max="7218" width="7.25" style="2" customWidth="1"/>
    <col min="7219" max="7219" width="10.75" style="2"/>
    <col min="7220" max="7220" width="9.875" style="2" customWidth="1"/>
    <col min="7221" max="7221" width="8.625" style="2" customWidth="1"/>
    <col min="7222" max="7222" width="7.875" style="2" customWidth="1"/>
    <col min="7223" max="7223" width="15" style="2" customWidth="1"/>
    <col min="7224" max="7228" width="11.875" style="2" customWidth="1"/>
    <col min="7229" max="7229" width="22" style="2" customWidth="1"/>
    <col min="7230" max="7230" width="10.75" style="2"/>
    <col min="7231" max="7231" width="2" style="2" customWidth="1"/>
    <col min="7232" max="7232" width="5.125" style="2" customWidth="1"/>
    <col min="7233" max="7233" width="7.625" style="2" customWidth="1"/>
    <col min="7234" max="7234" width="2" style="2" customWidth="1"/>
    <col min="7235" max="7236" width="10.75" style="2"/>
    <col min="7237" max="7237" width="1.125" style="2" customWidth="1"/>
    <col min="7238" max="7241" width="10.75" style="2"/>
    <col min="7242" max="7242" width="8.625" style="2" customWidth="1"/>
    <col min="7243" max="7244" width="10.75" style="2"/>
    <col min="7245" max="7245" width="2.125" style="2" customWidth="1"/>
    <col min="7246" max="7246" width="12.875" style="2" customWidth="1"/>
    <col min="7247" max="7247" width="10.75" style="2"/>
    <col min="7248" max="7248" width="3.125" style="2" customWidth="1"/>
    <col min="7249" max="7250" width="10.75" style="2"/>
    <col min="7251" max="7251" width="1.875" style="2" customWidth="1"/>
    <col min="7252" max="7256" width="10.75" style="2"/>
    <col min="7257" max="7257" width="1" style="2" customWidth="1"/>
    <col min="7258" max="7259" width="10.75" style="2"/>
    <col min="7260" max="7260" width="0.625" style="2" customWidth="1"/>
    <col min="7261" max="7261" width="10.625" style="2" customWidth="1"/>
    <col min="7262" max="7262" width="2.75" style="2" customWidth="1"/>
    <col min="7263" max="7264" width="6.75" style="2" customWidth="1"/>
    <col min="7265" max="7270" width="10.75" style="2"/>
    <col min="7271" max="7271" width="47.375" style="2" customWidth="1"/>
    <col min="7272" max="7272" width="10.75" style="2"/>
    <col min="7273" max="7273" width="18.625" style="2" customWidth="1"/>
    <col min="7274" max="7274" width="10.75" style="2"/>
    <col min="7275" max="7275" width="4.25" style="2" customWidth="1"/>
    <col min="7276" max="7278" width="10.75" style="2"/>
    <col min="7279" max="7279" width="19.25" style="2" customWidth="1"/>
    <col min="7280" max="7287" width="10.75" style="2"/>
    <col min="7288" max="7291" width="14.625" style="2" customWidth="1"/>
    <col min="7292" max="7349" width="10.75" style="2"/>
    <col min="7350" max="7350" width="12.25" style="2" customWidth="1"/>
    <col min="7351" max="7351" width="16" style="2" customWidth="1"/>
    <col min="7352" max="7352" width="10.75" style="2"/>
    <col min="7353" max="7353" width="20.125" style="2" customWidth="1"/>
    <col min="7354" max="7354" width="3.875" style="2" customWidth="1"/>
    <col min="7355" max="7358" width="13.25" style="2" customWidth="1"/>
    <col min="7359" max="7359" width="16.25" style="2" customWidth="1"/>
    <col min="7360" max="7360" width="13.25" style="2" customWidth="1"/>
    <col min="7361" max="7361" width="14.75" style="2" customWidth="1"/>
    <col min="7362" max="7362" width="21.75" style="2" customWidth="1"/>
    <col min="7363" max="7363" width="10.75" style="2"/>
    <col min="7364" max="7364" width="10.625" style="2" customWidth="1"/>
    <col min="7365" max="7402" width="10.75" style="2"/>
    <col min="7403" max="7403" width="13.25" style="2" customWidth="1"/>
    <col min="7404" max="7404" width="15.875" style="2" customWidth="1"/>
    <col min="7405" max="7415" width="10.75" style="2"/>
    <col min="7416" max="7416" width="1.25" style="2" customWidth="1"/>
    <col min="7417" max="7419" width="10.75" style="2"/>
    <col min="7420" max="7426" width="12.25" style="2" customWidth="1"/>
    <col min="7427" max="7427" width="24.375" style="2" customWidth="1"/>
    <col min="7428" max="7473" width="10.75" style="2"/>
    <col min="7474" max="7474" width="7.25" style="2" customWidth="1"/>
    <col min="7475" max="7475" width="10.75" style="2"/>
    <col min="7476" max="7476" width="9.875" style="2" customWidth="1"/>
    <col min="7477" max="7477" width="8.625" style="2" customWidth="1"/>
    <col min="7478" max="7478" width="7.875" style="2" customWidth="1"/>
    <col min="7479" max="7479" width="15" style="2" customWidth="1"/>
    <col min="7480" max="7484" width="11.875" style="2" customWidth="1"/>
    <col min="7485" max="7485" width="22" style="2" customWidth="1"/>
    <col min="7486" max="7486" width="10.75" style="2"/>
    <col min="7487" max="7487" width="2" style="2" customWidth="1"/>
    <col min="7488" max="7488" width="5.125" style="2" customWidth="1"/>
    <col min="7489" max="7489" width="7.625" style="2" customWidth="1"/>
    <col min="7490" max="7490" width="2" style="2" customWidth="1"/>
    <col min="7491" max="7492" width="10.75" style="2"/>
    <col min="7493" max="7493" width="1.125" style="2" customWidth="1"/>
    <col min="7494" max="7497" width="10.75" style="2"/>
    <col min="7498" max="7498" width="8.625" style="2" customWidth="1"/>
    <col min="7499" max="7500" width="10.75" style="2"/>
    <col min="7501" max="7501" width="2.125" style="2" customWidth="1"/>
    <col min="7502" max="7502" width="12.875" style="2" customWidth="1"/>
    <col min="7503" max="7503" width="10.75" style="2"/>
    <col min="7504" max="7504" width="3.125" style="2" customWidth="1"/>
    <col min="7505" max="7506" width="10.75" style="2"/>
    <col min="7507" max="7507" width="1.875" style="2" customWidth="1"/>
    <col min="7508" max="7512" width="10.75" style="2"/>
    <col min="7513" max="7513" width="1" style="2" customWidth="1"/>
    <col min="7514" max="7515" width="10.75" style="2"/>
    <col min="7516" max="7516" width="0.625" style="2" customWidth="1"/>
    <col min="7517" max="7517" width="10.625" style="2" customWidth="1"/>
    <col min="7518" max="7518" width="2.75" style="2" customWidth="1"/>
    <col min="7519" max="7520" width="6.75" style="2" customWidth="1"/>
    <col min="7521" max="7526" width="10.75" style="2"/>
    <col min="7527" max="7527" width="47.375" style="2" customWidth="1"/>
    <col min="7528" max="7528" width="10.75" style="2"/>
    <col min="7529" max="7529" width="18.625" style="2" customWidth="1"/>
    <col min="7530" max="7530" width="10.75" style="2"/>
    <col min="7531" max="7531" width="4.25" style="2" customWidth="1"/>
    <col min="7532" max="7534" width="10.75" style="2"/>
    <col min="7535" max="7535" width="19.25" style="2" customWidth="1"/>
    <col min="7536" max="7543" width="10.75" style="2"/>
    <col min="7544" max="7547" width="14.625" style="2" customWidth="1"/>
    <col min="7548" max="7605" width="10.75" style="2"/>
    <col min="7606" max="7606" width="12.25" style="2" customWidth="1"/>
    <col min="7607" max="7607" width="16" style="2" customWidth="1"/>
    <col min="7608" max="7608" width="10.75" style="2"/>
    <col min="7609" max="7609" width="20.125" style="2" customWidth="1"/>
    <col min="7610" max="7610" width="3.875" style="2" customWidth="1"/>
    <col min="7611" max="7614" width="13.25" style="2" customWidth="1"/>
    <col min="7615" max="7615" width="16.25" style="2" customWidth="1"/>
    <col min="7616" max="7616" width="13.25" style="2" customWidth="1"/>
    <col min="7617" max="7617" width="14.75" style="2" customWidth="1"/>
    <col min="7618" max="7618" width="21.75" style="2" customWidth="1"/>
    <col min="7619" max="7619" width="10.75" style="2"/>
    <col min="7620" max="7620" width="10.625" style="2" customWidth="1"/>
    <col min="7621" max="7658" width="10.75" style="2"/>
    <col min="7659" max="7659" width="13.25" style="2" customWidth="1"/>
    <col min="7660" max="7660" width="15.875" style="2" customWidth="1"/>
    <col min="7661" max="7671" width="10.75" style="2"/>
    <col min="7672" max="7672" width="1.25" style="2" customWidth="1"/>
    <col min="7673" max="7675" width="10.75" style="2"/>
    <col min="7676" max="7682" width="12.25" style="2" customWidth="1"/>
    <col min="7683" max="7683" width="24.375" style="2" customWidth="1"/>
    <col min="7684" max="7729" width="10.75" style="2"/>
    <col min="7730" max="7730" width="7.25" style="2" customWidth="1"/>
    <col min="7731" max="7731" width="10.75" style="2"/>
    <col min="7732" max="7732" width="9.875" style="2" customWidth="1"/>
    <col min="7733" max="7733" width="8.625" style="2" customWidth="1"/>
    <col min="7734" max="7734" width="7.875" style="2" customWidth="1"/>
    <col min="7735" max="7735" width="15" style="2" customWidth="1"/>
    <col min="7736" max="7740" width="11.875" style="2" customWidth="1"/>
    <col min="7741" max="7741" width="22" style="2" customWidth="1"/>
    <col min="7742" max="7742" width="10.75" style="2"/>
    <col min="7743" max="7743" width="2" style="2" customWidth="1"/>
    <col min="7744" max="7744" width="5.125" style="2" customWidth="1"/>
    <col min="7745" max="7745" width="7.625" style="2" customWidth="1"/>
    <col min="7746" max="7746" width="2" style="2" customWidth="1"/>
    <col min="7747" max="7748" width="10.75" style="2"/>
    <col min="7749" max="7749" width="1.125" style="2" customWidth="1"/>
    <col min="7750" max="7753" width="10.75" style="2"/>
    <col min="7754" max="7754" width="8.625" style="2" customWidth="1"/>
    <col min="7755" max="7756" width="10.75" style="2"/>
    <col min="7757" max="7757" width="2.125" style="2" customWidth="1"/>
    <col min="7758" max="7758" width="12.875" style="2" customWidth="1"/>
    <col min="7759" max="7759" width="10.75" style="2"/>
    <col min="7760" max="7760" width="3.125" style="2" customWidth="1"/>
    <col min="7761" max="7762" width="10.75" style="2"/>
    <col min="7763" max="7763" width="1.875" style="2" customWidth="1"/>
    <col min="7764" max="7768" width="10.75" style="2"/>
    <col min="7769" max="7769" width="1" style="2" customWidth="1"/>
    <col min="7770" max="7771" width="10.75" style="2"/>
    <col min="7772" max="7772" width="0.625" style="2" customWidth="1"/>
    <col min="7773" max="7773" width="10.625" style="2" customWidth="1"/>
    <col min="7774" max="7774" width="2.75" style="2" customWidth="1"/>
    <col min="7775" max="7776" width="6.75" style="2" customWidth="1"/>
    <col min="7777" max="7782" width="10.75" style="2"/>
    <col min="7783" max="7783" width="47.375" style="2" customWidth="1"/>
    <col min="7784" max="7784" width="10.75" style="2"/>
    <col min="7785" max="7785" width="18.625" style="2" customWidth="1"/>
    <col min="7786" max="7786" width="10.75" style="2"/>
    <col min="7787" max="7787" width="4.25" style="2" customWidth="1"/>
    <col min="7788" max="7790" width="10.75" style="2"/>
    <col min="7791" max="7791" width="19.25" style="2" customWidth="1"/>
    <col min="7792" max="7799" width="10.75" style="2"/>
    <col min="7800" max="7803" width="14.625" style="2" customWidth="1"/>
    <col min="7804" max="7861" width="10.75" style="2"/>
    <col min="7862" max="7862" width="12.25" style="2" customWidth="1"/>
    <col min="7863" max="7863" width="16" style="2" customWidth="1"/>
    <col min="7864" max="7864" width="10.75" style="2"/>
    <col min="7865" max="7865" width="20.125" style="2" customWidth="1"/>
    <col min="7866" max="7866" width="3.875" style="2" customWidth="1"/>
    <col min="7867" max="7870" width="13.25" style="2" customWidth="1"/>
    <col min="7871" max="7871" width="16.25" style="2" customWidth="1"/>
    <col min="7872" max="7872" width="13.25" style="2" customWidth="1"/>
    <col min="7873" max="7873" width="14.75" style="2" customWidth="1"/>
    <col min="7874" max="7874" width="21.75" style="2" customWidth="1"/>
    <col min="7875" max="7875" width="10.75" style="2"/>
    <col min="7876" max="7876" width="10.625" style="2" customWidth="1"/>
    <col min="7877" max="7914" width="10.75" style="2"/>
    <col min="7915" max="7915" width="13.25" style="2" customWidth="1"/>
    <col min="7916" max="7916" width="15.875" style="2" customWidth="1"/>
    <col min="7917" max="7927" width="10.75" style="2"/>
    <col min="7928" max="7928" width="1.25" style="2" customWidth="1"/>
    <col min="7929" max="7931" width="10.75" style="2"/>
    <col min="7932" max="7938" width="12.25" style="2" customWidth="1"/>
    <col min="7939" max="7939" width="24.375" style="2" customWidth="1"/>
    <col min="7940" max="7985" width="10.75" style="2"/>
    <col min="7986" max="7986" width="7.25" style="2" customWidth="1"/>
    <col min="7987" max="7987" width="10.75" style="2"/>
    <col min="7988" max="7988" width="9.875" style="2" customWidth="1"/>
    <col min="7989" max="7989" width="8.625" style="2" customWidth="1"/>
    <col min="7990" max="7990" width="7.875" style="2" customWidth="1"/>
    <col min="7991" max="7991" width="15" style="2" customWidth="1"/>
    <col min="7992" max="7996" width="11.875" style="2" customWidth="1"/>
    <col min="7997" max="7997" width="22" style="2" customWidth="1"/>
    <col min="7998" max="7998" width="10.75" style="2"/>
    <col min="7999" max="7999" width="2" style="2" customWidth="1"/>
    <col min="8000" max="8000" width="5.125" style="2" customWidth="1"/>
    <col min="8001" max="8001" width="7.625" style="2" customWidth="1"/>
    <col min="8002" max="8002" width="2" style="2" customWidth="1"/>
    <col min="8003" max="8004" width="10.75" style="2"/>
    <col min="8005" max="8005" width="1.125" style="2" customWidth="1"/>
    <col min="8006" max="8009" width="10.75" style="2"/>
    <col min="8010" max="8010" width="8.625" style="2" customWidth="1"/>
    <col min="8011" max="8012" width="10.75" style="2"/>
    <col min="8013" max="8013" width="2.125" style="2" customWidth="1"/>
    <col min="8014" max="8014" width="12.875" style="2" customWidth="1"/>
    <col min="8015" max="8015" width="10.75" style="2"/>
    <col min="8016" max="8016" width="3.125" style="2" customWidth="1"/>
    <col min="8017" max="8018" width="10.75" style="2"/>
    <col min="8019" max="8019" width="1.875" style="2" customWidth="1"/>
    <col min="8020" max="8024" width="10.75" style="2"/>
    <col min="8025" max="8025" width="1" style="2" customWidth="1"/>
    <col min="8026" max="8027" width="10.75" style="2"/>
    <col min="8028" max="8028" width="0.625" style="2" customWidth="1"/>
    <col min="8029" max="8029" width="10.625" style="2" customWidth="1"/>
    <col min="8030" max="8030" width="2.75" style="2" customWidth="1"/>
    <col min="8031" max="8032" width="6.75" style="2" customWidth="1"/>
    <col min="8033" max="8038" width="10.75" style="2"/>
    <col min="8039" max="8039" width="47.375" style="2" customWidth="1"/>
    <col min="8040" max="8040" width="10.75" style="2"/>
    <col min="8041" max="8041" width="18.625" style="2" customWidth="1"/>
    <col min="8042" max="8042" width="10.75" style="2"/>
    <col min="8043" max="8043" width="4.25" style="2" customWidth="1"/>
    <col min="8044" max="8046" width="10.75" style="2"/>
    <col min="8047" max="8047" width="19.25" style="2" customWidth="1"/>
    <col min="8048" max="8055" width="10.75" style="2"/>
    <col min="8056" max="8059" width="14.625" style="2" customWidth="1"/>
    <col min="8060" max="8117" width="10.75" style="2"/>
    <col min="8118" max="8118" width="12.25" style="2" customWidth="1"/>
    <col min="8119" max="8119" width="16" style="2" customWidth="1"/>
    <col min="8120" max="8120" width="10.75" style="2"/>
    <col min="8121" max="8121" width="20.125" style="2" customWidth="1"/>
    <col min="8122" max="8122" width="3.875" style="2" customWidth="1"/>
    <col min="8123" max="8126" width="13.25" style="2" customWidth="1"/>
    <col min="8127" max="8127" width="16.25" style="2" customWidth="1"/>
    <col min="8128" max="8128" width="13.25" style="2" customWidth="1"/>
    <col min="8129" max="8129" width="14.75" style="2" customWidth="1"/>
    <col min="8130" max="8130" width="21.75" style="2" customWidth="1"/>
    <col min="8131" max="8131" width="10.75" style="2"/>
    <col min="8132" max="8132" width="10.625" style="2" customWidth="1"/>
    <col min="8133" max="8170" width="10.75" style="2"/>
    <col min="8171" max="8171" width="13.25" style="2" customWidth="1"/>
    <col min="8172" max="8172" width="15.875" style="2" customWidth="1"/>
    <col min="8173" max="8183" width="10.75" style="2"/>
    <col min="8184" max="8184" width="1.25" style="2" customWidth="1"/>
    <col min="8185" max="8187" width="10.75" style="2"/>
    <col min="8188" max="8194" width="12.25" style="2" customWidth="1"/>
    <col min="8195" max="8195" width="24.375" style="2" customWidth="1"/>
    <col min="8196" max="8241" width="10.75" style="2"/>
    <col min="8242" max="8242" width="7.25" style="2" customWidth="1"/>
    <col min="8243" max="8243" width="10.75" style="2"/>
    <col min="8244" max="8244" width="9.875" style="2" customWidth="1"/>
    <col min="8245" max="8245" width="8.625" style="2" customWidth="1"/>
    <col min="8246" max="8246" width="7.875" style="2" customWidth="1"/>
    <col min="8247" max="8247" width="15" style="2" customWidth="1"/>
    <col min="8248" max="8252" width="11.875" style="2" customWidth="1"/>
    <col min="8253" max="8253" width="22" style="2" customWidth="1"/>
    <col min="8254" max="8254" width="10.75" style="2"/>
    <col min="8255" max="8255" width="2" style="2" customWidth="1"/>
    <col min="8256" max="8256" width="5.125" style="2" customWidth="1"/>
    <col min="8257" max="8257" width="7.625" style="2" customWidth="1"/>
    <col min="8258" max="8258" width="2" style="2" customWidth="1"/>
    <col min="8259" max="8260" width="10.75" style="2"/>
    <col min="8261" max="8261" width="1.125" style="2" customWidth="1"/>
    <col min="8262" max="8265" width="10.75" style="2"/>
    <col min="8266" max="8266" width="8.625" style="2" customWidth="1"/>
    <col min="8267" max="8268" width="10.75" style="2"/>
    <col min="8269" max="8269" width="2.125" style="2" customWidth="1"/>
    <col min="8270" max="8270" width="12.875" style="2" customWidth="1"/>
    <col min="8271" max="8271" width="10.75" style="2"/>
    <col min="8272" max="8272" width="3.125" style="2" customWidth="1"/>
    <col min="8273" max="8274" width="10.75" style="2"/>
    <col min="8275" max="8275" width="1.875" style="2" customWidth="1"/>
    <col min="8276" max="8280" width="10.75" style="2"/>
    <col min="8281" max="8281" width="1" style="2" customWidth="1"/>
    <col min="8282" max="8283" width="10.75" style="2"/>
    <col min="8284" max="8284" width="0.625" style="2" customWidth="1"/>
    <col min="8285" max="8285" width="10.625" style="2" customWidth="1"/>
    <col min="8286" max="8286" width="2.75" style="2" customWidth="1"/>
    <col min="8287" max="8288" width="6.75" style="2" customWidth="1"/>
    <col min="8289" max="8294" width="10.75" style="2"/>
    <col min="8295" max="8295" width="47.375" style="2" customWidth="1"/>
    <col min="8296" max="8296" width="10.75" style="2"/>
    <col min="8297" max="8297" width="18.625" style="2" customWidth="1"/>
    <col min="8298" max="8298" width="10.75" style="2"/>
    <col min="8299" max="8299" width="4.25" style="2" customWidth="1"/>
    <col min="8300" max="8302" width="10.75" style="2"/>
    <col min="8303" max="8303" width="19.25" style="2" customWidth="1"/>
    <col min="8304" max="8311" width="10.75" style="2"/>
    <col min="8312" max="8315" width="14.625" style="2" customWidth="1"/>
    <col min="8316" max="8373" width="10.75" style="2"/>
    <col min="8374" max="8374" width="12.25" style="2" customWidth="1"/>
    <col min="8375" max="8375" width="16" style="2" customWidth="1"/>
    <col min="8376" max="8376" width="10.75" style="2"/>
    <col min="8377" max="8377" width="20.125" style="2" customWidth="1"/>
    <col min="8378" max="8378" width="3.875" style="2" customWidth="1"/>
    <col min="8379" max="8382" width="13.25" style="2" customWidth="1"/>
    <col min="8383" max="8383" width="16.25" style="2" customWidth="1"/>
    <col min="8384" max="8384" width="13.25" style="2" customWidth="1"/>
    <col min="8385" max="8385" width="14.75" style="2" customWidth="1"/>
    <col min="8386" max="8386" width="21.75" style="2" customWidth="1"/>
    <col min="8387" max="8387" width="10.75" style="2"/>
    <col min="8388" max="8388" width="10.625" style="2" customWidth="1"/>
    <col min="8389" max="8426" width="10.75" style="2"/>
    <col min="8427" max="8427" width="13.25" style="2" customWidth="1"/>
    <col min="8428" max="8428" width="15.875" style="2" customWidth="1"/>
    <col min="8429" max="8439" width="10.75" style="2"/>
    <col min="8440" max="8440" width="1.25" style="2" customWidth="1"/>
    <col min="8441" max="8443" width="10.75" style="2"/>
    <col min="8444" max="8450" width="12.25" style="2" customWidth="1"/>
    <col min="8451" max="8451" width="24.375" style="2" customWidth="1"/>
    <col min="8452" max="8497" width="10.75" style="2"/>
    <col min="8498" max="8498" width="7.25" style="2" customWidth="1"/>
    <col min="8499" max="8499" width="10.75" style="2"/>
    <col min="8500" max="8500" width="9.875" style="2" customWidth="1"/>
    <col min="8501" max="8501" width="8.625" style="2" customWidth="1"/>
    <col min="8502" max="8502" width="7.875" style="2" customWidth="1"/>
    <col min="8503" max="8503" width="15" style="2" customWidth="1"/>
    <col min="8504" max="8508" width="11.875" style="2" customWidth="1"/>
    <col min="8509" max="8509" width="22" style="2" customWidth="1"/>
    <col min="8510" max="8510" width="10.75" style="2"/>
    <col min="8511" max="8511" width="2" style="2" customWidth="1"/>
    <col min="8512" max="8512" width="5.125" style="2" customWidth="1"/>
    <col min="8513" max="8513" width="7.625" style="2" customWidth="1"/>
    <col min="8514" max="8514" width="2" style="2" customWidth="1"/>
    <col min="8515" max="8516" width="10.75" style="2"/>
    <col min="8517" max="8517" width="1.125" style="2" customWidth="1"/>
    <col min="8518" max="8521" width="10.75" style="2"/>
    <col min="8522" max="8522" width="8.625" style="2" customWidth="1"/>
    <col min="8523" max="8524" width="10.75" style="2"/>
    <col min="8525" max="8525" width="2.125" style="2" customWidth="1"/>
    <col min="8526" max="8526" width="12.875" style="2" customWidth="1"/>
    <col min="8527" max="8527" width="10.75" style="2"/>
    <col min="8528" max="8528" width="3.125" style="2" customWidth="1"/>
    <col min="8529" max="8530" width="10.75" style="2"/>
    <col min="8531" max="8531" width="1.875" style="2" customWidth="1"/>
    <col min="8532" max="8536" width="10.75" style="2"/>
    <col min="8537" max="8537" width="1" style="2" customWidth="1"/>
    <col min="8538" max="8539" width="10.75" style="2"/>
    <col min="8540" max="8540" width="0.625" style="2" customWidth="1"/>
    <col min="8541" max="8541" width="10.625" style="2" customWidth="1"/>
    <col min="8542" max="8542" width="2.75" style="2" customWidth="1"/>
    <col min="8543" max="8544" width="6.75" style="2" customWidth="1"/>
    <col min="8545" max="8550" width="10.75" style="2"/>
    <col min="8551" max="8551" width="47.375" style="2" customWidth="1"/>
    <col min="8552" max="8552" width="10.75" style="2"/>
    <col min="8553" max="8553" width="18.625" style="2" customWidth="1"/>
    <col min="8554" max="8554" width="10.75" style="2"/>
    <col min="8555" max="8555" width="4.25" style="2" customWidth="1"/>
    <col min="8556" max="8558" width="10.75" style="2"/>
    <col min="8559" max="8559" width="19.25" style="2" customWidth="1"/>
    <col min="8560" max="8567" width="10.75" style="2"/>
    <col min="8568" max="8571" width="14.625" style="2" customWidth="1"/>
    <col min="8572" max="8629" width="10.75" style="2"/>
    <col min="8630" max="8630" width="12.25" style="2" customWidth="1"/>
    <col min="8631" max="8631" width="16" style="2" customWidth="1"/>
    <col min="8632" max="8632" width="10.75" style="2"/>
    <col min="8633" max="8633" width="20.125" style="2" customWidth="1"/>
    <col min="8634" max="8634" width="3.875" style="2" customWidth="1"/>
    <col min="8635" max="8638" width="13.25" style="2" customWidth="1"/>
    <col min="8639" max="8639" width="16.25" style="2" customWidth="1"/>
    <col min="8640" max="8640" width="13.25" style="2" customWidth="1"/>
    <col min="8641" max="8641" width="14.75" style="2" customWidth="1"/>
    <col min="8642" max="8642" width="21.75" style="2" customWidth="1"/>
    <col min="8643" max="8643" width="10.75" style="2"/>
    <col min="8644" max="8644" width="10.625" style="2" customWidth="1"/>
    <col min="8645" max="8682" width="10.75" style="2"/>
    <col min="8683" max="8683" width="13.25" style="2" customWidth="1"/>
    <col min="8684" max="8684" width="15.875" style="2" customWidth="1"/>
    <col min="8685" max="8695" width="10.75" style="2"/>
    <col min="8696" max="8696" width="1.25" style="2" customWidth="1"/>
    <col min="8697" max="8699" width="10.75" style="2"/>
    <col min="8700" max="8706" width="12.25" style="2" customWidth="1"/>
    <col min="8707" max="8707" width="24.375" style="2" customWidth="1"/>
    <col min="8708" max="8753" width="10.75" style="2"/>
    <col min="8754" max="8754" width="7.25" style="2" customWidth="1"/>
    <col min="8755" max="8755" width="10.75" style="2"/>
    <col min="8756" max="8756" width="9.875" style="2" customWidth="1"/>
    <col min="8757" max="8757" width="8.625" style="2" customWidth="1"/>
    <col min="8758" max="8758" width="7.875" style="2" customWidth="1"/>
    <col min="8759" max="8759" width="15" style="2" customWidth="1"/>
    <col min="8760" max="8764" width="11.875" style="2" customWidth="1"/>
    <col min="8765" max="8765" width="22" style="2" customWidth="1"/>
    <col min="8766" max="8766" width="10.75" style="2"/>
    <col min="8767" max="8767" width="2" style="2" customWidth="1"/>
    <col min="8768" max="8768" width="5.125" style="2" customWidth="1"/>
    <col min="8769" max="8769" width="7.625" style="2" customWidth="1"/>
    <col min="8770" max="8770" width="2" style="2" customWidth="1"/>
    <col min="8771" max="8772" width="10.75" style="2"/>
    <col min="8773" max="8773" width="1.125" style="2" customWidth="1"/>
    <col min="8774" max="8777" width="10.75" style="2"/>
    <col min="8778" max="8778" width="8.625" style="2" customWidth="1"/>
    <col min="8779" max="8780" width="10.75" style="2"/>
    <col min="8781" max="8781" width="2.125" style="2" customWidth="1"/>
    <col min="8782" max="8782" width="12.875" style="2" customWidth="1"/>
    <col min="8783" max="8783" width="10.75" style="2"/>
    <col min="8784" max="8784" width="3.125" style="2" customWidth="1"/>
    <col min="8785" max="8786" width="10.75" style="2"/>
    <col min="8787" max="8787" width="1.875" style="2" customWidth="1"/>
    <col min="8788" max="8792" width="10.75" style="2"/>
    <col min="8793" max="8793" width="1" style="2" customWidth="1"/>
    <col min="8794" max="8795" width="10.75" style="2"/>
    <col min="8796" max="8796" width="0.625" style="2" customWidth="1"/>
    <col min="8797" max="8797" width="10.625" style="2" customWidth="1"/>
    <col min="8798" max="8798" width="2.75" style="2" customWidth="1"/>
    <col min="8799" max="8800" width="6.75" style="2" customWidth="1"/>
    <col min="8801" max="8806" width="10.75" style="2"/>
    <col min="8807" max="8807" width="47.375" style="2" customWidth="1"/>
    <col min="8808" max="8808" width="10.75" style="2"/>
    <col min="8809" max="8809" width="18.625" style="2" customWidth="1"/>
    <col min="8810" max="8810" width="10.75" style="2"/>
    <col min="8811" max="8811" width="4.25" style="2" customWidth="1"/>
    <col min="8812" max="8814" width="10.75" style="2"/>
    <col min="8815" max="8815" width="19.25" style="2" customWidth="1"/>
    <col min="8816" max="8823" width="10.75" style="2"/>
    <col min="8824" max="8827" width="14.625" style="2" customWidth="1"/>
    <col min="8828" max="8885" width="10.75" style="2"/>
    <col min="8886" max="8886" width="12.25" style="2" customWidth="1"/>
    <col min="8887" max="8887" width="16" style="2" customWidth="1"/>
    <col min="8888" max="8888" width="10.75" style="2"/>
    <col min="8889" max="8889" width="20.125" style="2" customWidth="1"/>
    <col min="8890" max="8890" width="3.875" style="2" customWidth="1"/>
    <col min="8891" max="8894" width="13.25" style="2" customWidth="1"/>
    <col min="8895" max="8895" width="16.25" style="2" customWidth="1"/>
    <col min="8896" max="8896" width="13.25" style="2" customWidth="1"/>
    <col min="8897" max="8897" width="14.75" style="2" customWidth="1"/>
    <col min="8898" max="8898" width="21.75" style="2" customWidth="1"/>
    <col min="8899" max="8899" width="10.75" style="2"/>
    <col min="8900" max="8900" width="10.625" style="2" customWidth="1"/>
    <col min="8901" max="8938" width="10.75" style="2"/>
    <col min="8939" max="8939" width="13.25" style="2" customWidth="1"/>
    <col min="8940" max="8940" width="15.875" style="2" customWidth="1"/>
    <col min="8941" max="8951" width="10.75" style="2"/>
    <col min="8952" max="8952" width="1.25" style="2" customWidth="1"/>
    <col min="8953" max="8955" width="10.75" style="2"/>
    <col min="8956" max="8962" width="12.25" style="2" customWidth="1"/>
    <col min="8963" max="8963" width="24.375" style="2" customWidth="1"/>
    <col min="8964" max="9009" width="10.75" style="2"/>
    <col min="9010" max="9010" width="7.25" style="2" customWidth="1"/>
    <col min="9011" max="9011" width="10.75" style="2"/>
    <col min="9012" max="9012" width="9.875" style="2" customWidth="1"/>
    <col min="9013" max="9013" width="8.625" style="2" customWidth="1"/>
    <col min="9014" max="9014" width="7.875" style="2" customWidth="1"/>
    <col min="9015" max="9015" width="15" style="2" customWidth="1"/>
    <col min="9016" max="9020" width="11.875" style="2" customWidth="1"/>
    <col min="9021" max="9021" width="22" style="2" customWidth="1"/>
    <col min="9022" max="9022" width="10.75" style="2"/>
    <col min="9023" max="9023" width="2" style="2" customWidth="1"/>
    <col min="9024" max="9024" width="5.125" style="2" customWidth="1"/>
    <col min="9025" max="9025" width="7.625" style="2" customWidth="1"/>
    <col min="9026" max="9026" width="2" style="2" customWidth="1"/>
    <col min="9027" max="9028" width="10.75" style="2"/>
    <col min="9029" max="9029" width="1.125" style="2" customWidth="1"/>
    <col min="9030" max="9033" width="10.75" style="2"/>
    <col min="9034" max="9034" width="8.625" style="2" customWidth="1"/>
    <col min="9035" max="9036" width="10.75" style="2"/>
    <col min="9037" max="9037" width="2.125" style="2" customWidth="1"/>
    <col min="9038" max="9038" width="12.875" style="2" customWidth="1"/>
    <col min="9039" max="9039" width="10.75" style="2"/>
    <col min="9040" max="9040" width="3.125" style="2" customWidth="1"/>
    <col min="9041" max="9042" width="10.75" style="2"/>
    <col min="9043" max="9043" width="1.875" style="2" customWidth="1"/>
    <col min="9044" max="9048" width="10.75" style="2"/>
    <col min="9049" max="9049" width="1" style="2" customWidth="1"/>
    <col min="9050" max="9051" width="10.75" style="2"/>
    <col min="9052" max="9052" width="0.625" style="2" customWidth="1"/>
    <col min="9053" max="9053" width="10.625" style="2" customWidth="1"/>
    <col min="9054" max="9054" width="2.75" style="2" customWidth="1"/>
    <col min="9055" max="9056" width="6.75" style="2" customWidth="1"/>
    <col min="9057" max="9062" width="10.75" style="2"/>
    <col min="9063" max="9063" width="47.375" style="2" customWidth="1"/>
    <col min="9064" max="9064" width="10.75" style="2"/>
    <col min="9065" max="9065" width="18.625" style="2" customWidth="1"/>
    <col min="9066" max="9066" width="10.75" style="2"/>
    <col min="9067" max="9067" width="4.25" style="2" customWidth="1"/>
    <col min="9068" max="9070" width="10.75" style="2"/>
    <col min="9071" max="9071" width="19.25" style="2" customWidth="1"/>
    <col min="9072" max="9079" width="10.75" style="2"/>
    <col min="9080" max="9083" width="14.625" style="2" customWidth="1"/>
    <col min="9084" max="9141" width="10.75" style="2"/>
    <col min="9142" max="9142" width="12.25" style="2" customWidth="1"/>
    <col min="9143" max="9143" width="16" style="2" customWidth="1"/>
    <col min="9144" max="9144" width="10.75" style="2"/>
    <col min="9145" max="9145" width="20.125" style="2" customWidth="1"/>
    <col min="9146" max="9146" width="3.875" style="2" customWidth="1"/>
    <col min="9147" max="9150" width="13.25" style="2" customWidth="1"/>
    <col min="9151" max="9151" width="16.25" style="2" customWidth="1"/>
    <col min="9152" max="9152" width="13.25" style="2" customWidth="1"/>
    <col min="9153" max="9153" width="14.75" style="2" customWidth="1"/>
    <col min="9154" max="9154" width="21.75" style="2" customWidth="1"/>
    <col min="9155" max="9155" width="10.75" style="2"/>
    <col min="9156" max="9156" width="10.625" style="2" customWidth="1"/>
    <col min="9157" max="9194" width="10.75" style="2"/>
    <col min="9195" max="9195" width="13.25" style="2" customWidth="1"/>
    <col min="9196" max="9196" width="15.875" style="2" customWidth="1"/>
    <col min="9197" max="9207" width="10.75" style="2"/>
    <col min="9208" max="9208" width="1.25" style="2" customWidth="1"/>
    <col min="9209" max="9211" width="10.75" style="2"/>
    <col min="9212" max="9218" width="12.25" style="2" customWidth="1"/>
    <col min="9219" max="9219" width="24.375" style="2" customWidth="1"/>
    <col min="9220" max="9265" width="10.75" style="2"/>
    <col min="9266" max="9266" width="7.25" style="2" customWidth="1"/>
    <col min="9267" max="9267" width="10.75" style="2"/>
    <col min="9268" max="9268" width="9.875" style="2" customWidth="1"/>
    <col min="9269" max="9269" width="8.625" style="2" customWidth="1"/>
    <col min="9270" max="9270" width="7.875" style="2" customWidth="1"/>
    <col min="9271" max="9271" width="15" style="2" customWidth="1"/>
    <col min="9272" max="9276" width="11.875" style="2" customWidth="1"/>
    <col min="9277" max="9277" width="22" style="2" customWidth="1"/>
    <col min="9278" max="9278" width="10.75" style="2"/>
    <col min="9279" max="9279" width="2" style="2" customWidth="1"/>
    <col min="9280" max="9280" width="5.125" style="2" customWidth="1"/>
    <col min="9281" max="9281" width="7.625" style="2" customWidth="1"/>
    <col min="9282" max="9282" width="2" style="2" customWidth="1"/>
    <col min="9283" max="9284" width="10.75" style="2"/>
    <col min="9285" max="9285" width="1.125" style="2" customWidth="1"/>
    <col min="9286" max="9289" width="10.75" style="2"/>
    <col min="9290" max="9290" width="8.625" style="2" customWidth="1"/>
    <col min="9291" max="9292" width="10.75" style="2"/>
    <col min="9293" max="9293" width="2.125" style="2" customWidth="1"/>
    <col min="9294" max="9294" width="12.875" style="2" customWidth="1"/>
    <col min="9295" max="9295" width="10.75" style="2"/>
    <col min="9296" max="9296" width="3.125" style="2" customWidth="1"/>
    <col min="9297" max="9298" width="10.75" style="2"/>
    <col min="9299" max="9299" width="1.875" style="2" customWidth="1"/>
    <col min="9300" max="9304" width="10.75" style="2"/>
    <col min="9305" max="9305" width="1" style="2" customWidth="1"/>
    <col min="9306" max="9307" width="10.75" style="2"/>
    <col min="9308" max="9308" width="0.625" style="2" customWidth="1"/>
    <col min="9309" max="9309" width="10.625" style="2" customWidth="1"/>
    <col min="9310" max="9310" width="2.75" style="2" customWidth="1"/>
    <col min="9311" max="9312" width="6.75" style="2" customWidth="1"/>
    <col min="9313" max="9318" width="10.75" style="2"/>
    <col min="9319" max="9319" width="47.375" style="2" customWidth="1"/>
    <col min="9320" max="9320" width="10.75" style="2"/>
    <col min="9321" max="9321" width="18.625" style="2" customWidth="1"/>
    <col min="9322" max="9322" width="10.75" style="2"/>
    <col min="9323" max="9323" width="4.25" style="2" customWidth="1"/>
    <col min="9324" max="9326" width="10.75" style="2"/>
    <col min="9327" max="9327" width="19.25" style="2" customWidth="1"/>
    <col min="9328" max="9335" width="10.75" style="2"/>
    <col min="9336" max="9339" width="14.625" style="2" customWidth="1"/>
    <col min="9340" max="9397" width="10.75" style="2"/>
    <col min="9398" max="9398" width="12.25" style="2" customWidth="1"/>
    <col min="9399" max="9399" width="16" style="2" customWidth="1"/>
    <col min="9400" max="9400" width="10.75" style="2"/>
    <col min="9401" max="9401" width="20.125" style="2" customWidth="1"/>
    <col min="9402" max="9402" width="3.875" style="2" customWidth="1"/>
    <col min="9403" max="9406" width="13.25" style="2" customWidth="1"/>
    <col min="9407" max="9407" width="16.25" style="2" customWidth="1"/>
    <col min="9408" max="9408" width="13.25" style="2" customWidth="1"/>
    <col min="9409" max="9409" width="14.75" style="2" customWidth="1"/>
    <col min="9410" max="9410" width="21.75" style="2" customWidth="1"/>
    <col min="9411" max="9411" width="10.75" style="2"/>
    <col min="9412" max="9412" width="10.625" style="2" customWidth="1"/>
    <col min="9413" max="9450" width="10.75" style="2"/>
    <col min="9451" max="9451" width="13.25" style="2" customWidth="1"/>
    <col min="9452" max="9452" width="15.875" style="2" customWidth="1"/>
    <col min="9453" max="9463" width="10.75" style="2"/>
    <col min="9464" max="9464" width="1.25" style="2" customWidth="1"/>
    <col min="9465" max="9467" width="10.75" style="2"/>
    <col min="9468" max="9474" width="12.25" style="2" customWidth="1"/>
    <col min="9475" max="9475" width="24.375" style="2" customWidth="1"/>
    <col min="9476" max="9521" width="10.75" style="2"/>
    <col min="9522" max="9522" width="7.25" style="2" customWidth="1"/>
    <col min="9523" max="9523" width="10.75" style="2"/>
    <col min="9524" max="9524" width="9.875" style="2" customWidth="1"/>
    <col min="9525" max="9525" width="8.625" style="2" customWidth="1"/>
    <col min="9526" max="9526" width="7.875" style="2" customWidth="1"/>
    <col min="9527" max="9527" width="15" style="2" customWidth="1"/>
    <col min="9528" max="9532" width="11.875" style="2" customWidth="1"/>
    <col min="9533" max="9533" width="22" style="2" customWidth="1"/>
    <col min="9534" max="9534" width="10.75" style="2"/>
    <col min="9535" max="9535" width="2" style="2" customWidth="1"/>
    <col min="9536" max="9536" width="5.125" style="2" customWidth="1"/>
    <col min="9537" max="9537" width="7.625" style="2" customWidth="1"/>
    <col min="9538" max="9538" width="2" style="2" customWidth="1"/>
    <col min="9539" max="9540" width="10.75" style="2"/>
    <col min="9541" max="9541" width="1.125" style="2" customWidth="1"/>
    <col min="9542" max="9545" width="10.75" style="2"/>
    <col min="9546" max="9546" width="8.625" style="2" customWidth="1"/>
    <col min="9547" max="9548" width="10.75" style="2"/>
    <col min="9549" max="9549" width="2.125" style="2" customWidth="1"/>
    <col min="9550" max="9550" width="12.875" style="2" customWidth="1"/>
    <col min="9551" max="9551" width="10.75" style="2"/>
    <col min="9552" max="9552" width="3.125" style="2" customWidth="1"/>
    <col min="9553" max="9554" width="10.75" style="2"/>
    <col min="9555" max="9555" width="1.875" style="2" customWidth="1"/>
    <col min="9556" max="9560" width="10.75" style="2"/>
    <col min="9561" max="9561" width="1" style="2" customWidth="1"/>
    <col min="9562" max="9563" width="10.75" style="2"/>
    <col min="9564" max="9564" width="0.625" style="2" customWidth="1"/>
    <col min="9565" max="9565" width="10.625" style="2" customWidth="1"/>
    <col min="9566" max="9566" width="2.75" style="2" customWidth="1"/>
    <col min="9567" max="9568" width="6.75" style="2" customWidth="1"/>
    <col min="9569" max="9574" width="10.75" style="2"/>
    <col min="9575" max="9575" width="47.375" style="2" customWidth="1"/>
    <col min="9576" max="9576" width="10.75" style="2"/>
    <col min="9577" max="9577" width="18.625" style="2" customWidth="1"/>
    <col min="9578" max="9578" width="10.75" style="2"/>
    <col min="9579" max="9579" width="4.25" style="2" customWidth="1"/>
    <col min="9580" max="9582" width="10.75" style="2"/>
    <col min="9583" max="9583" width="19.25" style="2" customWidth="1"/>
    <col min="9584" max="9591" width="10.75" style="2"/>
    <col min="9592" max="9595" width="14.625" style="2" customWidth="1"/>
    <col min="9596" max="9653" width="10.75" style="2"/>
    <col min="9654" max="9654" width="12.25" style="2" customWidth="1"/>
    <col min="9655" max="9655" width="16" style="2" customWidth="1"/>
    <col min="9656" max="9656" width="10.75" style="2"/>
    <col min="9657" max="9657" width="20.125" style="2" customWidth="1"/>
    <col min="9658" max="9658" width="3.875" style="2" customWidth="1"/>
    <col min="9659" max="9662" width="13.25" style="2" customWidth="1"/>
    <col min="9663" max="9663" width="16.25" style="2" customWidth="1"/>
    <col min="9664" max="9664" width="13.25" style="2" customWidth="1"/>
    <col min="9665" max="9665" width="14.75" style="2" customWidth="1"/>
    <col min="9666" max="9666" width="21.75" style="2" customWidth="1"/>
    <col min="9667" max="9667" width="10.75" style="2"/>
    <col min="9668" max="9668" width="10.625" style="2" customWidth="1"/>
    <col min="9669" max="9706" width="10.75" style="2"/>
    <col min="9707" max="9707" width="13.25" style="2" customWidth="1"/>
    <col min="9708" max="9708" width="15.875" style="2" customWidth="1"/>
    <col min="9709" max="9719" width="10.75" style="2"/>
    <col min="9720" max="9720" width="1.25" style="2" customWidth="1"/>
    <col min="9721" max="9723" width="10.75" style="2"/>
    <col min="9724" max="9730" width="12.25" style="2" customWidth="1"/>
    <col min="9731" max="9731" width="24.375" style="2" customWidth="1"/>
    <col min="9732" max="9777" width="10.75" style="2"/>
    <col min="9778" max="9778" width="7.25" style="2" customWidth="1"/>
    <col min="9779" max="9779" width="10.75" style="2"/>
    <col min="9780" max="9780" width="9.875" style="2" customWidth="1"/>
    <col min="9781" max="9781" width="8.625" style="2" customWidth="1"/>
    <col min="9782" max="9782" width="7.875" style="2" customWidth="1"/>
    <col min="9783" max="9783" width="15" style="2" customWidth="1"/>
    <col min="9784" max="9788" width="11.875" style="2" customWidth="1"/>
    <col min="9789" max="9789" width="22" style="2" customWidth="1"/>
    <col min="9790" max="9790" width="10.75" style="2"/>
    <col min="9791" max="9791" width="2" style="2" customWidth="1"/>
    <col min="9792" max="9792" width="5.125" style="2" customWidth="1"/>
    <col min="9793" max="9793" width="7.625" style="2" customWidth="1"/>
    <col min="9794" max="9794" width="2" style="2" customWidth="1"/>
    <col min="9795" max="9796" width="10.75" style="2"/>
    <col min="9797" max="9797" width="1.125" style="2" customWidth="1"/>
    <col min="9798" max="9801" width="10.75" style="2"/>
    <col min="9802" max="9802" width="8.625" style="2" customWidth="1"/>
    <col min="9803" max="9804" width="10.75" style="2"/>
    <col min="9805" max="9805" width="2.125" style="2" customWidth="1"/>
    <col min="9806" max="9806" width="12.875" style="2" customWidth="1"/>
    <col min="9807" max="9807" width="10.75" style="2"/>
    <col min="9808" max="9808" width="3.125" style="2" customWidth="1"/>
    <col min="9809" max="9810" width="10.75" style="2"/>
    <col min="9811" max="9811" width="1.875" style="2" customWidth="1"/>
    <col min="9812" max="9816" width="10.75" style="2"/>
    <col min="9817" max="9817" width="1" style="2" customWidth="1"/>
    <col min="9818" max="9819" width="10.75" style="2"/>
    <col min="9820" max="9820" width="0.625" style="2" customWidth="1"/>
    <col min="9821" max="9821" width="10.625" style="2" customWidth="1"/>
    <col min="9822" max="9822" width="2.75" style="2" customWidth="1"/>
    <col min="9823" max="9824" width="6.75" style="2" customWidth="1"/>
    <col min="9825" max="9830" width="10.75" style="2"/>
    <col min="9831" max="9831" width="47.375" style="2" customWidth="1"/>
    <col min="9832" max="9832" width="10.75" style="2"/>
    <col min="9833" max="9833" width="18.625" style="2" customWidth="1"/>
    <col min="9834" max="9834" width="10.75" style="2"/>
    <col min="9835" max="9835" width="4.25" style="2" customWidth="1"/>
    <col min="9836" max="9838" width="10.75" style="2"/>
    <col min="9839" max="9839" width="19.25" style="2" customWidth="1"/>
    <col min="9840" max="9847" width="10.75" style="2"/>
    <col min="9848" max="9851" width="14.625" style="2" customWidth="1"/>
    <col min="9852" max="9909" width="10.75" style="2"/>
    <col min="9910" max="9910" width="12.25" style="2" customWidth="1"/>
    <col min="9911" max="9911" width="16" style="2" customWidth="1"/>
    <col min="9912" max="9912" width="10.75" style="2"/>
    <col min="9913" max="9913" width="20.125" style="2" customWidth="1"/>
    <col min="9914" max="9914" width="3.875" style="2" customWidth="1"/>
    <col min="9915" max="9918" width="13.25" style="2" customWidth="1"/>
    <col min="9919" max="9919" width="16.25" style="2" customWidth="1"/>
    <col min="9920" max="9920" width="13.25" style="2" customWidth="1"/>
    <col min="9921" max="9921" width="14.75" style="2" customWidth="1"/>
    <col min="9922" max="9922" width="21.75" style="2" customWidth="1"/>
    <col min="9923" max="9923" width="10.75" style="2"/>
    <col min="9924" max="9924" width="10.625" style="2" customWidth="1"/>
    <col min="9925" max="9962" width="10.75" style="2"/>
    <col min="9963" max="9963" width="13.25" style="2" customWidth="1"/>
    <col min="9964" max="9964" width="15.875" style="2" customWidth="1"/>
    <col min="9965" max="9975" width="10.75" style="2"/>
    <col min="9976" max="9976" width="1.25" style="2" customWidth="1"/>
    <col min="9977" max="9979" width="10.75" style="2"/>
    <col min="9980" max="9986" width="12.25" style="2" customWidth="1"/>
    <col min="9987" max="9987" width="24.375" style="2" customWidth="1"/>
    <col min="9988" max="10033" width="10.75" style="2"/>
    <col min="10034" max="10034" width="7.25" style="2" customWidth="1"/>
    <col min="10035" max="10035" width="10.75" style="2"/>
    <col min="10036" max="10036" width="9.875" style="2" customWidth="1"/>
    <col min="10037" max="10037" width="8.625" style="2" customWidth="1"/>
    <col min="10038" max="10038" width="7.875" style="2" customWidth="1"/>
    <col min="10039" max="10039" width="15" style="2" customWidth="1"/>
    <col min="10040" max="10044" width="11.875" style="2" customWidth="1"/>
    <col min="10045" max="10045" width="22" style="2" customWidth="1"/>
    <col min="10046" max="10046" width="10.75" style="2"/>
    <col min="10047" max="10047" width="2" style="2" customWidth="1"/>
    <col min="10048" max="10048" width="5.125" style="2" customWidth="1"/>
    <col min="10049" max="10049" width="7.625" style="2" customWidth="1"/>
    <col min="10050" max="10050" width="2" style="2" customWidth="1"/>
    <col min="10051" max="10052" width="10.75" style="2"/>
    <col min="10053" max="10053" width="1.125" style="2" customWidth="1"/>
    <col min="10054" max="10057" width="10.75" style="2"/>
    <col min="10058" max="10058" width="8.625" style="2" customWidth="1"/>
    <col min="10059" max="10060" width="10.75" style="2"/>
    <col min="10061" max="10061" width="2.125" style="2" customWidth="1"/>
    <col min="10062" max="10062" width="12.875" style="2" customWidth="1"/>
    <col min="10063" max="10063" width="10.75" style="2"/>
    <col min="10064" max="10064" width="3.125" style="2" customWidth="1"/>
    <col min="10065" max="10066" width="10.75" style="2"/>
    <col min="10067" max="10067" width="1.875" style="2" customWidth="1"/>
    <col min="10068" max="10072" width="10.75" style="2"/>
    <col min="10073" max="10073" width="1" style="2" customWidth="1"/>
    <col min="10074" max="10075" width="10.75" style="2"/>
    <col min="10076" max="10076" width="0.625" style="2" customWidth="1"/>
    <col min="10077" max="10077" width="10.625" style="2" customWidth="1"/>
    <col min="10078" max="10078" width="2.75" style="2" customWidth="1"/>
    <col min="10079" max="10080" width="6.75" style="2" customWidth="1"/>
    <col min="10081" max="10086" width="10.75" style="2"/>
    <col min="10087" max="10087" width="47.375" style="2" customWidth="1"/>
    <col min="10088" max="10088" width="10.75" style="2"/>
    <col min="10089" max="10089" width="18.625" style="2" customWidth="1"/>
    <col min="10090" max="10090" width="10.75" style="2"/>
    <col min="10091" max="10091" width="4.25" style="2" customWidth="1"/>
    <col min="10092" max="10094" width="10.75" style="2"/>
    <col min="10095" max="10095" width="19.25" style="2" customWidth="1"/>
    <col min="10096" max="10103" width="10.75" style="2"/>
    <col min="10104" max="10107" width="14.625" style="2" customWidth="1"/>
    <col min="10108" max="10165" width="10.75" style="2"/>
    <col min="10166" max="10166" width="12.25" style="2" customWidth="1"/>
    <col min="10167" max="10167" width="16" style="2" customWidth="1"/>
    <col min="10168" max="10168" width="10.75" style="2"/>
    <col min="10169" max="10169" width="20.125" style="2" customWidth="1"/>
    <col min="10170" max="10170" width="3.875" style="2" customWidth="1"/>
    <col min="10171" max="10174" width="13.25" style="2" customWidth="1"/>
    <col min="10175" max="10175" width="16.25" style="2" customWidth="1"/>
    <col min="10176" max="10176" width="13.25" style="2" customWidth="1"/>
    <col min="10177" max="10177" width="14.75" style="2" customWidth="1"/>
    <col min="10178" max="10178" width="21.75" style="2" customWidth="1"/>
    <col min="10179" max="10179" width="10.75" style="2"/>
    <col min="10180" max="10180" width="10.625" style="2" customWidth="1"/>
    <col min="10181" max="10218" width="10.75" style="2"/>
    <col min="10219" max="10219" width="13.25" style="2" customWidth="1"/>
    <col min="10220" max="10220" width="15.875" style="2" customWidth="1"/>
    <col min="10221" max="10231" width="10.75" style="2"/>
    <col min="10232" max="10232" width="1.25" style="2" customWidth="1"/>
    <col min="10233" max="10235" width="10.75" style="2"/>
    <col min="10236" max="10242" width="12.25" style="2" customWidth="1"/>
    <col min="10243" max="10243" width="24.375" style="2" customWidth="1"/>
    <col min="10244" max="10289" width="10.75" style="2"/>
    <col min="10290" max="10290" width="7.25" style="2" customWidth="1"/>
    <col min="10291" max="10291" width="10.75" style="2"/>
    <col min="10292" max="10292" width="9.875" style="2" customWidth="1"/>
    <col min="10293" max="10293" width="8.625" style="2" customWidth="1"/>
    <col min="10294" max="10294" width="7.875" style="2" customWidth="1"/>
    <col min="10295" max="10295" width="15" style="2" customWidth="1"/>
    <col min="10296" max="10300" width="11.875" style="2" customWidth="1"/>
    <col min="10301" max="10301" width="22" style="2" customWidth="1"/>
    <col min="10302" max="10302" width="10.75" style="2"/>
    <col min="10303" max="10303" width="2" style="2" customWidth="1"/>
    <col min="10304" max="10304" width="5.125" style="2" customWidth="1"/>
    <col min="10305" max="10305" width="7.625" style="2" customWidth="1"/>
    <col min="10306" max="10306" width="2" style="2" customWidth="1"/>
    <col min="10307" max="10308" width="10.75" style="2"/>
    <col min="10309" max="10309" width="1.125" style="2" customWidth="1"/>
    <col min="10310" max="10313" width="10.75" style="2"/>
    <col min="10314" max="10314" width="8.625" style="2" customWidth="1"/>
    <col min="10315" max="10316" width="10.75" style="2"/>
    <col min="10317" max="10317" width="2.125" style="2" customWidth="1"/>
    <col min="10318" max="10318" width="12.875" style="2" customWidth="1"/>
    <col min="10319" max="10319" width="10.75" style="2"/>
    <col min="10320" max="10320" width="3.125" style="2" customWidth="1"/>
    <col min="10321" max="10322" width="10.75" style="2"/>
    <col min="10323" max="10323" width="1.875" style="2" customWidth="1"/>
    <col min="10324" max="10328" width="10.75" style="2"/>
    <col min="10329" max="10329" width="1" style="2" customWidth="1"/>
    <col min="10330" max="10331" width="10.75" style="2"/>
    <col min="10332" max="10332" width="0.625" style="2" customWidth="1"/>
    <col min="10333" max="10333" width="10.625" style="2" customWidth="1"/>
    <col min="10334" max="10334" width="2.75" style="2" customWidth="1"/>
    <col min="10335" max="10336" width="6.75" style="2" customWidth="1"/>
    <col min="10337" max="10342" width="10.75" style="2"/>
    <col min="10343" max="10343" width="47.375" style="2" customWidth="1"/>
    <col min="10344" max="10344" width="10.75" style="2"/>
    <col min="10345" max="10345" width="18.625" style="2" customWidth="1"/>
    <col min="10346" max="10346" width="10.75" style="2"/>
    <col min="10347" max="10347" width="4.25" style="2" customWidth="1"/>
    <col min="10348" max="10350" width="10.75" style="2"/>
    <col min="10351" max="10351" width="19.25" style="2" customWidth="1"/>
    <col min="10352" max="10359" width="10.75" style="2"/>
    <col min="10360" max="10363" width="14.625" style="2" customWidth="1"/>
    <col min="10364" max="10421" width="10.75" style="2"/>
    <col min="10422" max="10422" width="12.25" style="2" customWidth="1"/>
    <col min="10423" max="10423" width="16" style="2" customWidth="1"/>
    <col min="10424" max="10424" width="10.75" style="2"/>
    <col min="10425" max="10425" width="20.125" style="2" customWidth="1"/>
    <col min="10426" max="10426" width="3.875" style="2" customWidth="1"/>
    <col min="10427" max="10430" width="13.25" style="2" customWidth="1"/>
    <col min="10431" max="10431" width="16.25" style="2" customWidth="1"/>
    <col min="10432" max="10432" width="13.25" style="2" customWidth="1"/>
    <col min="10433" max="10433" width="14.75" style="2" customWidth="1"/>
    <col min="10434" max="10434" width="21.75" style="2" customWidth="1"/>
    <col min="10435" max="10435" width="10.75" style="2"/>
    <col min="10436" max="10436" width="10.625" style="2" customWidth="1"/>
    <col min="10437" max="10474" width="10.75" style="2"/>
    <col min="10475" max="10475" width="13.25" style="2" customWidth="1"/>
    <col min="10476" max="10476" width="15.875" style="2" customWidth="1"/>
    <col min="10477" max="10487" width="10.75" style="2"/>
    <col min="10488" max="10488" width="1.25" style="2" customWidth="1"/>
    <col min="10489" max="10491" width="10.75" style="2"/>
    <col min="10492" max="10498" width="12.25" style="2" customWidth="1"/>
    <col min="10499" max="10499" width="24.375" style="2" customWidth="1"/>
    <col min="10500" max="10545" width="10.75" style="2"/>
    <col min="10546" max="10546" width="7.25" style="2" customWidth="1"/>
    <col min="10547" max="10547" width="10.75" style="2"/>
    <col min="10548" max="10548" width="9.875" style="2" customWidth="1"/>
    <col min="10549" max="10549" width="8.625" style="2" customWidth="1"/>
    <col min="10550" max="10550" width="7.875" style="2" customWidth="1"/>
    <col min="10551" max="10551" width="15" style="2" customWidth="1"/>
    <col min="10552" max="10556" width="11.875" style="2" customWidth="1"/>
    <col min="10557" max="10557" width="22" style="2" customWidth="1"/>
    <col min="10558" max="10558" width="10.75" style="2"/>
    <col min="10559" max="10559" width="2" style="2" customWidth="1"/>
    <col min="10560" max="10560" width="5.125" style="2" customWidth="1"/>
    <col min="10561" max="10561" width="7.625" style="2" customWidth="1"/>
    <col min="10562" max="10562" width="2" style="2" customWidth="1"/>
    <col min="10563" max="10564" width="10.75" style="2"/>
    <col min="10565" max="10565" width="1.125" style="2" customWidth="1"/>
    <col min="10566" max="10569" width="10.75" style="2"/>
    <col min="10570" max="10570" width="8.625" style="2" customWidth="1"/>
    <col min="10571" max="10572" width="10.75" style="2"/>
    <col min="10573" max="10573" width="2.125" style="2" customWidth="1"/>
    <col min="10574" max="10574" width="12.875" style="2" customWidth="1"/>
    <col min="10575" max="10575" width="10.75" style="2"/>
    <col min="10576" max="10576" width="3.125" style="2" customWidth="1"/>
    <col min="10577" max="10578" width="10.75" style="2"/>
    <col min="10579" max="10579" width="1.875" style="2" customWidth="1"/>
    <col min="10580" max="10584" width="10.75" style="2"/>
    <col min="10585" max="10585" width="1" style="2" customWidth="1"/>
    <col min="10586" max="10587" width="10.75" style="2"/>
    <col min="10588" max="10588" width="0.625" style="2" customWidth="1"/>
    <col min="10589" max="10589" width="10.625" style="2" customWidth="1"/>
    <col min="10590" max="10590" width="2.75" style="2" customWidth="1"/>
    <col min="10591" max="10592" width="6.75" style="2" customWidth="1"/>
    <col min="10593" max="10598" width="10.75" style="2"/>
    <col min="10599" max="10599" width="47.375" style="2" customWidth="1"/>
    <col min="10600" max="10600" width="10.75" style="2"/>
    <col min="10601" max="10601" width="18.625" style="2" customWidth="1"/>
    <col min="10602" max="10602" width="10.75" style="2"/>
    <col min="10603" max="10603" width="4.25" style="2" customWidth="1"/>
    <col min="10604" max="10606" width="10.75" style="2"/>
    <col min="10607" max="10607" width="19.25" style="2" customWidth="1"/>
    <col min="10608" max="10615" width="10.75" style="2"/>
    <col min="10616" max="10619" width="14.625" style="2" customWidth="1"/>
    <col min="10620" max="10677" width="10.75" style="2"/>
    <col min="10678" max="10678" width="12.25" style="2" customWidth="1"/>
    <col min="10679" max="10679" width="16" style="2" customWidth="1"/>
    <col min="10680" max="10680" width="10.75" style="2"/>
    <col min="10681" max="10681" width="20.125" style="2" customWidth="1"/>
    <col min="10682" max="10682" width="3.875" style="2" customWidth="1"/>
    <col min="10683" max="10686" width="13.25" style="2" customWidth="1"/>
    <col min="10687" max="10687" width="16.25" style="2" customWidth="1"/>
    <col min="10688" max="10688" width="13.25" style="2" customWidth="1"/>
    <col min="10689" max="10689" width="14.75" style="2" customWidth="1"/>
    <col min="10690" max="10690" width="21.75" style="2" customWidth="1"/>
    <col min="10691" max="10691" width="10.75" style="2"/>
    <col min="10692" max="10692" width="10.625" style="2" customWidth="1"/>
    <col min="10693" max="10730" width="10.75" style="2"/>
    <col min="10731" max="10731" width="13.25" style="2" customWidth="1"/>
    <col min="10732" max="10732" width="15.875" style="2" customWidth="1"/>
    <col min="10733" max="10743" width="10.75" style="2"/>
    <col min="10744" max="10744" width="1.25" style="2" customWidth="1"/>
    <col min="10745" max="10747" width="10.75" style="2"/>
    <col min="10748" max="10754" width="12.25" style="2" customWidth="1"/>
    <col min="10755" max="10755" width="24.375" style="2" customWidth="1"/>
    <col min="10756" max="10801" width="10.75" style="2"/>
    <col min="10802" max="10802" width="7.25" style="2" customWidth="1"/>
    <col min="10803" max="10803" width="10.75" style="2"/>
    <col min="10804" max="10804" width="9.875" style="2" customWidth="1"/>
    <col min="10805" max="10805" width="8.625" style="2" customWidth="1"/>
    <col min="10806" max="10806" width="7.875" style="2" customWidth="1"/>
    <col min="10807" max="10807" width="15" style="2" customWidth="1"/>
    <col min="10808" max="10812" width="11.875" style="2" customWidth="1"/>
    <col min="10813" max="10813" width="22" style="2" customWidth="1"/>
    <col min="10814" max="10814" width="10.75" style="2"/>
    <col min="10815" max="10815" width="2" style="2" customWidth="1"/>
    <col min="10816" max="10816" width="5.125" style="2" customWidth="1"/>
    <col min="10817" max="10817" width="7.625" style="2" customWidth="1"/>
    <col min="10818" max="10818" width="2" style="2" customWidth="1"/>
    <col min="10819" max="10820" width="10.75" style="2"/>
    <col min="10821" max="10821" width="1.125" style="2" customWidth="1"/>
    <col min="10822" max="10825" width="10.75" style="2"/>
    <col min="10826" max="10826" width="8.625" style="2" customWidth="1"/>
    <col min="10827" max="10828" width="10.75" style="2"/>
    <col min="10829" max="10829" width="2.125" style="2" customWidth="1"/>
    <col min="10830" max="10830" width="12.875" style="2" customWidth="1"/>
    <col min="10831" max="10831" width="10.75" style="2"/>
    <col min="10832" max="10832" width="3.125" style="2" customWidth="1"/>
    <col min="10833" max="10834" width="10.75" style="2"/>
    <col min="10835" max="10835" width="1.875" style="2" customWidth="1"/>
    <col min="10836" max="10840" width="10.75" style="2"/>
    <col min="10841" max="10841" width="1" style="2" customWidth="1"/>
    <col min="10842" max="10843" width="10.75" style="2"/>
    <col min="10844" max="10844" width="0.625" style="2" customWidth="1"/>
    <col min="10845" max="10845" width="10.625" style="2" customWidth="1"/>
    <col min="10846" max="10846" width="2.75" style="2" customWidth="1"/>
    <col min="10847" max="10848" width="6.75" style="2" customWidth="1"/>
    <col min="10849" max="10854" width="10.75" style="2"/>
    <col min="10855" max="10855" width="47.375" style="2" customWidth="1"/>
    <col min="10856" max="10856" width="10.75" style="2"/>
    <col min="10857" max="10857" width="18.625" style="2" customWidth="1"/>
    <col min="10858" max="10858" width="10.75" style="2"/>
    <col min="10859" max="10859" width="4.25" style="2" customWidth="1"/>
    <col min="10860" max="10862" width="10.75" style="2"/>
    <col min="10863" max="10863" width="19.25" style="2" customWidth="1"/>
    <col min="10864" max="10871" width="10.75" style="2"/>
    <col min="10872" max="10875" width="14.625" style="2" customWidth="1"/>
    <col min="10876" max="10933" width="10.75" style="2"/>
    <col min="10934" max="10934" width="12.25" style="2" customWidth="1"/>
    <col min="10935" max="10935" width="16" style="2" customWidth="1"/>
    <col min="10936" max="10936" width="10.75" style="2"/>
    <col min="10937" max="10937" width="20.125" style="2" customWidth="1"/>
    <col min="10938" max="10938" width="3.875" style="2" customWidth="1"/>
    <col min="10939" max="10942" width="13.25" style="2" customWidth="1"/>
    <col min="10943" max="10943" width="16.25" style="2" customWidth="1"/>
    <col min="10944" max="10944" width="13.25" style="2" customWidth="1"/>
    <col min="10945" max="10945" width="14.75" style="2" customWidth="1"/>
    <col min="10946" max="10946" width="21.75" style="2" customWidth="1"/>
    <col min="10947" max="10947" width="10.75" style="2"/>
    <col min="10948" max="10948" width="10.625" style="2" customWidth="1"/>
    <col min="10949" max="10986" width="10.75" style="2"/>
    <col min="10987" max="10987" width="13.25" style="2" customWidth="1"/>
    <col min="10988" max="10988" width="15.875" style="2" customWidth="1"/>
    <col min="10989" max="10999" width="10.75" style="2"/>
    <col min="11000" max="11000" width="1.25" style="2" customWidth="1"/>
    <col min="11001" max="11003" width="10.75" style="2"/>
    <col min="11004" max="11010" width="12.25" style="2" customWidth="1"/>
    <col min="11011" max="11011" width="24.375" style="2" customWidth="1"/>
    <col min="11012" max="11057" width="10.75" style="2"/>
    <col min="11058" max="11058" width="7.25" style="2" customWidth="1"/>
    <col min="11059" max="11059" width="10.75" style="2"/>
    <col min="11060" max="11060" width="9.875" style="2" customWidth="1"/>
    <col min="11061" max="11061" width="8.625" style="2" customWidth="1"/>
    <col min="11062" max="11062" width="7.875" style="2" customWidth="1"/>
    <col min="11063" max="11063" width="15" style="2" customWidth="1"/>
    <col min="11064" max="11068" width="11.875" style="2" customWidth="1"/>
    <col min="11069" max="11069" width="22" style="2" customWidth="1"/>
    <col min="11070" max="11070" width="10.75" style="2"/>
    <col min="11071" max="11071" width="2" style="2" customWidth="1"/>
    <col min="11072" max="11072" width="5.125" style="2" customWidth="1"/>
    <col min="11073" max="11073" width="7.625" style="2" customWidth="1"/>
    <col min="11074" max="11074" width="2" style="2" customWidth="1"/>
    <col min="11075" max="11076" width="10.75" style="2"/>
    <col min="11077" max="11077" width="1.125" style="2" customWidth="1"/>
    <col min="11078" max="11081" width="10.75" style="2"/>
    <col min="11082" max="11082" width="8.625" style="2" customWidth="1"/>
    <col min="11083" max="11084" width="10.75" style="2"/>
    <col min="11085" max="11085" width="2.125" style="2" customWidth="1"/>
    <col min="11086" max="11086" width="12.875" style="2" customWidth="1"/>
    <col min="11087" max="11087" width="10.75" style="2"/>
    <col min="11088" max="11088" width="3.125" style="2" customWidth="1"/>
    <col min="11089" max="11090" width="10.75" style="2"/>
    <col min="11091" max="11091" width="1.875" style="2" customWidth="1"/>
    <col min="11092" max="11096" width="10.75" style="2"/>
    <col min="11097" max="11097" width="1" style="2" customWidth="1"/>
    <col min="11098" max="11099" width="10.75" style="2"/>
    <col min="11100" max="11100" width="0.625" style="2" customWidth="1"/>
    <col min="11101" max="11101" width="10.625" style="2" customWidth="1"/>
    <col min="11102" max="11102" width="2.75" style="2" customWidth="1"/>
    <col min="11103" max="11104" width="6.75" style="2" customWidth="1"/>
    <col min="11105" max="11110" width="10.75" style="2"/>
    <col min="11111" max="11111" width="47.375" style="2" customWidth="1"/>
    <col min="11112" max="11112" width="10.75" style="2"/>
    <col min="11113" max="11113" width="18.625" style="2" customWidth="1"/>
    <col min="11114" max="11114" width="10.75" style="2"/>
    <col min="11115" max="11115" width="4.25" style="2" customWidth="1"/>
    <col min="11116" max="11118" width="10.75" style="2"/>
    <col min="11119" max="11119" width="19.25" style="2" customWidth="1"/>
    <col min="11120" max="11127" width="10.75" style="2"/>
    <col min="11128" max="11131" width="14.625" style="2" customWidth="1"/>
    <col min="11132" max="11189" width="10.75" style="2"/>
    <col min="11190" max="11190" width="12.25" style="2" customWidth="1"/>
    <col min="11191" max="11191" width="16" style="2" customWidth="1"/>
    <col min="11192" max="11192" width="10.75" style="2"/>
    <col min="11193" max="11193" width="20.125" style="2" customWidth="1"/>
    <col min="11194" max="11194" width="3.875" style="2" customWidth="1"/>
    <col min="11195" max="11198" width="13.25" style="2" customWidth="1"/>
    <col min="11199" max="11199" width="16.25" style="2" customWidth="1"/>
    <col min="11200" max="11200" width="13.25" style="2" customWidth="1"/>
    <col min="11201" max="11201" width="14.75" style="2" customWidth="1"/>
    <col min="11202" max="11202" width="21.75" style="2" customWidth="1"/>
    <col min="11203" max="11203" width="10.75" style="2"/>
    <col min="11204" max="11204" width="10.625" style="2" customWidth="1"/>
    <col min="11205" max="11242" width="10.75" style="2"/>
    <col min="11243" max="11243" width="13.25" style="2" customWidth="1"/>
    <col min="11244" max="11244" width="15.875" style="2" customWidth="1"/>
    <col min="11245" max="11255" width="10.75" style="2"/>
    <col min="11256" max="11256" width="1.25" style="2" customWidth="1"/>
    <col min="11257" max="11259" width="10.75" style="2"/>
    <col min="11260" max="11266" width="12.25" style="2" customWidth="1"/>
    <col min="11267" max="11267" width="24.375" style="2" customWidth="1"/>
    <col min="11268" max="11313" width="10.75" style="2"/>
    <col min="11314" max="11314" width="7.25" style="2" customWidth="1"/>
    <col min="11315" max="11315" width="10.75" style="2"/>
    <col min="11316" max="11316" width="9.875" style="2" customWidth="1"/>
    <col min="11317" max="11317" width="8.625" style="2" customWidth="1"/>
    <col min="11318" max="11318" width="7.875" style="2" customWidth="1"/>
    <col min="11319" max="11319" width="15" style="2" customWidth="1"/>
    <col min="11320" max="11324" width="11.875" style="2" customWidth="1"/>
    <col min="11325" max="11325" width="22" style="2" customWidth="1"/>
    <col min="11326" max="11326" width="10.75" style="2"/>
    <col min="11327" max="11327" width="2" style="2" customWidth="1"/>
    <col min="11328" max="11328" width="5.125" style="2" customWidth="1"/>
    <col min="11329" max="11329" width="7.625" style="2" customWidth="1"/>
    <col min="11330" max="11330" width="2" style="2" customWidth="1"/>
    <col min="11331" max="11332" width="10.75" style="2"/>
    <col min="11333" max="11333" width="1.125" style="2" customWidth="1"/>
    <col min="11334" max="11337" width="10.75" style="2"/>
    <col min="11338" max="11338" width="8.625" style="2" customWidth="1"/>
    <col min="11339" max="11340" width="10.75" style="2"/>
    <col min="11341" max="11341" width="2.125" style="2" customWidth="1"/>
    <col min="11342" max="11342" width="12.875" style="2" customWidth="1"/>
    <col min="11343" max="11343" width="10.75" style="2"/>
    <col min="11344" max="11344" width="3.125" style="2" customWidth="1"/>
    <col min="11345" max="11346" width="10.75" style="2"/>
    <col min="11347" max="11347" width="1.875" style="2" customWidth="1"/>
    <col min="11348" max="11352" width="10.75" style="2"/>
    <col min="11353" max="11353" width="1" style="2" customWidth="1"/>
    <col min="11354" max="11355" width="10.75" style="2"/>
    <col min="11356" max="11356" width="0.625" style="2" customWidth="1"/>
    <col min="11357" max="11357" width="10.625" style="2" customWidth="1"/>
    <col min="11358" max="11358" width="2.75" style="2" customWidth="1"/>
    <col min="11359" max="11360" width="6.75" style="2" customWidth="1"/>
    <col min="11361" max="11366" width="10.75" style="2"/>
    <col min="11367" max="11367" width="47.375" style="2" customWidth="1"/>
    <col min="11368" max="11368" width="10.75" style="2"/>
    <col min="11369" max="11369" width="18.625" style="2" customWidth="1"/>
    <col min="11370" max="11370" width="10.75" style="2"/>
    <col min="11371" max="11371" width="4.25" style="2" customWidth="1"/>
    <col min="11372" max="11374" width="10.75" style="2"/>
    <col min="11375" max="11375" width="19.25" style="2" customWidth="1"/>
    <col min="11376" max="11383" width="10.75" style="2"/>
    <col min="11384" max="11387" width="14.625" style="2" customWidth="1"/>
    <col min="11388" max="11445" width="10.75" style="2"/>
    <col min="11446" max="11446" width="12.25" style="2" customWidth="1"/>
    <col min="11447" max="11447" width="16" style="2" customWidth="1"/>
    <col min="11448" max="11448" width="10.75" style="2"/>
    <col min="11449" max="11449" width="20.125" style="2" customWidth="1"/>
    <col min="11450" max="11450" width="3.875" style="2" customWidth="1"/>
    <col min="11451" max="11454" width="13.25" style="2" customWidth="1"/>
    <col min="11455" max="11455" width="16.25" style="2" customWidth="1"/>
    <col min="11456" max="11456" width="13.25" style="2" customWidth="1"/>
    <col min="11457" max="11457" width="14.75" style="2" customWidth="1"/>
    <col min="11458" max="11458" width="21.75" style="2" customWidth="1"/>
    <col min="11459" max="11459" width="10.75" style="2"/>
    <col min="11460" max="11460" width="10.625" style="2" customWidth="1"/>
    <col min="11461" max="11498" width="10.75" style="2"/>
    <col min="11499" max="11499" width="13.25" style="2" customWidth="1"/>
    <col min="11500" max="11500" width="15.875" style="2" customWidth="1"/>
    <col min="11501" max="11511" width="10.75" style="2"/>
    <col min="11512" max="11512" width="1.25" style="2" customWidth="1"/>
    <col min="11513" max="11515" width="10.75" style="2"/>
    <col min="11516" max="11522" width="12.25" style="2" customWidth="1"/>
    <col min="11523" max="11523" width="24.375" style="2" customWidth="1"/>
    <col min="11524" max="11569" width="10.75" style="2"/>
    <col min="11570" max="11570" width="7.25" style="2" customWidth="1"/>
    <col min="11571" max="11571" width="10.75" style="2"/>
    <col min="11572" max="11572" width="9.875" style="2" customWidth="1"/>
    <col min="11573" max="11573" width="8.625" style="2" customWidth="1"/>
    <col min="11574" max="11574" width="7.875" style="2" customWidth="1"/>
    <col min="11575" max="11575" width="15" style="2" customWidth="1"/>
    <col min="11576" max="11580" width="11.875" style="2" customWidth="1"/>
    <col min="11581" max="11581" width="22" style="2" customWidth="1"/>
    <col min="11582" max="11582" width="10.75" style="2"/>
    <col min="11583" max="11583" width="2" style="2" customWidth="1"/>
    <col min="11584" max="11584" width="5.125" style="2" customWidth="1"/>
    <col min="11585" max="11585" width="7.625" style="2" customWidth="1"/>
    <col min="11586" max="11586" width="2" style="2" customWidth="1"/>
    <col min="11587" max="11588" width="10.75" style="2"/>
    <col min="11589" max="11589" width="1.125" style="2" customWidth="1"/>
    <col min="11590" max="11593" width="10.75" style="2"/>
    <col min="11594" max="11594" width="8.625" style="2" customWidth="1"/>
    <col min="11595" max="11596" width="10.75" style="2"/>
    <col min="11597" max="11597" width="2.125" style="2" customWidth="1"/>
    <col min="11598" max="11598" width="12.875" style="2" customWidth="1"/>
    <col min="11599" max="11599" width="10.75" style="2"/>
    <col min="11600" max="11600" width="3.125" style="2" customWidth="1"/>
    <col min="11601" max="11602" width="10.75" style="2"/>
    <col min="11603" max="11603" width="1.875" style="2" customWidth="1"/>
    <col min="11604" max="11608" width="10.75" style="2"/>
    <col min="11609" max="11609" width="1" style="2" customWidth="1"/>
    <col min="11610" max="11611" width="10.75" style="2"/>
    <col min="11612" max="11612" width="0.625" style="2" customWidth="1"/>
    <col min="11613" max="11613" width="10.625" style="2" customWidth="1"/>
    <col min="11614" max="11614" width="2.75" style="2" customWidth="1"/>
    <col min="11615" max="11616" width="6.75" style="2" customWidth="1"/>
    <col min="11617" max="11622" width="10.75" style="2"/>
    <col min="11623" max="11623" width="47.375" style="2" customWidth="1"/>
    <col min="11624" max="11624" width="10.75" style="2"/>
    <col min="11625" max="11625" width="18.625" style="2" customWidth="1"/>
    <col min="11626" max="11626" width="10.75" style="2"/>
    <col min="11627" max="11627" width="4.25" style="2" customWidth="1"/>
    <col min="11628" max="11630" width="10.75" style="2"/>
    <col min="11631" max="11631" width="19.25" style="2" customWidth="1"/>
    <col min="11632" max="11639" width="10.75" style="2"/>
    <col min="11640" max="11643" width="14.625" style="2" customWidth="1"/>
    <col min="11644" max="11701" width="10.75" style="2"/>
    <col min="11702" max="11702" width="12.25" style="2" customWidth="1"/>
    <col min="11703" max="11703" width="16" style="2" customWidth="1"/>
    <col min="11704" max="11704" width="10.75" style="2"/>
    <col min="11705" max="11705" width="20.125" style="2" customWidth="1"/>
    <col min="11706" max="11706" width="3.875" style="2" customWidth="1"/>
    <col min="11707" max="11710" width="13.25" style="2" customWidth="1"/>
    <col min="11711" max="11711" width="16.25" style="2" customWidth="1"/>
    <col min="11712" max="11712" width="13.25" style="2" customWidth="1"/>
    <col min="11713" max="11713" width="14.75" style="2" customWidth="1"/>
    <col min="11714" max="11714" width="21.75" style="2" customWidth="1"/>
    <col min="11715" max="11715" width="10.75" style="2"/>
    <col min="11716" max="11716" width="10.625" style="2" customWidth="1"/>
    <col min="11717" max="11754" width="10.75" style="2"/>
    <col min="11755" max="11755" width="13.25" style="2" customWidth="1"/>
    <col min="11756" max="11756" width="15.875" style="2" customWidth="1"/>
    <col min="11757" max="11767" width="10.75" style="2"/>
    <col min="11768" max="11768" width="1.25" style="2" customWidth="1"/>
    <col min="11769" max="11771" width="10.75" style="2"/>
    <col min="11772" max="11778" width="12.25" style="2" customWidth="1"/>
    <col min="11779" max="11779" width="24.375" style="2" customWidth="1"/>
    <col min="11780" max="11825" width="10.75" style="2"/>
    <col min="11826" max="11826" width="7.25" style="2" customWidth="1"/>
    <col min="11827" max="11827" width="10.75" style="2"/>
    <col min="11828" max="11828" width="9.875" style="2" customWidth="1"/>
    <col min="11829" max="11829" width="8.625" style="2" customWidth="1"/>
    <col min="11830" max="11830" width="7.875" style="2" customWidth="1"/>
    <col min="11831" max="11831" width="15" style="2" customWidth="1"/>
    <col min="11832" max="11836" width="11.875" style="2" customWidth="1"/>
    <col min="11837" max="11837" width="22" style="2" customWidth="1"/>
    <col min="11838" max="11838" width="10.75" style="2"/>
    <col min="11839" max="11839" width="2" style="2" customWidth="1"/>
    <col min="11840" max="11840" width="5.125" style="2" customWidth="1"/>
    <col min="11841" max="11841" width="7.625" style="2" customWidth="1"/>
    <col min="11842" max="11842" width="2" style="2" customWidth="1"/>
    <col min="11843" max="11844" width="10.75" style="2"/>
    <col min="11845" max="11845" width="1.125" style="2" customWidth="1"/>
    <col min="11846" max="11849" width="10.75" style="2"/>
    <col min="11850" max="11850" width="8.625" style="2" customWidth="1"/>
    <col min="11851" max="11852" width="10.75" style="2"/>
    <col min="11853" max="11853" width="2.125" style="2" customWidth="1"/>
    <col min="11854" max="11854" width="12.875" style="2" customWidth="1"/>
    <col min="11855" max="11855" width="10.75" style="2"/>
    <col min="11856" max="11856" width="3.125" style="2" customWidth="1"/>
    <col min="11857" max="11858" width="10.75" style="2"/>
    <col min="11859" max="11859" width="1.875" style="2" customWidth="1"/>
    <col min="11860" max="11864" width="10.75" style="2"/>
    <col min="11865" max="11865" width="1" style="2" customWidth="1"/>
    <col min="11866" max="11867" width="10.75" style="2"/>
    <col min="11868" max="11868" width="0.625" style="2" customWidth="1"/>
    <col min="11869" max="11869" width="10.625" style="2" customWidth="1"/>
    <col min="11870" max="11870" width="2.75" style="2" customWidth="1"/>
    <col min="11871" max="11872" width="6.75" style="2" customWidth="1"/>
    <col min="11873" max="11878" width="10.75" style="2"/>
    <col min="11879" max="11879" width="47.375" style="2" customWidth="1"/>
    <col min="11880" max="11880" width="10.75" style="2"/>
    <col min="11881" max="11881" width="18.625" style="2" customWidth="1"/>
    <col min="11882" max="11882" width="10.75" style="2"/>
    <col min="11883" max="11883" width="4.25" style="2" customWidth="1"/>
    <col min="11884" max="11886" width="10.75" style="2"/>
    <col min="11887" max="11887" width="19.25" style="2" customWidth="1"/>
    <col min="11888" max="11895" width="10.75" style="2"/>
    <col min="11896" max="11899" width="14.625" style="2" customWidth="1"/>
    <col min="11900" max="11957" width="10.75" style="2"/>
    <col min="11958" max="11958" width="12.25" style="2" customWidth="1"/>
    <col min="11959" max="11959" width="16" style="2" customWidth="1"/>
    <col min="11960" max="11960" width="10.75" style="2"/>
    <col min="11961" max="11961" width="20.125" style="2" customWidth="1"/>
    <col min="11962" max="11962" width="3.875" style="2" customWidth="1"/>
    <col min="11963" max="11966" width="13.25" style="2" customWidth="1"/>
    <col min="11967" max="11967" width="16.25" style="2" customWidth="1"/>
    <col min="11968" max="11968" width="13.25" style="2" customWidth="1"/>
    <col min="11969" max="11969" width="14.75" style="2" customWidth="1"/>
    <col min="11970" max="11970" width="21.75" style="2" customWidth="1"/>
    <col min="11971" max="11971" width="10.75" style="2"/>
    <col min="11972" max="11972" width="10.625" style="2" customWidth="1"/>
    <col min="11973" max="12010" width="10.75" style="2"/>
    <col min="12011" max="12011" width="13.25" style="2" customWidth="1"/>
    <col min="12012" max="12012" width="15.875" style="2" customWidth="1"/>
    <col min="12013" max="12023" width="10.75" style="2"/>
    <col min="12024" max="12024" width="1.25" style="2" customWidth="1"/>
    <col min="12025" max="12027" width="10.75" style="2"/>
    <col min="12028" max="12034" width="12.25" style="2" customWidth="1"/>
    <col min="12035" max="12035" width="24.375" style="2" customWidth="1"/>
    <col min="12036" max="12081" width="10.75" style="2"/>
    <col min="12082" max="12082" width="7.25" style="2" customWidth="1"/>
    <col min="12083" max="12083" width="10.75" style="2"/>
    <col min="12084" max="12084" width="9.875" style="2" customWidth="1"/>
    <col min="12085" max="12085" width="8.625" style="2" customWidth="1"/>
    <col min="12086" max="12086" width="7.875" style="2" customWidth="1"/>
    <col min="12087" max="12087" width="15" style="2" customWidth="1"/>
    <col min="12088" max="12092" width="11.875" style="2" customWidth="1"/>
    <col min="12093" max="12093" width="22" style="2" customWidth="1"/>
    <col min="12094" max="12094" width="10.75" style="2"/>
    <col min="12095" max="12095" width="2" style="2" customWidth="1"/>
    <col min="12096" max="12096" width="5.125" style="2" customWidth="1"/>
    <col min="12097" max="12097" width="7.625" style="2" customWidth="1"/>
    <col min="12098" max="12098" width="2" style="2" customWidth="1"/>
    <col min="12099" max="12100" width="10.75" style="2"/>
    <col min="12101" max="12101" width="1.125" style="2" customWidth="1"/>
    <col min="12102" max="12105" width="10.75" style="2"/>
    <col min="12106" max="12106" width="8.625" style="2" customWidth="1"/>
    <col min="12107" max="12108" width="10.75" style="2"/>
    <col min="12109" max="12109" width="2.125" style="2" customWidth="1"/>
    <col min="12110" max="12110" width="12.875" style="2" customWidth="1"/>
    <col min="12111" max="12111" width="10.75" style="2"/>
    <col min="12112" max="12112" width="3.125" style="2" customWidth="1"/>
    <col min="12113" max="12114" width="10.75" style="2"/>
    <col min="12115" max="12115" width="1.875" style="2" customWidth="1"/>
    <col min="12116" max="12120" width="10.75" style="2"/>
    <col min="12121" max="12121" width="1" style="2" customWidth="1"/>
    <col min="12122" max="12123" width="10.75" style="2"/>
    <col min="12124" max="12124" width="0.625" style="2" customWidth="1"/>
    <col min="12125" max="12125" width="10.625" style="2" customWidth="1"/>
    <col min="12126" max="12126" width="2.75" style="2" customWidth="1"/>
    <col min="12127" max="12128" width="6.75" style="2" customWidth="1"/>
    <col min="12129" max="12134" width="10.75" style="2"/>
    <col min="12135" max="12135" width="47.375" style="2" customWidth="1"/>
    <col min="12136" max="12136" width="10.75" style="2"/>
    <col min="12137" max="12137" width="18.625" style="2" customWidth="1"/>
    <col min="12138" max="12138" width="10.75" style="2"/>
    <col min="12139" max="12139" width="4.25" style="2" customWidth="1"/>
    <col min="12140" max="12142" width="10.75" style="2"/>
    <col min="12143" max="12143" width="19.25" style="2" customWidth="1"/>
    <col min="12144" max="12151" width="10.75" style="2"/>
    <col min="12152" max="12155" width="14.625" style="2" customWidth="1"/>
    <col min="12156" max="12213" width="10.75" style="2"/>
    <col min="12214" max="12214" width="12.25" style="2" customWidth="1"/>
    <col min="12215" max="12215" width="16" style="2" customWidth="1"/>
    <col min="12216" max="12216" width="10.75" style="2"/>
    <col min="12217" max="12217" width="20.125" style="2" customWidth="1"/>
    <col min="12218" max="12218" width="3.875" style="2" customWidth="1"/>
    <col min="12219" max="12222" width="13.25" style="2" customWidth="1"/>
    <col min="12223" max="12223" width="16.25" style="2" customWidth="1"/>
    <col min="12224" max="12224" width="13.25" style="2" customWidth="1"/>
    <col min="12225" max="12225" width="14.75" style="2" customWidth="1"/>
    <col min="12226" max="12226" width="21.75" style="2" customWidth="1"/>
    <col min="12227" max="12227" width="10.75" style="2"/>
    <col min="12228" max="12228" width="10.625" style="2" customWidth="1"/>
    <col min="12229" max="12266" width="10.75" style="2"/>
    <col min="12267" max="12267" width="13.25" style="2" customWidth="1"/>
    <col min="12268" max="12268" width="15.875" style="2" customWidth="1"/>
    <col min="12269" max="12279" width="10.75" style="2"/>
    <col min="12280" max="12280" width="1.25" style="2" customWidth="1"/>
    <col min="12281" max="12283" width="10.75" style="2"/>
    <col min="12284" max="12290" width="12.25" style="2" customWidth="1"/>
    <col min="12291" max="12291" width="24.375" style="2" customWidth="1"/>
    <col min="12292" max="12337" width="10.75" style="2"/>
    <col min="12338" max="12338" width="7.25" style="2" customWidth="1"/>
    <col min="12339" max="12339" width="10.75" style="2"/>
    <col min="12340" max="12340" width="9.875" style="2" customWidth="1"/>
    <col min="12341" max="12341" width="8.625" style="2" customWidth="1"/>
    <col min="12342" max="12342" width="7.875" style="2" customWidth="1"/>
    <col min="12343" max="12343" width="15" style="2" customWidth="1"/>
    <col min="12344" max="12348" width="11.875" style="2" customWidth="1"/>
    <col min="12349" max="12349" width="22" style="2" customWidth="1"/>
    <col min="12350" max="12350" width="10.75" style="2"/>
    <col min="12351" max="12351" width="2" style="2" customWidth="1"/>
    <col min="12352" max="12352" width="5.125" style="2" customWidth="1"/>
    <col min="12353" max="12353" width="7.625" style="2" customWidth="1"/>
    <col min="12354" max="12354" width="2" style="2" customWidth="1"/>
    <col min="12355" max="12356" width="10.75" style="2"/>
    <col min="12357" max="12357" width="1.125" style="2" customWidth="1"/>
    <col min="12358" max="12361" width="10.75" style="2"/>
    <col min="12362" max="12362" width="8.625" style="2" customWidth="1"/>
    <col min="12363" max="12364" width="10.75" style="2"/>
    <col min="12365" max="12365" width="2.125" style="2" customWidth="1"/>
    <col min="12366" max="12366" width="12.875" style="2" customWidth="1"/>
    <col min="12367" max="12367" width="10.75" style="2"/>
    <col min="12368" max="12368" width="3.125" style="2" customWidth="1"/>
    <col min="12369" max="12370" width="10.75" style="2"/>
    <col min="12371" max="12371" width="1.875" style="2" customWidth="1"/>
    <col min="12372" max="12376" width="10.75" style="2"/>
    <col min="12377" max="12377" width="1" style="2" customWidth="1"/>
    <col min="12378" max="12379" width="10.75" style="2"/>
    <col min="12380" max="12380" width="0.625" style="2" customWidth="1"/>
    <col min="12381" max="12381" width="10.625" style="2" customWidth="1"/>
    <col min="12382" max="12382" width="2.75" style="2" customWidth="1"/>
    <col min="12383" max="12384" width="6.75" style="2" customWidth="1"/>
    <col min="12385" max="12390" width="10.75" style="2"/>
    <col min="12391" max="12391" width="47.375" style="2" customWidth="1"/>
    <col min="12392" max="12392" width="10.75" style="2"/>
    <col min="12393" max="12393" width="18.625" style="2" customWidth="1"/>
    <col min="12394" max="12394" width="10.75" style="2"/>
    <col min="12395" max="12395" width="4.25" style="2" customWidth="1"/>
    <col min="12396" max="12398" width="10.75" style="2"/>
    <col min="12399" max="12399" width="19.25" style="2" customWidth="1"/>
    <col min="12400" max="12407" width="10.75" style="2"/>
    <col min="12408" max="12411" width="14.625" style="2" customWidth="1"/>
    <col min="12412" max="12469" width="10.75" style="2"/>
    <col min="12470" max="12470" width="12.25" style="2" customWidth="1"/>
    <col min="12471" max="12471" width="16" style="2" customWidth="1"/>
    <col min="12472" max="12472" width="10.75" style="2"/>
    <col min="12473" max="12473" width="20.125" style="2" customWidth="1"/>
    <col min="12474" max="12474" width="3.875" style="2" customWidth="1"/>
    <col min="12475" max="12478" width="13.25" style="2" customWidth="1"/>
    <col min="12479" max="12479" width="16.25" style="2" customWidth="1"/>
    <col min="12480" max="12480" width="13.25" style="2" customWidth="1"/>
    <col min="12481" max="12481" width="14.75" style="2" customWidth="1"/>
    <col min="12482" max="12482" width="21.75" style="2" customWidth="1"/>
    <col min="12483" max="12483" width="10.75" style="2"/>
    <col min="12484" max="12484" width="10.625" style="2" customWidth="1"/>
    <col min="12485" max="12522" width="10.75" style="2"/>
    <col min="12523" max="12523" width="13.25" style="2" customWidth="1"/>
    <col min="12524" max="12524" width="15.875" style="2" customWidth="1"/>
    <col min="12525" max="12535" width="10.75" style="2"/>
    <col min="12536" max="12536" width="1.25" style="2" customWidth="1"/>
    <col min="12537" max="12539" width="10.75" style="2"/>
    <col min="12540" max="12546" width="12.25" style="2" customWidth="1"/>
    <col min="12547" max="12547" width="24.375" style="2" customWidth="1"/>
    <col min="12548" max="12593" width="10.75" style="2"/>
    <col min="12594" max="12594" width="7.25" style="2" customWidth="1"/>
    <col min="12595" max="12595" width="10.75" style="2"/>
    <col min="12596" max="12596" width="9.875" style="2" customWidth="1"/>
    <col min="12597" max="12597" width="8.625" style="2" customWidth="1"/>
    <col min="12598" max="12598" width="7.875" style="2" customWidth="1"/>
    <col min="12599" max="12599" width="15" style="2" customWidth="1"/>
    <col min="12600" max="12604" width="11.875" style="2" customWidth="1"/>
    <col min="12605" max="12605" width="22" style="2" customWidth="1"/>
    <col min="12606" max="12606" width="10.75" style="2"/>
    <col min="12607" max="12607" width="2" style="2" customWidth="1"/>
    <col min="12608" max="12608" width="5.125" style="2" customWidth="1"/>
    <col min="12609" max="12609" width="7.625" style="2" customWidth="1"/>
    <col min="12610" max="12610" width="2" style="2" customWidth="1"/>
    <col min="12611" max="12612" width="10.75" style="2"/>
    <col min="12613" max="12613" width="1.125" style="2" customWidth="1"/>
    <col min="12614" max="12617" width="10.75" style="2"/>
    <col min="12618" max="12618" width="8.625" style="2" customWidth="1"/>
    <col min="12619" max="12620" width="10.75" style="2"/>
    <col min="12621" max="12621" width="2.125" style="2" customWidth="1"/>
    <col min="12622" max="12622" width="12.875" style="2" customWidth="1"/>
    <col min="12623" max="12623" width="10.75" style="2"/>
    <col min="12624" max="12624" width="3.125" style="2" customWidth="1"/>
    <col min="12625" max="12626" width="10.75" style="2"/>
    <col min="12627" max="12627" width="1.875" style="2" customWidth="1"/>
    <col min="12628" max="12632" width="10.75" style="2"/>
    <col min="12633" max="12633" width="1" style="2" customWidth="1"/>
    <col min="12634" max="12635" width="10.75" style="2"/>
    <col min="12636" max="12636" width="0.625" style="2" customWidth="1"/>
    <col min="12637" max="12637" width="10.625" style="2" customWidth="1"/>
    <col min="12638" max="12638" width="2.75" style="2" customWidth="1"/>
    <col min="12639" max="12640" width="6.75" style="2" customWidth="1"/>
    <col min="12641" max="12646" width="10.75" style="2"/>
    <col min="12647" max="12647" width="47.375" style="2" customWidth="1"/>
    <col min="12648" max="12648" width="10.75" style="2"/>
    <col min="12649" max="12649" width="18.625" style="2" customWidth="1"/>
    <col min="12650" max="12650" width="10.75" style="2"/>
    <col min="12651" max="12651" width="4.25" style="2" customWidth="1"/>
    <col min="12652" max="12654" width="10.75" style="2"/>
    <col min="12655" max="12655" width="19.25" style="2" customWidth="1"/>
    <col min="12656" max="12663" width="10.75" style="2"/>
    <col min="12664" max="12667" width="14.625" style="2" customWidth="1"/>
    <col min="12668" max="12725" width="10.75" style="2"/>
    <col min="12726" max="12726" width="12.25" style="2" customWidth="1"/>
    <col min="12727" max="12727" width="16" style="2" customWidth="1"/>
    <col min="12728" max="12728" width="10.75" style="2"/>
    <col min="12729" max="12729" width="20.125" style="2" customWidth="1"/>
    <col min="12730" max="12730" width="3.875" style="2" customWidth="1"/>
    <col min="12731" max="12734" width="13.25" style="2" customWidth="1"/>
    <col min="12735" max="12735" width="16.25" style="2" customWidth="1"/>
    <col min="12736" max="12736" width="13.25" style="2" customWidth="1"/>
    <col min="12737" max="12737" width="14.75" style="2" customWidth="1"/>
    <col min="12738" max="12738" width="21.75" style="2" customWidth="1"/>
    <col min="12739" max="12739" width="10.75" style="2"/>
    <col min="12740" max="12740" width="10.625" style="2" customWidth="1"/>
    <col min="12741" max="12778" width="10.75" style="2"/>
    <col min="12779" max="12779" width="13.25" style="2" customWidth="1"/>
    <col min="12780" max="12780" width="15.875" style="2" customWidth="1"/>
    <col min="12781" max="12791" width="10.75" style="2"/>
    <col min="12792" max="12792" width="1.25" style="2" customWidth="1"/>
    <col min="12793" max="12795" width="10.75" style="2"/>
    <col min="12796" max="12802" width="12.25" style="2" customWidth="1"/>
    <col min="12803" max="12803" width="24.375" style="2" customWidth="1"/>
    <col min="12804" max="12849" width="10.75" style="2"/>
    <col min="12850" max="12850" width="7.25" style="2" customWidth="1"/>
    <col min="12851" max="12851" width="10.75" style="2"/>
    <col min="12852" max="12852" width="9.875" style="2" customWidth="1"/>
    <col min="12853" max="12853" width="8.625" style="2" customWidth="1"/>
    <col min="12854" max="12854" width="7.875" style="2" customWidth="1"/>
    <col min="12855" max="12855" width="15" style="2" customWidth="1"/>
    <col min="12856" max="12860" width="11.875" style="2" customWidth="1"/>
    <col min="12861" max="12861" width="22" style="2" customWidth="1"/>
    <col min="12862" max="12862" width="10.75" style="2"/>
    <col min="12863" max="12863" width="2" style="2" customWidth="1"/>
    <col min="12864" max="12864" width="5.125" style="2" customWidth="1"/>
    <col min="12865" max="12865" width="7.625" style="2" customWidth="1"/>
    <col min="12866" max="12866" width="2" style="2" customWidth="1"/>
    <col min="12867" max="12868" width="10.75" style="2"/>
    <col min="12869" max="12869" width="1.125" style="2" customWidth="1"/>
    <col min="12870" max="12873" width="10.75" style="2"/>
    <col min="12874" max="12874" width="8.625" style="2" customWidth="1"/>
    <col min="12875" max="12876" width="10.75" style="2"/>
    <col min="12877" max="12877" width="2.125" style="2" customWidth="1"/>
    <col min="12878" max="12878" width="12.875" style="2" customWidth="1"/>
    <col min="12879" max="12879" width="10.75" style="2"/>
    <col min="12880" max="12880" width="3.125" style="2" customWidth="1"/>
    <col min="12881" max="12882" width="10.75" style="2"/>
    <col min="12883" max="12883" width="1.875" style="2" customWidth="1"/>
    <col min="12884" max="12888" width="10.75" style="2"/>
    <col min="12889" max="12889" width="1" style="2" customWidth="1"/>
    <col min="12890" max="12891" width="10.75" style="2"/>
    <col min="12892" max="12892" width="0.625" style="2" customWidth="1"/>
    <col min="12893" max="12893" width="10.625" style="2" customWidth="1"/>
    <col min="12894" max="12894" width="2.75" style="2" customWidth="1"/>
    <col min="12895" max="12896" width="6.75" style="2" customWidth="1"/>
    <col min="12897" max="12902" width="10.75" style="2"/>
    <col min="12903" max="12903" width="47.375" style="2" customWidth="1"/>
    <col min="12904" max="12904" width="10.75" style="2"/>
    <col min="12905" max="12905" width="18.625" style="2" customWidth="1"/>
    <col min="12906" max="12906" width="10.75" style="2"/>
    <col min="12907" max="12907" width="4.25" style="2" customWidth="1"/>
    <col min="12908" max="12910" width="10.75" style="2"/>
    <col min="12911" max="12911" width="19.25" style="2" customWidth="1"/>
    <col min="12912" max="12919" width="10.75" style="2"/>
    <col min="12920" max="12923" width="14.625" style="2" customWidth="1"/>
    <col min="12924" max="12981" width="10.75" style="2"/>
    <col min="12982" max="12982" width="12.25" style="2" customWidth="1"/>
    <col min="12983" max="12983" width="16" style="2" customWidth="1"/>
    <col min="12984" max="12984" width="10.75" style="2"/>
    <col min="12985" max="12985" width="20.125" style="2" customWidth="1"/>
    <col min="12986" max="12986" width="3.875" style="2" customWidth="1"/>
    <col min="12987" max="12990" width="13.25" style="2" customWidth="1"/>
    <col min="12991" max="12991" width="16.25" style="2" customWidth="1"/>
    <col min="12992" max="12992" width="13.25" style="2" customWidth="1"/>
    <col min="12993" max="12993" width="14.75" style="2" customWidth="1"/>
    <col min="12994" max="12994" width="21.75" style="2" customWidth="1"/>
    <col min="12995" max="12995" width="10.75" style="2"/>
    <col min="12996" max="12996" width="10.625" style="2" customWidth="1"/>
    <col min="12997" max="13034" width="10.75" style="2"/>
    <col min="13035" max="13035" width="13.25" style="2" customWidth="1"/>
    <col min="13036" max="13036" width="15.875" style="2" customWidth="1"/>
    <col min="13037" max="13047" width="10.75" style="2"/>
    <col min="13048" max="13048" width="1.25" style="2" customWidth="1"/>
    <col min="13049" max="13051" width="10.75" style="2"/>
    <col min="13052" max="13058" width="12.25" style="2" customWidth="1"/>
    <col min="13059" max="13059" width="24.375" style="2" customWidth="1"/>
    <col min="13060" max="13105" width="10.75" style="2"/>
    <col min="13106" max="13106" width="7.25" style="2" customWidth="1"/>
    <col min="13107" max="13107" width="10.75" style="2"/>
    <col min="13108" max="13108" width="9.875" style="2" customWidth="1"/>
    <col min="13109" max="13109" width="8.625" style="2" customWidth="1"/>
    <col min="13110" max="13110" width="7.875" style="2" customWidth="1"/>
    <col min="13111" max="13111" width="15" style="2" customWidth="1"/>
    <col min="13112" max="13116" width="11.875" style="2" customWidth="1"/>
    <col min="13117" max="13117" width="22" style="2" customWidth="1"/>
    <col min="13118" max="13118" width="10.75" style="2"/>
    <col min="13119" max="13119" width="2" style="2" customWidth="1"/>
    <col min="13120" max="13120" width="5.125" style="2" customWidth="1"/>
    <col min="13121" max="13121" width="7.625" style="2" customWidth="1"/>
    <col min="13122" max="13122" width="2" style="2" customWidth="1"/>
    <col min="13123" max="13124" width="10.75" style="2"/>
    <col min="13125" max="13125" width="1.125" style="2" customWidth="1"/>
    <col min="13126" max="13129" width="10.75" style="2"/>
    <col min="13130" max="13130" width="8.625" style="2" customWidth="1"/>
    <col min="13131" max="13132" width="10.75" style="2"/>
    <col min="13133" max="13133" width="2.125" style="2" customWidth="1"/>
    <col min="13134" max="13134" width="12.875" style="2" customWidth="1"/>
    <col min="13135" max="13135" width="10.75" style="2"/>
    <col min="13136" max="13136" width="3.125" style="2" customWidth="1"/>
    <col min="13137" max="13138" width="10.75" style="2"/>
    <col min="13139" max="13139" width="1.875" style="2" customWidth="1"/>
    <col min="13140" max="13144" width="10.75" style="2"/>
    <col min="13145" max="13145" width="1" style="2" customWidth="1"/>
    <col min="13146" max="13147" width="10.75" style="2"/>
    <col min="13148" max="13148" width="0.625" style="2" customWidth="1"/>
    <col min="13149" max="13149" width="10.625" style="2" customWidth="1"/>
    <col min="13150" max="13150" width="2.75" style="2" customWidth="1"/>
    <col min="13151" max="13152" width="6.75" style="2" customWidth="1"/>
    <col min="13153" max="13158" width="10.75" style="2"/>
    <col min="13159" max="13159" width="47.375" style="2" customWidth="1"/>
    <col min="13160" max="13160" width="10.75" style="2"/>
    <col min="13161" max="13161" width="18.625" style="2" customWidth="1"/>
    <col min="13162" max="13162" width="10.75" style="2"/>
    <col min="13163" max="13163" width="4.25" style="2" customWidth="1"/>
    <col min="13164" max="13166" width="10.75" style="2"/>
    <col min="13167" max="13167" width="19.25" style="2" customWidth="1"/>
    <col min="13168" max="13175" width="10.75" style="2"/>
    <col min="13176" max="13179" width="14.625" style="2" customWidth="1"/>
    <col min="13180" max="13237" width="10.75" style="2"/>
    <col min="13238" max="13238" width="12.25" style="2" customWidth="1"/>
    <col min="13239" max="13239" width="16" style="2" customWidth="1"/>
    <col min="13240" max="13240" width="10.75" style="2"/>
    <col min="13241" max="13241" width="20.125" style="2" customWidth="1"/>
    <col min="13242" max="13242" width="3.875" style="2" customWidth="1"/>
    <col min="13243" max="13246" width="13.25" style="2" customWidth="1"/>
    <col min="13247" max="13247" width="16.25" style="2" customWidth="1"/>
    <col min="13248" max="13248" width="13.25" style="2" customWidth="1"/>
    <col min="13249" max="13249" width="14.75" style="2" customWidth="1"/>
    <col min="13250" max="13250" width="21.75" style="2" customWidth="1"/>
    <col min="13251" max="13251" width="10.75" style="2"/>
    <col min="13252" max="13252" width="10.625" style="2" customWidth="1"/>
    <col min="13253" max="13290" width="10.75" style="2"/>
    <col min="13291" max="13291" width="13.25" style="2" customWidth="1"/>
    <col min="13292" max="13292" width="15.875" style="2" customWidth="1"/>
    <col min="13293" max="13303" width="10.75" style="2"/>
    <col min="13304" max="13304" width="1.25" style="2" customWidth="1"/>
    <col min="13305" max="13307" width="10.75" style="2"/>
    <col min="13308" max="13314" width="12.25" style="2" customWidth="1"/>
    <col min="13315" max="13315" width="24.375" style="2" customWidth="1"/>
    <col min="13316" max="13361" width="10.75" style="2"/>
    <col min="13362" max="13362" width="7.25" style="2" customWidth="1"/>
    <col min="13363" max="13363" width="10.75" style="2"/>
    <col min="13364" max="13364" width="9.875" style="2" customWidth="1"/>
    <col min="13365" max="13365" width="8.625" style="2" customWidth="1"/>
    <col min="13366" max="13366" width="7.875" style="2" customWidth="1"/>
    <col min="13367" max="13367" width="15" style="2" customWidth="1"/>
    <col min="13368" max="13372" width="11.875" style="2" customWidth="1"/>
    <col min="13373" max="13373" width="22" style="2" customWidth="1"/>
    <col min="13374" max="13374" width="10.75" style="2"/>
    <col min="13375" max="13375" width="2" style="2" customWidth="1"/>
    <col min="13376" max="13376" width="5.125" style="2" customWidth="1"/>
    <col min="13377" max="13377" width="7.625" style="2" customWidth="1"/>
    <col min="13378" max="13378" width="2" style="2" customWidth="1"/>
    <col min="13379" max="13380" width="10.75" style="2"/>
    <col min="13381" max="13381" width="1.125" style="2" customWidth="1"/>
    <col min="13382" max="13385" width="10.75" style="2"/>
    <col min="13386" max="13386" width="8.625" style="2" customWidth="1"/>
    <col min="13387" max="13388" width="10.75" style="2"/>
    <col min="13389" max="13389" width="2.125" style="2" customWidth="1"/>
    <col min="13390" max="13390" width="12.875" style="2" customWidth="1"/>
    <col min="13391" max="13391" width="10.75" style="2"/>
    <col min="13392" max="13392" width="3.125" style="2" customWidth="1"/>
    <col min="13393" max="13394" width="10.75" style="2"/>
    <col min="13395" max="13395" width="1.875" style="2" customWidth="1"/>
    <col min="13396" max="13400" width="10.75" style="2"/>
    <col min="13401" max="13401" width="1" style="2" customWidth="1"/>
    <col min="13402" max="13403" width="10.75" style="2"/>
    <col min="13404" max="13404" width="0.625" style="2" customWidth="1"/>
    <col min="13405" max="13405" width="10.625" style="2" customWidth="1"/>
    <col min="13406" max="13406" width="2.75" style="2" customWidth="1"/>
    <col min="13407" max="13408" width="6.75" style="2" customWidth="1"/>
    <col min="13409" max="13414" width="10.75" style="2"/>
    <col min="13415" max="13415" width="47.375" style="2" customWidth="1"/>
    <col min="13416" max="13416" width="10.75" style="2"/>
    <col min="13417" max="13417" width="18.625" style="2" customWidth="1"/>
    <col min="13418" max="13418" width="10.75" style="2"/>
    <col min="13419" max="13419" width="4.25" style="2" customWidth="1"/>
    <col min="13420" max="13422" width="10.75" style="2"/>
    <col min="13423" max="13423" width="19.25" style="2" customWidth="1"/>
    <col min="13424" max="13431" width="10.75" style="2"/>
    <col min="13432" max="13435" width="14.625" style="2" customWidth="1"/>
    <col min="13436" max="13493" width="10.75" style="2"/>
    <col min="13494" max="13494" width="12.25" style="2" customWidth="1"/>
    <col min="13495" max="13495" width="16" style="2" customWidth="1"/>
    <col min="13496" max="13496" width="10.75" style="2"/>
    <col min="13497" max="13497" width="20.125" style="2" customWidth="1"/>
    <col min="13498" max="13498" width="3.875" style="2" customWidth="1"/>
    <col min="13499" max="13502" width="13.25" style="2" customWidth="1"/>
    <col min="13503" max="13503" width="16.25" style="2" customWidth="1"/>
    <col min="13504" max="13504" width="13.25" style="2" customWidth="1"/>
    <col min="13505" max="13505" width="14.75" style="2" customWidth="1"/>
    <col min="13506" max="13506" width="21.75" style="2" customWidth="1"/>
    <col min="13507" max="13507" width="10.75" style="2"/>
    <col min="13508" max="13508" width="10.625" style="2" customWidth="1"/>
    <col min="13509" max="13546" width="10.75" style="2"/>
    <col min="13547" max="13547" width="13.25" style="2" customWidth="1"/>
    <col min="13548" max="13548" width="15.875" style="2" customWidth="1"/>
    <col min="13549" max="13559" width="10.75" style="2"/>
    <col min="13560" max="13560" width="1.25" style="2" customWidth="1"/>
    <col min="13561" max="13563" width="10.75" style="2"/>
    <col min="13564" max="13570" width="12.25" style="2" customWidth="1"/>
    <col min="13571" max="13571" width="24.375" style="2" customWidth="1"/>
    <col min="13572" max="13617" width="10.75" style="2"/>
    <col min="13618" max="13618" width="7.25" style="2" customWidth="1"/>
    <col min="13619" max="13619" width="10.75" style="2"/>
    <col min="13620" max="13620" width="9.875" style="2" customWidth="1"/>
    <col min="13621" max="13621" width="8.625" style="2" customWidth="1"/>
    <col min="13622" max="13622" width="7.875" style="2" customWidth="1"/>
    <col min="13623" max="13623" width="15" style="2" customWidth="1"/>
    <col min="13624" max="13628" width="11.875" style="2" customWidth="1"/>
    <col min="13629" max="13629" width="22" style="2" customWidth="1"/>
    <col min="13630" max="13630" width="10.75" style="2"/>
    <col min="13631" max="13631" width="2" style="2" customWidth="1"/>
    <col min="13632" max="13632" width="5.125" style="2" customWidth="1"/>
    <col min="13633" max="13633" width="7.625" style="2" customWidth="1"/>
    <col min="13634" max="13634" width="2" style="2" customWidth="1"/>
    <col min="13635" max="13636" width="10.75" style="2"/>
    <col min="13637" max="13637" width="1.125" style="2" customWidth="1"/>
    <col min="13638" max="13641" width="10.75" style="2"/>
    <col min="13642" max="13642" width="8.625" style="2" customWidth="1"/>
    <col min="13643" max="13644" width="10.75" style="2"/>
    <col min="13645" max="13645" width="2.125" style="2" customWidth="1"/>
    <col min="13646" max="13646" width="12.875" style="2" customWidth="1"/>
    <col min="13647" max="13647" width="10.75" style="2"/>
    <col min="13648" max="13648" width="3.125" style="2" customWidth="1"/>
    <col min="13649" max="13650" width="10.75" style="2"/>
    <col min="13651" max="13651" width="1.875" style="2" customWidth="1"/>
    <col min="13652" max="13656" width="10.75" style="2"/>
    <col min="13657" max="13657" width="1" style="2" customWidth="1"/>
    <col min="13658" max="13659" width="10.75" style="2"/>
    <col min="13660" max="13660" width="0.625" style="2" customWidth="1"/>
    <col min="13661" max="13661" width="10.625" style="2" customWidth="1"/>
    <col min="13662" max="13662" width="2.75" style="2" customWidth="1"/>
    <col min="13663" max="13664" width="6.75" style="2" customWidth="1"/>
    <col min="13665" max="13670" width="10.75" style="2"/>
    <col min="13671" max="13671" width="47.375" style="2" customWidth="1"/>
    <col min="13672" max="13672" width="10.75" style="2"/>
    <col min="13673" max="13673" width="18.625" style="2" customWidth="1"/>
    <col min="13674" max="13674" width="10.75" style="2"/>
    <col min="13675" max="13675" width="4.25" style="2" customWidth="1"/>
    <col min="13676" max="13678" width="10.75" style="2"/>
    <col min="13679" max="13679" width="19.25" style="2" customWidth="1"/>
    <col min="13680" max="13687" width="10.75" style="2"/>
    <col min="13688" max="13691" width="14.625" style="2" customWidth="1"/>
    <col min="13692" max="13749" width="10.75" style="2"/>
    <col min="13750" max="13750" width="12.25" style="2" customWidth="1"/>
    <col min="13751" max="13751" width="16" style="2" customWidth="1"/>
    <col min="13752" max="13752" width="10.75" style="2"/>
    <col min="13753" max="13753" width="20.125" style="2" customWidth="1"/>
    <col min="13754" max="13754" width="3.875" style="2" customWidth="1"/>
    <col min="13755" max="13758" width="13.25" style="2" customWidth="1"/>
    <col min="13759" max="13759" width="16.25" style="2" customWidth="1"/>
    <col min="13760" max="13760" width="13.25" style="2" customWidth="1"/>
    <col min="13761" max="13761" width="14.75" style="2" customWidth="1"/>
    <col min="13762" max="13762" width="21.75" style="2" customWidth="1"/>
    <col min="13763" max="13763" width="10.75" style="2"/>
    <col min="13764" max="13764" width="10.625" style="2" customWidth="1"/>
    <col min="13765" max="13802" width="10.75" style="2"/>
    <col min="13803" max="13803" width="13.25" style="2" customWidth="1"/>
    <col min="13804" max="13804" width="15.875" style="2" customWidth="1"/>
    <col min="13805" max="13815" width="10.75" style="2"/>
    <col min="13816" max="13816" width="1.25" style="2" customWidth="1"/>
    <col min="13817" max="13819" width="10.75" style="2"/>
    <col min="13820" max="13826" width="12.25" style="2" customWidth="1"/>
    <col min="13827" max="13827" width="24.375" style="2" customWidth="1"/>
    <col min="13828" max="13873" width="10.75" style="2"/>
    <col min="13874" max="13874" width="7.25" style="2" customWidth="1"/>
    <col min="13875" max="13875" width="10.75" style="2"/>
    <col min="13876" max="13876" width="9.875" style="2" customWidth="1"/>
    <col min="13877" max="13877" width="8.625" style="2" customWidth="1"/>
    <col min="13878" max="13878" width="7.875" style="2" customWidth="1"/>
    <col min="13879" max="13879" width="15" style="2" customWidth="1"/>
    <col min="13880" max="13884" width="11.875" style="2" customWidth="1"/>
    <col min="13885" max="13885" width="22" style="2" customWidth="1"/>
    <col min="13886" max="13886" width="10.75" style="2"/>
    <col min="13887" max="13887" width="2" style="2" customWidth="1"/>
    <col min="13888" max="13888" width="5.125" style="2" customWidth="1"/>
    <col min="13889" max="13889" width="7.625" style="2" customWidth="1"/>
    <col min="13890" max="13890" width="2" style="2" customWidth="1"/>
    <col min="13891" max="13892" width="10.75" style="2"/>
    <col min="13893" max="13893" width="1.125" style="2" customWidth="1"/>
    <col min="13894" max="13897" width="10.75" style="2"/>
    <col min="13898" max="13898" width="8.625" style="2" customWidth="1"/>
    <col min="13899" max="13900" width="10.75" style="2"/>
    <col min="13901" max="13901" width="2.125" style="2" customWidth="1"/>
    <col min="13902" max="13902" width="12.875" style="2" customWidth="1"/>
    <col min="13903" max="13903" width="10.75" style="2"/>
    <col min="13904" max="13904" width="3.125" style="2" customWidth="1"/>
    <col min="13905" max="13906" width="10.75" style="2"/>
    <col min="13907" max="13907" width="1.875" style="2" customWidth="1"/>
    <col min="13908" max="13912" width="10.75" style="2"/>
    <col min="13913" max="13913" width="1" style="2" customWidth="1"/>
    <col min="13914" max="13915" width="10.75" style="2"/>
    <col min="13916" max="13916" width="0.625" style="2" customWidth="1"/>
    <col min="13917" max="13917" width="10.625" style="2" customWidth="1"/>
    <col min="13918" max="13918" width="2.75" style="2" customWidth="1"/>
    <col min="13919" max="13920" width="6.75" style="2" customWidth="1"/>
    <col min="13921" max="13926" width="10.75" style="2"/>
    <col min="13927" max="13927" width="47.375" style="2" customWidth="1"/>
    <col min="13928" max="13928" width="10.75" style="2"/>
    <col min="13929" max="13929" width="18.625" style="2" customWidth="1"/>
    <col min="13930" max="13930" width="10.75" style="2"/>
    <col min="13931" max="13931" width="4.25" style="2" customWidth="1"/>
    <col min="13932" max="13934" width="10.75" style="2"/>
    <col min="13935" max="13935" width="19.25" style="2" customWidth="1"/>
    <col min="13936" max="13943" width="10.75" style="2"/>
    <col min="13944" max="13947" width="14.625" style="2" customWidth="1"/>
    <col min="13948" max="14005" width="10.75" style="2"/>
    <col min="14006" max="14006" width="12.25" style="2" customWidth="1"/>
    <col min="14007" max="14007" width="16" style="2" customWidth="1"/>
    <col min="14008" max="14008" width="10.75" style="2"/>
    <col min="14009" max="14009" width="20.125" style="2" customWidth="1"/>
    <col min="14010" max="14010" width="3.875" style="2" customWidth="1"/>
    <col min="14011" max="14014" width="13.25" style="2" customWidth="1"/>
    <col min="14015" max="14015" width="16.25" style="2" customWidth="1"/>
    <col min="14016" max="14016" width="13.25" style="2" customWidth="1"/>
    <col min="14017" max="14017" width="14.75" style="2" customWidth="1"/>
    <col min="14018" max="14018" width="21.75" style="2" customWidth="1"/>
    <col min="14019" max="14019" width="10.75" style="2"/>
    <col min="14020" max="14020" width="10.625" style="2" customWidth="1"/>
    <col min="14021" max="14058" width="10.75" style="2"/>
    <col min="14059" max="14059" width="13.25" style="2" customWidth="1"/>
    <col min="14060" max="14060" width="15.875" style="2" customWidth="1"/>
    <col min="14061" max="14071" width="10.75" style="2"/>
    <col min="14072" max="14072" width="1.25" style="2" customWidth="1"/>
    <col min="14073" max="14075" width="10.75" style="2"/>
    <col min="14076" max="14082" width="12.25" style="2" customWidth="1"/>
    <col min="14083" max="14083" width="24.375" style="2" customWidth="1"/>
    <col min="14084" max="14129" width="10.75" style="2"/>
    <col min="14130" max="14130" width="7.25" style="2" customWidth="1"/>
    <col min="14131" max="14131" width="10.75" style="2"/>
    <col min="14132" max="14132" width="9.875" style="2" customWidth="1"/>
    <col min="14133" max="14133" width="8.625" style="2" customWidth="1"/>
    <col min="14134" max="14134" width="7.875" style="2" customWidth="1"/>
    <col min="14135" max="14135" width="15" style="2" customWidth="1"/>
    <col min="14136" max="14140" width="11.875" style="2" customWidth="1"/>
    <col min="14141" max="14141" width="22" style="2" customWidth="1"/>
    <col min="14142" max="14142" width="10.75" style="2"/>
    <col min="14143" max="14143" width="2" style="2" customWidth="1"/>
    <col min="14144" max="14144" width="5.125" style="2" customWidth="1"/>
    <col min="14145" max="14145" width="7.625" style="2" customWidth="1"/>
    <col min="14146" max="14146" width="2" style="2" customWidth="1"/>
    <col min="14147" max="14148" width="10.75" style="2"/>
    <col min="14149" max="14149" width="1.125" style="2" customWidth="1"/>
    <col min="14150" max="14153" width="10.75" style="2"/>
    <col min="14154" max="14154" width="8.625" style="2" customWidth="1"/>
    <col min="14155" max="14156" width="10.75" style="2"/>
    <col min="14157" max="14157" width="2.125" style="2" customWidth="1"/>
    <col min="14158" max="14158" width="12.875" style="2" customWidth="1"/>
    <col min="14159" max="14159" width="10.75" style="2"/>
    <col min="14160" max="14160" width="3.125" style="2" customWidth="1"/>
    <col min="14161" max="14162" width="10.75" style="2"/>
    <col min="14163" max="14163" width="1.875" style="2" customWidth="1"/>
    <col min="14164" max="14168" width="10.75" style="2"/>
    <col min="14169" max="14169" width="1" style="2" customWidth="1"/>
    <col min="14170" max="14171" width="10.75" style="2"/>
    <col min="14172" max="14172" width="0.625" style="2" customWidth="1"/>
    <col min="14173" max="14173" width="10.625" style="2" customWidth="1"/>
    <col min="14174" max="14174" width="2.75" style="2" customWidth="1"/>
    <col min="14175" max="14176" width="6.75" style="2" customWidth="1"/>
    <col min="14177" max="14182" width="10.75" style="2"/>
    <col min="14183" max="14183" width="47.375" style="2" customWidth="1"/>
    <col min="14184" max="14184" width="10.75" style="2"/>
    <col min="14185" max="14185" width="18.625" style="2" customWidth="1"/>
    <col min="14186" max="14186" width="10.75" style="2"/>
    <col min="14187" max="14187" width="4.25" style="2" customWidth="1"/>
    <col min="14188" max="14190" width="10.75" style="2"/>
    <col min="14191" max="14191" width="19.25" style="2" customWidth="1"/>
    <col min="14192" max="14199" width="10.75" style="2"/>
    <col min="14200" max="14203" width="14.625" style="2" customWidth="1"/>
    <col min="14204" max="14261" width="10.75" style="2"/>
    <col min="14262" max="14262" width="12.25" style="2" customWidth="1"/>
    <col min="14263" max="14263" width="16" style="2" customWidth="1"/>
    <col min="14264" max="14264" width="10.75" style="2"/>
    <col min="14265" max="14265" width="20.125" style="2" customWidth="1"/>
    <col min="14266" max="14266" width="3.875" style="2" customWidth="1"/>
    <col min="14267" max="14270" width="13.25" style="2" customWidth="1"/>
    <col min="14271" max="14271" width="16.25" style="2" customWidth="1"/>
    <col min="14272" max="14272" width="13.25" style="2" customWidth="1"/>
    <col min="14273" max="14273" width="14.75" style="2" customWidth="1"/>
    <col min="14274" max="14274" width="21.75" style="2" customWidth="1"/>
    <col min="14275" max="14275" width="10.75" style="2"/>
    <col min="14276" max="14276" width="10.625" style="2" customWidth="1"/>
    <col min="14277" max="14314" width="10.75" style="2"/>
    <col min="14315" max="14315" width="13.25" style="2" customWidth="1"/>
    <col min="14316" max="14316" width="15.875" style="2" customWidth="1"/>
    <col min="14317" max="14327" width="10.75" style="2"/>
    <col min="14328" max="14328" width="1.25" style="2" customWidth="1"/>
    <col min="14329" max="14331" width="10.75" style="2"/>
    <col min="14332" max="14338" width="12.25" style="2" customWidth="1"/>
    <col min="14339" max="14339" width="24.375" style="2" customWidth="1"/>
    <col min="14340" max="14385" width="10.75" style="2"/>
    <col min="14386" max="14386" width="7.25" style="2" customWidth="1"/>
    <col min="14387" max="14387" width="10.75" style="2"/>
    <col min="14388" max="14388" width="9.875" style="2" customWidth="1"/>
    <col min="14389" max="14389" width="8.625" style="2" customWidth="1"/>
    <col min="14390" max="14390" width="7.875" style="2" customWidth="1"/>
    <col min="14391" max="14391" width="15" style="2" customWidth="1"/>
    <col min="14392" max="14396" width="11.875" style="2" customWidth="1"/>
    <col min="14397" max="14397" width="22" style="2" customWidth="1"/>
    <col min="14398" max="14398" width="10.75" style="2"/>
    <col min="14399" max="14399" width="2" style="2" customWidth="1"/>
    <col min="14400" max="14400" width="5.125" style="2" customWidth="1"/>
    <col min="14401" max="14401" width="7.625" style="2" customWidth="1"/>
    <col min="14402" max="14402" width="2" style="2" customWidth="1"/>
    <col min="14403" max="14404" width="10.75" style="2"/>
    <col min="14405" max="14405" width="1.125" style="2" customWidth="1"/>
    <col min="14406" max="14409" width="10.75" style="2"/>
    <col min="14410" max="14410" width="8.625" style="2" customWidth="1"/>
    <col min="14411" max="14412" width="10.75" style="2"/>
    <col min="14413" max="14413" width="2.125" style="2" customWidth="1"/>
    <col min="14414" max="14414" width="12.875" style="2" customWidth="1"/>
    <col min="14415" max="14415" width="10.75" style="2"/>
    <col min="14416" max="14416" width="3.125" style="2" customWidth="1"/>
    <col min="14417" max="14418" width="10.75" style="2"/>
    <col min="14419" max="14419" width="1.875" style="2" customWidth="1"/>
    <col min="14420" max="14424" width="10.75" style="2"/>
    <col min="14425" max="14425" width="1" style="2" customWidth="1"/>
    <col min="14426" max="14427" width="10.75" style="2"/>
    <col min="14428" max="14428" width="0.625" style="2" customWidth="1"/>
    <col min="14429" max="14429" width="10.625" style="2" customWidth="1"/>
    <col min="14430" max="14430" width="2.75" style="2" customWidth="1"/>
    <col min="14431" max="14432" width="6.75" style="2" customWidth="1"/>
    <col min="14433" max="14438" width="10.75" style="2"/>
    <col min="14439" max="14439" width="47.375" style="2" customWidth="1"/>
    <col min="14440" max="14440" width="10.75" style="2"/>
    <col min="14441" max="14441" width="18.625" style="2" customWidth="1"/>
    <col min="14442" max="14442" width="10.75" style="2"/>
    <col min="14443" max="14443" width="4.25" style="2" customWidth="1"/>
    <col min="14444" max="14446" width="10.75" style="2"/>
    <col min="14447" max="14447" width="19.25" style="2" customWidth="1"/>
    <col min="14448" max="14455" width="10.75" style="2"/>
    <col min="14456" max="14459" width="14.625" style="2" customWidth="1"/>
    <col min="14460" max="14517" width="10.75" style="2"/>
    <col min="14518" max="14518" width="12.25" style="2" customWidth="1"/>
    <col min="14519" max="14519" width="16" style="2" customWidth="1"/>
    <col min="14520" max="14520" width="10.75" style="2"/>
    <col min="14521" max="14521" width="20.125" style="2" customWidth="1"/>
    <col min="14522" max="14522" width="3.875" style="2" customWidth="1"/>
    <col min="14523" max="14526" width="13.25" style="2" customWidth="1"/>
    <col min="14527" max="14527" width="16.25" style="2" customWidth="1"/>
    <col min="14528" max="14528" width="13.25" style="2" customWidth="1"/>
    <col min="14529" max="14529" width="14.75" style="2" customWidth="1"/>
    <col min="14530" max="14530" width="21.75" style="2" customWidth="1"/>
    <col min="14531" max="14531" width="10.75" style="2"/>
    <col min="14532" max="14532" width="10.625" style="2" customWidth="1"/>
    <col min="14533" max="14570" width="10.75" style="2"/>
    <col min="14571" max="14571" width="13.25" style="2" customWidth="1"/>
    <col min="14572" max="14572" width="15.875" style="2" customWidth="1"/>
    <col min="14573" max="14583" width="10.75" style="2"/>
    <col min="14584" max="14584" width="1.25" style="2" customWidth="1"/>
    <col min="14585" max="14587" width="10.75" style="2"/>
    <col min="14588" max="14594" width="12.25" style="2" customWidth="1"/>
    <col min="14595" max="14595" width="24.375" style="2" customWidth="1"/>
    <col min="14596" max="14641" width="10.75" style="2"/>
    <col min="14642" max="14642" width="7.25" style="2" customWidth="1"/>
    <col min="14643" max="14643" width="10.75" style="2"/>
    <col min="14644" max="14644" width="9.875" style="2" customWidth="1"/>
    <col min="14645" max="14645" width="8.625" style="2" customWidth="1"/>
    <col min="14646" max="14646" width="7.875" style="2" customWidth="1"/>
    <col min="14647" max="14647" width="15" style="2" customWidth="1"/>
    <col min="14648" max="14652" width="11.875" style="2" customWidth="1"/>
    <col min="14653" max="14653" width="22" style="2" customWidth="1"/>
    <col min="14654" max="14654" width="10.75" style="2"/>
    <col min="14655" max="14655" width="2" style="2" customWidth="1"/>
    <col min="14656" max="14656" width="5.125" style="2" customWidth="1"/>
    <col min="14657" max="14657" width="7.625" style="2" customWidth="1"/>
    <col min="14658" max="14658" width="2" style="2" customWidth="1"/>
    <col min="14659" max="14660" width="10.75" style="2"/>
    <col min="14661" max="14661" width="1.125" style="2" customWidth="1"/>
    <col min="14662" max="14665" width="10.75" style="2"/>
    <col min="14666" max="14666" width="8.625" style="2" customWidth="1"/>
    <col min="14667" max="14668" width="10.75" style="2"/>
    <col min="14669" max="14669" width="2.125" style="2" customWidth="1"/>
    <col min="14670" max="14670" width="12.875" style="2" customWidth="1"/>
    <col min="14671" max="14671" width="10.75" style="2"/>
    <col min="14672" max="14672" width="3.125" style="2" customWidth="1"/>
    <col min="14673" max="14674" width="10.75" style="2"/>
    <col min="14675" max="14675" width="1.875" style="2" customWidth="1"/>
    <col min="14676" max="14680" width="10.75" style="2"/>
    <col min="14681" max="14681" width="1" style="2" customWidth="1"/>
    <col min="14682" max="14683" width="10.75" style="2"/>
    <col min="14684" max="14684" width="0.625" style="2" customWidth="1"/>
    <col min="14685" max="14685" width="10.625" style="2" customWidth="1"/>
    <col min="14686" max="14686" width="2.75" style="2" customWidth="1"/>
    <col min="14687" max="14688" width="6.75" style="2" customWidth="1"/>
    <col min="14689" max="14694" width="10.75" style="2"/>
    <col min="14695" max="14695" width="47.375" style="2" customWidth="1"/>
    <col min="14696" max="14696" width="10.75" style="2"/>
    <col min="14697" max="14697" width="18.625" style="2" customWidth="1"/>
    <col min="14698" max="14698" width="10.75" style="2"/>
    <col min="14699" max="14699" width="4.25" style="2" customWidth="1"/>
    <col min="14700" max="14702" width="10.75" style="2"/>
    <col min="14703" max="14703" width="19.25" style="2" customWidth="1"/>
    <col min="14704" max="14711" width="10.75" style="2"/>
    <col min="14712" max="14715" width="14.625" style="2" customWidth="1"/>
    <col min="14716" max="14773" width="10.75" style="2"/>
    <col min="14774" max="14774" width="12.25" style="2" customWidth="1"/>
    <col min="14775" max="14775" width="16" style="2" customWidth="1"/>
    <col min="14776" max="14776" width="10.75" style="2"/>
    <col min="14777" max="14777" width="20.125" style="2" customWidth="1"/>
    <col min="14778" max="14778" width="3.875" style="2" customWidth="1"/>
    <col min="14779" max="14782" width="13.25" style="2" customWidth="1"/>
    <col min="14783" max="14783" width="16.25" style="2" customWidth="1"/>
    <col min="14784" max="14784" width="13.25" style="2" customWidth="1"/>
    <col min="14785" max="14785" width="14.75" style="2" customWidth="1"/>
    <col min="14786" max="14786" width="21.75" style="2" customWidth="1"/>
    <col min="14787" max="14787" width="10.75" style="2"/>
    <col min="14788" max="14788" width="10.625" style="2" customWidth="1"/>
    <col min="14789" max="14826" width="10.75" style="2"/>
    <col min="14827" max="14827" width="13.25" style="2" customWidth="1"/>
    <col min="14828" max="14828" width="15.875" style="2" customWidth="1"/>
    <col min="14829" max="14839" width="10.75" style="2"/>
    <col min="14840" max="14840" width="1.25" style="2" customWidth="1"/>
    <col min="14841" max="14843" width="10.75" style="2"/>
    <col min="14844" max="14850" width="12.25" style="2" customWidth="1"/>
    <col min="14851" max="14851" width="24.375" style="2" customWidth="1"/>
    <col min="14852" max="14897" width="10.75" style="2"/>
    <col min="14898" max="14898" width="7.25" style="2" customWidth="1"/>
    <col min="14899" max="14899" width="10.75" style="2"/>
    <col min="14900" max="14900" width="9.875" style="2" customWidth="1"/>
    <col min="14901" max="14901" width="8.625" style="2" customWidth="1"/>
    <col min="14902" max="14902" width="7.875" style="2" customWidth="1"/>
    <col min="14903" max="14903" width="15" style="2" customWidth="1"/>
    <col min="14904" max="14908" width="11.875" style="2" customWidth="1"/>
    <col min="14909" max="14909" width="22" style="2" customWidth="1"/>
    <col min="14910" max="14910" width="10.75" style="2"/>
    <col min="14911" max="14911" width="2" style="2" customWidth="1"/>
    <col min="14912" max="14912" width="5.125" style="2" customWidth="1"/>
    <col min="14913" max="14913" width="7.625" style="2" customWidth="1"/>
    <col min="14914" max="14914" width="2" style="2" customWidth="1"/>
    <col min="14915" max="14916" width="10.75" style="2"/>
    <col min="14917" max="14917" width="1.125" style="2" customWidth="1"/>
    <col min="14918" max="14921" width="10.75" style="2"/>
    <col min="14922" max="14922" width="8.625" style="2" customWidth="1"/>
    <col min="14923" max="14924" width="10.75" style="2"/>
    <col min="14925" max="14925" width="2.125" style="2" customWidth="1"/>
    <col min="14926" max="14926" width="12.875" style="2" customWidth="1"/>
    <col min="14927" max="14927" width="10.75" style="2"/>
    <col min="14928" max="14928" width="3.125" style="2" customWidth="1"/>
    <col min="14929" max="14930" width="10.75" style="2"/>
    <col min="14931" max="14931" width="1.875" style="2" customWidth="1"/>
    <col min="14932" max="14936" width="10.75" style="2"/>
    <col min="14937" max="14937" width="1" style="2" customWidth="1"/>
    <col min="14938" max="14939" width="10.75" style="2"/>
    <col min="14940" max="14940" width="0.625" style="2" customWidth="1"/>
    <col min="14941" max="14941" width="10.625" style="2" customWidth="1"/>
    <col min="14942" max="14942" width="2.75" style="2" customWidth="1"/>
    <col min="14943" max="14944" width="6.75" style="2" customWidth="1"/>
    <col min="14945" max="14950" width="10.75" style="2"/>
    <col min="14951" max="14951" width="47.375" style="2" customWidth="1"/>
    <col min="14952" max="14952" width="10.75" style="2"/>
    <col min="14953" max="14953" width="18.625" style="2" customWidth="1"/>
    <col min="14954" max="14954" width="10.75" style="2"/>
    <col min="14955" max="14955" width="4.25" style="2" customWidth="1"/>
    <col min="14956" max="14958" width="10.75" style="2"/>
    <col min="14959" max="14959" width="19.25" style="2" customWidth="1"/>
    <col min="14960" max="14967" width="10.75" style="2"/>
    <col min="14968" max="14971" width="14.625" style="2" customWidth="1"/>
    <col min="14972" max="15029" width="10.75" style="2"/>
    <col min="15030" max="15030" width="12.25" style="2" customWidth="1"/>
    <col min="15031" max="15031" width="16" style="2" customWidth="1"/>
    <col min="15032" max="15032" width="10.75" style="2"/>
    <col min="15033" max="15033" width="20.125" style="2" customWidth="1"/>
    <col min="15034" max="15034" width="3.875" style="2" customWidth="1"/>
    <col min="15035" max="15038" width="13.25" style="2" customWidth="1"/>
    <col min="15039" max="15039" width="16.25" style="2" customWidth="1"/>
    <col min="15040" max="15040" width="13.25" style="2" customWidth="1"/>
    <col min="15041" max="15041" width="14.75" style="2" customWidth="1"/>
    <col min="15042" max="15042" width="21.75" style="2" customWidth="1"/>
    <col min="15043" max="15043" width="10.75" style="2"/>
    <col min="15044" max="15044" width="10.625" style="2" customWidth="1"/>
    <col min="15045" max="15082" width="10.75" style="2"/>
    <col min="15083" max="15083" width="13.25" style="2" customWidth="1"/>
    <col min="15084" max="15084" width="15.875" style="2" customWidth="1"/>
    <col min="15085" max="15095" width="10.75" style="2"/>
    <col min="15096" max="15096" width="1.25" style="2" customWidth="1"/>
    <col min="15097" max="15099" width="10.75" style="2"/>
    <col min="15100" max="15106" width="12.25" style="2" customWidth="1"/>
    <col min="15107" max="15107" width="24.375" style="2" customWidth="1"/>
    <col min="15108" max="15153" width="10.75" style="2"/>
    <col min="15154" max="15154" width="7.25" style="2" customWidth="1"/>
    <col min="15155" max="15155" width="10.75" style="2"/>
    <col min="15156" max="15156" width="9.875" style="2" customWidth="1"/>
    <col min="15157" max="15157" width="8.625" style="2" customWidth="1"/>
    <col min="15158" max="15158" width="7.875" style="2" customWidth="1"/>
    <col min="15159" max="15159" width="15" style="2" customWidth="1"/>
    <col min="15160" max="15164" width="11.875" style="2" customWidth="1"/>
    <col min="15165" max="15165" width="22" style="2" customWidth="1"/>
    <col min="15166" max="15166" width="10.75" style="2"/>
    <col min="15167" max="15167" width="2" style="2" customWidth="1"/>
    <col min="15168" max="15168" width="5.125" style="2" customWidth="1"/>
    <col min="15169" max="15169" width="7.625" style="2" customWidth="1"/>
    <col min="15170" max="15170" width="2" style="2" customWidth="1"/>
    <col min="15171" max="15172" width="10.75" style="2"/>
    <col min="15173" max="15173" width="1.125" style="2" customWidth="1"/>
    <col min="15174" max="15177" width="10.75" style="2"/>
    <col min="15178" max="15178" width="8.625" style="2" customWidth="1"/>
    <col min="15179" max="15180" width="10.75" style="2"/>
    <col min="15181" max="15181" width="2.125" style="2" customWidth="1"/>
    <col min="15182" max="15182" width="12.875" style="2" customWidth="1"/>
    <col min="15183" max="15183" width="10.75" style="2"/>
    <col min="15184" max="15184" width="3.125" style="2" customWidth="1"/>
    <col min="15185" max="15186" width="10.75" style="2"/>
    <col min="15187" max="15187" width="1.875" style="2" customWidth="1"/>
    <col min="15188" max="15192" width="10.75" style="2"/>
    <col min="15193" max="15193" width="1" style="2" customWidth="1"/>
    <col min="15194" max="15195" width="10.75" style="2"/>
    <col min="15196" max="15196" width="0.625" style="2" customWidth="1"/>
    <col min="15197" max="15197" width="10.625" style="2" customWidth="1"/>
    <col min="15198" max="15198" width="2.75" style="2" customWidth="1"/>
    <col min="15199" max="15200" width="6.75" style="2" customWidth="1"/>
    <col min="15201" max="15206" width="10.75" style="2"/>
    <col min="15207" max="15207" width="47.375" style="2" customWidth="1"/>
    <col min="15208" max="15208" width="10.75" style="2"/>
    <col min="15209" max="15209" width="18.625" style="2" customWidth="1"/>
    <col min="15210" max="15210" width="10.75" style="2"/>
    <col min="15211" max="15211" width="4.25" style="2" customWidth="1"/>
    <col min="15212" max="15214" width="10.75" style="2"/>
    <col min="15215" max="15215" width="19.25" style="2" customWidth="1"/>
    <col min="15216" max="15223" width="10.75" style="2"/>
    <col min="15224" max="15227" width="14.625" style="2" customWidth="1"/>
    <col min="15228" max="15285" width="10.75" style="2"/>
    <col min="15286" max="15286" width="12.25" style="2" customWidth="1"/>
    <col min="15287" max="15287" width="16" style="2" customWidth="1"/>
    <col min="15288" max="15288" width="10.75" style="2"/>
    <col min="15289" max="15289" width="20.125" style="2" customWidth="1"/>
    <col min="15290" max="15290" width="3.875" style="2" customWidth="1"/>
    <col min="15291" max="15294" width="13.25" style="2" customWidth="1"/>
    <col min="15295" max="15295" width="16.25" style="2" customWidth="1"/>
    <col min="15296" max="15296" width="13.25" style="2" customWidth="1"/>
    <col min="15297" max="15297" width="14.75" style="2" customWidth="1"/>
    <col min="15298" max="15298" width="21.75" style="2" customWidth="1"/>
    <col min="15299" max="15299" width="10.75" style="2"/>
    <col min="15300" max="15300" width="10.625" style="2" customWidth="1"/>
    <col min="15301" max="15338" width="10.75" style="2"/>
    <col min="15339" max="15339" width="13.25" style="2" customWidth="1"/>
    <col min="15340" max="15340" width="15.875" style="2" customWidth="1"/>
    <col min="15341" max="15351" width="10.75" style="2"/>
    <col min="15352" max="15352" width="1.25" style="2" customWidth="1"/>
    <col min="15353" max="15355" width="10.75" style="2"/>
    <col min="15356" max="15362" width="12.25" style="2" customWidth="1"/>
    <col min="15363" max="15363" width="24.375" style="2" customWidth="1"/>
    <col min="15364" max="15409" width="10.75" style="2"/>
    <col min="15410" max="15410" width="7.25" style="2" customWidth="1"/>
    <col min="15411" max="15411" width="10.75" style="2"/>
    <col min="15412" max="15412" width="9.875" style="2" customWidth="1"/>
    <col min="15413" max="15413" width="8.625" style="2" customWidth="1"/>
    <col min="15414" max="15414" width="7.875" style="2" customWidth="1"/>
    <col min="15415" max="15415" width="15" style="2" customWidth="1"/>
    <col min="15416" max="15420" width="11.875" style="2" customWidth="1"/>
    <col min="15421" max="15421" width="22" style="2" customWidth="1"/>
    <col min="15422" max="15422" width="10.75" style="2"/>
    <col min="15423" max="15423" width="2" style="2" customWidth="1"/>
    <col min="15424" max="15424" width="5.125" style="2" customWidth="1"/>
    <col min="15425" max="15425" width="7.625" style="2" customWidth="1"/>
    <col min="15426" max="15426" width="2" style="2" customWidth="1"/>
    <col min="15427" max="15428" width="10.75" style="2"/>
    <col min="15429" max="15429" width="1.125" style="2" customWidth="1"/>
    <col min="15430" max="15433" width="10.75" style="2"/>
    <col min="15434" max="15434" width="8.625" style="2" customWidth="1"/>
    <col min="15435" max="15436" width="10.75" style="2"/>
    <col min="15437" max="15437" width="2.125" style="2" customWidth="1"/>
    <col min="15438" max="15438" width="12.875" style="2" customWidth="1"/>
    <col min="15439" max="15439" width="10.75" style="2"/>
    <col min="15440" max="15440" width="3.125" style="2" customWidth="1"/>
    <col min="15441" max="15442" width="10.75" style="2"/>
    <col min="15443" max="15443" width="1.875" style="2" customWidth="1"/>
    <col min="15444" max="15448" width="10.75" style="2"/>
    <col min="15449" max="15449" width="1" style="2" customWidth="1"/>
    <col min="15450" max="15451" width="10.75" style="2"/>
    <col min="15452" max="15452" width="0.625" style="2" customWidth="1"/>
    <col min="15453" max="15453" width="10.625" style="2" customWidth="1"/>
    <col min="15454" max="15454" width="2.75" style="2" customWidth="1"/>
    <col min="15455" max="15456" width="6.75" style="2" customWidth="1"/>
    <col min="15457" max="15462" width="10.75" style="2"/>
    <col min="15463" max="15463" width="47.375" style="2" customWidth="1"/>
    <col min="15464" max="15464" width="10.75" style="2"/>
    <col min="15465" max="15465" width="18.625" style="2" customWidth="1"/>
    <col min="15466" max="15466" width="10.75" style="2"/>
    <col min="15467" max="15467" width="4.25" style="2" customWidth="1"/>
    <col min="15468" max="15470" width="10.75" style="2"/>
    <col min="15471" max="15471" width="19.25" style="2" customWidth="1"/>
    <col min="15472" max="15479" width="10.75" style="2"/>
    <col min="15480" max="15483" width="14.625" style="2" customWidth="1"/>
    <col min="15484" max="15541" width="10.75" style="2"/>
    <col min="15542" max="15542" width="12.25" style="2" customWidth="1"/>
    <col min="15543" max="15543" width="16" style="2" customWidth="1"/>
    <col min="15544" max="15544" width="10.75" style="2"/>
    <col min="15545" max="15545" width="20.125" style="2" customWidth="1"/>
    <col min="15546" max="15546" width="3.875" style="2" customWidth="1"/>
    <col min="15547" max="15550" width="13.25" style="2" customWidth="1"/>
    <col min="15551" max="15551" width="16.25" style="2" customWidth="1"/>
    <col min="15552" max="15552" width="13.25" style="2" customWidth="1"/>
    <col min="15553" max="15553" width="14.75" style="2" customWidth="1"/>
    <col min="15554" max="15554" width="21.75" style="2" customWidth="1"/>
    <col min="15555" max="15555" width="10.75" style="2"/>
    <col min="15556" max="15556" width="10.625" style="2" customWidth="1"/>
    <col min="15557" max="15594" width="10.75" style="2"/>
    <col min="15595" max="15595" width="13.25" style="2" customWidth="1"/>
    <col min="15596" max="15596" width="15.875" style="2" customWidth="1"/>
    <col min="15597" max="15607" width="10.75" style="2"/>
    <col min="15608" max="15608" width="1.25" style="2" customWidth="1"/>
    <col min="15609" max="15611" width="10.75" style="2"/>
    <col min="15612" max="15618" width="12.25" style="2" customWidth="1"/>
    <col min="15619" max="15619" width="24.375" style="2" customWidth="1"/>
    <col min="15620" max="15665" width="10.75" style="2"/>
    <col min="15666" max="15666" width="7.25" style="2" customWidth="1"/>
    <col min="15667" max="15667" width="10.75" style="2"/>
    <col min="15668" max="15668" width="9.875" style="2" customWidth="1"/>
    <col min="15669" max="15669" width="8.625" style="2" customWidth="1"/>
    <col min="15670" max="15670" width="7.875" style="2" customWidth="1"/>
    <col min="15671" max="15671" width="15" style="2" customWidth="1"/>
    <col min="15672" max="15676" width="11.875" style="2" customWidth="1"/>
    <col min="15677" max="15677" width="22" style="2" customWidth="1"/>
    <col min="15678" max="15678" width="10.75" style="2"/>
    <col min="15679" max="15679" width="2" style="2" customWidth="1"/>
    <col min="15680" max="15680" width="5.125" style="2" customWidth="1"/>
    <col min="15681" max="15681" width="7.625" style="2" customWidth="1"/>
    <col min="15682" max="15682" width="2" style="2" customWidth="1"/>
    <col min="15683" max="15684" width="10.75" style="2"/>
    <col min="15685" max="15685" width="1.125" style="2" customWidth="1"/>
    <col min="15686" max="15689" width="10.75" style="2"/>
    <col min="15690" max="15690" width="8.625" style="2" customWidth="1"/>
    <col min="15691" max="15692" width="10.75" style="2"/>
    <col min="15693" max="15693" width="2.125" style="2" customWidth="1"/>
    <col min="15694" max="15694" width="12.875" style="2" customWidth="1"/>
    <col min="15695" max="15695" width="10.75" style="2"/>
    <col min="15696" max="15696" width="3.125" style="2" customWidth="1"/>
    <col min="15697" max="15698" width="10.75" style="2"/>
    <col min="15699" max="15699" width="1.875" style="2" customWidth="1"/>
    <col min="15700" max="15704" width="10.75" style="2"/>
    <col min="15705" max="15705" width="1" style="2" customWidth="1"/>
    <col min="15706" max="15707" width="10.75" style="2"/>
    <col min="15708" max="15708" width="0.625" style="2" customWidth="1"/>
    <col min="15709" max="15709" width="10.625" style="2" customWidth="1"/>
    <col min="15710" max="15710" width="2.75" style="2" customWidth="1"/>
    <col min="15711" max="15712" width="6.75" style="2" customWidth="1"/>
    <col min="15713" max="15718" width="10.75" style="2"/>
    <col min="15719" max="15719" width="47.375" style="2" customWidth="1"/>
    <col min="15720" max="15720" width="10.75" style="2"/>
    <col min="15721" max="15721" width="18.625" style="2" customWidth="1"/>
    <col min="15722" max="15722" width="10.75" style="2"/>
    <col min="15723" max="15723" width="4.25" style="2" customWidth="1"/>
    <col min="15724" max="15726" width="10.75" style="2"/>
    <col min="15727" max="15727" width="19.25" style="2" customWidth="1"/>
    <col min="15728" max="15735" width="10.75" style="2"/>
    <col min="15736" max="15739" width="14.625" style="2" customWidth="1"/>
    <col min="15740" max="15797" width="10.75" style="2"/>
    <col min="15798" max="15798" width="12.25" style="2" customWidth="1"/>
    <col min="15799" max="15799" width="16" style="2" customWidth="1"/>
    <col min="15800" max="15800" width="10.75" style="2"/>
    <col min="15801" max="15801" width="20.125" style="2" customWidth="1"/>
    <col min="15802" max="15802" width="3.875" style="2" customWidth="1"/>
    <col min="15803" max="15806" width="13.25" style="2" customWidth="1"/>
    <col min="15807" max="15807" width="16.25" style="2" customWidth="1"/>
    <col min="15808" max="15808" width="13.25" style="2" customWidth="1"/>
    <col min="15809" max="15809" width="14.75" style="2" customWidth="1"/>
    <col min="15810" max="15810" width="21.75" style="2" customWidth="1"/>
    <col min="15811" max="15811" width="10.75" style="2"/>
    <col min="15812" max="15812" width="10.625" style="2" customWidth="1"/>
    <col min="15813" max="15850" width="10.75" style="2"/>
    <col min="15851" max="15851" width="13.25" style="2" customWidth="1"/>
    <col min="15852" max="15852" width="15.875" style="2" customWidth="1"/>
    <col min="15853" max="15863" width="10.75" style="2"/>
    <col min="15864" max="15864" width="1.25" style="2" customWidth="1"/>
    <col min="15865" max="15867" width="10.75" style="2"/>
    <col min="15868" max="15874" width="12.25" style="2" customWidth="1"/>
    <col min="15875" max="15875" width="24.375" style="2" customWidth="1"/>
    <col min="15876" max="15921" width="10.75" style="2"/>
    <col min="15922" max="15922" width="7.25" style="2" customWidth="1"/>
    <col min="15923" max="15923" width="10.75" style="2"/>
    <col min="15924" max="15924" width="9.875" style="2" customWidth="1"/>
    <col min="15925" max="15925" width="8.625" style="2" customWidth="1"/>
    <col min="15926" max="15926" width="7.875" style="2" customWidth="1"/>
    <col min="15927" max="15927" width="15" style="2" customWidth="1"/>
    <col min="15928" max="15932" width="11.875" style="2" customWidth="1"/>
    <col min="15933" max="15933" width="22" style="2" customWidth="1"/>
    <col min="15934" max="15934" width="10.75" style="2"/>
    <col min="15935" max="15935" width="2" style="2" customWidth="1"/>
    <col min="15936" max="15936" width="5.125" style="2" customWidth="1"/>
    <col min="15937" max="15937" width="7.625" style="2" customWidth="1"/>
    <col min="15938" max="15938" width="2" style="2" customWidth="1"/>
    <col min="15939" max="15940" width="10.75" style="2"/>
    <col min="15941" max="15941" width="1.125" style="2" customWidth="1"/>
    <col min="15942" max="15945" width="10.75" style="2"/>
    <col min="15946" max="15946" width="8.625" style="2" customWidth="1"/>
    <col min="15947" max="15948" width="10.75" style="2"/>
    <col min="15949" max="15949" width="2.125" style="2" customWidth="1"/>
    <col min="15950" max="15950" width="12.875" style="2" customWidth="1"/>
    <col min="15951" max="15951" width="10.75" style="2"/>
    <col min="15952" max="15952" width="3.125" style="2" customWidth="1"/>
    <col min="15953" max="15954" width="10.75" style="2"/>
    <col min="15955" max="15955" width="1.875" style="2" customWidth="1"/>
    <col min="15956" max="15960" width="10.75" style="2"/>
    <col min="15961" max="15961" width="1" style="2" customWidth="1"/>
    <col min="15962" max="15963" width="10.75" style="2"/>
    <col min="15964" max="15964" width="0.625" style="2" customWidth="1"/>
    <col min="15965" max="15965" width="10.625" style="2" customWidth="1"/>
    <col min="15966" max="15966" width="2.75" style="2" customWidth="1"/>
    <col min="15967" max="15968" width="6.75" style="2" customWidth="1"/>
    <col min="15969" max="15974" width="10.75" style="2"/>
    <col min="15975" max="15975" width="47.375" style="2" customWidth="1"/>
    <col min="15976" max="15976" width="10.75" style="2"/>
    <col min="15977" max="15977" width="18.625" style="2" customWidth="1"/>
    <col min="15978" max="15978" width="10.75" style="2"/>
    <col min="15979" max="15979" width="4.25" style="2" customWidth="1"/>
    <col min="15980" max="15982" width="10.75" style="2"/>
    <col min="15983" max="15983" width="19.25" style="2" customWidth="1"/>
    <col min="15984" max="15991" width="10.75" style="2"/>
    <col min="15992" max="15995" width="14.625" style="2" customWidth="1"/>
    <col min="15996" max="16053" width="10.75" style="2"/>
    <col min="16054" max="16054" width="12.25" style="2" customWidth="1"/>
    <col min="16055" max="16055" width="16" style="2" customWidth="1"/>
    <col min="16056" max="16056" width="10.75" style="2"/>
    <col min="16057" max="16057" width="20.125" style="2" customWidth="1"/>
    <col min="16058" max="16058" width="3.875" style="2" customWidth="1"/>
    <col min="16059" max="16062" width="13.25" style="2" customWidth="1"/>
    <col min="16063" max="16063" width="16.25" style="2" customWidth="1"/>
    <col min="16064" max="16064" width="13.25" style="2" customWidth="1"/>
    <col min="16065" max="16065" width="14.75" style="2" customWidth="1"/>
    <col min="16066" max="16066" width="21.75" style="2" customWidth="1"/>
    <col min="16067" max="16067" width="10.75" style="2"/>
    <col min="16068" max="16068" width="10.625" style="2" customWidth="1"/>
    <col min="16069" max="16106" width="10.75" style="2"/>
    <col min="16107" max="16107" width="13.25" style="2" customWidth="1"/>
    <col min="16108" max="16108" width="15.875" style="2" customWidth="1"/>
    <col min="16109" max="16119" width="10.75" style="2"/>
    <col min="16120" max="16120" width="1.25" style="2" customWidth="1"/>
    <col min="16121" max="16123" width="10.75" style="2"/>
    <col min="16124" max="16130" width="12.25" style="2" customWidth="1"/>
    <col min="16131" max="16131" width="24.375" style="2" customWidth="1"/>
    <col min="16132" max="16177" width="10.75" style="2"/>
    <col min="16178" max="16178" width="7.25" style="2" customWidth="1"/>
    <col min="16179" max="16179" width="10.75" style="2"/>
    <col min="16180" max="16180" width="9.875" style="2" customWidth="1"/>
    <col min="16181" max="16181" width="8.625" style="2" customWidth="1"/>
    <col min="16182" max="16182" width="7.875" style="2" customWidth="1"/>
    <col min="16183" max="16183" width="15" style="2" customWidth="1"/>
    <col min="16184" max="16188" width="11.875" style="2" customWidth="1"/>
    <col min="16189" max="16189" width="22" style="2" customWidth="1"/>
    <col min="16190" max="16190" width="10.75" style="2"/>
    <col min="16191" max="16191" width="2" style="2" customWidth="1"/>
    <col min="16192" max="16192" width="5.125" style="2" customWidth="1"/>
    <col min="16193" max="16193" width="7.625" style="2" customWidth="1"/>
    <col min="16194" max="16194" width="2" style="2" customWidth="1"/>
    <col min="16195" max="16196" width="10.75" style="2"/>
    <col min="16197" max="16197" width="1.125" style="2" customWidth="1"/>
    <col min="16198" max="16201" width="10.75" style="2"/>
    <col min="16202" max="16202" width="8.625" style="2" customWidth="1"/>
    <col min="16203" max="16204" width="10.75" style="2"/>
    <col min="16205" max="16205" width="2.125" style="2" customWidth="1"/>
    <col min="16206" max="16206" width="12.875" style="2" customWidth="1"/>
    <col min="16207" max="16207" width="10.75" style="2"/>
    <col min="16208" max="16208" width="3.125" style="2" customWidth="1"/>
    <col min="16209" max="16210" width="10.75" style="2"/>
    <col min="16211" max="16211" width="1.875" style="2" customWidth="1"/>
    <col min="16212" max="16216" width="10.75" style="2"/>
    <col min="16217" max="16217" width="1" style="2" customWidth="1"/>
    <col min="16218" max="16219" width="10.75" style="2"/>
    <col min="16220" max="16220" width="0.625" style="2" customWidth="1"/>
    <col min="16221" max="16221" width="10.625" style="2" customWidth="1"/>
    <col min="16222" max="16222" width="2.75" style="2" customWidth="1"/>
    <col min="16223" max="16224" width="6.75" style="2" customWidth="1"/>
    <col min="16225" max="16230" width="10.75" style="2"/>
    <col min="16231" max="16231" width="47.375" style="2" customWidth="1"/>
    <col min="16232" max="16232" width="10.75" style="2"/>
    <col min="16233" max="16233" width="18.625" style="2" customWidth="1"/>
    <col min="16234" max="16234" width="10.75" style="2"/>
    <col min="16235" max="16235" width="4.25" style="2" customWidth="1"/>
    <col min="16236" max="16238" width="10.75" style="2"/>
    <col min="16239" max="16239" width="19.25" style="2" customWidth="1"/>
    <col min="16240" max="16247" width="10.75" style="2"/>
    <col min="16248" max="16251" width="14.625" style="2" customWidth="1"/>
    <col min="16252" max="16309" width="10.75" style="2"/>
    <col min="16310" max="16310" width="12.25" style="2" customWidth="1"/>
    <col min="16311" max="16311" width="16" style="2" customWidth="1"/>
    <col min="16312" max="16312" width="10.75" style="2"/>
    <col min="16313" max="16313" width="20.125" style="2" customWidth="1"/>
    <col min="16314" max="16314" width="3.875" style="2" customWidth="1"/>
    <col min="16315" max="16318" width="13.25" style="2" customWidth="1"/>
    <col min="16319" max="16319" width="16.25" style="2" customWidth="1"/>
    <col min="16320" max="16320" width="13.25" style="2" customWidth="1"/>
    <col min="16321" max="16321" width="14.75" style="2" customWidth="1"/>
    <col min="16322" max="16322" width="21.75" style="2" customWidth="1"/>
    <col min="16323" max="16323" width="10.75" style="2"/>
    <col min="16324" max="16324" width="10.625" style="2" customWidth="1"/>
    <col min="16325" max="16362" width="10.75" style="2"/>
    <col min="16363" max="16363" width="13.25" style="2" customWidth="1"/>
    <col min="16364" max="16364" width="15.875" style="2" customWidth="1"/>
    <col min="16365" max="16375" width="10.75" style="2"/>
    <col min="16376" max="16376" width="1.25" style="2" customWidth="1"/>
    <col min="16377" max="16379" width="10.75" style="2"/>
    <col min="16380" max="16384" width="12.25" style="2" customWidth="1"/>
  </cols>
  <sheetData>
    <row r="1" spans="1:353" x14ac:dyDescent="0.2">
      <c r="LN1" s="2">
        <v>800</v>
      </c>
      <c r="LO1" s="2">
        <f>LN1</f>
        <v>800</v>
      </c>
      <c r="LY1" s="2">
        <v>0</v>
      </c>
      <c r="LZ1" s="2">
        <f>LY1</f>
        <v>0</v>
      </c>
      <c r="MB1" s="2" t="s">
        <v>16</v>
      </c>
      <c r="ME1" s="2">
        <v>8.3143000000000002E-3</v>
      </c>
      <c r="MK1" s="2" t="s">
        <v>17</v>
      </c>
    </row>
    <row r="2" spans="1:353" ht="22.5" x14ac:dyDescent="0.3">
      <c r="A2" s="5" t="s">
        <v>18</v>
      </c>
      <c r="B2" s="2"/>
      <c r="C2" s="2"/>
      <c r="D2" s="3"/>
    </row>
    <row r="3" spans="1:353" ht="22.5" x14ac:dyDescent="0.3">
      <c r="A3" s="5" t="s">
        <v>19</v>
      </c>
      <c r="B3" s="2"/>
      <c r="C3" s="2"/>
      <c r="D3" s="3"/>
    </row>
    <row r="4" spans="1:353" x14ac:dyDescent="0.2">
      <c r="A4" s="4"/>
      <c r="B4" s="2"/>
      <c r="C4" s="2"/>
      <c r="D4" s="3"/>
    </row>
    <row r="6" spans="1:353" x14ac:dyDescent="0.2">
      <c r="GG6" s="6"/>
      <c r="GP6" s="2">
        <v>60.084299999999999</v>
      </c>
      <c r="GQ6" s="2">
        <v>79.878799999999998</v>
      </c>
      <c r="GR6" s="2">
        <v>101.961</v>
      </c>
      <c r="GS6" s="2">
        <v>71.846400000000003</v>
      </c>
      <c r="GT6" s="2">
        <v>70.9375</v>
      </c>
      <c r="GU6" s="2">
        <v>40.304400000000001</v>
      </c>
      <c r="GV6" s="2">
        <v>56.077399999999997</v>
      </c>
      <c r="GW6" s="2">
        <v>61.978900000000003</v>
      </c>
      <c r="GX6" s="2">
        <v>94.195999999999998</v>
      </c>
      <c r="GY6" s="2">
        <f>52*2+3*15.9994</f>
        <v>151.9982</v>
      </c>
      <c r="LN6" s="2">
        <v>1000</v>
      </c>
      <c r="LO6" s="2">
        <f>LN6</f>
        <v>1000</v>
      </c>
      <c r="LY6" s="2">
        <v>10</v>
      </c>
      <c r="LZ6" s="2">
        <f>LY6</f>
        <v>10</v>
      </c>
      <c r="MK6" s="2" t="s">
        <v>20</v>
      </c>
    </row>
    <row r="7" spans="1:353" x14ac:dyDescent="0.2">
      <c r="AX7" s="78" t="s">
        <v>167</v>
      </c>
      <c r="AY7" s="78"/>
      <c r="AZ7" s="78"/>
      <c r="BA7" s="78"/>
      <c r="BB7" s="78"/>
      <c r="BC7" s="78"/>
      <c r="BD7" s="78"/>
      <c r="BE7" s="78"/>
      <c r="BF7" s="78"/>
      <c r="BG7" s="78"/>
      <c r="BI7" s="78" t="s">
        <v>174</v>
      </c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GP7" s="2" t="s">
        <v>0</v>
      </c>
      <c r="GQ7" s="2" t="s">
        <v>1</v>
      </c>
      <c r="GR7" s="2" t="s">
        <v>2</v>
      </c>
      <c r="GS7" s="2" t="s">
        <v>4</v>
      </c>
      <c r="GT7" s="2" t="s">
        <v>5</v>
      </c>
      <c r="GU7" s="2" t="s">
        <v>6</v>
      </c>
      <c r="GV7" s="2" t="s">
        <v>7</v>
      </c>
      <c r="GW7" s="2" t="s">
        <v>15</v>
      </c>
      <c r="GX7" s="2" t="s">
        <v>21</v>
      </c>
      <c r="GY7" s="2" t="s">
        <v>3</v>
      </c>
      <c r="LN7" s="2">
        <v>1200</v>
      </c>
      <c r="LO7" s="2">
        <f>LN7</f>
        <v>1200</v>
      </c>
      <c r="LY7" s="2">
        <v>20</v>
      </c>
      <c r="LZ7" s="2">
        <f>LY7</f>
        <v>20</v>
      </c>
    </row>
    <row r="8" spans="1:353" ht="18" x14ac:dyDescent="0.25">
      <c r="GC8" s="7" t="s">
        <v>22</v>
      </c>
      <c r="GD8" s="8"/>
      <c r="GE8" s="8"/>
      <c r="GF8" s="8"/>
      <c r="GG8" s="8"/>
      <c r="GH8" s="8"/>
      <c r="GI8" s="8"/>
      <c r="GJ8" s="8"/>
      <c r="GK8" s="8"/>
      <c r="GL8" s="8"/>
      <c r="LK8" s="2" t="s">
        <v>23</v>
      </c>
      <c r="LN8" s="2">
        <v>1600</v>
      </c>
      <c r="LO8" s="2">
        <f>LN8</f>
        <v>1600</v>
      </c>
      <c r="LY8" s="2">
        <v>70</v>
      </c>
      <c r="LZ8" s="2">
        <f>LY8</f>
        <v>70</v>
      </c>
    </row>
    <row r="9" spans="1:353" ht="18" customHeight="1" x14ac:dyDescent="0.25">
      <c r="A9" s="9" t="s">
        <v>190</v>
      </c>
      <c r="B9"/>
      <c r="E9" s="77" t="s">
        <v>24</v>
      </c>
      <c r="F9" s="77"/>
      <c r="G9" s="77"/>
      <c r="H9" s="77"/>
      <c r="I9" s="2"/>
      <c r="J9" s="2"/>
      <c r="K9" s="2"/>
      <c r="L9" s="2"/>
      <c r="M9" s="2"/>
      <c r="N9" s="2"/>
      <c r="P9" s="77" t="s">
        <v>25</v>
      </c>
      <c r="Q9" s="77"/>
      <c r="R9" s="77"/>
      <c r="S9" s="77"/>
      <c r="AA9" s="77" t="s">
        <v>26</v>
      </c>
      <c r="AB9" s="77"/>
      <c r="AC9" s="77"/>
      <c r="AD9" s="77"/>
      <c r="AM9" s="77" t="s">
        <v>27</v>
      </c>
      <c r="AN9" s="77"/>
      <c r="AO9" s="77"/>
      <c r="AP9" s="77"/>
      <c r="AX9" s="78" t="s">
        <v>188</v>
      </c>
      <c r="AY9" s="78"/>
      <c r="AZ9" s="70"/>
      <c r="BA9" s="78" t="s">
        <v>191</v>
      </c>
      <c r="BB9" s="78"/>
      <c r="BD9" s="78" t="s">
        <v>189</v>
      </c>
      <c r="BE9" s="78"/>
      <c r="BF9" s="78" t="s">
        <v>168</v>
      </c>
      <c r="BG9" s="78"/>
      <c r="BM9" s="78" t="s">
        <v>188</v>
      </c>
      <c r="BN9" s="78"/>
      <c r="BO9" s="70"/>
      <c r="BP9" s="78" t="s">
        <v>191</v>
      </c>
      <c r="BQ9" s="78"/>
      <c r="BS9" s="78" t="s">
        <v>168</v>
      </c>
      <c r="BT9" s="78"/>
      <c r="BU9" s="60"/>
      <c r="BV9" s="60"/>
      <c r="GC9" s="10"/>
      <c r="GD9" s="10"/>
      <c r="GE9" s="10"/>
      <c r="GF9" s="10"/>
      <c r="GG9" s="10"/>
      <c r="GH9" s="10"/>
      <c r="GI9" s="10"/>
      <c r="GJ9" s="10"/>
      <c r="GK9" s="10"/>
      <c r="GL9" s="11" t="s">
        <v>28</v>
      </c>
      <c r="IO9" s="12" t="s">
        <v>29</v>
      </c>
      <c r="IP9" s="13"/>
      <c r="IQ9" s="14"/>
      <c r="IR9" s="15"/>
      <c r="IS9" s="16"/>
      <c r="IT9" s="17" t="s">
        <v>30</v>
      </c>
      <c r="KZ9" s="18">
        <f>1-KZ13</f>
        <v>7.6550276934706951E-2</v>
      </c>
      <c r="LA9" s="3">
        <f>(KD13-KL13)/((KD13-KL13)+KF13)</f>
        <v>7.655027693470691E-2</v>
      </c>
    </row>
    <row r="10" spans="1:353" ht="39.75" thickBot="1" x14ac:dyDescent="0.3">
      <c r="A10"/>
      <c r="B10"/>
      <c r="E10" s="2"/>
      <c r="F10" s="2"/>
      <c r="G10" s="2"/>
      <c r="H10" s="2"/>
      <c r="I10" s="2"/>
      <c r="J10" s="2"/>
      <c r="K10" s="2"/>
      <c r="L10" s="2"/>
      <c r="M10" s="2"/>
      <c r="N10" s="2"/>
      <c r="AX10" s="55" t="s">
        <v>165</v>
      </c>
      <c r="AY10" s="55" t="s">
        <v>173</v>
      </c>
      <c r="AZ10" s="71"/>
      <c r="BA10" s="55" t="s">
        <v>165</v>
      </c>
      <c r="BB10" s="55" t="s">
        <v>173</v>
      </c>
      <c r="BD10" s="55" t="s">
        <v>165</v>
      </c>
      <c r="BE10" s="55" t="s">
        <v>173</v>
      </c>
      <c r="BF10" s="55" t="s">
        <v>165</v>
      </c>
      <c r="BG10" s="55" t="s">
        <v>173</v>
      </c>
      <c r="BI10" s="55" t="s">
        <v>165</v>
      </c>
      <c r="BJ10" s="55" t="s">
        <v>173</v>
      </c>
      <c r="BM10" s="55" t="s">
        <v>165</v>
      </c>
      <c r="BN10" s="55" t="s">
        <v>173</v>
      </c>
      <c r="BO10" s="71"/>
      <c r="BP10" s="55" t="s">
        <v>165</v>
      </c>
      <c r="BQ10" s="55" t="s">
        <v>173</v>
      </c>
      <c r="BS10" s="55" t="s">
        <v>165</v>
      </c>
      <c r="BT10" s="55" t="s">
        <v>173</v>
      </c>
      <c r="BV10" s="2" t="s">
        <v>214</v>
      </c>
      <c r="CP10" s="2" t="s">
        <v>170</v>
      </c>
      <c r="GC10" s="10" t="s">
        <v>169</v>
      </c>
      <c r="GD10" s="10"/>
      <c r="GE10" s="10" t="s">
        <v>31</v>
      </c>
      <c r="GF10" s="10"/>
      <c r="GG10" s="10"/>
      <c r="GH10" s="10"/>
      <c r="GI10" s="10"/>
      <c r="GJ10" s="10"/>
      <c r="GK10" s="11" t="s">
        <v>32</v>
      </c>
      <c r="GL10" s="19" t="s">
        <v>33</v>
      </c>
      <c r="GP10" s="2" t="s">
        <v>34</v>
      </c>
      <c r="HB10" s="2" t="s">
        <v>34</v>
      </c>
      <c r="HO10" s="20" t="s">
        <v>34</v>
      </c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6"/>
      <c r="IO10" s="21" t="s">
        <v>35</v>
      </c>
      <c r="IS10" s="22"/>
      <c r="IT10" s="17" t="s">
        <v>36</v>
      </c>
      <c r="IZ10" s="2" t="s">
        <v>37</v>
      </c>
      <c r="JL10" s="2" t="s">
        <v>38</v>
      </c>
      <c r="JY10" s="20" t="s">
        <v>37</v>
      </c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6"/>
      <c r="KV10" t="s">
        <v>39</v>
      </c>
      <c r="LN10" s="2" t="s">
        <v>40</v>
      </c>
      <c r="LS10" s="2" t="s">
        <v>41</v>
      </c>
      <c r="LV10" s="2" t="s">
        <v>42</v>
      </c>
      <c r="LW10" s="2" t="s">
        <v>43</v>
      </c>
      <c r="LY10" s="2" t="s">
        <v>44</v>
      </c>
      <c r="MB10" s="2" t="s">
        <v>45</v>
      </c>
      <c r="MK10" s="2" t="s">
        <v>46</v>
      </c>
    </row>
    <row r="11" spans="1:353" ht="17.25" thickBot="1" x14ac:dyDescent="0.4">
      <c r="B11" s="24"/>
      <c r="C11" s="24"/>
      <c r="D11" s="23"/>
      <c r="E11" s="25" t="s">
        <v>47</v>
      </c>
      <c r="F11" s="26"/>
      <c r="G11" s="26"/>
      <c r="H11" s="26"/>
      <c r="I11" s="26"/>
      <c r="J11" s="26"/>
      <c r="K11" s="26"/>
      <c r="L11" s="26"/>
      <c r="M11" s="26"/>
      <c r="N11" s="26"/>
      <c r="P11" s="25" t="s">
        <v>48</v>
      </c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5" t="s">
        <v>49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7" t="s">
        <v>50</v>
      </c>
      <c r="AL11" s="27" t="s">
        <v>50</v>
      </c>
      <c r="AM11" s="25" t="s">
        <v>51</v>
      </c>
      <c r="AN11" s="26"/>
      <c r="AO11" s="26"/>
      <c r="AP11" s="26"/>
      <c r="AQ11" s="26"/>
      <c r="AR11" s="26"/>
      <c r="AS11" s="26"/>
      <c r="AT11" s="26"/>
      <c r="AU11" s="26"/>
      <c r="AV11" s="26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t="s">
        <v>52</v>
      </c>
      <c r="CF11" s="27"/>
      <c r="CG11" s="27"/>
      <c r="CH11" s="27"/>
      <c r="CI11" s="27"/>
      <c r="CJ11" s="27"/>
      <c r="CK11" s="27"/>
      <c r="CL11" s="27"/>
      <c r="CM11" t="s">
        <v>53</v>
      </c>
      <c r="CN11" s="27"/>
      <c r="CO11" s="27"/>
      <c r="CP11" s="27"/>
      <c r="CQ11" s="27"/>
      <c r="CR11" s="27"/>
      <c r="CS11" s="27"/>
      <c r="CT11" s="27"/>
      <c r="CU11" s="27"/>
      <c r="CX11" t="s">
        <v>145</v>
      </c>
      <c r="DG11" t="s">
        <v>146</v>
      </c>
      <c r="DQ11" t="s">
        <v>149</v>
      </c>
      <c r="EC11" s="2" t="s">
        <v>163</v>
      </c>
      <c r="EE11" s="2" t="s">
        <v>162</v>
      </c>
      <c r="EH11" s="2" t="s">
        <v>161</v>
      </c>
      <c r="FG11" s="2" t="s">
        <v>194</v>
      </c>
      <c r="FQ11" s="62" t="s">
        <v>176</v>
      </c>
      <c r="FZ11" s="65" t="s">
        <v>54</v>
      </c>
      <c r="GA11" s="66"/>
      <c r="GC11" s="28" t="s">
        <v>55</v>
      </c>
      <c r="GD11" s="28"/>
      <c r="GE11" s="28" t="s">
        <v>56</v>
      </c>
      <c r="GF11" s="28" t="s">
        <v>57</v>
      </c>
      <c r="GG11" s="28" t="s">
        <v>58</v>
      </c>
      <c r="GH11" s="28" t="s">
        <v>59</v>
      </c>
      <c r="GI11" s="29" t="s">
        <v>60</v>
      </c>
      <c r="GJ11" s="29" t="s">
        <v>46</v>
      </c>
      <c r="GK11" s="28" t="s">
        <v>61</v>
      </c>
      <c r="GL11" s="30" t="s">
        <v>62</v>
      </c>
      <c r="GP11" s="2" t="s">
        <v>63</v>
      </c>
      <c r="HB11" s="2" t="s">
        <v>64</v>
      </c>
      <c r="HO11" s="31" t="s">
        <v>65</v>
      </c>
      <c r="HZ11" s="22"/>
      <c r="IA11" s="2">
        <f>AVERAGE(IA14:IA697)</f>
        <v>4.0022890555443578</v>
      </c>
      <c r="IB11" s="2" t="s">
        <v>66</v>
      </c>
      <c r="IC11" s="2" t="s">
        <v>67</v>
      </c>
      <c r="ID11" s="32" t="s">
        <v>68</v>
      </c>
      <c r="IE11" s="14"/>
      <c r="IF11" s="14"/>
      <c r="IG11" s="14"/>
      <c r="IH11" s="14"/>
      <c r="II11" s="14"/>
      <c r="IJ11" s="14"/>
      <c r="IK11" s="33"/>
      <c r="IL11" s="2">
        <f>AVERAGE(IL14:IL697)</f>
        <v>1.000671066915148</v>
      </c>
      <c r="IO11" s="34" t="s">
        <v>69</v>
      </c>
      <c r="IS11" s="22" t="s">
        <v>70</v>
      </c>
      <c r="IT11" s="22"/>
      <c r="IU11" s="22"/>
      <c r="IV11" s="22"/>
      <c r="IW11" s="22"/>
      <c r="IX11" s="22"/>
      <c r="IY11" s="35" t="s">
        <v>71</v>
      </c>
      <c r="IZ11" s="2" t="s">
        <v>63</v>
      </c>
      <c r="JL11" s="2" t="s">
        <v>64</v>
      </c>
      <c r="JY11" s="31" t="s">
        <v>65</v>
      </c>
      <c r="KJ11" s="22"/>
      <c r="KK11" s="2">
        <f>AVERAGE(KK14:KK697)</f>
        <v>4.0012843484243961</v>
      </c>
      <c r="KL11" s="2" t="s">
        <v>66</v>
      </c>
      <c r="KM11" s="2" t="s">
        <v>67</v>
      </c>
      <c r="KN11" s="32" t="s">
        <v>72</v>
      </c>
      <c r="KO11" s="14"/>
      <c r="KP11" s="14"/>
      <c r="KQ11" s="14"/>
      <c r="KR11" s="14"/>
      <c r="KS11" s="33"/>
      <c r="KV11" s="12" t="s">
        <v>73</v>
      </c>
      <c r="KW11" s="14"/>
      <c r="KX11" s="14"/>
      <c r="KY11" s="33" t="s">
        <v>70</v>
      </c>
      <c r="LA11" s="17" t="s">
        <v>74</v>
      </c>
      <c r="LF11" s="36">
        <f>AVERAGE(LF14:LF27)</f>
        <v>1.0005748986939873</v>
      </c>
      <c r="LK11" s="2" t="s">
        <v>75</v>
      </c>
      <c r="LN11" s="2" t="s">
        <v>76</v>
      </c>
      <c r="LO11" s="2" t="s">
        <v>77</v>
      </c>
      <c r="LP11" s="2" t="s">
        <v>76</v>
      </c>
      <c r="LQ11" s="2" t="s">
        <v>77</v>
      </c>
      <c r="LS11" s="2" t="s">
        <v>78</v>
      </c>
      <c r="LT11" s="2" t="s">
        <v>79</v>
      </c>
    </row>
    <row r="12" spans="1:353" ht="17.25" x14ac:dyDescent="0.3">
      <c r="A12" s="38" t="s">
        <v>80</v>
      </c>
      <c r="C12" s="2"/>
      <c r="E12" s="40" t="s">
        <v>178</v>
      </c>
      <c r="F12" s="40" t="s">
        <v>179</v>
      </c>
      <c r="G12" s="40" t="s">
        <v>180</v>
      </c>
      <c r="H12" s="40" t="s">
        <v>181</v>
      </c>
      <c r="I12" s="40" t="s">
        <v>182</v>
      </c>
      <c r="J12" s="40" t="s">
        <v>183</v>
      </c>
      <c r="K12" s="40" t="s">
        <v>184</v>
      </c>
      <c r="L12" s="40" t="s">
        <v>185</v>
      </c>
      <c r="M12" s="40" t="s">
        <v>186</v>
      </c>
      <c r="N12" s="40" t="s">
        <v>187</v>
      </c>
      <c r="P12" s="40" t="s">
        <v>0</v>
      </c>
      <c r="Q12" s="40" t="s">
        <v>1</v>
      </c>
      <c r="R12" s="40" t="s">
        <v>2</v>
      </c>
      <c r="S12" s="40" t="s">
        <v>81</v>
      </c>
      <c r="T12" s="40" t="s">
        <v>5</v>
      </c>
      <c r="U12" s="40" t="s">
        <v>6</v>
      </c>
      <c r="V12" s="40" t="s">
        <v>7</v>
      </c>
      <c r="W12" s="40" t="s">
        <v>15</v>
      </c>
      <c r="X12" s="40" t="s">
        <v>21</v>
      </c>
      <c r="Y12" s="40" t="s">
        <v>3</v>
      </c>
      <c r="Z12" s="41"/>
      <c r="AA12" s="40" t="s">
        <v>0</v>
      </c>
      <c r="AB12" s="40" t="s">
        <v>1</v>
      </c>
      <c r="AC12" s="40" t="s">
        <v>2</v>
      </c>
      <c r="AD12" s="40" t="s">
        <v>81</v>
      </c>
      <c r="AE12" s="40" t="s">
        <v>5</v>
      </c>
      <c r="AF12" s="40" t="s">
        <v>6</v>
      </c>
      <c r="AG12" s="40" t="s">
        <v>7</v>
      </c>
      <c r="AH12" s="40" t="s">
        <v>15</v>
      </c>
      <c r="AI12" s="40" t="s">
        <v>21</v>
      </c>
      <c r="AJ12" s="40" t="s">
        <v>3</v>
      </c>
      <c r="AK12" s="1" t="s">
        <v>82</v>
      </c>
      <c r="AL12" s="1" t="s">
        <v>175</v>
      </c>
      <c r="AM12" s="40" t="s">
        <v>0</v>
      </c>
      <c r="AN12" s="40" t="s">
        <v>1</v>
      </c>
      <c r="AO12" s="40" t="s">
        <v>2</v>
      </c>
      <c r="AP12" s="40" t="s">
        <v>81</v>
      </c>
      <c r="AQ12" s="40" t="s">
        <v>5</v>
      </c>
      <c r="AR12" s="40" t="s">
        <v>6</v>
      </c>
      <c r="AS12" s="40" t="s">
        <v>7</v>
      </c>
      <c r="AT12" s="40" t="s">
        <v>15</v>
      </c>
      <c r="AU12" s="40" t="s">
        <v>21</v>
      </c>
      <c r="AV12" s="40" t="s">
        <v>3</v>
      </c>
      <c r="AW12" s="41"/>
      <c r="AX12" s="28" t="s">
        <v>164</v>
      </c>
      <c r="AY12" s="28" t="s">
        <v>164</v>
      </c>
      <c r="AZ12" s="44"/>
      <c r="BA12" s="28" t="s">
        <v>164</v>
      </c>
      <c r="BB12" s="28" t="s">
        <v>164</v>
      </c>
      <c r="BC12" s="41"/>
      <c r="BD12" s="55" t="s">
        <v>166</v>
      </c>
      <c r="BE12" s="55" t="s">
        <v>166</v>
      </c>
      <c r="BF12" s="55" t="s">
        <v>164</v>
      </c>
      <c r="BG12" s="55" t="s">
        <v>164</v>
      </c>
      <c r="BH12" s="41"/>
      <c r="BI12" s="64" t="s">
        <v>171</v>
      </c>
      <c r="BJ12" s="64" t="s">
        <v>171</v>
      </c>
      <c r="BK12" s="41"/>
      <c r="BL12" s="41"/>
      <c r="BM12" s="64" t="s">
        <v>172</v>
      </c>
      <c r="BN12" s="64" t="s">
        <v>172</v>
      </c>
      <c r="BO12" s="76"/>
      <c r="BP12" s="64" t="s">
        <v>172</v>
      </c>
      <c r="BQ12" s="64" t="s">
        <v>172</v>
      </c>
      <c r="BR12" s="41"/>
      <c r="BS12" s="64" t="s">
        <v>172</v>
      </c>
      <c r="BT12" s="64" t="s">
        <v>172</v>
      </c>
      <c r="BU12" s="41"/>
      <c r="BV12" s="56" t="s">
        <v>0</v>
      </c>
      <c r="BW12" s="56" t="s">
        <v>1</v>
      </c>
      <c r="BX12" s="56" t="s">
        <v>2</v>
      </c>
      <c r="BY12" s="56" t="s">
        <v>83</v>
      </c>
      <c r="BZ12" s="56" t="s">
        <v>81</v>
      </c>
      <c r="CA12" s="56" t="s">
        <v>5</v>
      </c>
      <c r="CB12" s="56" t="s">
        <v>6</v>
      </c>
      <c r="CC12" s="56" t="s">
        <v>3</v>
      </c>
      <c r="CD12" s="41"/>
      <c r="CE12" s="56" t="s">
        <v>0</v>
      </c>
      <c r="CF12" s="56" t="s">
        <v>1</v>
      </c>
      <c r="CG12" s="56" t="s">
        <v>2</v>
      </c>
      <c r="CH12" s="56" t="s">
        <v>84</v>
      </c>
      <c r="CI12" s="56" t="s">
        <v>5</v>
      </c>
      <c r="CJ12" s="56" t="s">
        <v>6</v>
      </c>
      <c r="CK12" s="56" t="s">
        <v>3</v>
      </c>
      <c r="CL12" s="41"/>
      <c r="CM12" s="56" t="s">
        <v>0</v>
      </c>
      <c r="CN12" s="56" t="s">
        <v>1</v>
      </c>
      <c r="CO12" s="56" t="s">
        <v>2</v>
      </c>
      <c r="CP12" s="56" t="s">
        <v>84</v>
      </c>
      <c r="CQ12" s="56" t="s">
        <v>5</v>
      </c>
      <c r="CR12" s="56" t="s">
        <v>6</v>
      </c>
      <c r="CS12" s="56" t="s">
        <v>3</v>
      </c>
      <c r="CT12" s="56" t="s">
        <v>85</v>
      </c>
      <c r="CU12" s="58" t="s">
        <v>86</v>
      </c>
      <c r="CV12" s="56" t="s">
        <v>87</v>
      </c>
      <c r="CW12" s="41"/>
      <c r="CX12" s="56" t="s">
        <v>0</v>
      </c>
      <c r="CY12" s="56" t="s">
        <v>1</v>
      </c>
      <c r="CZ12" s="56" t="s">
        <v>2</v>
      </c>
      <c r="DA12" s="56" t="s">
        <v>84</v>
      </c>
      <c r="DB12" s="56" t="s">
        <v>5</v>
      </c>
      <c r="DC12" s="56" t="s">
        <v>6</v>
      </c>
      <c r="DD12" s="56" t="s">
        <v>3</v>
      </c>
      <c r="DE12" s="56" t="s">
        <v>85</v>
      </c>
      <c r="DF12" s="41"/>
      <c r="DG12" s="57" t="s">
        <v>147</v>
      </c>
      <c r="DH12" s="57" t="s">
        <v>148</v>
      </c>
      <c r="DI12" s="57" t="s">
        <v>9</v>
      </c>
      <c r="DJ12" s="57" t="s">
        <v>12</v>
      </c>
      <c r="DK12" s="57" t="s">
        <v>13</v>
      </c>
      <c r="DL12" s="57" t="s">
        <v>14</v>
      </c>
      <c r="DM12" s="57" t="s">
        <v>10</v>
      </c>
      <c r="DN12" s="57" t="s">
        <v>8</v>
      </c>
      <c r="DO12" s="58" t="s">
        <v>150</v>
      </c>
      <c r="DP12"/>
      <c r="DQ12" s="59" t="s">
        <v>147</v>
      </c>
      <c r="DR12" s="59" t="s">
        <v>148</v>
      </c>
      <c r="DS12" s="59" t="s">
        <v>9</v>
      </c>
      <c r="DT12" s="59" t="s">
        <v>12</v>
      </c>
      <c r="DU12" s="59" t="s">
        <v>13</v>
      </c>
      <c r="DV12" s="59" t="s">
        <v>14</v>
      </c>
      <c r="DW12" s="59" t="s">
        <v>10</v>
      </c>
      <c r="DX12" s="41" t="s">
        <v>151</v>
      </c>
      <c r="DY12" s="41"/>
      <c r="DZ12" t="s">
        <v>152</v>
      </c>
      <c r="EA12" t="s">
        <v>153</v>
      </c>
      <c r="EB12"/>
      <c r="EC12" s="58" t="s">
        <v>12</v>
      </c>
      <c r="ED12" s="58" t="s">
        <v>11</v>
      </c>
      <c r="EE12" s="58" t="s">
        <v>154</v>
      </c>
      <c r="EF12" s="58" t="s">
        <v>155</v>
      </c>
      <c r="EG12"/>
      <c r="EH12" s="56" t="s">
        <v>0</v>
      </c>
      <c r="EI12" s="56" t="s">
        <v>1</v>
      </c>
      <c r="EJ12" s="56" t="s">
        <v>2</v>
      </c>
      <c r="EK12" s="56" t="s">
        <v>83</v>
      </c>
      <c r="EL12" s="56" t="s">
        <v>156</v>
      </c>
      <c r="EM12" s="56" t="s">
        <v>5</v>
      </c>
      <c r="EN12" s="56" t="s">
        <v>6</v>
      </c>
      <c r="EO12" s="56" t="s">
        <v>3</v>
      </c>
      <c r="EP12" s="56" t="s">
        <v>151</v>
      </c>
      <c r="EQ12" s="41"/>
      <c r="ER12" s="57" t="s">
        <v>147</v>
      </c>
      <c r="ES12" s="57" t="s">
        <v>148</v>
      </c>
      <c r="ET12" s="57" t="s">
        <v>9</v>
      </c>
      <c r="EU12" s="57" t="s">
        <v>157</v>
      </c>
      <c r="EV12" s="57" t="s">
        <v>12</v>
      </c>
      <c r="EW12" s="57" t="s">
        <v>13</v>
      </c>
      <c r="EX12" s="57" t="s">
        <v>14</v>
      </c>
      <c r="EY12" s="57" t="s">
        <v>10</v>
      </c>
      <c r="EZ12" s="56" t="s">
        <v>151</v>
      </c>
      <c r="FA12" s="41"/>
      <c r="FB12" t="s">
        <v>160</v>
      </c>
      <c r="FC12" t="s">
        <v>159</v>
      </c>
      <c r="FD12" t="s">
        <v>158</v>
      </c>
      <c r="FE12" s="41"/>
      <c r="FF12" s="41"/>
      <c r="FG12" s="41" t="s">
        <v>193</v>
      </c>
      <c r="FH12" s="41" t="s">
        <v>9</v>
      </c>
      <c r="FI12" s="41" t="s">
        <v>11</v>
      </c>
      <c r="FJ12" s="41" t="s">
        <v>12</v>
      </c>
      <c r="FK12" s="41" t="s">
        <v>14</v>
      </c>
      <c r="FL12" s="41" t="s">
        <v>10</v>
      </c>
      <c r="FM12" s="41" t="s">
        <v>192</v>
      </c>
      <c r="FN12" s="41" t="s">
        <v>195</v>
      </c>
      <c r="FO12" s="41" t="s">
        <v>196</v>
      </c>
      <c r="FQ12" s="57" t="s">
        <v>147</v>
      </c>
      <c r="FR12" s="57" t="s">
        <v>148</v>
      </c>
      <c r="FS12" s="57" t="s">
        <v>9</v>
      </c>
      <c r="FT12" s="57" t="s">
        <v>157</v>
      </c>
      <c r="FU12" s="57" t="s">
        <v>12</v>
      </c>
      <c r="FV12" s="57" t="s">
        <v>13</v>
      </c>
      <c r="FW12" s="57" t="s">
        <v>14</v>
      </c>
      <c r="FX12" s="57" t="s">
        <v>177</v>
      </c>
      <c r="FZ12" s="41" t="s">
        <v>88</v>
      </c>
      <c r="GA12" s="41" t="s">
        <v>89</v>
      </c>
      <c r="GB12" s="67" t="s">
        <v>90</v>
      </c>
      <c r="GC12" s="42" t="s">
        <v>91</v>
      </c>
      <c r="GD12" s="28"/>
      <c r="GE12" s="42" t="s">
        <v>91</v>
      </c>
      <c r="GF12" s="42" t="s">
        <v>91</v>
      </c>
      <c r="GG12" s="42" t="s">
        <v>92</v>
      </c>
      <c r="GH12" s="42" t="s">
        <v>92</v>
      </c>
      <c r="GI12" s="43" t="s">
        <v>91</v>
      </c>
      <c r="GJ12" s="43" t="s">
        <v>91</v>
      </c>
      <c r="GK12" s="42" t="s">
        <v>91</v>
      </c>
      <c r="GL12" s="42" t="s">
        <v>93</v>
      </c>
      <c r="GM12" s="44"/>
      <c r="GN12" s="2" t="s">
        <v>94</v>
      </c>
      <c r="GP12" s="2" t="s">
        <v>0</v>
      </c>
      <c r="GQ12" s="2" t="s">
        <v>1</v>
      </c>
      <c r="GR12" s="2" t="s">
        <v>2</v>
      </c>
      <c r="GS12" s="2" t="s">
        <v>4</v>
      </c>
      <c r="GT12" s="2" t="s">
        <v>5</v>
      </c>
      <c r="GU12" s="2" t="s">
        <v>6</v>
      </c>
      <c r="GV12" s="2" t="s">
        <v>7</v>
      </c>
      <c r="GW12" s="2" t="s">
        <v>15</v>
      </c>
      <c r="GX12" s="2" t="s">
        <v>21</v>
      </c>
      <c r="GY12" s="2" t="s">
        <v>3</v>
      </c>
      <c r="HB12" s="2" t="s">
        <v>0</v>
      </c>
      <c r="HC12" s="2" t="s">
        <v>1</v>
      </c>
      <c r="HD12" s="2" t="s">
        <v>2</v>
      </c>
      <c r="HE12" s="2" t="s">
        <v>4</v>
      </c>
      <c r="HF12" s="2" t="s">
        <v>5</v>
      </c>
      <c r="HG12" s="2" t="s">
        <v>6</v>
      </c>
      <c r="HH12" s="2" t="s">
        <v>7</v>
      </c>
      <c r="HI12" s="2" t="s">
        <v>15</v>
      </c>
      <c r="HJ12" s="2" t="s">
        <v>21</v>
      </c>
      <c r="HK12" s="2" t="s">
        <v>3</v>
      </c>
      <c r="HM12" s="2" t="s">
        <v>95</v>
      </c>
      <c r="HO12" s="45" t="s">
        <v>0</v>
      </c>
      <c r="HP12" s="39" t="s">
        <v>1</v>
      </c>
      <c r="HQ12" s="39" t="s">
        <v>96</v>
      </c>
      <c r="HR12" s="39" t="s">
        <v>97</v>
      </c>
      <c r="HS12" s="39" t="s">
        <v>98</v>
      </c>
      <c r="HT12" s="39" t="s">
        <v>4</v>
      </c>
      <c r="HU12" s="39" t="s">
        <v>5</v>
      </c>
      <c r="HV12" s="39" t="s">
        <v>6</v>
      </c>
      <c r="HW12" s="39" t="s">
        <v>7</v>
      </c>
      <c r="HX12" s="39" t="s">
        <v>15</v>
      </c>
      <c r="HY12" s="39" t="s">
        <v>21</v>
      </c>
      <c r="HZ12" s="46" t="s">
        <v>3</v>
      </c>
      <c r="IB12" s="2" t="s">
        <v>99</v>
      </c>
      <c r="IC12" s="2" t="s">
        <v>99</v>
      </c>
      <c r="ID12" s="47" t="s">
        <v>100</v>
      </c>
      <c r="IE12" s="37" t="s">
        <v>101</v>
      </c>
      <c r="IF12" s="37" t="s">
        <v>102</v>
      </c>
      <c r="IG12" s="37" t="s">
        <v>103</v>
      </c>
      <c r="IH12" s="37" t="s">
        <v>104</v>
      </c>
      <c r="II12" s="37" t="s">
        <v>105</v>
      </c>
      <c r="IJ12" s="37" t="s">
        <v>106</v>
      </c>
      <c r="IK12" s="48" t="s">
        <v>107</v>
      </c>
      <c r="IL12" s="2" t="s">
        <v>108</v>
      </c>
      <c r="IM12" s="2" t="s">
        <v>109</v>
      </c>
      <c r="IO12" s="47" t="s">
        <v>110</v>
      </c>
      <c r="IP12" s="37" t="s">
        <v>111</v>
      </c>
      <c r="IQ12" s="37" t="s">
        <v>112</v>
      </c>
      <c r="IR12" s="39" t="s">
        <v>113</v>
      </c>
      <c r="IS12" s="46" t="s">
        <v>114</v>
      </c>
      <c r="IT12" s="49" t="s">
        <v>115</v>
      </c>
      <c r="IU12" s="49" t="s">
        <v>116</v>
      </c>
      <c r="IV12" s="49" t="s">
        <v>117</v>
      </c>
      <c r="IW12" s="49" t="s">
        <v>118</v>
      </c>
      <c r="IX12" s="49" t="s">
        <v>112</v>
      </c>
      <c r="IY12" s="39" t="s">
        <v>112</v>
      </c>
      <c r="IZ12" s="2" t="s">
        <v>0</v>
      </c>
      <c r="JA12" s="2" t="s">
        <v>1</v>
      </c>
      <c r="JB12" s="2" t="s">
        <v>2</v>
      </c>
      <c r="JC12" s="2" t="s">
        <v>4</v>
      </c>
      <c r="JD12" s="2" t="s">
        <v>5</v>
      </c>
      <c r="JE12" s="2" t="s">
        <v>6</v>
      </c>
      <c r="JF12" s="2" t="s">
        <v>7</v>
      </c>
      <c r="JG12" s="2" t="s">
        <v>15</v>
      </c>
      <c r="JH12" s="2" t="s">
        <v>21</v>
      </c>
      <c r="JI12" s="2" t="s">
        <v>3</v>
      </c>
      <c r="JL12" s="2" t="s">
        <v>0</v>
      </c>
      <c r="JM12" s="2" t="s">
        <v>1</v>
      </c>
      <c r="JN12" s="2" t="s">
        <v>2</v>
      </c>
      <c r="JO12" s="2" t="s">
        <v>4</v>
      </c>
      <c r="JP12" s="2" t="s">
        <v>5</v>
      </c>
      <c r="JQ12" s="2" t="s">
        <v>6</v>
      </c>
      <c r="JR12" s="2" t="s">
        <v>7</v>
      </c>
      <c r="JS12" s="2" t="s">
        <v>15</v>
      </c>
      <c r="JT12" s="2" t="s">
        <v>21</v>
      </c>
      <c r="JU12" s="2" t="s">
        <v>3</v>
      </c>
      <c r="JW12" s="2" t="s">
        <v>95</v>
      </c>
      <c r="JY12" s="45" t="s">
        <v>0</v>
      </c>
      <c r="JZ12" s="39" t="s">
        <v>1</v>
      </c>
      <c r="KA12" s="39" t="s">
        <v>96</v>
      </c>
      <c r="KB12" s="39" t="s">
        <v>97</v>
      </c>
      <c r="KC12" s="39" t="s">
        <v>98</v>
      </c>
      <c r="KD12" s="39" t="s">
        <v>4</v>
      </c>
      <c r="KE12" s="39" t="s">
        <v>5</v>
      </c>
      <c r="KF12" s="39" t="s">
        <v>6</v>
      </c>
      <c r="KG12" s="39" t="s">
        <v>7</v>
      </c>
      <c r="KH12" s="39" t="s">
        <v>15</v>
      </c>
      <c r="KI12" s="39" t="s">
        <v>21</v>
      </c>
      <c r="KJ12" s="46" t="s">
        <v>3</v>
      </c>
      <c r="KL12" s="2" t="s">
        <v>99</v>
      </c>
      <c r="KM12" s="2" t="s">
        <v>99</v>
      </c>
      <c r="KN12" s="47" t="s">
        <v>119</v>
      </c>
      <c r="KO12" s="37" t="s">
        <v>120</v>
      </c>
      <c r="KP12" s="37" t="s">
        <v>121</v>
      </c>
      <c r="KQ12" s="37" t="s">
        <v>122</v>
      </c>
      <c r="KR12" s="37" t="s">
        <v>123</v>
      </c>
      <c r="KS12" s="48" t="s">
        <v>124</v>
      </c>
      <c r="KT12" s="2" t="s">
        <v>106</v>
      </c>
      <c r="KU12" s="2" t="s">
        <v>107</v>
      </c>
      <c r="KV12" s="47" t="s">
        <v>125</v>
      </c>
      <c r="KW12" s="37" t="s">
        <v>126</v>
      </c>
      <c r="KX12" s="37" t="s">
        <v>127</v>
      </c>
      <c r="KY12" s="48" t="s">
        <v>114</v>
      </c>
      <c r="KZ12" s="49" t="s">
        <v>128</v>
      </c>
      <c r="LA12" s="49" t="s">
        <v>115</v>
      </c>
      <c r="LB12" s="49" t="s">
        <v>116</v>
      </c>
      <c r="LC12" s="49" t="s">
        <v>117</v>
      </c>
      <c r="LD12" s="49" t="s">
        <v>118</v>
      </c>
      <c r="LE12" s="49" t="s">
        <v>125</v>
      </c>
      <c r="LF12" s="2" t="s">
        <v>129</v>
      </c>
      <c r="LH12" s="2" t="s">
        <v>91</v>
      </c>
      <c r="LI12" s="2" t="s">
        <v>92</v>
      </c>
      <c r="LK12" s="2" t="s">
        <v>130</v>
      </c>
      <c r="LL12" s="2" t="s">
        <v>91</v>
      </c>
      <c r="LN12" s="2" t="s">
        <v>131</v>
      </c>
      <c r="LO12" s="2" t="s">
        <v>132</v>
      </c>
      <c r="LP12" s="2" t="s">
        <v>133</v>
      </c>
      <c r="LQ12" s="2" t="s">
        <v>134</v>
      </c>
      <c r="LS12" s="2" t="s">
        <v>91</v>
      </c>
      <c r="LT12" s="2" t="s">
        <v>91</v>
      </c>
      <c r="LV12" s="2" t="s">
        <v>91</v>
      </c>
      <c r="LW12" s="2" t="s">
        <v>91</v>
      </c>
      <c r="LY12" s="2" t="s">
        <v>135</v>
      </c>
      <c r="LZ12" s="2" t="s">
        <v>136</v>
      </c>
      <c r="MB12" s="2" t="s">
        <v>137</v>
      </c>
      <c r="MC12" s="2" t="s">
        <v>138</v>
      </c>
      <c r="MD12" s="2" t="s">
        <v>139</v>
      </c>
      <c r="ME12" s="2" t="s">
        <v>140</v>
      </c>
      <c r="MF12" s="2" t="s">
        <v>141</v>
      </c>
      <c r="MH12" s="2" t="s">
        <v>142</v>
      </c>
      <c r="MI12" s="2" t="s">
        <v>143</v>
      </c>
      <c r="MK12" s="2" t="s">
        <v>144</v>
      </c>
      <c r="MO12" s="3" t="s">
        <v>92</v>
      </c>
    </row>
    <row r="13" spans="1:353" ht="15" x14ac:dyDescent="0.25">
      <c r="A13" s="50">
        <v>1.5</v>
      </c>
      <c r="B13" s="72" t="s">
        <v>205</v>
      </c>
      <c r="C13" s="3" t="s">
        <v>211</v>
      </c>
      <c r="E13" s="69">
        <v>53.43</v>
      </c>
      <c r="F13" s="69">
        <v>7.0000000000000007E-2</v>
      </c>
      <c r="G13" s="69">
        <v>3.24</v>
      </c>
      <c r="H13" s="69">
        <v>2.25</v>
      </c>
      <c r="I13" s="69">
        <v>7.0000000000000007E-2</v>
      </c>
      <c r="J13" s="69">
        <v>16.43</v>
      </c>
      <c r="K13" s="69">
        <v>21.26</v>
      </c>
      <c r="L13" s="69">
        <v>1.5</v>
      </c>
      <c r="M13" s="69">
        <v>0</v>
      </c>
      <c r="N13" s="69">
        <v>1.66</v>
      </c>
      <c r="P13" s="69">
        <v>56.6</v>
      </c>
      <c r="Q13" s="69">
        <v>0.02</v>
      </c>
      <c r="R13" s="69">
        <v>2.0099999999999998</v>
      </c>
      <c r="S13" s="69">
        <v>5.61</v>
      </c>
      <c r="T13" s="69">
        <v>0.1</v>
      </c>
      <c r="U13" s="69">
        <v>34.35</v>
      </c>
      <c r="V13" s="69">
        <v>0.78</v>
      </c>
      <c r="W13" s="69">
        <v>0.12</v>
      </c>
      <c r="X13" s="69">
        <v>0</v>
      </c>
      <c r="Y13" s="69">
        <v>0.63</v>
      </c>
      <c r="Z13" s="3"/>
      <c r="AA13" s="69">
        <v>41.47</v>
      </c>
      <c r="AB13" s="69">
        <v>0</v>
      </c>
      <c r="AC13" s="69">
        <v>0</v>
      </c>
      <c r="AD13" s="69">
        <v>10.87</v>
      </c>
      <c r="AE13" s="69">
        <v>0.15</v>
      </c>
      <c r="AF13" s="69">
        <v>48.01</v>
      </c>
      <c r="AG13" s="69">
        <v>0.03</v>
      </c>
      <c r="AH13" s="69">
        <v>0.04</v>
      </c>
      <c r="AI13" s="69">
        <v>0.01</v>
      </c>
      <c r="AJ13" s="69">
        <v>0.03</v>
      </c>
      <c r="AK13" s="3">
        <f t="shared" ref="AK13:AK27" si="0">(AD13/71.84)/(AD13/71.84+AF13/40.3)</f>
        <v>0.11269611474303949</v>
      </c>
      <c r="AL13" s="3">
        <f t="shared" ref="AL13:AL27" si="1">1-AK13</f>
        <v>0.88730388525696047</v>
      </c>
      <c r="AM13" s="69">
        <v>0.02</v>
      </c>
      <c r="AN13" s="69">
        <v>0</v>
      </c>
      <c r="AO13" s="69">
        <v>28.85</v>
      </c>
      <c r="AP13" s="69">
        <v>10.81</v>
      </c>
      <c r="AQ13" s="69">
        <v>0.18</v>
      </c>
      <c r="AR13" s="69">
        <v>21.26</v>
      </c>
      <c r="AS13" s="69">
        <v>0</v>
      </c>
      <c r="AT13" s="69">
        <v>0</v>
      </c>
      <c r="AU13" s="69">
        <v>0.01</v>
      </c>
      <c r="AV13" s="69">
        <v>37.950000000000003</v>
      </c>
      <c r="AW13" s="3"/>
      <c r="AX13" s="63">
        <f t="shared" ref="AX13:AX27" si="2">0.27+2505/(GJ13+273.15)-400*A13/(GJ13+273.15)-6*LOG10(AK13)-3200*(1-AK13)*(1-AK13)/(GJ13+273.15)+2*LOG10(FB13)+4*LOG10(FC13)+2630*FD13*FD13/(GJ13+273.15)</f>
        <v>-0.41974479876691839</v>
      </c>
      <c r="AY13" s="63">
        <f t="shared" ref="AY13:AY27" ca="1" si="3">0.27+2505/(GC13+273.15)-400*A13/(GC13+273.15)-6*LOG10(AK13)-3200*(1-AK13)*(1-AK13)/(GC13+273.15)+2*LOG10(FB13)+4*LOG10(FC13)+2630*FD13*FD13/(GC13+273.15)</f>
        <v>-0.41959255156822617</v>
      </c>
      <c r="AZ13" s="61"/>
      <c r="BA13" s="63">
        <f>4720/(GJ13+273.15)-0.05*A13*10000/(GJ13+273.15)-2.7*LN(AK13/(AK13+AL13))-0.91*LN(FO13/(FO13+FK13))-1.03*(LN(FO13/(FO13+FK13)))^2+1.91*LN(FN13/(FN13+FL13+FH13))+0.12*(LN(FN13/(FN13+FL13+FH13)))^2-4.4</f>
        <v>-2.8153771859222991</v>
      </c>
      <c r="BB13" s="63">
        <f ca="1">4720/(GC13+273.15)-0.05*A13*10000/(GC13+273.15)-2.7*LN(AK13/(AK13+AL13))-0.91*LN(FO13/(FO13+FK13))-1.03*(LN(FO13/(FO13+FK13)))^2+1.91*LN(FN13/(FN13+FL13+FH13))+0.12*(LN(FN13/(FN13+FL13+FH13)))^2-4.4</f>
        <v>-2.7385099690485482</v>
      </c>
      <c r="BC13" s="3"/>
      <c r="BD13" s="64">
        <f>LOG10(0.25*FU13*FT13*FT13)+1/(GJ13+273.15)*(406*FS13*FS13+653*FW13*FS13+299*FX13*FX13+199*FX13*FS13+346*FW13*FX13)</f>
        <v>-1.8199534234003572</v>
      </c>
      <c r="BE13" s="64">
        <f ca="1">LOG10(0.25*FU13*FT13*FT13)+1/(GC13+273.15)*(406*FS13*FS13+653*FW13*FS13+299*FX13*FX13+199*FS13*FX13+346*FW13*FX13)</f>
        <v>-1.7886958429638047</v>
      </c>
      <c r="BF13" s="64">
        <f t="shared" ref="BF13:BF27" si="4">220/(GJ13+273.15)+0.35-0.0369*A13*10000/(GJ13+273.15)-12*LOG10(AK13)-2620*(1-AK13)*(1-AK13)/(GJ13+273.15)+3*LOG10(LB13*LD13)+2*BD13</f>
        <v>-0.78429781776526619</v>
      </c>
      <c r="BG13" s="64">
        <f t="shared" ref="BG13:BG27" ca="1" si="5">220/(GC13+273.15)+0.35-0.0369*A13*10000/(GC13+273.15)-12*LOG10(AK13)-2620*(1-AK13)*(1-AK13)/(GC13+273.15)+3*LOG10(LB13*LD13)+2*BE13</f>
        <v>-0.76817884630602862</v>
      </c>
      <c r="BH13" s="3"/>
      <c r="BI13" s="64">
        <f t="shared" ref="BI13:BI27" si="6">-25096.3/(273.15+GJ13)+8.735+0.11*(A13*10000-1)/(273.15+GJ13)</f>
        <v>-11.230252520198109</v>
      </c>
      <c r="BJ13" s="64">
        <f t="shared" ref="BJ13:BJ27" ca="1" si="7">-25096.3/(273.15+GC13)+8.735+0.11*(A13*10000-1)/(273.15+GC13)</f>
        <v>-11.684222364626534</v>
      </c>
      <c r="BK13" s="61"/>
      <c r="BL13" s="61"/>
      <c r="BM13" s="64">
        <f>BI13+AX13</f>
        <v>-11.649997318965028</v>
      </c>
      <c r="BN13" s="64">
        <f ca="1">BJ13+AY13</f>
        <v>-12.103814916194759</v>
      </c>
      <c r="BO13" s="76"/>
      <c r="BP13" s="64">
        <f>BI13+BA13</f>
        <v>-14.045629706120408</v>
      </c>
      <c r="BQ13" s="64">
        <f ca="1">BJ13+BB13</f>
        <v>-14.422732333675082</v>
      </c>
      <c r="BR13" s="61"/>
      <c r="BS13" s="64">
        <f t="shared" ref="BS13:BS27" si="8">BI13+BF13</f>
        <v>-12.014550337963374</v>
      </c>
      <c r="BT13" s="64">
        <f t="shared" ref="BT13:BT27" ca="1" si="9">BJ13+BG13</f>
        <v>-12.452401210932562</v>
      </c>
      <c r="BU13" s="3"/>
      <c r="BV13">
        <v>60.08</v>
      </c>
      <c r="BW13">
        <v>79.88</v>
      </c>
      <c r="BX13">
        <v>101.96</v>
      </c>
      <c r="BY13">
        <v>159.69</v>
      </c>
      <c r="BZ13">
        <v>71.849999999999994</v>
      </c>
      <c r="CA13">
        <v>70.94</v>
      </c>
      <c r="CB13">
        <v>40.299999999999997</v>
      </c>
      <c r="CC13">
        <v>151.99</v>
      </c>
      <c r="CD13" s="3"/>
      <c r="CE13" s="3">
        <f t="shared" ref="CE13:CE27" si="10">AM13/BV13</f>
        <v>3.3288948069241014E-4</v>
      </c>
      <c r="CF13" s="3">
        <f t="shared" ref="CF13:CF27" si="11">AN13/BW13</f>
        <v>0</v>
      </c>
      <c r="CG13" s="3">
        <f t="shared" ref="CG13:CG27" si="12">AO13/BX13</f>
        <v>0.28295409964692037</v>
      </c>
      <c r="CH13" s="3">
        <f t="shared" ref="CH13:CH27" si="13">AP13/BZ13</f>
        <v>0.15045233124565069</v>
      </c>
      <c r="CI13" s="3">
        <f t="shared" ref="CI13:CI27" si="14">AQ13/CA13</f>
        <v>2.5373555117000281E-3</v>
      </c>
      <c r="CJ13" s="3">
        <f t="shared" ref="CJ13:CJ27" si="15">AR13/CB13</f>
        <v>0.52754342431761791</v>
      </c>
      <c r="CK13" s="3">
        <f t="shared" ref="CK13:CK27" si="16">AV13/CC13</f>
        <v>0.24968747943943681</v>
      </c>
      <c r="CL13" s="3"/>
      <c r="CM13" s="3">
        <f>CE13*2</f>
        <v>6.6577896138482028E-4</v>
      </c>
      <c r="CN13" s="3">
        <f>CF13*2</f>
        <v>0</v>
      </c>
      <c r="CO13" s="3">
        <f>CG13*3</f>
        <v>0.84886229894076104</v>
      </c>
      <c r="CP13" s="3">
        <f>CH13</f>
        <v>0.15045233124565069</v>
      </c>
      <c r="CQ13" s="3">
        <f>CI13</f>
        <v>2.5373555117000281E-3</v>
      </c>
      <c r="CR13" s="3">
        <f>CJ13</f>
        <v>0.52754342431761791</v>
      </c>
      <c r="CS13" s="3">
        <f>CK13*3</f>
        <v>0.74906243831831043</v>
      </c>
      <c r="CT13" s="3">
        <f>SUM(CM13:CS13)</f>
        <v>2.2791236272954252</v>
      </c>
      <c r="CU13">
        <v>32</v>
      </c>
      <c r="CV13" s="3">
        <f>CU13/CT13</f>
        <v>14.040484516398761</v>
      </c>
      <c r="CW13" s="3"/>
      <c r="CX13" s="3">
        <f>CM13*CV13</f>
        <v>9.3478591986676188E-3</v>
      </c>
      <c r="CY13" s="3">
        <f>CN13*CV13</f>
        <v>0</v>
      </c>
      <c r="CZ13" s="3">
        <f>CO13*CV13</f>
        <v>11.918437964832412</v>
      </c>
      <c r="DA13" s="3">
        <f>CP13*CV13</f>
        <v>2.112423627310656</v>
      </c>
      <c r="DB13" s="3">
        <f>CQ13*CV13</f>
        <v>3.5625700774623299E-2</v>
      </c>
      <c r="DC13" s="3">
        <f>CR13*CV13</f>
        <v>7.4069652808594961</v>
      </c>
      <c r="DD13" s="3">
        <f>CS13*CV13</f>
        <v>10.517199567024139</v>
      </c>
      <c r="DE13" s="3">
        <f>SUM(CX13:DD13)</f>
        <v>31.999999999999996</v>
      </c>
      <c r="DF13" s="3"/>
      <c r="DG13" s="3">
        <f>CX13/2</f>
        <v>4.6739295993338094E-3</v>
      </c>
      <c r="DH13" s="3">
        <f>CY13/2</f>
        <v>0</v>
      </c>
      <c r="DI13" s="3">
        <f>CZ13*(2/3)</f>
        <v>7.9456253098882748</v>
      </c>
      <c r="DJ13" s="3">
        <f>DA13</f>
        <v>2.112423627310656</v>
      </c>
      <c r="DK13" s="3">
        <f>DB13</f>
        <v>3.5625700774623299E-2</v>
      </c>
      <c r="DL13" s="3">
        <f>DC13</f>
        <v>7.4069652808594961</v>
      </c>
      <c r="DM13" s="3">
        <f>DD13*(2/3)</f>
        <v>7.0114663780160926</v>
      </c>
      <c r="DN13" s="3">
        <f>SUM(DG13:DM13)</f>
        <v>24.516780226448475</v>
      </c>
      <c r="DO13" s="3">
        <f>24/DN13</f>
        <v>0.97892136644064798</v>
      </c>
      <c r="DP13" s="3"/>
      <c r="DQ13" s="3">
        <f>DG13*DO13</f>
        <v>4.5754095500272433E-3</v>
      </c>
      <c r="DR13" s="3">
        <f>DH13*DO13</f>
        <v>0</v>
      </c>
      <c r="DS13" s="3">
        <f>DI13*DO13</f>
        <v>7.7781423855812273</v>
      </c>
      <c r="DT13" s="3">
        <f>DJ13*DO13</f>
        <v>2.0678966237484575</v>
      </c>
      <c r="DU13" s="3">
        <f>DK13*DO13</f>
        <v>3.4874759682699888E-2</v>
      </c>
      <c r="DV13" s="3">
        <f>DL13*DO13</f>
        <v>7.2508365739174163</v>
      </c>
      <c r="DW13" s="3">
        <f>DM13*DO13</f>
        <v>6.8636742475201746</v>
      </c>
      <c r="DX13" s="3">
        <f>SUM(DQ13:DW13)</f>
        <v>24</v>
      </c>
      <c r="DY13" s="3"/>
      <c r="DZ13" s="3">
        <f>DT13/(DT13+DV13)</f>
        <v>0.22190748247480863</v>
      </c>
      <c r="EA13" s="3">
        <f>DW13/(DS13+DW13)</f>
        <v>0.46877203966638692</v>
      </c>
      <c r="EB13" s="3"/>
      <c r="EC13" s="3">
        <f>DT13-ED13</f>
        <v>0.71886407594992807</v>
      </c>
      <c r="ED13" s="3">
        <f>(2*32)*(1-(24/DN13))</f>
        <v>1.3490325477985294</v>
      </c>
      <c r="EE13" s="3">
        <f>EC13/(EC13+ED13)</f>
        <v>0.34763056706715334</v>
      </c>
      <c r="EF13" s="3">
        <f>ED13/(ED13+EC13)</f>
        <v>0.65236943293284666</v>
      </c>
      <c r="EG13" s="3"/>
      <c r="EH13" s="3">
        <f t="shared" ref="EH13:EH27" si="17">AM13</f>
        <v>0.02</v>
      </c>
      <c r="EI13" s="3">
        <f t="shared" ref="EI13:EI27" si="18">AN13</f>
        <v>0</v>
      </c>
      <c r="EJ13" s="3">
        <f t="shared" ref="EJ13:EJ27" si="19">AO13</f>
        <v>28.85</v>
      </c>
      <c r="EK13" s="3">
        <f t="shared" ref="EK13:EK27" si="20">IF(ED13&lt;0,0,1.1113*(AP13*EF13))</f>
        <v>7.8370138103455256</v>
      </c>
      <c r="EL13" s="3">
        <f t="shared" ref="EL13:EL27" si="21">IF(ED13&lt;0,AP13,AP13*EE13)</f>
        <v>3.7578864299959278</v>
      </c>
      <c r="EM13" s="3">
        <f t="shared" ref="EM13:EM27" si="22">AQ13</f>
        <v>0.18</v>
      </c>
      <c r="EN13" s="3">
        <f t="shared" ref="EN13:EN27" si="23">AR13</f>
        <v>21.26</v>
      </c>
      <c r="EO13" s="3">
        <f t="shared" ref="EO13:EO27" si="24">AV13</f>
        <v>37.950000000000003</v>
      </c>
      <c r="EP13" s="3">
        <f>SUM(EH13:EO13)</f>
        <v>99.854900240341465</v>
      </c>
      <c r="EQ13" s="3"/>
      <c r="ER13" s="3">
        <f>DQ13</f>
        <v>4.5754095500272433E-3</v>
      </c>
      <c r="ES13" s="3">
        <f>DR13</f>
        <v>0</v>
      </c>
      <c r="ET13" s="3">
        <f>DS13</f>
        <v>7.7781423855812273</v>
      </c>
      <c r="EU13" s="3">
        <f>IF(ED13&lt;0,0,ED13)</f>
        <v>1.3490325477985294</v>
      </c>
      <c r="EV13" s="3">
        <f>IF(ED13&lt;0,DT13,EC13)</f>
        <v>0.71886407594992807</v>
      </c>
      <c r="EW13" s="3">
        <f>DU13</f>
        <v>3.4874759682699888E-2</v>
      </c>
      <c r="EX13" s="3">
        <f>DV13</f>
        <v>7.2508365739174163</v>
      </c>
      <c r="EY13" s="3">
        <f>DW13</f>
        <v>6.8636742475201746</v>
      </c>
      <c r="EZ13" s="3">
        <f>SUM(ER13:EY13)</f>
        <v>24</v>
      </c>
      <c r="FA13" s="3"/>
      <c r="FB13" s="3">
        <f>EV13/(EV13+EX13)</f>
        <v>9.019963327755523E-2</v>
      </c>
      <c r="FC13" s="3">
        <f>EU13/(EU13+ET13+EY13)</f>
        <v>8.4362783523082963E-2</v>
      </c>
      <c r="FD13" s="3">
        <f>ET13/(EU13+ET13+EY13)</f>
        <v>0.4864120909145796</v>
      </c>
      <c r="FE13" s="3"/>
      <c r="FF13" s="3"/>
      <c r="FG13" s="3">
        <f>FR13/FM13</f>
        <v>0</v>
      </c>
      <c r="FH13" s="3">
        <f>FS13/FM13</f>
        <v>0.32462286719286665</v>
      </c>
      <c r="FI13" s="3">
        <f>FT13/FM13</f>
        <v>5.6302236690172411E-2</v>
      </c>
      <c r="FJ13" s="3">
        <f>FU13/FM13</f>
        <v>3.0001985806972126E-2</v>
      </c>
      <c r="FK13" s="3">
        <f>FW13/FM13</f>
        <v>0.30261561713440982</v>
      </c>
      <c r="FL13" s="3">
        <f>FX13/FM13</f>
        <v>0.28645729317557922</v>
      </c>
      <c r="FM13" s="3">
        <f>FR13+FS13+FT13+FU13+FW13+FX13</f>
        <v>2.9950687288459088</v>
      </c>
      <c r="FN13" s="3">
        <f>2/3-FH13-FL13-2*FG13</f>
        <v>5.5586506298220761E-2</v>
      </c>
      <c r="FO13" s="3">
        <f>1/3-FK13+FG13</f>
        <v>3.0717716198923495E-2</v>
      </c>
      <c r="FP13" s="3"/>
      <c r="FQ13" s="3">
        <f t="shared" ref="FQ13:FQ27" si="25">ER13/8</f>
        <v>5.7192619375340541E-4</v>
      </c>
      <c r="FR13" s="3">
        <f t="shared" ref="FR13:FR27" si="26">ES13/8</f>
        <v>0</v>
      </c>
      <c r="FS13" s="3">
        <f t="shared" ref="FS13:FS27" si="27">ET13/8</f>
        <v>0.97226779819765341</v>
      </c>
      <c r="FT13" s="3">
        <f t="shared" ref="FT13:FT27" si="28">EU13/8</f>
        <v>0.16862906847481618</v>
      </c>
      <c r="FU13" s="3">
        <f t="shared" ref="FU13:FU27" si="29">EV13/8</f>
        <v>8.9858009493741009E-2</v>
      </c>
      <c r="FV13" s="3">
        <f t="shared" ref="FV13:FV27" si="30">EW13/8</f>
        <v>4.359344960337486E-3</v>
      </c>
      <c r="FW13" s="3">
        <f t="shared" ref="FW13:FW27" si="31">EX13/8</f>
        <v>0.90635457173967704</v>
      </c>
      <c r="FX13" s="3">
        <f t="shared" ref="FX13:FX27" si="32">EY13/8</f>
        <v>0.85795928094002183</v>
      </c>
      <c r="FZ13" s="44">
        <f ca="1">GE13</f>
        <v>1011.8333615751175</v>
      </c>
      <c r="GA13" s="44">
        <f t="shared" ref="GA13:GA27" ca="1" si="33">GH13</f>
        <v>8.459613422865143</v>
      </c>
      <c r="GB13" s="68">
        <f>GU13/(GU13+GS13)</f>
        <v>0.92865755343377743</v>
      </c>
      <c r="GC13" s="28">
        <f t="shared" ref="GC13:GC27" ca="1" si="34">-273.15+((23664+(24.9+126.3*HT13/(HT13+HV13))*GA13)/(13.38+(LN((1-HW13/(1-HX13))/(1-KG13/(1-KH13))))^2+11.59*KD13/(KD13+KF13)))</f>
        <v>875.10185706472578</v>
      </c>
      <c r="GD13" s="28"/>
      <c r="GE13" s="28">
        <f t="shared" ref="GE13:GE27" ca="1" si="35">10^4/(11.2-1.96*LN(II13/KS13)-3.3*HW13-25.8*IG13+33.2*KE13-23.6*KH13-2.08*KT13-8.33*KU13-0.05*GA13)</f>
        <v>1011.8333615751175</v>
      </c>
      <c r="GF13" s="28">
        <f t="shared" ref="GF13:GF27" ca="1" si="36">10^4/(13.4-3.4*LN(II13/KS13)+5.59*LN(HV13)+23.85*KE13+6.48*KQ13-2.38*IK13-0.044*GA13-8.8*HV13/(HV13+HT13))</f>
        <v>953.02071176654692</v>
      </c>
      <c r="GG13" s="28">
        <f t="shared" ref="GG13:GG27" si="37">-279.8+293*KB13+455*KH13+229*KJ13+519*KS13-563*KT13+371*KU13+327*KV13+1.19/GN13</f>
        <v>8.3318401787996059</v>
      </c>
      <c r="GH13" s="28">
        <f t="shared" ref="GH13:GH27" ca="1" si="38">-94.25+0.045*FZ13+187.7*KB13+246.8*KS13-212.5*KT13+127.5*KV13-69.4*II13-133.9*IR13-1.66/GN13</f>
        <v>8.459613422865143</v>
      </c>
      <c r="GI13" s="28">
        <f>LV13</f>
        <v>1022.8109978095141</v>
      </c>
      <c r="GJ13" s="28">
        <f>MK13</f>
        <v>901.21080391570979</v>
      </c>
      <c r="GK13" s="28">
        <f t="shared" ref="GK13:GK27" ca="1" si="39">-273+(93100+755*GA13)/(61.1+36.6*HP13/4+10.9*HT13/4-0.95*(HQ13+HR13+HZ13-HX13-HY13)/4+3.5*LN(IY13)^2)</f>
        <v>836.12496321357276</v>
      </c>
      <c r="GL13" s="51">
        <f t="shared" ref="GL13:GL27" si="40">(HT13/HV13)/(KD13/KF13)</f>
        <v>0.8385111362090345</v>
      </c>
      <c r="GM13" s="52"/>
      <c r="GN13" s="2">
        <f t="shared" ref="GN13:GN27" si="41">KG13/(1-HW13)</f>
        <v>0.16582938278146192</v>
      </c>
      <c r="GP13" s="2">
        <f t="shared" ref="GP13:GP27" si="42">E13/GP$6</f>
        <v>0.88925060290292146</v>
      </c>
      <c r="GQ13" s="2">
        <f t="shared" ref="GQ13:GQ27" si="43">F13/GQ$6</f>
        <v>8.7632763636909933E-4</v>
      </c>
      <c r="GR13" s="2">
        <f t="shared" ref="GR13:GR27" si="44">G13/GR$6</f>
        <v>3.1776855856651076E-2</v>
      </c>
      <c r="GS13" s="2">
        <f t="shared" ref="GS13:GS27" si="45">H13/GS$6</f>
        <v>3.1316809192944946E-2</v>
      </c>
      <c r="GT13" s="2">
        <f t="shared" ref="GT13:GT27" si="46">I13/GT$6</f>
        <v>9.8678414096916309E-4</v>
      </c>
      <c r="GU13" s="2">
        <f t="shared" ref="GU13:GU27" si="47">J13/GU$6</f>
        <v>0.40764780024017228</v>
      </c>
      <c r="GV13" s="2">
        <f t="shared" ref="GV13:GV27" si="48">K13/GV$6</f>
        <v>0.37911886071750833</v>
      </c>
      <c r="GW13" s="2">
        <f t="shared" ref="GW13:GW27" si="49">L13/GW$6</f>
        <v>2.4201784800956454E-2</v>
      </c>
      <c r="GX13" s="2">
        <f t="shared" ref="GX13:GX27" si="50">M13/GX$6</f>
        <v>0</v>
      </c>
      <c r="GY13" s="2">
        <f t="shared" ref="GY13:GY27" si="51">N13/GY$6</f>
        <v>1.0921181961365331E-2</v>
      </c>
      <c r="GZ13" s="2">
        <f>SUM(GP13:GY13)</f>
        <v>1.7760970074498581</v>
      </c>
      <c r="HB13" s="36">
        <f>GP13*2</f>
        <v>1.7785012058058429</v>
      </c>
      <c r="HC13" s="36">
        <f>GQ13*2</f>
        <v>1.7526552727381987E-3</v>
      </c>
      <c r="HD13" s="36">
        <f>GR13*3</f>
        <v>9.5330567569953228E-2</v>
      </c>
      <c r="HE13" s="36">
        <f t="shared" ref="HE13:HJ27" si="52">GS13</f>
        <v>3.1316809192944946E-2</v>
      </c>
      <c r="HF13" s="36">
        <f t="shared" si="52"/>
        <v>9.8678414096916309E-4</v>
      </c>
      <c r="HG13" s="36">
        <f t="shared" si="52"/>
        <v>0.40764780024017228</v>
      </c>
      <c r="HH13" s="36">
        <f t="shared" si="52"/>
        <v>0.37911886071750833</v>
      </c>
      <c r="HI13" s="36">
        <f t="shared" si="52"/>
        <v>2.4201784800956454E-2</v>
      </c>
      <c r="HJ13" s="36">
        <f t="shared" si="52"/>
        <v>0</v>
      </c>
      <c r="HK13" s="36">
        <f>GY13*3</f>
        <v>3.2763545884095996E-2</v>
      </c>
      <c r="HL13" s="36">
        <f>SUM(HB13:HK13)</f>
        <v>2.7516200136251814</v>
      </c>
      <c r="HM13" s="36">
        <f>6/HL13</f>
        <v>2.1805336384710947</v>
      </c>
      <c r="HO13" s="18">
        <f t="shared" ref="HO13:HO27" si="53">GP13*$HM13</f>
        <v>1.9390408526605221</v>
      </c>
      <c r="HP13" s="18">
        <f t="shared" ref="HP13:HP27" si="54">GQ13*$HM13</f>
        <v>1.9108618894246865E-3</v>
      </c>
      <c r="HQ13" s="18">
        <f>2-HO13</f>
        <v>6.0959147339477937E-2</v>
      </c>
      <c r="HR13" s="18">
        <f>IF(HS13-HQ13&lt;0,0,HS13-HQ13)</f>
        <v>7.7621858901071844E-2</v>
      </c>
      <c r="HS13" s="18">
        <f t="shared" ref="HS13:HS27" si="55">GR13*$HM13*2</f>
        <v>0.13858100624054978</v>
      </c>
      <c r="HT13" s="18">
        <f t="shared" ref="HT13:HT27" si="56">GS13*$HM13</f>
        <v>6.8287355894797272E-2</v>
      </c>
      <c r="HU13" s="18">
        <f t="shared" ref="HU13:HU27" si="57">GT13*$HM13</f>
        <v>2.151716013293063E-3</v>
      </c>
      <c r="HV13" s="18">
        <f t="shared" ref="HV13:HV27" si="58">GU13*$HM13</f>
        <v>0.8888897410724409</v>
      </c>
      <c r="HW13" s="18">
        <f t="shared" ref="HW13:HW27" si="59">GV13*$HM13</f>
        <v>0.82668142877336459</v>
      </c>
      <c r="HX13" s="18">
        <f t="shared" ref="HX13:HX27" si="60">GW13*$HM13*2</f>
        <v>0.10554561173904803</v>
      </c>
      <c r="HY13" s="18">
        <f t="shared" ref="HY13:HY27" si="61">GX13*$HM13*2</f>
        <v>0</v>
      </c>
      <c r="HZ13" s="18">
        <f t="shared" ref="HZ13:HZ27" si="62">GY13*$HM13*2</f>
        <v>4.7628009277241666E-2</v>
      </c>
      <c r="IA13" s="36">
        <f>HO13+HP13+HS13+HT13+HU13+HV13+HW13+HX13+HY13+HZ13</f>
        <v>4.0187165835606828</v>
      </c>
      <c r="IB13" s="36">
        <f>IF(HX13+HQ13-HR13-2*HP13-HZ13&gt;0,HX13+HQ13-HR13-2*HP13-HZ13,0)</f>
        <v>3.7433167121363083E-2</v>
      </c>
      <c r="IC13" s="36">
        <f>12-48/IA13</f>
        <v>5.5888241446773179E-2</v>
      </c>
      <c r="ID13" s="36">
        <f>IF(HX13&lt;HR13,HX13,HR13)</f>
        <v>7.7621858901071844E-2</v>
      </c>
      <c r="IE13" s="36">
        <f>IF(HR13&gt;HX13,HR13-HX13,0)</f>
        <v>0</v>
      </c>
      <c r="IF13" s="36">
        <f>IF(HQ13&gt;IE13,(HQ13-IE13)/2,0)</f>
        <v>3.0479573669738969E-2</v>
      </c>
      <c r="IG13" s="36">
        <f>HZ13/2</f>
        <v>2.3814004638620833E-2</v>
      </c>
      <c r="IH13" s="36">
        <f>IF(HW13-IF13-IE13-IG13&gt;0,HW13-IF13-IE13-IG13,0)</f>
        <v>0.7723878504650048</v>
      </c>
      <c r="II13" s="36">
        <f>((HT13+HV13)-IH13)/2</f>
        <v>9.2394623251116692E-2</v>
      </c>
      <c r="IJ13" s="36">
        <f>II13*(HV13/(HV13+HU13+HT13))</f>
        <v>8.5610513962367116E-2</v>
      </c>
      <c r="IK13" s="36">
        <f>IM13*(HV13/(HV13+HU13+HT13))</f>
        <v>0.71567498767627502</v>
      </c>
      <c r="IL13" s="36">
        <f>SUM(ID13:II13)</f>
        <v>0.99669791092555315</v>
      </c>
      <c r="IM13" s="36">
        <f>HW13-IE13-IF13-IG13</f>
        <v>0.7723878504650048</v>
      </c>
      <c r="IN13" s="36"/>
      <c r="IO13" s="2">
        <f>HV13/(HV13+IP13)</f>
        <v>0.96645350105370686</v>
      </c>
      <c r="IP13" s="36">
        <f>HT13-IB13</f>
        <v>3.0854188773434189E-2</v>
      </c>
      <c r="IQ13" s="53">
        <f>((0.5*HV13/(0.5*HV13+0.5*(HT13-IB13)+HX13+HW13+HU13)))*(0.5*HV13/(0.5*HV13+0.5*(HT13-IB13)+HZ13+HR13+HP13))</f>
        <v>0.24134184501207884</v>
      </c>
      <c r="IR13" s="18">
        <f>HW13/(HW13+0.5*HV13+0.5*(HT13-IB13)+HU13+HX13)</f>
        <v>0.59292164318511709</v>
      </c>
      <c r="IS13" s="18">
        <f>(HV13/(HW13+HV13+HT13-IB13+HU13+HX13))*(HV13/(HT13+HS13+HP13+HZ13+HV13))</f>
        <v>0.3720824675273568</v>
      </c>
      <c r="IT13" s="18">
        <f t="shared" ref="IT13:IT27" si="63">(1-IB13-HR13-HP13-HZ13)*IO13</f>
        <v>0.80738115286322598</v>
      </c>
      <c r="IU13" s="18">
        <f t="shared" ref="IU13:IU27" si="64">(1-IB13-HR13-HP13-HZ13)*(1-IO13)</f>
        <v>2.8024949947672666E-2</v>
      </c>
      <c r="IV13" s="18">
        <f t="shared" ref="IV13:IV27" si="65">(1-HW13-HX13-HU13)*(IO13)</f>
        <v>6.3419880499229461E-2</v>
      </c>
      <c r="IW13" s="18">
        <f t="shared" ref="IW13:IW27" si="66">(1-HW13-HX13-HU13)*(1-IO13)</f>
        <v>2.2013629750648597E-3</v>
      </c>
      <c r="IX13" s="18">
        <f t="shared" ref="IX13:IX27" si="67">(IV13/(IV13+IW13+HW13+HX13+HU13))*(IT13/(IT13+IU13+IB13+HR13+HP13+HZ13))</f>
        <v>5.1204016231915908E-2</v>
      </c>
      <c r="IY13" s="18">
        <f t="shared" ref="IY13:IY27" si="68">(1-HW13-HX13-HY13)*(1-0.5*(HQ13+HR13+HZ13+HX13+HY13))</f>
        <v>5.788642222089041E-2</v>
      </c>
      <c r="IZ13" s="2">
        <f t="shared" ref="IZ13:IZ27" si="69">P13/GP$6</f>
        <v>0.94200980955091429</v>
      </c>
      <c r="JA13" s="2">
        <f t="shared" ref="JA13:JA27" si="70">Q13/GQ$6</f>
        <v>2.5037932467688548E-4</v>
      </c>
      <c r="JB13" s="2">
        <f t="shared" ref="JB13:JB27" si="71">R13/GR$6</f>
        <v>1.9713419836996496E-2</v>
      </c>
      <c r="JC13" s="2">
        <f t="shared" ref="JC13:JC27" si="72">S13/GS$6</f>
        <v>7.8083244254409406E-2</v>
      </c>
      <c r="JD13" s="2">
        <f t="shared" ref="JD13:JD27" si="73">T13/GT$6</f>
        <v>1.4096916299559472E-3</v>
      </c>
      <c r="JE13" s="2">
        <f t="shared" ref="JE13:JE27" si="74">U13/GU$6</f>
        <v>0.85226426891356777</v>
      </c>
      <c r="JF13" s="2">
        <f t="shared" ref="JF13:JF27" si="75">V13/GV$6</f>
        <v>1.3909346724348848E-2</v>
      </c>
      <c r="JG13" s="2">
        <f t="shared" ref="JG13:JG27" si="76">W13/GW$6</f>
        <v>1.9361427840765162E-3</v>
      </c>
      <c r="JH13" s="2">
        <f t="shared" ref="JH13:JH27" si="77">X13/GX$6</f>
        <v>0</v>
      </c>
      <c r="JI13" s="2">
        <f t="shared" ref="JI13:JI27" si="78">Y13/GY$6</f>
        <v>4.1447859250964818E-3</v>
      </c>
      <c r="JJ13" s="2">
        <f>SUM(IZ13:JI13)</f>
        <v>1.9137210889440426</v>
      </c>
      <c r="JL13" s="36">
        <f>IZ13*2</f>
        <v>1.8840196191018286</v>
      </c>
      <c r="JM13" s="36">
        <f>JA13*2</f>
        <v>5.0075864935377097E-4</v>
      </c>
      <c r="JN13" s="36">
        <f>JB13*3</f>
        <v>5.9140259510989487E-2</v>
      </c>
      <c r="JO13" s="36">
        <f t="shared" ref="JO13:JT27" si="79">JC13</f>
        <v>7.8083244254409406E-2</v>
      </c>
      <c r="JP13" s="36">
        <f t="shared" si="79"/>
        <v>1.4096916299559472E-3</v>
      </c>
      <c r="JQ13" s="36">
        <f t="shared" si="79"/>
        <v>0.85226426891356777</v>
      </c>
      <c r="JR13" s="36">
        <f t="shared" si="79"/>
        <v>1.3909346724348848E-2</v>
      </c>
      <c r="JS13" s="36">
        <f t="shared" si="79"/>
        <v>1.9361427840765162E-3</v>
      </c>
      <c r="JT13" s="36">
        <f t="shared" si="79"/>
        <v>0</v>
      </c>
      <c r="JU13" s="36">
        <f>JI13*3</f>
        <v>1.2434357775289446E-2</v>
      </c>
      <c r="JV13" s="36">
        <f>SUM(JL13:JU13)</f>
        <v>2.9036976893438196</v>
      </c>
      <c r="JW13" s="36">
        <f>6/JV13</f>
        <v>2.0663308105451867</v>
      </c>
      <c r="JY13" s="18">
        <f t="shared" ref="JY13:JY27" si="80">IZ13*$JW13</f>
        <v>1.9465038933108578</v>
      </c>
      <c r="JZ13" s="18">
        <f t="shared" ref="JZ13:JZ27" si="81">JA13*$JW13</f>
        <v>5.1736651290334524E-4</v>
      </c>
      <c r="KA13" s="18">
        <f>2-JY13</f>
        <v>5.3496106689142175E-2</v>
      </c>
      <c r="KB13" s="18">
        <f>IF(KC13-KA13&lt;0,0,KC13-KA13)</f>
        <v>2.7972786891654888E-2</v>
      </c>
      <c r="KC13" s="18">
        <f t="shared" ref="KC13:KC27" si="82">JB13*$JW13*2</f>
        <v>8.1468893580797064E-2</v>
      </c>
      <c r="KD13" s="18">
        <f t="shared" ref="KD13:KD27" si="83">JC13*$JW13</f>
        <v>0.16134581339021159</v>
      </c>
      <c r="KE13" s="18">
        <f t="shared" ref="KE13:KE27" si="84">JD13*$JW13</f>
        <v>2.912889248345638E-3</v>
      </c>
      <c r="KF13" s="18">
        <f t="shared" ref="KF13:KF27" si="85">JE13*$JW13</f>
        <v>1.7610599175828734</v>
      </c>
      <c r="KG13" s="18">
        <f t="shared" ref="KG13:KG27" si="86">JF13*$JW13</f>
        <v>2.8741311691077794E-2</v>
      </c>
      <c r="KH13" s="18">
        <f t="shared" ref="KH13:KH27" si="87">JG13*$JW13*2</f>
        <v>8.001422976704085E-3</v>
      </c>
      <c r="KI13" s="18">
        <f t="shared" ref="KI13:KI27" si="88">JH13*$JW13*2</f>
        <v>0</v>
      </c>
      <c r="KJ13" s="18">
        <f t="shared" ref="KJ13:KJ27" si="89">JI13*$JW13*2</f>
        <v>1.7128997720281789E-2</v>
      </c>
      <c r="KK13" s="36">
        <f>JY13+JZ13+KC13+KD13+KE13+KF13+KG13+KH13+KI13+KJ13</f>
        <v>4.0076805060140526</v>
      </c>
      <c r="KL13" s="36">
        <f>IF(KH13+KA13-KB13-2*JZ13-KJ13&gt;0,KH13+KA13-KB13-2*JZ13-KJ13,0)</f>
        <v>1.5361012028102892E-2</v>
      </c>
      <c r="KM13" s="36">
        <f>12-48/KK13</f>
        <v>2.2997360201324923E-2</v>
      </c>
      <c r="KN13" s="36">
        <f>KH13</f>
        <v>8.001422976704085E-3</v>
      </c>
      <c r="KO13" s="36">
        <f>JZ13</f>
        <v>5.1736651290334524E-4</v>
      </c>
      <c r="KP13" s="36">
        <f>KJ13</f>
        <v>1.7128997720281789E-2</v>
      </c>
      <c r="KQ13" s="36">
        <f>(KB13-KN13-KP13)</f>
        <v>2.8423661946690125E-3</v>
      </c>
      <c r="KR13" s="36">
        <f>KG13</f>
        <v>2.8741311691077794E-2</v>
      </c>
      <c r="KS13" s="36">
        <f>((KD13+KF13+KE13)-KO13-KQ13-KR13)/2</f>
        <v>0.94660878791139036</v>
      </c>
      <c r="KT13" s="36">
        <f>KS13*(KF13/(KF13+KD13+KE13))</f>
        <v>0.8658487880986323</v>
      </c>
      <c r="KU13" s="36">
        <f>KR13*(KF13/(KF13+KD13+KE13))</f>
        <v>2.6289244526234254E-2</v>
      </c>
      <c r="KV13" s="53">
        <f>((0.5*KF13/(0.5*(KD13-KL13)+0.5*KF13+KH13+KG13+KE13)))*(0.5*KF13/(0.5*KF13+0.5*(KD13-KL13)+JZ13+KB13+KJ13+KL13))</f>
        <v>0.76949899814553835</v>
      </c>
      <c r="KW13" s="36">
        <f>KG13/(KG13+LC13+LD13+KE13+KH13)</f>
        <v>2.8741311691077794E-2</v>
      </c>
      <c r="KX13" s="36">
        <f>(KD13-KL13)/((KD13-KL13)+KF13)</f>
        <v>7.655027693470691E-2</v>
      </c>
      <c r="KY13" s="36">
        <f>(KF13/(KG13+KF13-KL13+KD13+KE13+KH13))*(KF13/(KL13+KD13-KL13+KC13+JZ13+KJ13+KF13))</f>
        <v>0.78808108640233776</v>
      </c>
      <c r="KZ13" s="18">
        <f>KF13/(KF13+(KD13-KL13))</f>
        <v>0.92344972306529305</v>
      </c>
      <c r="LA13" s="18">
        <f>(1-KL13-KB13-JZ13-KJ13)*KZ13</f>
        <v>0.86713760828923159</v>
      </c>
      <c r="LB13" s="18">
        <f>(1-KL13-KB13-JZ13-KJ13)*(1-KZ13)</f>
        <v>7.1882228557825556E-2</v>
      </c>
      <c r="LC13" s="18">
        <f>(1-KG13-KH13-KE13)*KZ13</f>
        <v>0.8868297481419638</v>
      </c>
      <c r="LD13" s="18">
        <f>(1-KG13-KH13-KE13)*(1-KZ13)</f>
        <v>7.3514627941908814E-2</v>
      </c>
      <c r="LE13" s="54">
        <f>(LC13/(LC13+LD13+KG13+KH13+KE13))*(LA13/(KL13+JZ13+KB13+KJ13+LA13+LB13))</f>
        <v>0.76900342676356415</v>
      </c>
      <c r="LF13" s="36">
        <f>SUM(KN13:KS13)</f>
        <v>1.0038402530070263</v>
      </c>
      <c r="LH13" s="2" t="str">
        <f t="shared" ref="LH13:LH27" si="90">B13</f>
        <v>10ABG37</v>
      </c>
      <c r="LI13" s="2">
        <f>MO13</f>
        <v>15</v>
      </c>
      <c r="LK13" s="2">
        <f t="shared" ref="LK13:LK27" si="91">((1-HS13/2)*(1-HW13))/((1-KC13/2)*(1-KG13))</f>
        <v>0.1731352424510762</v>
      </c>
      <c r="LL13" s="2">
        <f>1616.67+287.935*LN(LK13)+2.933*LI13</f>
        <v>1155.7185037596448</v>
      </c>
      <c r="LN13" s="2">
        <f t="shared" ref="LN13:LN27" si="92">(-7-LI13*0.06188+34*(KR13^2)-(21.905-LI13*0.05229)*IM13^2)/(0.0083143*LN(II13/KS13)+0.004431*IM13^2-0.00397)</f>
        <v>991.67673283140437</v>
      </c>
      <c r="LO13" s="2">
        <f t="shared" ref="LO13:LO27" si="93">(-7-LI13*0.06188+34*(KU13^2)-(21.905-LI13*0.05229)*IK13^2)/(0.0083143*LN(IJ13/KT13)+0.004431*IK13^2-0.00397)</f>
        <v>894.14670323608584</v>
      </c>
      <c r="LP13" s="2">
        <f t="shared" ref="LP13:LP27" si="94">(12.909+LI13*0.1633+34*KS13^2-(21.905-LI13*0.05229)*II13^2)/(0.0083143*LN(IM13/KR13)+0.004431*II13^2+0.0085)</f>
        <v>1271.3838062633322</v>
      </c>
      <c r="LQ13" s="2">
        <f t="shared" ref="LQ13:LQ27" si="95">(12.909+LI13*0.1633+34*KT13^2-(21.905-LI13*0.05229)*IJ13^2)/(0.0083143*LN(IK13/KU13)+0.004431*IJ13^2+0.0085)</f>
        <v>1130.2604928398764</v>
      </c>
      <c r="LR13" s="2">
        <f>IX13/LE13</f>
        <v>6.6584899949553758E-2</v>
      </c>
      <c r="LS13" s="2">
        <f>-273.15+(4900/(1.807-LN(LR13)))</f>
        <v>811.8143426978512</v>
      </c>
      <c r="LT13" s="2">
        <f t="shared" ref="LT13:LT27" si="96">-273.15+(7045/(2.47-LN(KW13/IR13)))</f>
        <v>1008.5218640620438</v>
      </c>
      <c r="LV13" s="2">
        <f>-273.15+(-10202/(LN(IX13/LE13)-7.65*(1-KZ13)+3.88*(1-KZ13)^2-4.6))</f>
        <v>1022.8109978095141</v>
      </c>
      <c r="LW13" s="2">
        <f>-273.15+(3666/(0.8808-LN(KB13/(0.5*KF13))))</f>
        <v>573.4833185986048</v>
      </c>
      <c r="LY13" s="2">
        <f t="shared" ref="LY13:LY27" si="97">10*(1.279/(KG13/(1-HW13)+0.006)-2.29)</f>
        <v>51.534301008150209</v>
      </c>
      <c r="LZ13" s="2">
        <f t="shared" ref="LZ13:LZ27" si="98">10*(1.073/(KG13/(1-HW13)+0.028)-1.65)</f>
        <v>38.8579640301379</v>
      </c>
      <c r="MB13" s="2">
        <f>26.23-0.02229*LI13</f>
        <v>25.89565</v>
      </c>
      <c r="MC13" s="2">
        <f>32.44-0.08646*LI13</f>
        <v>31.143099999999997</v>
      </c>
      <c r="MD13" s="2">
        <f>28.6-1.749*LI13</f>
        <v>2.3649999999999984</v>
      </c>
      <c r="ME13" s="2">
        <f t="shared" ref="ME13:ME27" si="99">-273.15+((4.261+0.059*LI13+MB13*IR13^2*(1-2*IX13)+2*MC13*IX13*IR13^2-MD13*KW13^2)/(0.002721-0.0083143*LN(IX13/LE13)))</f>
        <v>298.67574188345714</v>
      </c>
      <c r="MF13" s="2">
        <f t="shared" ref="MF13:MF27" si="100">-273.15+(-35.92-1.753*LI13+MC13*IX13^2*(1-2*IR13)+2*MB13*IR13*IX13^2-MD13*LE13^2)/(-0.02097-0.0083143*LN(IR13/KW13))</f>
        <v>1104.287658501014</v>
      </c>
      <c r="MH13" s="2">
        <f>-273.15+(6425+26.4*LI13)/(-LN(KG13)+1.843)</f>
        <v>991.77378269202893</v>
      </c>
      <c r="MI13" s="2">
        <f>-273.15+((35000+61.5*LI13)/((LN(KH13/HX13))^2+19.8))</f>
        <v>1084.7761114586092</v>
      </c>
      <c r="MK13" s="2">
        <f>-273.15+(7341/(3.355+2.44*(1-KZ13)-LN(IX13/LE13)))</f>
        <v>901.21080391570979</v>
      </c>
      <c r="MM13" s="2">
        <f t="shared" ref="MM13:MM27" si="101">IF(HV13/(HV13+HT13)&gt;0.7,GG13,0)</f>
        <v>8.3318401787996059</v>
      </c>
      <c r="MN13" s="2">
        <f>IF(MM13=0,0,MM13-LI13)</f>
        <v>-6.6681598212003941</v>
      </c>
      <c r="MO13" s="3">
        <f t="shared" ref="MO13:MO27" si="102">10*A13</f>
        <v>15</v>
      </c>
    </row>
    <row r="14" spans="1:353" ht="15" x14ac:dyDescent="0.25">
      <c r="A14" s="50">
        <v>1.5</v>
      </c>
      <c r="B14" s="72" t="s">
        <v>206</v>
      </c>
      <c r="C14" s="3" t="s">
        <v>211</v>
      </c>
      <c r="E14" s="69">
        <v>52.29</v>
      </c>
      <c r="F14" s="69">
        <v>0.32</v>
      </c>
      <c r="G14" s="69">
        <v>4.72</v>
      </c>
      <c r="H14" s="69">
        <v>2.57</v>
      </c>
      <c r="I14" s="69">
        <v>7.0000000000000007E-2</v>
      </c>
      <c r="J14" s="69">
        <v>15.22</v>
      </c>
      <c r="K14" s="69">
        <v>21.26</v>
      </c>
      <c r="L14" s="69">
        <v>1.72</v>
      </c>
      <c r="M14" s="69">
        <v>0</v>
      </c>
      <c r="N14" s="69">
        <v>1.1399999999999999</v>
      </c>
      <c r="P14" s="69">
        <v>54.16</v>
      </c>
      <c r="Q14" s="69">
        <v>0</v>
      </c>
      <c r="R14" s="69">
        <v>3.27</v>
      </c>
      <c r="S14" s="69">
        <v>6.08</v>
      </c>
      <c r="T14" s="69">
        <v>0.17</v>
      </c>
      <c r="U14" s="69">
        <v>33.380000000000003</v>
      </c>
      <c r="V14" s="69">
        <v>0.52</v>
      </c>
      <c r="W14" s="69">
        <v>0.04</v>
      </c>
      <c r="X14" s="69">
        <v>0.01</v>
      </c>
      <c r="Y14" s="69">
        <v>0.51</v>
      </c>
      <c r="Z14" s="3"/>
      <c r="AA14" s="69">
        <v>41.86</v>
      </c>
      <c r="AB14" s="69">
        <v>0</v>
      </c>
      <c r="AC14" s="69">
        <v>0.26</v>
      </c>
      <c r="AD14" s="69">
        <v>8.82</v>
      </c>
      <c r="AE14" s="69">
        <v>0.16</v>
      </c>
      <c r="AF14" s="69">
        <v>51.11</v>
      </c>
      <c r="AG14" s="69">
        <v>0.06</v>
      </c>
      <c r="AH14" s="69">
        <v>0</v>
      </c>
      <c r="AI14" s="69">
        <v>0.01</v>
      </c>
      <c r="AJ14" s="69">
        <v>0.45</v>
      </c>
      <c r="AK14" s="3">
        <f t="shared" si="0"/>
        <v>8.8261577233386929E-2</v>
      </c>
      <c r="AL14" s="3">
        <f t="shared" si="1"/>
        <v>0.9117384227666131</v>
      </c>
      <c r="AM14" s="69">
        <v>0.01</v>
      </c>
      <c r="AN14" s="69">
        <v>0.05</v>
      </c>
      <c r="AO14" s="69">
        <v>46.74</v>
      </c>
      <c r="AP14" s="69">
        <v>10.88</v>
      </c>
      <c r="AQ14" s="69">
        <v>0.14000000000000001</v>
      </c>
      <c r="AR14" s="69">
        <v>21.17</v>
      </c>
      <c r="AS14" s="69">
        <v>0</v>
      </c>
      <c r="AT14" s="69">
        <v>0.05</v>
      </c>
      <c r="AU14" s="69">
        <v>0</v>
      </c>
      <c r="AV14" s="69">
        <v>18.260000000000002</v>
      </c>
      <c r="AW14" s="3"/>
      <c r="AX14" s="63">
        <f t="shared" si="2"/>
        <v>0.4713877520814922</v>
      </c>
      <c r="AY14" s="63">
        <f t="shared" ca="1" si="3"/>
        <v>0.51478175838800921</v>
      </c>
      <c r="AZ14" s="61"/>
      <c r="BA14" s="63">
        <f t="shared" ref="BA14:BA25" si="103">4720/(GJ14+273.15)-0.05*A14*10000/(GJ14+273.15)-2.7*LN(AK14/(AK14+AL14))-0.91*LN(FO14/(FO14+FK14))-1.03*(LN(FO14/(FO14+FK14)))^2+1.91*LN(FN14/(FN14+FL14+FH14))+0.12*(LN(FN14/(FN14+FL14+FH14)))^2-4.4</f>
        <v>-0.94875666067794562</v>
      </c>
      <c r="BB14" s="63">
        <f t="shared" ref="BB14:BB25" ca="1" si="104">4720/(GC14+273.15)-0.05*A14*10000/(GC14+273.15)-2.7*LN(AK14/(AK14+AL14))-0.91*LN(FO14/(FO14+FK14))-1.03*(LN(FO14/(FO14+FK14)))^2+1.91*LN(FN14/(FN14+FL14+FH14))+0.12*(LN(FN14/(FN14+FL14+FH14)))^2-4.4</f>
        <v>-0.71060968661471158</v>
      </c>
      <c r="BC14" s="3"/>
      <c r="BD14" s="64">
        <f t="shared" ref="BD14:BD25" si="105">LOG10(0.25*FU14*FT14*FT14)+1/(GJ14+273.15)*(406*FS14*FS14+653*FW14*FS14+299*FX14*FX14+199*FX14*FS14+346*FW14*FX14)</f>
        <v>-1.5405483447775943</v>
      </c>
      <c r="BE14" s="64">
        <f t="shared" ref="BE14:BE25" ca="1" si="106">LOG10(0.25*FU14*FT14*FT14)+1/(GC14+273.15)*(406*FS14*FS14+653*FW14*FS14+299*FX14*FX14+199*FS14*FX14+346*FW14*FX14)</f>
        <v>-1.4188210730230058</v>
      </c>
      <c r="BF14" s="64">
        <f t="shared" si="4"/>
        <v>0.72031738130618628</v>
      </c>
      <c r="BG14" s="64">
        <f t="shared" ca="1" si="5"/>
        <v>0.81312030420491155</v>
      </c>
      <c r="BH14" s="3"/>
      <c r="BI14" s="64">
        <f t="shared" si="6"/>
        <v>-12.684791924511661</v>
      </c>
      <c r="BJ14" s="64">
        <f t="shared" ca="1" si="7"/>
        <v>-14.091263358805353</v>
      </c>
      <c r="BK14" s="61"/>
      <c r="BL14" s="61"/>
      <c r="BM14" s="64">
        <f t="shared" ref="BM14:BM27" si="107">BI14+AX14</f>
        <v>-12.213404172430169</v>
      </c>
      <c r="BN14" s="64">
        <f t="shared" ref="BN14:BN27" ca="1" si="108">BJ14+AY14</f>
        <v>-13.576481600417344</v>
      </c>
      <c r="BO14" s="76"/>
      <c r="BP14" s="64">
        <f t="shared" ref="BP14:BP27" si="109">BI14+BA14</f>
        <v>-13.633548585189606</v>
      </c>
      <c r="BQ14" s="64">
        <f t="shared" ref="BQ14:BQ27" ca="1" si="110">BJ14+BB14</f>
        <v>-14.801873045420065</v>
      </c>
      <c r="BR14" s="61"/>
      <c r="BS14" s="64">
        <f t="shared" si="8"/>
        <v>-11.964474543205474</v>
      </c>
      <c r="BT14" s="64">
        <f t="shared" ca="1" si="9"/>
        <v>-13.278143054600442</v>
      </c>
      <c r="BU14" s="3"/>
      <c r="BV14">
        <v>60.08</v>
      </c>
      <c r="BW14">
        <v>79.88</v>
      </c>
      <c r="BX14">
        <v>101.96</v>
      </c>
      <c r="BY14">
        <v>159.69</v>
      </c>
      <c r="BZ14">
        <v>71.849999999999994</v>
      </c>
      <c r="CA14">
        <v>70.94</v>
      </c>
      <c r="CB14">
        <v>40.299999999999997</v>
      </c>
      <c r="CC14">
        <v>151.99</v>
      </c>
      <c r="CD14" s="3"/>
      <c r="CE14" s="3">
        <f t="shared" si="10"/>
        <v>1.6644474034620507E-4</v>
      </c>
      <c r="CF14" s="3">
        <f t="shared" si="11"/>
        <v>6.2593890836254386E-4</v>
      </c>
      <c r="CG14" s="3">
        <f t="shared" si="12"/>
        <v>0.4584150647312672</v>
      </c>
      <c r="CH14" s="3">
        <f t="shared" si="13"/>
        <v>0.15142658315935981</v>
      </c>
      <c r="CI14" s="3">
        <f t="shared" si="14"/>
        <v>1.9734987313222443E-3</v>
      </c>
      <c r="CJ14" s="3">
        <f t="shared" si="15"/>
        <v>0.52531017369727051</v>
      </c>
      <c r="CK14" s="3">
        <f t="shared" si="16"/>
        <v>0.12013948286071452</v>
      </c>
      <c r="CL14" s="3"/>
      <c r="CM14" s="3">
        <f t="shared" ref="CM14:CN25" si="111">CE14*2</f>
        <v>3.3288948069241014E-4</v>
      </c>
      <c r="CN14" s="3">
        <f t="shared" si="111"/>
        <v>1.2518778167250877E-3</v>
      </c>
      <c r="CO14" s="3">
        <f t="shared" ref="CO14:CO25" si="112">CG14*3</f>
        <v>1.3752451941938015</v>
      </c>
      <c r="CP14" s="3">
        <f t="shared" ref="CP14:CR25" si="113">CH14</f>
        <v>0.15142658315935981</v>
      </c>
      <c r="CQ14" s="3">
        <f t="shared" si="113"/>
        <v>1.9734987313222443E-3</v>
      </c>
      <c r="CR14" s="3">
        <f t="shared" si="113"/>
        <v>0.52531017369727051</v>
      </c>
      <c r="CS14" s="3">
        <f t="shared" ref="CS14:CS25" si="114">CK14*3</f>
        <v>0.36041844858214356</v>
      </c>
      <c r="CT14" s="3">
        <f t="shared" ref="CT14:CT25" si="115">SUM(CM14:CS14)</f>
        <v>2.4159586656613148</v>
      </c>
      <c r="CU14">
        <v>32</v>
      </c>
      <c r="CV14" s="3">
        <f t="shared" ref="CV14:CV25" si="116">CU14/CT14</f>
        <v>13.245259720219888</v>
      </c>
      <c r="CW14" s="3"/>
      <c r="CX14" s="3">
        <f t="shared" ref="CX14:CX25" si="117">CM14*CV14</f>
        <v>4.4092076299000965E-3</v>
      </c>
      <c r="CY14" s="3">
        <f t="shared" ref="CY14:CY25" si="118">CN14*CV14</f>
        <v>1.6581446820505618E-2</v>
      </c>
      <c r="CZ14" s="3">
        <f t="shared" ref="CZ14:CZ25" si="119">CO14*CV14</f>
        <v>18.215479776081139</v>
      </c>
      <c r="DA14" s="3">
        <f t="shared" ref="DA14:DA25" si="120">CP14*CV14</f>
        <v>2.0056844224911958</v>
      </c>
      <c r="DB14" s="3">
        <f t="shared" ref="DB14:DB25" si="121">CQ14*CV14</f>
        <v>2.6139503253887572E-2</v>
      </c>
      <c r="DC14" s="3">
        <f t="shared" ref="DC14:DC25" si="122">CR14*CV14</f>
        <v>6.9578696842941703</v>
      </c>
      <c r="DD14" s="3">
        <f t="shared" ref="DD14:DD25" si="123">CS14*CV14</f>
        <v>4.773835959429209</v>
      </c>
      <c r="DE14" s="3">
        <f t="shared" ref="DE14:DE25" si="124">SUM(CX14:DD14)</f>
        <v>32.000000000000007</v>
      </c>
      <c r="DF14" s="3"/>
      <c r="DG14" s="3">
        <f t="shared" ref="DG14:DG25" si="125">CX14/2</f>
        <v>2.2046038149500483E-3</v>
      </c>
      <c r="DH14" s="3">
        <f t="shared" ref="DH14:DH25" si="126">CY14/2</f>
        <v>8.290723410252809E-3</v>
      </c>
      <c r="DI14" s="3">
        <f t="shared" ref="DI14:DI25" si="127">CZ14*(2/3)</f>
        <v>12.143653184054092</v>
      </c>
      <c r="DJ14" s="3">
        <f t="shared" ref="DJ14:DJ25" si="128">DA14</f>
        <v>2.0056844224911958</v>
      </c>
      <c r="DK14" s="3">
        <f t="shared" ref="DK14:DK25" si="129">DB14</f>
        <v>2.6139503253887572E-2</v>
      </c>
      <c r="DL14" s="3">
        <f t="shared" ref="DL14:DL25" si="130">DC14</f>
        <v>6.9578696842941703</v>
      </c>
      <c r="DM14" s="3">
        <f t="shared" ref="DM14:DM25" si="131">DD14*(2/3)</f>
        <v>3.1825573062861392</v>
      </c>
      <c r="DN14" s="3">
        <f t="shared" ref="DN14:DN25" si="132">SUM(DG14:DM14)</f>
        <v>24.326399427604688</v>
      </c>
      <c r="DO14" s="3">
        <f t="shared" ref="DO14:DO25" si="133">24/DN14</f>
        <v>0.98658250150927385</v>
      </c>
      <c r="DP14" s="3"/>
      <c r="DQ14" s="3">
        <f t="shared" ref="DQ14:DQ25" si="134">DG14*DO14</f>
        <v>2.1750235465903068E-3</v>
      </c>
      <c r="DR14" s="3">
        <f t="shared" ref="DR14:DR25" si="135">DH14*DO14</f>
        <v>8.1794826414087144E-3</v>
      </c>
      <c r="DS14" s="3">
        <f t="shared" ref="DS14:DS25" si="136">DI14*DO14</f>
        <v>11.980715735785143</v>
      </c>
      <c r="DT14" s="3">
        <f t="shared" ref="DT14:DT25" si="137">DJ14*DO14</f>
        <v>1.9787731547795473</v>
      </c>
      <c r="DU14" s="3">
        <f t="shared" ref="DU14:DU25" si="138">DK14*DO14</f>
        <v>2.5788776508430204E-2</v>
      </c>
      <c r="DV14" s="3">
        <f t="shared" ref="DV14:DV25" si="139">DL14*DO14</f>
        <v>6.8645124783064837</v>
      </c>
      <c r="DW14" s="3">
        <f t="shared" ref="DW14:DW25" si="140">DM14*DO14</f>
        <v>3.1398553484323952</v>
      </c>
      <c r="DX14" s="3">
        <f t="shared" ref="DX14:DX25" si="141">SUM(DQ14:DW14)</f>
        <v>23.999999999999996</v>
      </c>
      <c r="DY14" s="3"/>
      <c r="DZ14" s="3">
        <f t="shared" ref="DZ14:DZ25" si="142">DT14/(DT14+DV14)</f>
        <v>0.22375995041664362</v>
      </c>
      <c r="EA14" s="3">
        <f t="shared" ref="EA14:EA25" si="143">DW14/(DS14+DW14)</f>
        <v>0.20765454763211261</v>
      </c>
      <c r="EB14" s="3"/>
      <c r="EC14" s="3">
        <f t="shared" ref="EC14:EC25" si="144">DT14-ED14</f>
        <v>1.1200532513730734</v>
      </c>
      <c r="ED14" s="3">
        <f t="shared" ref="ED14:ED25" si="145">(2*32)*(1-(24/DN14))</f>
        <v>0.85871990340647386</v>
      </c>
      <c r="EE14" s="3">
        <f t="shared" ref="EE14:EE25" si="146">EC14/(EC14+ED14)</f>
        <v>0.56603418571132635</v>
      </c>
      <c r="EF14" s="3">
        <f t="shared" ref="EF14:EF25" si="147">ED14/(ED14+EC14)</f>
        <v>0.43396581428867365</v>
      </c>
      <c r="EG14" s="3"/>
      <c r="EH14" s="3">
        <f t="shared" si="17"/>
        <v>0.01</v>
      </c>
      <c r="EI14" s="3">
        <f t="shared" si="18"/>
        <v>0.05</v>
      </c>
      <c r="EJ14" s="3">
        <f t="shared" si="19"/>
        <v>46.74</v>
      </c>
      <c r="EK14" s="3">
        <f t="shared" si="20"/>
        <v>5.2470563584787531</v>
      </c>
      <c r="EL14" s="3">
        <f t="shared" si="21"/>
        <v>6.1584519405392308</v>
      </c>
      <c r="EM14" s="3">
        <f t="shared" si="22"/>
        <v>0.14000000000000001</v>
      </c>
      <c r="EN14" s="3">
        <f t="shared" si="23"/>
        <v>21.17</v>
      </c>
      <c r="EO14" s="3">
        <f t="shared" si="24"/>
        <v>18.260000000000002</v>
      </c>
      <c r="EP14" s="3">
        <f t="shared" ref="EP14:EP25" si="148">SUM(EH14:EO14)</f>
        <v>97.775508299018</v>
      </c>
      <c r="EQ14" s="3"/>
      <c r="ER14" s="3">
        <f t="shared" ref="ER14:ER25" si="149">DQ14</f>
        <v>2.1750235465903068E-3</v>
      </c>
      <c r="ES14" s="3">
        <f t="shared" ref="ES14:ES25" si="150">DR14</f>
        <v>8.1794826414087144E-3</v>
      </c>
      <c r="ET14" s="3">
        <f t="shared" ref="ET14:ET25" si="151">DS14</f>
        <v>11.980715735785143</v>
      </c>
      <c r="EU14" s="3">
        <f t="shared" ref="EU14:EU25" si="152">IF(ED14&lt;0,0,ED14)</f>
        <v>0.85871990340647386</v>
      </c>
      <c r="EV14" s="3">
        <f t="shared" ref="EV14:EV25" si="153">IF(ED14&lt;0,DT14,EC14)</f>
        <v>1.1200532513730734</v>
      </c>
      <c r="EW14" s="3">
        <f t="shared" ref="EW14:EW25" si="154">DU14</f>
        <v>2.5788776508430204E-2</v>
      </c>
      <c r="EX14" s="3">
        <f t="shared" ref="EX14:EX25" si="155">DV14</f>
        <v>6.8645124783064837</v>
      </c>
      <c r="EY14" s="3">
        <f t="shared" ref="EY14:EY25" si="156">DW14</f>
        <v>3.1398553484323952</v>
      </c>
      <c r="EZ14" s="3">
        <f t="shared" ref="EZ14:EZ25" si="157">SUM(ER14:EY14)</f>
        <v>23.999999999999996</v>
      </c>
      <c r="FA14" s="3"/>
      <c r="FB14" s="3">
        <f t="shared" ref="FB14:FB25" si="158">EV14/(EV14+EX14)</f>
        <v>0.14027729112551551</v>
      </c>
      <c r="FC14" s="3">
        <f t="shared" ref="FC14:FC25" si="159">EU14/(EU14+ET14+EY14)</f>
        <v>5.3739549775490912E-2</v>
      </c>
      <c r="FD14" s="3">
        <f t="shared" ref="FD14:FD25" si="160">ET14/(EU14+ET14+EY14)</f>
        <v>0.74976516449097952</v>
      </c>
      <c r="FE14" s="3"/>
      <c r="FF14" s="3"/>
      <c r="FG14" s="3">
        <f t="shared" ref="FG14:FG25" si="161">FR14/FM14</f>
        <v>3.412093396316283E-4</v>
      </c>
      <c r="FH14" s="3">
        <f t="shared" ref="FH14:FH25" si="162">FS14/FM14</f>
        <v>0.49977881043799871</v>
      </c>
      <c r="FI14" s="3">
        <f t="shared" ref="FI14:FI25" si="163">FT14/FM14</f>
        <v>3.5821733967198198E-2</v>
      </c>
      <c r="FJ14" s="3">
        <f t="shared" ref="FJ14:FJ25" si="164">FU14/FM14</f>
        <v>4.6723325546106267E-2</v>
      </c>
      <c r="FK14" s="3">
        <f t="shared" ref="FK14:FK25" si="165">FW14/FM14</f>
        <v>0.28635500218050897</v>
      </c>
      <c r="FL14" s="3">
        <f t="shared" ref="FL14:FL25" si="166">FX14/FM14</f>
        <v>0.13097991852855628</v>
      </c>
      <c r="FM14" s="3">
        <f t="shared" ref="FM14:FM25" si="167">FR14+FS14+FT14+FU14+FW14+FX14</f>
        <v>2.9965045249931221</v>
      </c>
      <c r="FN14" s="3">
        <f t="shared" ref="FN14:FN25" si="168">2/3-FH14-FL14-2*FG14</f>
        <v>3.5225519020848382E-2</v>
      </c>
      <c r="FO14" s="3">
        <f t="shared" ref="FO14:FO25" si="169">1/3-FK14+FG14</f>
        <v>4.7319540492455979E-2</v>
      </c>
      <c r="FP14" s="3"/>
      <c r="FQ14" s="3">
        <f t="shared" si="25"/>
        <v>2.7187794332378834E-4</v>
      </c>
      <c r="FR14" s="3">
        <f t="shared" si="26"/>
        <v>1.0224353301760893E-3</v>
      </c>
      <c r="FS14" s="3">
        <f t="shared" si="27"/>
        <v>1.4975894669731429</v>
      </c>
      <c r="FT14" s="3">
        <f t="shared" si="28"/>
        <v>0.10733998792580923</v>
      </c>
      <c r="FU14" s="3">
        <f t="shared" si="29"/>
        <v>0.14000665642163418</v>
      </c>
      <c r="FV14" s="3">
        <f t="shared" si="30"/>
        <v>3.2235970635537754E-3</v>
      </c>
      <c r="FW14" s="3">
        <f t="shared" si="31"/>
        <v>0.85806405978831046</v>
      </c>
      <c r="FX14" s="3">
        <f t="shared" si="32"/>
        <v>0.3924819185540494</v>
      </c>
      <c r="FZ14" s="44">
        <f t="shared" ref="FZ14:FZ25" ca="1" si="170">GE14</f>
        <v>891.08006110076781</v>
      </c>
      <c r="GA14" s="44">
        <f t="shared" ca="1" si="33"/>
        <v>2.8340844832753014</v>
      </c>
      <c r="GB14" s="68">
        <f t="shared" ref="GB14:GB25" si="171">GU14/(GU14+GS14)</f>
        <v>0.91347118218008927</v>
      </c>
      <c r="GC14" s="28">
        <f t="shared" ca="1" si="34"/>
        <v>754.01811908487082</v>
      </c>
      <c r="GD14" s="28"/>
      <c r="GE14" s="28">
        <f t="shared" ca="1" si="35"/>
        <v>891.08006110076781</v>
      </c>
      <c r="GF14" s="28">
        <f t="shared" ca="1" si="36"/>
        <v>849.88759543132221</v>
      </c>
      <c r="GG14" s="28">
        <f t="shared" si="37"/>
        <v>10.411017195485666</v>
      </c>
      <c r="GH14" s="28">
        <f t="shared" ca="1" si="38"/>
        <v>2.8340844832753014</v>
      </c>
      <c r="GI14" s="28">
        <f t="shared" ref="GI14:GI25" si="172">LV14</f>
        <v>952.79087463205462</v>
      </c>
      <c r="GJ14" s="28">
        <f t="shared" ref="GJ14:GJ25" si="173">MK14</f>
        <v>821.46427462183635</v>
      </c>
      <c r="GK14" s="28">
        <f t="shared" ca="1" si="39"/>
        <v>685.70505830336162</v>
      </c>
      <c r="GL14" s="51">
        <f t="shared" si="40"/>
        <v>0.92704587108375414</v>
      </c>
      <c r="GM14" s="52"/>
      <c r="GN14" s="2">
        <f t="shared" si="41"/>
        <v>0.11744770925274681</v>
      </c>
      <c r="GP14" s="2">
        <f t="shared" si="42"/>
        <v>0.87027726044906906</v>
      </c>
      <c r="GQ14" s="2">
        <f t="shared" si="43"/>
        <v>4.0060691948301677E-3</v>
      </c>
      <c r="GR14" s="2">
        <f t="shared" si="44"/>
        <v>4.6292209766479339E-2</v>
      </c>
      <c r="GS14" s="2">
        <f t="shared" si="45"/>
        <v>3.5770755389274891E-2</v>
      </c>
      <c r="GT14" s="2">
        <f t="shared" si="46"/>
        <v>9.8678414096916309E-4</v>
      </c>
      <c r="GU14" s="2">
        <f t="shared" si="47"/>
        <v>0.37762626412997091</v>
      </c>
      <c r="GV14" s="2">
        <f t="shared" si="48"/>
        <v>0.37911886071750833</v>
      </c>
      <c r="GW14" s="2">
        <f t="shared" si="49"/>
        <v>2.7751379905096733E-2</v>
      </c>
      <c r="GX14" s="2">
        <f t="shared" si="50"/>
        <v>0</v>
      </c>
      <c r="GY14" s="2">
        <f t="shared" si="51"/>
        <v>7.500088816841252E-3</v>
      </c>
      <c r="GZ14" s="2">
        <f t="shared" ref="GZ14:GZ25" si="174">SUM(GP14:GY14)</f>
        <v>1.7493296725100398</v>
      </c>
      <c r="HB14" s="36">
        <f t="shared" ref="HB14:HC25" si="175">GP14*2</f>
        <v>1.7405545208981381</v>
      </c>
      <c r="HC14" s="36">
        <f t="shared" si="175"/>
        <v>8.0121383896603355E-3</v>
      </c>
      <c r="HD14" s="36">
        <f t="shared" ref="HD14:HD25" si="176">GR14*3</f>
        <v>0.138876629299438</v>
      </c>
      <c r="HE14" s="36">
        <f t="shared" si="52"/>
        <v>3.5770755389274891E-2</v>
      </c>
      <c r="HF14" s="36">
        <f t="shared" si="52"/>
        <v>9.8678414096916309E-4</v>
      </c>
      <c r="HG14" s="36">
        <f t="shared" si="52"/>
        <v>0.37762626412997091</v>
      </c>
      <c r="HH14" s="36">
        <f t="shared" si="52"/>
        <v>0.37911886071750833</v>
      </c>
      <c r="HI14" s="36">
        <f t="shared" si="52"/>
        <v>2.7751379905096733E-2</v>
      </c>
      <c r="HJ14" s="36">
        <f t="shared" si="52"/>
        <v>0</v>
      </c>
      <c r="HK14" s="36">
        <f t="shared" ref="HK14:HK25" si="177">GY14*3</f>
        <v>2.2500266450523755E-2</v>
      </c>
      <c r="HL14" s="36">
        <f t="shared" ref="HL14:HL25" si="178">SUM(HB14:HK14)</f>
        <v>2.7311975993205806</v>
      </c>
      <c r="HM14" s="36">
        <f t="shared" ref="HM14:HM25" si="179">6/HL14</f>
        <v>2.1968384863448089</v>
      </c>
      <c r="HO14" s="18">
        <f t="shared" si="53"/>
        <v>1.9118585795452399</v>
      </c>
      <c r="HP14" s="18">
        <f t="shared" si="54"/>
        <v>8.8006869861632728E-3</v>
      </c>
      <c r="HQ14" s="18">
        <f t="shared" ref="HQ14:HQ25" si="180">2-HO14</f>
        <v>8.8141420454760144E-2</v>
      </c>
      <c r="HR14" s="18">
        <f t="shared" ref="HR14:HR25" si="181">IF(HS14-HQ14&lt;0,0,HS14-HQ14)</f>
        <v>0.11525159561113757</v>
      </c>
      <c r="HS14" s="18">
        <f t="shared" si="55"/>
        <v>0.20339301606589771</v>
      </c>
      <c r="HT14" s="18">
        <f t="shared" si="56"/>
        <v>7.8582572124785074E-2</v>
      </c>
      <c r="HU14" s="18">
        <f t="shared" si="57"/>
        <v>2.167805378595759E-3</v>
      </c>
      <c r="HV14" s="18">
        <f t="shared" si="58"/>
        <v>0.82958391049533031</v>
      </c>
      <c r="HW14" s="18">
        <f t="shared" si="59"/>
        <v>0.83286290412341946</v>
      </c>
      <c r="HX14" s="18">
        <f t="shared" si="60"/>
        <v>0.12193059884938491</v>
      </c>
      <c r="HY14" s="18">
        <f t="shared" si="61"/>
        <v>0</v>
      </c>
      <c r="HZ14" s="18">
        <f t="shared" si="62"/>
        <v>3.2952967527682328E-2</v>
      </c>
      <c r="IA14" s="36">
        <f t="shared" ref="IA14:IA25" si="182">HO14+HP14+HS14+HT14+HU14+HV14+HW14+HX14+HY14+HZ14</f>
        <v>4.0221330410964997</v>
      </c>
      <c r="IB14" s="36">
        <f t="shared" ref="IB14:IB25" si="183">IF(HX14+HQ14-HR14-2*HP14-HZ14&gt;0,HX14+HQ14-HR14-2*HP14-HZ14,0)</f>
        <v>4.4266082192998601E-2</v>
      </c>
      <c r="IC14" s="36">
        <f t="shared" ref="IC14:IC25" si="184">12-48/IA14</f>
        <v>6.6033741411395397E-2</v>
      </c>
      <c r="ID14" s="36">
        <f t="shared" ref="ID14:ID25" si="185">IF(HX14&lt;HR14,HX14,HR14)</f>
        <v>0.11525159561113757</v>
      </c>
      <c r="IE14" s="36">
        <f t="shared" ref="IE14:IE25" si="186">IF(HR14&gt;HX14,HR14-HX14,0)</f>
        <v>0</v>
      </c>
      <c r="IF14" s="36">
        <f t="shared" ref="IF14:IF25" si="187">IF(HQ14&gt;IE14,(HQ14-IE14)/2,0)</f>
        <v>4.4070710227380072E-2</v>
      </c>
      <c r="IG14" s="36">
        <f t="shared" ref="IG14:IG25" si="188">HZ14/2</f>
        <v>1.6476483763841164E-2</v>
      </c>
      <c r="IH14" s="36">
        <f t="shared" ref="IH14:IH25" si="189">IF(HW14-IF14-IE14-IG14&gt;0,HW14-IF14-IE14-IG14,0)</f>
        <v>0.77231571013219824</v>
      </c>
      <c r="II14" s="36">
        <f t="shared" ref="II14:II25" si="190">((HT14+HV14)-IH14)/2</f>
        <v>6.7925386243958552E-2</v>
      </c>
      <c r="IJ14" s="36">
        <f t="shared" ref="IJ14:IJ25" si="191">II14*(HV14/(HV14+HU14+HT14))</f>
        <v>6.1900126453600789E-2</v>
      </c>
      <c r="IK14" s="36">
        <f t="shared" ref="IK14:IK25" si="192">IM14*(HV14/(HV14+HU14+HT14))</f>
        <v>0.70380814541982206</v>
      </c>
      <c r="IL14" s="36">
        <f t="shared" ref="IL14:IL25" si="193">SUM(ID14:II14)</f>
        <v>1.0160398859785156</v>
      </c>
      <c r="IM14" s="36">
        <f t="shared" ref="IM14:IM25" si="194">HW14-IE14-IF14-IG14</f>
        <v>0.77231571013219824</v>
      </c>
      <c r="IN14" s="36"/>
      <c r="IO14" s="2">
        <f t="shared" ref="IO14:IO25" si="195">HV14/(HV14+IP14)</f>
        <v>0.9602772612273125</v>
      </c>
      <c r="IP14" s="36">
        <f t="shared" ref="IP14:IP25" si="196">HT14-IB14</f>
        <v>3.4316489931786473E-2</v>
      </c>
      <c r="IQ14" s="53">
        <f t="shared" ref="IQ14:IQ25" si="197">((0.5*HV14/(0.5*HV14+0.5*(HT14-IB14)+HX14+HW14+HU14)))*(0.5*HV14/(0.5*HV14+0.5*(HT14-IB14)+HZ14+HR14+HP14))</f>
        <v>0.2103311652658974</v>
      </c>
      <c r="IR14" s="18">
        <f t="shared" ref="IR14:IR25" si="198">HW14/(HW14+0.5*HV14+0.5*(HT14-IB14)+HU14+HX14)</f>
        <v>0.59965152494412288</v>
      </c>
      <c r="IS14" s="18">
        <f t="shared" ref="IS14:IS25" si="199">(HV14/(HW14+HV14+HT14-IB14+HU14+HX14))*(HV14/(HT14+HS14+HP14+HZ14+HV14))</f>
        <v>0.32771508495492246</v>
      </c>
      <c r="IT14" s="18">
        <f t="shared" si="63"/>
        <v>0.76700097746542883</v>
      </c>
      <c r="IU14" s="18">
        <f t="shared" si="64"/>
        <v>3.1727690216589541E-2</v>
      </c>
      <c r="IV14" s="18">
        <f t="shared" si="65"/>
        <v>4.1329076943124293E-2</v>
      </c>
      <c r="IW14" s="18">
        <f t="shared" si="66"/>
        <v>1.70961470547558E-3</v>
      </c>
      <c r="IX14" s="18">
        <f t="shared" si="67"/>
        <v>3.1699442413120241E-2</v>
      </c>
      <c r="IY14" s="18">
        <f t="shared" si="68"/>
        <v>3.7108282397634779E-2</v>
      </c>
      <c r="IZ14" s="2">
        <f t="shared" si="69"/>
        <v>0.9014001993865286</v>
      </c>
      <c r="JA14" s="2">
        <f t="shared" si="70"/>
        <v>0</v>
      </c>
      <c r="JB14" s="2">
        <f t="shared" si="71"/>
        <v>3.2071086003471916E-2</v>
      </c>
      <c r="JC14" s="2">
        <f t="shared" si="72"/>
        <v>8.4624977730269016E-2</v>
      </c>
      <c r="JD14" s="2">
        <f t="shared" si="73"/>
        <v>2.3964757709251101E-3</v>
      </c>
      <c r="JE14" s="2">
        <f t="shared" si="74"/>
        <v>0.82819741765167088</v>
      </c>
      <c r="JF14" s="2">
        <f t="shared" si="75"/>
        <v>9.2728978162325646E-3</v>
      </c>
      <c r="JG14" s="2">
        <f t="shared" si="76"/>
        <v>6.4538092802550549E-4</v>
      </c>
      <c r="JH14" s="2">
        <f t="shared" si="77"/>
        <v>1.0616162045097456E-4</v>
      </c>
      <c r="JI14" s="2">
        <f t="shared" si="78"/>
        <v>3.3553028917447706E-3</v>
      </c>
      <c r="JJ14" s="2">
        <f t="shared" ref="JJ14:JJ25" si="200">SUM(IZ14:JI14)</f>
        <v>1.8620698997993195</v>
      </c>
      <c r="JL14" s="36">
        <f t="shared" ref="JL14:JM25" si="201">IZ14*2</f>
        <v>1.8028003987730572</v>
      </c>
      <c r="JM14" s="36">
        <f t="shared" si="201"/>
        <v>0</v>
      </c>
      <c r="JN14" s="36">
        <f t="shared" ref="JN14:JN25" si="202">JB14*3</f>
        <v>9.6213258010415748E-2</v>
      </c>
      <c r="JO14" s="36">
        <f t="shared" si="79"/>
        <v>8.4624977730269016E-2</v>
      </c>
      <c r="JP14" s="36">
        <f t="shared" si="79"/>
        <v>2.3964757709251101E-3</v>
      </c>
      <c r="JQ14" s="36">
        <f t="shared" si="79"/>
        <v>0.82819741765167088</v>
      </c>
      <c r="JR14" s="36">
        <f t="shared" si="79"/>
        <v>9.2728978162325646E-3</v>
      </c>
      <c r="JS14" s="36">
        <f t="shared" si="79"/>
        <v>6.4538092802550549E-4</v>
      </c>
      <c r="JT14" s="36">
        <f t="shared" si="79"/>
        <v>1.0616162045097456E-4</v>
      </c>
      <c r="JU14" s="36">
        <f t="shared" ref="JU14:JU25" si="203">JI14*3</f>
        <v>1.0065908675234311E-2</v>
      </c>
      <c r="JV14" s="36">
        <f t="shared" ref="JV14:JV25" si="204">SUM(JL14:JU14)</f>
        <v>2.8343228769762812</v>
      </c>
      <c r="JW14" s="36">
        <f t="shared" ref="JW14:JW25" si="205">6/JV14</f>
        <v>2.1169077273231953</v>
      </c>
      <c r="JY14" s="18">
        <f t="shared" si="80"/>
        <v>1.9081810474920113</v>
      </c>
      <c r="JZ14" s="18">
        <f t="shared" si="81"/>
        <v>0</v>
      </c>
      <c r="KA14" s="18">
        <f t="shared" ref="KA14:KA25" si="206">2-JY14</f>
        <v>9.181895250798866E-2</v>
      </c>
      <c r="KB14" s="18">
        <f t="shared" ref="KB14:KB25" si="207">IF(KC14-KA14&lt;0,0,KC14-KA14)</f>
        <v>4.3964107060804281E-2</v>
      </c>
      <c r="KC14" s="18">
        <f t="shared" si="82"/>
        <v>0.13578305956879294</v>
      </c>
      <c r="KD14" s="18">
        <f t="shared" si="83"/>
        <v>0.1791432692817598</v>
      </c>
      <c r="KE14" s="18">
        <f t="shared" si="84"/>
        <v>5.0731180778141776E-3</v>
      </c>
      <c r="KF14" s="18">
        <f t="shared" si="85"/>
        <v>1.7532175131759378</v>
      </c>
      <c r="KG14" s="18">
        <f t="shared" si="86"/>
        <v>1.9629869041861099E-2</v>
      </c>
      <c r="KH14" s="18">
        <f t="shared" si="87"/>
        <v>2.7324237472084148E-3</v>
      </c>
      <c r="KI14" s="18">
        <f t="shared" si="88"/>
        <v>4.4946870935564043E-4</v>
      </c>
      <c r="KJ14" s="18">
        <f t="shared" si="89"/>
        <v>1.4205733238088734E-2</v>
      </c>
      <c r="KK14" s="36">
        <f t="shared" ref="KK14:KK25" si="208">JY14+JZ14+KC14+KD14+KE14+KF14+KG14+KH14+KI14+KJ14</f>
        <v>4.0184155023328296</v>
      </c>
      <c r="KL14" s="36">
        <f t="shared" ref="KL14:KL25" si="209">IF(KH14+KA14-KB14-2*JZ14-KJ14&gt;0,KH14+KA14-KB14-2*JZ14-KJ14,0)</f>
        <v>3.6381535956304063E-2</v>
      </c>
      <c r="KM14" s="36">
        <f t="shared" ref="KM14:KM25" si="210">12-48/KK14</f>
        <v>5.4993324574242664E-2</v>
      </c>
      <c r="KN14" s="36">
        <f t="shared" ref="KN14:KN25" si="211">KH14</f>
        <v>2.7324237472084148E-3</v>
      </c>
      <c r="KO14" s="36">
        <f t="shared" ref="KO14:KO25" si="212">JZ14</f>
        <v>0</v>
      </c>
      <c r="KP14" s="36">
        <f t="shared" ref="KP14:KP25" si="213">KJ14</f>
        <v>1.4205733238088734E-2</v>
      </c>
      <c r="KQ14" s="36">
        <f t="shared" ref="KQ14:KQ25" si="214">(KB14-KN14-KP14)</f>
        <v>2.7025950075507128E-2</v>
      </c>
      <c r="KR14" s="36">
        <f t="shared" ref="KR14:KR25" si="215">KG14</f>
        <v>1.9629869041861099E-2</v>
      </c>
      <c r="KS14" s="36">
        <f t="shared" ref="KS14:KS25" si="216">((KD14+KF14+KE14)-KO14-KQ14-KR14)/2</f>
        <v>0.9453890407090717</v>
      </c>
      <c r="KT14" s="36">
        <f t="shared" ref="KT14:KT25" si="217">KS14*(KF14/(KF14+KD14+KE14))</f>
        <v>0.8554989269453861</v>
      </c>
      <c r="KU14" s="36">
        <f t="shared" ref="KU14:KU25" si="218">KR14*(KF14/(KF14+KD14+KE14))</f>
        <v>1.7763408690241525E-2</v>
      </c>
      <c r="KV14" s="53">
        <f t="shared" ref="KV14:KV25" si="219">((0.5*KF14/(0.5*(KD14-KL14)+0.5*KF14+KH14+KG14+KE14)))*(0.5*KF14/(0.5*KF14+0.5*(KD14-KL14)+JZ14+KB14+KJ14+KL14))</f>
        <v>0.75565675400242138</v>
      </c>
      <c r="KW14" s="36">
        <f t="shared" ref="KW14:KW25" si="220">KG14/(KG14+LC14+LD14+KE14+KH14)</f>
        <v>1.9629869041861099E-2</v>
      </c>
      <c r="KX14" s="36">
        <f t="shared" ref="KX14:KX25" si="221">(KD14-KL14)/((KD14-KL14)+KF14)</f>
        <v>7.5297097048340936E-2</v>
      </c>
      <c r="KY14" s="36">
        <f t="shared" ref="KY14:KY25" si="222">(KF14/(KG14+KF14-KL14+KD14+KE14+KH14))*(KF14/(KL14+KD14-KL14+KC14+JZ14+KJ14+KF14))</f>
        <v>0.76744107635181402</v>
      </c>
      <c r="KZ14" s="18">
        <f t="shared" ref="KZ14:KZ25" si="223">KF14/(KF14+(KD14-KL14))</f>
        <v>0.92470290295165902</v>
      </c>
      <c r="LA14" s="18">
        <f t="shared" ref="LA14:LA25" si="224">(1-KL14-KB14-JZ14-KJ14)*KZ14</f>
        <v>0.8372709708504037</v>
      </c>
      <c r="LB14" s="18">
        <f t="shared" ref="LB14:LB25" si="225">(1-KL14-KB14-JZ14-KJ14)*(1-KZ14)</f>
        <v>6.8177652894399199E-2</v>
      </c>
      <c r="LC14" s="18">
        <f t="shared" ref="LC14:LC25" si="226">(1-KG14-KH14-KE14)*KZ14</f>
        <v>0.89933329887938018</v>
      </c>
      <c r="LD14" s="18">
        <f t="shared" ref="LD14:LD25" si="227">(1-KG14-KH14-KE14)*(1-KZ14)</f>
        <v>7.323129025373612E-2</v>
      </c>
      <c r="LE14" s="54">
        <f t="shared" ref="LE14:LE25" si="228">(LC14/(LC14+LD14+KG14+KH14+KE14))*(LA14/(KL14+JZ14+KB14+KJ14+LA14+LB14))</f>
        <v>0.75298566427083491</v>
      </c>
      <c r="LF14" s="36">
        <f t="shared" ref="LF14:LF25" si="229">SUM(KN14:KS14)</f>
        <v>1.0089830168117371</v>
      </c>
      <c r="LH14" s="2" t="str">
        <f t="shared" si="90"/>
        <v>10ABG38</v>
      </c>
      <c r="LI14" s="2">
        <f t="shared" ref="LI14:LI25" si="230">MO14</f>
        <v>15</v>
      </c>
      <c r="LK14" s="2">
        <f t="shared" si="91"/>
        <v>0.16430070012070824</v>
      </c>
      <c r="LL14" s="2">
        <f t="shared" ref="LL14:LL25" si="231">1616.67+287.935*LN(LK14)+2.933*LI14</f>
        <v>1140.6379798028297</v>
      </c>
      <c r="LN14" s="2">
        <f t="shared" si="92"/>
        <v>883.41271593075703</v>
      </c>
      <c r="LO14" s="2">
        <f t="shared" si="93"/>
        <v>778.46821404199784</v>
      </c>
      <c r="LP14" s="2">
        <f t="shared" si="94"/>
        <v>1168.8846438809951</v>
      </c>
      <c r="LQ14" s="2">
        <f t="shared" si="95"/>
        <v>1026.9281822524804</v>
      </c>
      <c r="LR14" s="2">
        <f t="shared" ref="LR14:LR25" si="232">IX14/LE14</f>
        <v>4.209833455968498E-2</v>
      </c>
      <c r="LS14" s="2">
        <f t="shared" ref="LS14:LS25" si="233">-273.15+(4900/(1.807-LN(LR14)))</f>
        <v>711.82469383814987</v>
      </c>
      <c r="LT14" s="2">
        <f t="shared" si="96"/>
        <v>923.08798362245591</v>
      </c>
      <c r="LV14" s="2">
        <f t="shared" ref="LV14:LV25" si="234">-273.15+(-10202/(LN(IX14/LE14)-7.65*(1-KZ14)+3.88*(1-KZ14)^2-4.6))</f>
        <v>952.79087463205462</v>
      </c>
      <c r="LW14" s="2">
        <f t="shared" ref="LW14:LW25" si="235">-273.15+(3666/(0.8808-LN(KB14/(0.5*KF14))))</f>
        <v>673.2839979042393</v>
      </c>
      <c r="LY14" s="2">
        <f t="shared" si="97"/>
        <v>80.706620790457578</v>
      </c>
      <c r="LZ14" s="2">
        <f t="shared" si="98"/>
        <v>57.272217212127465</v>
      </c>
      <c r="MB14" s="2">
        <f t="shared" ref="MB14:MB25" si="236">26.23-0.02229*LI14</f>
        <v>25.89565</v>
      </c>
      <c r="MC14" s="2">
        <f t="shared" ref="MC14:MC25" si="237">32.44-0.08646*LI14</f>
        <v>31.143099999999997</v>
      </c>
      <c r="MD14" s="2">
        <f t="shared" ref="MD14:MD25" si="238">28.6-1.749*LI14</f>
        <v>2.3649999999999984</v>
      </c>
      <c r="ME14" s="2">
        <f t="shared" si="99"/>
        <v>228.46824090304733</v>
      </c>
      <c r="MF14" s="2">
        <f t="shared" si="100"/>
        <v>1012.9262996719468</v>
      </c>
      <c r="MH14" s="2">
        <f t="shared" ref="MH14:MH25" si="239">-273.15+(6425+26.4*LI14)/(-LN(KG14)+1.843)</f>
        <v>908.24088007652188</v>
      </c>
      <c r="MI14" s="2">
        <f>-273.15+((35000+61.5*LI14)/((LN(KH14/HX14))^2+19.8))</f>
        <v>776.39299563671955</v>
      </c>
      <c r="MK14" s="2">
        <f t="shared" ref="MK14:MK25" si="240">-273.15+(7341/(3.355+2.44*(1-KZ14)-LN(IX14/LE14)))</f>
        <v>821.46427462183635</v>
      </c>
      <c r="MM14" s="2">
        <f t="shared" si="101"/>
        <v>10.411017195485666</v>
      </c>
      <c r="MN14" s="2">
        <f t="shared" ref="MN14:MN25" si="241">IF(MM14=0,0,MM14-LI14)</f>
        <v>-4.5889828045143339</v>
      </c>
      <c r="MO14" s="3">
        <f t="shared" si="102"/>
        <v>15</v>
      </c>
    </row>
    <row r="15" spans="1:353" ht="15" x14ac:dyDescent="0.25">
      <c r="A15" s="50">
        <v>1.5</v>
      </c>
      <c r="B15" s="72" t="s">
        <v>207</v>
      </c>
      <c r="C15" s="3" t="s">
        <v>211</v>
      </c>
      <c r="E15" s="69">
        <v>52.27</v>
      </c>
      <c r="F15" s="69">
        <v>0.66</v>
      </c>
      <c r="G15" s="69">
        <v>6.47</v>
      </c>
      <c r="H15" s="69">
        <v>2.27</v>
      </c>
      <c r="I15" s="69">
        <v>0.08</v>
      </c>
      <c r="J15" s="69">
        <v>14.21</v>
      </c>
      <c r="K15" s="69">
        <v>21.24</v>
      </c>
      <c r="L15" s="69">
        <v>1.76</v>
      </c>
      <c r="M15" s="69">
        <v>0</v>
      </c>
      <c r="N15" s="69">
        <v>0.88</v>
      </c>
      <c r="P15" s="69">
        <v>54.43</v>
      </c>
      <c r="Q15" s="69">
        <v>0.13</v>
      </c>
      <c r="R15" s="69">
        <v>5.24</v>
      </c>
      <c r="S15" s="69">
        <v>6.08</v>
      </c>
      <c r="T15" s="69">
        <v>0.08</v>
      </c>
      <c r="U15" s="69">
        <v>32.29</v>
      </c>
      <c r="V15" s="69">
        <v>0.49</v>
      </c>
      <c r="W15" s="69">
        <v>0.09</v>
      </c>
      <c r="X15" s="69">
        <v>0</v>
      </c>
      <c r="Y15" s="69">
        <v>0.51</v>
      </c>
      <c r="Z15" s="3"/>
      <c r="AA15" s="69">
        <v>40.869999999999997</v>
      </c>
      <c r="AB15" s="69">
        <v>0</v>
      </c>
      <c r="AC15" s="69">
        <v>0.01</v>
      </c>
      <c r="AD15" s="69">
        <v>9.73</v>
      </c>
      <c r="AE15" s="69">
        <v>0.13</v>
      </c>
      <c r="AF15" s="69">
        <v>49.03</v>
      </c>
      <c r="AG15" s="69">
        <v>0.02</v>
      </c>
      <c r="AH15" s="69">
        <v>0</v>
      </c>
      <c r="AI15" s="69">
        <v>0</v>
      </c>
      <c r="AJ15" s="69">
        <v>0.03</v>
      </c>
      <c r="AK15" s="3">
        <f t="shared" si="0"/>
        <v>0.10017258688369317</v>
      </c>
      <c r="AL15" s="3">
        <f t="shared" si="1"/>
        <v>0.89982741311630687</v>
      </c>
      <c r="AM15" s="69">
        <v>0</v>
      </c>
      <c r="AN15" s="69">
        <v>0.12</v>
      </c>
      <c r="AO15" s="69">
        <v>58.97</v>
      </c>
      <c r="AP15" s="69">
        <v>8.27</v>
      </c>
      <c r="AQ15" s="69">
        <v>0.11</v>
      </c>
      <c r="AR15" s="69">
        <v>21.97</v>
      </c>
      <c r="AS15" s="69">
        <v>0</v>
      </c>
      <c r="AT15" s="69">
        <v>0</v>
      </c>
      <c r="AU15" s="69">
        <v>0</v>
      </c>
      <c r="AV15" s="69">
        <v>10.1</v>
      </c>
      <c r="AW15" s="3"/>
      <c r="AX15" s="63">
        <f t="shared" si="2"/>
        <v>-2.620661106674512</v>
      </c>
      <c r="AY15" s="63">
        <f t="shared" ca="1" si="3"/>
        <v>-2.5661639937812337</v>
      </c>
      <c r="AZ15" s="61"/>
      <c r="BA15" s="63">
        <f t="shared" si="103"/>
        <v>-2.9044420756797611</v>
      </c>
      <c r="BB15" s="63">
        <f t="shared" ca="1" si="104"/>
        <v>-2.7498567838570307</v>
      </c>
      <c r="BC15" s="3"/>
      <c r="BD15" s="64">
        <f t="shared" si="105"/>
        <v>-2.9079211273977688</v>
      </c>
      <c r="BE15" s="64">
        <f t="shared" ca="1" si="106"/>
        <v>-2.8145704512528225</v>
      </c>
      <c r="BF15" s="64">
        <f t="shared" si="4"/>
        <v>-2.0205871004198297</v>
      </c>
      <c r="BG15" s="64">
        <f t="shared" ca="1" si="5"/>
        <v>-1.9294749907424897</v>
      </c>
      <c r="BH15" s="3"/>
      <c r="BI15" s="64">
        <f t="shared" si="6"/>
        <v>-12.495953689020189</v>
      </c>
      <c r="BJ15" s="64">
        <f t="shared" ca="1" si="7"/>
        <v>-13.408918457797354</v>
      </c>
      <c r="BK15" s="61"/>
      <c r="BL15" s="61"/>
      <c r="BM15" s="64">
        <f t="shared" si="107"/>
        <v>-15.116614795694701</v>
      </c>
      <c r="BN15" s="64">
        <f t="shared" ca="1" si="108"/>
        <v>-15.975082451578587</v>
      </c>
      <c r="BO15" s="76"/>
      <c r="BP15" s="64">
        <f t="shared" si="109"/>
        <v>-15.400395764699949</v>
      </c>
      <c r="BQ15" s="64">
        <f t="shared" ca="1" si="110"/>
        <v>-16.158775241654386</v>
      </c>
      <c r="BR15" s="61"/>
      <c r="BS15" s="64">
        <f t="shared" si="8"/>
        <v>-14.516540789440018</v>
      </c>
      <c r="BT15" s="64">
        <f t="shared" ca="1" si="9"/>
        <v>-15.338393448539843</v>
      </c>
      <c r="BU15" s="3"/>
      <c r="BV15">
        <v>60.08</v>
      </c>
      <c r="BW15">
        <v>79.88</v>
      </c>
      <c r="BX15">
        <v>101.96</v>
      </c>
      <c r="BY15">
        <v>159.69</v>
      </c>
      <c r="BZ15">
        <v>71.849999999999994</v>
      </c>
      <c r="CA15">
        <v>70.94</v>
      </c>
      <c r="CB15">
        <v>40.299999999999997</v>
      </c>
      <c r="CC15">
        <v>151.99</v>
      </c>
      <c r="CD15" s="3"/>
      <c r="CE15" s="3">
        <f t="shared" si="10"/>
        <v>0</v>
      </c>
      <c r="CF15" s="3">
        <f t="shared" si="11"/>
        <v>1.5022533800701052E-3</v>
      </c>
      <c r="CG15" s="3">
        <f t="shared" si="12"/>
        <v>0.57836406433895649</v>
      </c>
      <c r="CH15" s="3">
        <f t="shared" si="13"/>
        <v>0.1151009046624913</v>
      </c>
      <c r="CI15" s="3">
        <f t="shared" si="14"/>
        <v>1.5506061460389062E-3</v>
      </c>
      <c r="CJ15" s="3">
        <f t="shared" si="15"/>
        <v>0.54516129032258065</v>
      </c>
      <c r="CK15" s="3">
        <f t="shared" si="16"/>
        <v>6.6451740246068813E-2</v>
      </c>
      <c r="CL15" s="3"/>
      <c r="CM15" s="3">
        <f t="shared" si="111"/>
        <v>0</v>
      </c>
      <c r="CN15" s="3">
        <f t="shared" si="111"/>
        <v>3.0045067601402104E-3</v>
      </c>
      <c r="CO15" s="3">
        <f t="shared" si="112"/>
        <v>1.7350921930168695</v>
      </c>
      <c r="CP15" s="3">
        <f t="shared" si="113"/>
        <v>0.1151009046624913</v>
      </c>
      <c r="CQ15" s="3">
        <f t="shared" si="113"/>
        <v>1.5506061460389062E-3</v>
      </c>
      <c r="CR15" s="3">
        <f t="shared" si="113"/>
        <v>0.54516129032258065</v>
      </c>
      <c r="CS15" s="3">
        <f t="shared" si="114"/>
        <v>0.19935522073820644</v>
      </c>
      <c r="CT15" s="3">
        <f t="shared" si="115"/>
        <v>2.5992647216463269</v>
      </c>
      <c r="CU15">
        <v>32</v>
      </c>
      <c r="CV15" s="3">
        <f t="shared" si="116"/>
        <v>12.311173899875724</v>
      </c>
      <c r="CW15" s="3"/>
      <c r="CX15" s="3">
        <f t="shared" si="117"/>
        <v>0</v>
      </c>
      <c r="CY15" s="3">
        <f t="shared" si="118"/>
        <v>3.6989005207438329E-2</v>
      </c>
      <c r="CZ15" s="3">
        <f t="shared" si="119"/>
        <v>21.361021720547416</v>
      </c>
      <c r="DA15" s="3">
        <f t="shared" si="120"/>
        <v>1.4170272533329469</v>
      </c>
      <c r="DB15" s="3">
        <f t="shared" si="121"/>
        <v>1.9089781914101066E-2</v>
      </c>
      <c r="DC15" s="3">
        <f t="shared" si="122"/>
        <v>6.711575448641927</v>
      </c>
      <c r="DD15" s="3">
        <f t="shared" si="123"/>
        <v>2.454296790356171</v>
      </c>
      <c r="DE15" s="3">
        <f t="shared" si="124"/>
        <v>32</v>
      </c>
      <c r="DF15" s="3"/>
      <c r="DG15" s="3">
        <f t="shared" si="125"/>
        <v>0</v>
      </c>
      <c r="DH15" s="3">
        <f t="shared" si="126"/>
        <v>1.8494502603719164E-2</v>
      </c>
      <c r="DI15" s="3">
        <f t="shared" si="127"/>
        <v>14.24068114703161</v>
      </c>
      <c r="DJ15" s="3">
        <f t="shared" si="128"/>
        <v>1.4170272533329469</v>
      </c>
      <c r="DK15" s="3">
        <f t="shared" si="129"/>
        <v>1.9089781914101066E-2</v>
      </c>
      <c r="DL15" s="3">
        <f t="shared" si="130"/>
        <v>6.711575448641927</v>
      </c>
      <c r="DM15" s="3">
        <f t="shared" si="131"/>
        <v>1.6361978602374472</v>
      </c>
      <c r="DN15" s="3">
        <f t="shared" si="132"/>
        <v>24.043065993761754</v>
      </c>
      <c r="DO15" s="3">
        <f t="shared" si="133"/>
        <v>0.99820879775595472</v>
      </c>
      <c r="DP15" s="3"/>
      <c r="DQ15" s="3">
        <f t="shared" si="134"/>
        <v>0</v>
      </c>
      <c r="DR15" s="3">
        <f t="shared" si="135"/>
        <v>1.8461375209152881E-2</v>
      </c>
      <c r="DS15" s="3">
        <f t="shared" si="136"/>
        <v>14.215173207004314</v>
      </c>
      <c r="DT15" s="3">
        <f t="shared" si="137"/>
        <v>1.4144890709369036</v>
      </c>
      <c r="DU15" s="3">
        <f t="shared" si="138"/>
        <v>1.9055588253898192E-2</v>
      </c>
      <c r="DV15" s="3">
        <f t="shared" si="139"/>
        <v>6.6995536596372407</v>
      </c>
      <c r="DW15" s="3">
        <f t="shared" si="140"/>
        <v>1.6332670989584879</v>
      </c>
      <c r="DX15" s="3">
        <f t="shared" si="141"/>
        <v>23.999999999999996</v>
      </c>
      <c r="DY15" s="3"/>
      <c r="DZ15" s="3">
        <f t="shared" si="142"/>
        <v>0.17432605643140545</v>
      </c>
      <c r="EA15" s="3">
        <f t="shared" si="143"/>
        <v>0.10305538383761266</v>
      </c>
      <c r="EB15" s="3"/>
      <c r="EC15" s="3">
        <f t="shared" si="144"/>
        <v>1.2998521273180059</v>
      </c>
      <c r="ED15" s="3">
        <f t="shared" si="145"/>
        <v>0.11463694361889765</v>
      </c>
      <c r="EE15" s="3">
        <f t="shared" si="146"/>
        <v>0.91895522844657507</v>
      </c>
      <c r="EF15" s="3">
        <f t="shared" si="147"/>
        <v>8.1044771553424946E-2</v>
      </c>
      <c r="EG15" s="3"/>
      <c r="EH15" s="3">
        <f t="shared" si="17"/>
        <v>0</v>
      </c>
      <c r="EI15" s="3">
        <f t="shared" si="18"/>
        <v>0.12</v>
      </c>
      <c r="EJ15" s="3">
        <f t="shared" si="19"/>
        <v>58.97</v>
      </c>
      <c r="EK15" s="3">
        <f t="shared" si="20"/>
        <v>0.74483800176794579</v>
      </c>
      <c r="EL15" s="3">
        <f t="shared" si="21"/>
        <v>7.5997597392531757</v>
      </c>
      <c r="EM15" s="3">
        <f t="shared" si="22"/>
        <v>0.11</v>
      </c>
      <c r="EN15" s="3">
        <f t="shared" si="23"/>
        <v>21.97</v>
      </c>
      <c r="EO15" s="3">
        <f t="shared" si="24"/>
        <v>10.1</v>
      </c>
      <c r="EP15" s="3">
        <f t="shared" si="148"/>
        <v>99.614597741021115</v>
      </c>
      <c r="EQ15" s="3"/>
      <c r="ER15" s="3">
        <f t="shared" si="149"/>
        <v>0</v>
      </c>
      <c r="ES15" s="3">
        <f t="shared" si="150"/>
        <v>1.8461375209152881E-2</v>
      </c>
      <c r="ET15" s="3">
        <f t="shared" si="151"/>
        <v>14.215173207004314</v>
      </c>
      <c r="EU15" s="3">
        <f t="shared" si="152"/>
        <v>0.11463694361889765</v>
      </c>
      <c r="EV15" s="3">
        <f t="shared" si="153"/>
        <v>1.2998521273180059</v>
      </c>
      <c r="EW15" s="3">
        <f t="shared" si="154"/>
        <v>1.9055588253898192E-2</v>
      </c>
      <c r="EX15" s="3">
        <f t="shared" si="155"/>
        <v>6.6995536596372407</v>
      </c>
      <c r="EY15" s="3">
        <f t="shared" si="156"/>
        <v>1.6332670989584879</v>
      </c>
      <c r="EZ15" s="3">
        <f t="shared" si="157"/>
        <v>23.999999999999996</v>
      </c>
      <c r="FA15" s="3"/>
      <c r="FB15" s="3">
        <f t="shared" si="158"/>
        <v>0.16249358539076672</v>
      </c>
      <c r="FC15" s="3">
        <f t="shared" si="159"/>
        <v>7.1813812478982789E-3</v>
      </c>
      <c r="FD15" s="3">
        <f t="shared" si="160"/>
        <v>0.89050331491547552</v>
      </c>
      <c r="FE15" s="3"/>
      <c r="FF15" s="3"/>
      <c r="FG15" s="3">
        <f t="shared" si="161"/>
        <v>7.6983520299185224E-4</v>
      </c>
      <c r="FH15" s="3">
        <f t="shared" si="162"/>
        <v>0.59276953246435049</v>
      </c>
      <c r="FI15" s="3">
        <f t="shared" si="163"/>
        <v>4.7803348212903307E-3</v>
      </c>
      <c r="FJ15" s="3">
        <f t="shared" si="164"/>
        <v>5.4203541987334153E-2</v>
      </c>
      <c r="FK15" s="3">
        <f t="shared" si="165"/>
        <v>0.27936988404659052</v>
      </c>
      <c r="FL15" s="3">
        <f t="shared" si="166"/>
        <v>6.810687147744264E-2</v>
      </c>
      <c r="FM15" s="3">
        <f t="shared" si="167"/>
        <v>2.9976180514682622</v>
      </c>
      <c r="FN15" s="3">
        <f t="shared" si="168"/>
        <v>4.250592318889794E-3</v>
      </c>
      <c r="FO15" s="3">
        <f t="shared" si="169"/>
        <v>5.4733284489734642E-2</v>
      </c>
      <c r="FP15" s="3"/>
      <c r="FQ15" s="3">
        <f t="shared" si="25"/>
        <v>0</v>
      </c>
      <c r="FR15" s="3">
        <f t="shared" si="26"/>
        <v>2.3076719011441101E-3</v>
      </c>
      <c r="FS15" s="3">
        <f t="shared" si="27"/>
        <v>1.7768966508755393</v>
      </c>
      <c r="FT15" s="3">
        <f t="shared" si="28"/>
        <v>1.4329617952362206E-2</v>
      </c>
      <c r="FU15" s="3">
        <f t="shared" si="29"/>
        <v>0.16248151591475074</v>
      </c>
      <c r="FV15" s="3">
        <f t="shared" si="30"/>
        <v>2.3819485317372741E-3</v>
      </c>
      <c r="FW15" s="3">
        <f t="shared" si="31"/>
        <v>0.83744420745465509</v>
      </c>
      <c r="FX15" s="3">
        <f t="shared" si="32"/>
        <v>0.20415838736981098</v>
      </c>
      <c r="FZ15" s="44">
        <f t="shared" ca="1" si="170"/>
        <v>841.61900763542371</v>
      </c>
      <c r="GA15" s="44">
        <f t="shared" ca="1" si="33"/>
        <v>0.4467673430893111</v>
      </c>
      <c r="GB15" s="68">
        <f t="shared" si="171"/>
        <v>0.91775561142396367</v>
      </c>
      <c r="GC15" s="28">
        <f t="shared" ca="1" si="34"/>
        <v>785.66937944655012</v>
      </c>
      <c r="GD15" s="28"/>
      <c r="GE15" s="28">
        <f t="shared" ca="1" si="35"/>
        <v>841.61900763542371</v>
      </c>
      <c r="GF15" s="28">
        <f t="shared" ca="1" si="36"/>
        <v>798.66698600011966</v>
      </c>
      <c r="GG15" s="28">
        <f t="shared" si="37"/>
        <v>13.12141210041511</v>
      </c>
      <c r="GH15" s="28">
        <f t="shared" ca="1" si="38"/>
        <v>0.4467673430893111</v>
      </c>
      <c r="GI15" s="28">
        <f t="shared" si="172"/>
        <v>947.96155291286425</v>
      </c>
      <c r="GJ15" s="28">
        <f t="shared" si="173"/>
        <v>831.20029643183477</v>
      </c>
      <c r="GK15" s="28">
        <f t="shared" ca="1" si="39"/>
        <v>688.68519343289597</v>
      </c>
      <c r="GL15" s="51">
        <f t="shared" si="40"/>
        <v>0.84839137560650379</v>
      </c>
      <c r="GM15" s="52"/>
      <c r="GN15" s="2">
        <f t="shared" si="41"/>
        <v>0.10380510985665201</v>
      </c>
      <c r="GP15" s="2">
        <f t="shared" si="42"/>
        <v>0.86994439479198404</v>
      </c>
      <c r="GQ15" s="2">
        <f t="shared" si="43"/>
        <v>8.2625177143372218E-3</v>
      </c>
      <c r="GR15" s="2">
        <f t="shared" si="44"/>
        <v>6.3455634997695201E-2</v>
      </c>
      <c r="GS15" s="2">
        <f t="shared" si="45"/>
        <v>3.159518083021557E-2</v>
      </c>
      <c r="GT15" s="2">
        <f t="shared" si="46"/>
        <v>1.1277533039647577E-3</v>
      </c>
      <c r="GU15" s="2">
        <f t="shared" si="47"/>
        <v>0.35256696539335658</v>
      </c>
      <c r="GV15" s="2">
        <f t="shared" si="48"/>
        <v>0.37876221080149935</v>
      </c>
      <c r="GW15" s="2">
        <f t="shared" si="49"/>
        <v>2.8396760833122238E-2</v>
      </c>
      <c r="GX15" s="2">
        <f t="shared" si="50"/>
        <v>0</v>
      </c>
      <c r="GY15" s="2">
        <f t="shared" si="51"/>
        <v>5.7895422445792119E-3</v>
      </c>
      <c r="GZ15" s="2">
        <f t="shared" si="174"/>
        <v>1.7399009609107543</v>
      </c>
      <c r="HB15" s="36">
        <f t="shared" si="175"/>
        <v>1.7398887895839681</v>
      </c>
      <c r="HC15" s="36">
        <f t="shared" si="175"/>
        <v>1.6525035428674444E-2</v>
      </c>
      <c r="HD15" s="36">
        <f t="shared" si="176"/>
        <v>0.19036690499308562</v>
      </c>
      <c r="HE15" s="36">
        <f t="shared" si="52"/>
        <v>3.159518083021557E-2</v>
      </c>
      <c r="HF15" s="36">
        <f t="shared" si="52"/>
        <v>1.1277533039647577E-3</v>
      </c>
      <c r="HG15" s="36">
        <f t="shared" si="52"/>
        <v>0.35256696539335658</v>
      </c>
      <c r="HH15" s="36">
        <f t="shared" si="52"/>
        <v>0.37876221080149935</v>
      </c>
      <c r="HI15" s="36">
        <f t="shared" si="52"/>
        <v>2.8396760833122238E-2</v>
      </c>
      <c r="HJ15" s="36">
        <f t="shared" si="52"/>
        <v>0</v>
      </c>
      <c r="HK15" s="36">
        <f t="shared" si="177"/>
        <v>1.7368626733737635E-2</v>
      </c>
      <c r="HL15" s="36">
        <f t="shared" si="178"/>
        <v>2.7565982279016241</v>
      </c>
      <c r="HM15" s="36">
        <f t="shared" si="179"/>
        <v>2.1765957546041506</v>
      </c>
      <c r="HO15" s="18">
        <f t="shared" si="53"/>
        <v>1.8935172764459096</v>
      </c>
      <c r="HP15" s="18">
        <f t="shared" si="54"/>
        <v>1.7984160979367985E-2</v>
      </c>
      <c r="HQ15" s="18">
        <f t="shared" si="180"/>
        <v>0.10648272355409039</v>
      </c>
      <c r="HR15" s="18">
        <f t="shared" si="181"/>
        <v>0.1697518079292975</v>
      </c>
      <c r="HS15" s="18">
        <f t="shared" si="55"/>
        <v>0.27623453148338789</v>
      </c>
      <c r="HT15" s="18">
        <f t="shared" si="56"/>
        <v>6.8769936460997647E-2</v>
      </c>
      <c r="HU15" s="18">
        <f t="shared" si="57"/>
        <v>2.4546630536504957E-3</v>
      </c>
      <c r="HV15" s="18">
        <f t="shared" si="58"/>
        <v>0.76739576008884836</v>
      </c>
      <c r="HW15" s="18">
        <f t="shared" si="59"/>
        <v>0.82441222003502579</v>
      </c>
      <c r="HX15" s="18">
        <f t="shared" si="60"/>
        <v>0.12361653814776657</v>
      </c>
      <c r="HY15" s="18">
        <f t="shared" si="61"/>
        <v>0</v>
      </c>
      <c r="HZ15" s="18">
        <f t="shared" si="62"/>
        <v>2.5202986141304996E-2</v>
      </c>
      <c r="IA15" s="36">
        <f t="shared" si="182"/>
        <v>3.9995880728362594</v>
      </c>
      <c r="IB15" s="36">
        <f t="shared" si="183"/>
        <v>0</v>
      </c>
      <c r="IC15" s="36">
        <f t="shared" si="184"/>
        <v>-1.2359087673203817E-3</v>
      </c>
      <c r="ID15" s="36">
        <f t="shared" si="185"/>
        <v>0.12361653814776657</v>
      </c>
      <c r="IE15" s="36">
        <f t="shared" si="186"/>
        <v>4.613526978153093E-2</v>
      </c>
      <c r="IF15" s="36">
        <f t="shared" si="187"/>
        <v>3.0173726886279728E-2</v>
      </c>
      <c r="IG15" s="36">
        <f t="shared" si="188"/>
        <v>1.2601493070652498E-2</v>
      </c>
      <c r="IH15" s="36">
        <f t="shared" si="189"/>
        <v>0.73550173029656263</v>
      </c>
      <c r="II15" s="36">
        <f t="shared" si="190"/>
        <v>5.0331983126641666E-2</v>
      </c>
      <c r="IJ15" s="36">
        <f t="shared" si="191"/>
        <v>4.6057253447209574E-2</v>
      </c>
      <c r="IK15" s="36">
        <f t="shared" si="192"/>
        <v>0.67303506634927701</v>
      </c>
      <c r="IL15" s="36">
        <f t="shared" si="193"/>
        <v>0.99836074130943409</v>
      </c>
      <c r="IM15" s="36">
        <f t="shared" si="194"/>
        <v>0.73550173029656263</v>
      </c>
      <c r="IN15" s="36"/>
      <c r="IO15" s="2">
        <f t="shared" si="195"/>
        <v>0.91775561142396367</v>
      </c>
      <c r="IP15" s="36">
        <f t="shared" si="196"/>
        <v>6.8769936460997647E-2</v>
      </c>
      <c r="IQ15" s="53">
        <f t="shared" si="197"/>
        <v>0.1704781021956735</v>
      </c>
      <c r="IR15" s="18">
        <f t="shared" si="198"/>
        <v>0.60239115810546362</v>
      </c>
      <c r="IS15" s="18">
        <f t="shared" si="199"/>
        <v>0.28523100553485498</v>
      </c>
      <c r="IT15" s="18">
        <f t="shared" si="63"/>
        <v>0.72232969053609819</v>
      </c>
      <c r="IU15" s="18">
        <f t="shared" si="64"/>
        <v>6.4731354413931436E-2</v>
      </c>
      <c r="IV15" s="18">
        <f t="shared" si="65"/>
        <v>4.544411801877124E-2</v>
      </c>
      <c r="IW15" s="18">
        <f t="shared" si="66"/>
        <v>4.0724607447859022E-3</v>
      </c>
      <c r="IX15" s="18">
        <f t="shared" si="67"/>
        <v>3.2825635705184958E-2</v>
      </c>
      <c r="IY15" s="18">
        <f t="shared" si="68"/>
        <v>4.0925948258239961E-2</v>
      </c>
      <c r="IZ15" s="2">
        <f t="shared" si="69"/>
        <v>0.90589388575717789</v>
      </c>
      <c r="JA15" s="2">
        <f t="shared" si="70"/>
        <v>1.6274656103997557E-3</v>
      </c>
      <c r="JB15" s="2">
        <f t="shared" si="71"/>
        <v>5.1392198978040628E-2</v>
      </c>
      <c r="JC15" s="2">
        <f t="shared" si="72"/>
        <v>8.4624977730269016E-2</v>
      </c>
      <c r="JD15" s="2">
        <f t="shared" si="73"/>
        <v>1.1277533039647577E-3</v>
      </c>
      <c r="JE15" s="2">
        <f t="shared" si="74"/>
        <v>0.80115322396562161</v>
      </c>
      <c r="JF15" s="2">
        <f t="shared" si="75"/>
        <v>8.7379229422191469E-3</v>
      </c>
      <c r="JG15" s="2">
        <f t="shared" si="76"/>
        <v>1.4521070880573871E-3</v>
      </c>
      <c r="JH15" s="2">
        <f t="shared" si="77"/>
        <v>0</v>
      </c>
      <c r="JI15" s="2">
        <f t="shared" si="78"/>
        <v>3.3553028917447706E-3</v>
      </c>
      <c r="JJ15" s="2">
        <f t="shared" si="200"/>
        <v>1.859364838267495</v>
      </c>
      <c r="JL15" s="36">
        <f t="shared" si="201"/>
        <v>1.8117877715143558</v>
      </c>
      <c r="JM15" s="36">
        <f t="shared" si="201"/>
        <v>3.2549312207995115E-3</v>
      </c>
      <c r="JN15" s="36">
        <f t="shared" si="202"/>
        <v>0.15417659693412189</v>
      </c>
      <c r="JO15" s="36">
        <f t="shared" si="79"/>
        <v>8.4624977730269016E-2</v>
      </c>
      <c r="JP15" s="36">
        <f t="shared" si="79"/>
        <v>1.1277533039647577E-3</v>
      </c>
      <c r="JQ15" s="36">
        <f t="shared" si="79"/>
        <v>0.80115322396562161</v>
      </c>
      <c r="JR15" s="36">
        <f t="shared" si="79"/>
        <v>8.7379229422191469E-3</v>
      </c>
      <c r="JS15" s="36">
        <f t="shared" si="79"/>
        <v>1.4521070880573871E-3</v>
      </c>
      <c r="JT15" s="36">
        <f t="shared" si="79"/>
        <v>0</v>
      </c>
      <c r="JU15" s="36">
        <f t="shared" si="203"/>
        <v>1.0065908675234311E-2</v>
      </c>
      <c r="JV15" s="36">
        <f t="shared" si="204"/>
        <v>2.8763811933746433</v>
      </c>
      <c r="JW15" s="36">
        <f t="shared" si="205"/>
        <v>2.0859543977759945</v>
      </c>
      <c r="JY15" s="18">
        <f t="shared" si="80"/>
        <v>1.8896533349135696</v>
      </c>
      <c r="JZ15" s="18">
        <f t="shared" si="81"/>
        <v>3.3948190472425635E-3</v>
      </c>
      <c r="KA15" s="18">
        <f t="shared" si="206"/>
        <v>0.11034666508643043</v>
      </c>
      <c r="KB15" s="18">
        <f t="shared" si="207"/>
        <v>0.10405690185281521</v>
      </c>
      <c r="KC15" s="18">
        <f t="shared" si="82"/>
        <v>0.21440356693924564</v>
      </c>
      <c r="KD15" s="18">
        <f t="shared" si="83"/>
        <v>0.17652384445815025</v>
      </c>
      <c r="KE15" s="18">
        <f t="shared" si="84"/>
        <v>2.3524419640116941E-3</v>
      </c>
      <c r="KF15" s="18">
        <f t="shared" si="85"/>
        <v>1.6711690908235046</v>
      </c>
      <c r="KG15" s="18">
        <f t="shared" si="86"/>
        <v>1.8226908788749788E-2</v>
      </c>
      <c r="KH15" s="18">
        <f t="shared" si="87"/>
        <v>6.0580583327500001E-3</v>
      </c>
      <c r="KI15" s="18">
        <f t="shared" si="88"/>
        <v>0</v>
      </c>
      <c r="KJ15" s="18">
        <f t="shared" si="89"/>
        <v>1.3998017645811031E-2</v>
      </c>
      <c r="KK15" s="36">
        <f t="shared" si="208"/>
        <v>3.995780082913035</v>
      </c>
      <c r="KL15" s="36">
        <f t="shared" si="209"/>
        <v>0</v>
      </c>
      <c r="KM15" s="36">
        <f t="shared" si="210"/>
        <v>-1.2673121141007826E-2</v>
      </c>
      <c r="KN15" s="36">
        <f t="shared" si="211"/>
        <v>6.0580583327500001E-3</v>
      </c>
      <c r="KO15" s="36">
        <f t="shared" si="212"/>
        <v>3.3948190472425635E-3</v>
      </c>
      <c r="KP15" s="36">
        <f t="shared" si="213"/>
        <v>1.3998017645811031E-2</v>
      </c>
      <c r="KQ15" s="36">
        <f t="shared" si="214"/>
        <v>8.4000825874254184E-2</v>
      </c>
      <c r="KR15" s="36">
        <f t="shared" si="215"/>
        <v>1.8226908788749788E-2</v>
      </c>
      <c r="KS15" s="36">
        <f t="shared" si="216"/>
        <v>0.87221141176771</v>
      </c>
      <c r="KT15" s="36">
        <f t="shared" si="217"/>
        <v>0.7878794595729387</v>
      </c>
      <c r="KU15" s="36">
        <f t="shared" si="218"/>
        <v>1.6464594308690367E-2</v>
      </c>
      <c r="KV15" s="53">
        <f t="shared" si="219"/>
        <v>0.70274322822414581</v>
      </c>
      <c r="KW15" s="36">
        <f t="shared" si="220"/>
        <v>1.8226908788749788E-2</v>
      </c>
      <c r="KX15" s="36">
        <f t="shared" si="221"/>
        <v>9.5537435407924892E-2</v>
      </c>
      <c r="KY15" s="36">
        <f t="shared" si="222"/>
        <v>0.71653590048903415</v>
      </c>
      <c r="KZ15" s="18">
        <f t="shared" si="223"/>
        <v>0.90446256459207508</v>
      </c>
      <c r="LA15" s="18">
        <f t="shared" si="224"/>
        <v>0.79461582259784158</v>
      </c>
      <c r="LB15" s="18">
        <f t="shared" si="225"/>
        <v>8.3934438856289609E-2</v>
      </c>
      <c r="LC15" s="18">
        <f t="shared" si="226"/>
        <v>0.8803700252565051</v>
      </c>
      <c r="LD15" s="18">
        <f t="shared" si="227"/>
        <v>9.2992565657983389E-2</v>
      </c>
      <c r="LE15" s="54">
        <f t="shared" si="228"/>
        <v>0.69955595180968033</v>
      </c>
      <c r="LF15" s="36">
        <f t="shared" si="229"/>
        <v>0.9978900414565175</v>
      </c>
      <c r="LH15" s="2" t="str">
        <f t="shared" si="90"/>
        <v>10ABG40</v>
      </c>
      <c r="LI15" s="2">
        <f t="shared" si="230"/>
        <v>15</v>
      </c>
      <c r="LK15" s="2">
        <f t="shared" si="91"/>
        <v>0.17265455083128053</v>
      </c>
      <c r="LL15" s="2">
        <f t="shared" si="231"/>
        <v>1154.9179709886353</v>
      </c>
      <c r="LN15" s="2">
        <f t="shared" si="92"/>
        <v>764.86511519942076</v>
      </c>
      <c r="LO15" s="2">
        <f t="shared" si="93"/>
        <v>683.82723754991207</v>
      </c>
      <c r="LP15" s="2">
        <f t="shared" si="94"/>
        <v>1048.8084981958875</v>
      </c>
      <c r="LQ15" s="2">
        <f t="shared" si="95"/>
        <v>925.28051440056242</v>
      </c>
      <c r="LR15" s="2">
        <f t="shared" si="232"/>
        <v>4.6923531449154801E-2</v>
      </c>
      <c r="LS15" s="2">
        <f t="shared" si="233"/>
        <v>733.78842373216946</v>
      </c>
      <c r="LT15" s="2">
        <f t="shared" si="96"/>
        <v>907.31088577183266</v>
      </c>
      <c r="LV15" s="2">
        <f t="shared" si="234"/>
        <v>947.96155291286425</v>
      </c>
      <c r="LW15" s="2">
        <f t="shared" si="235"/>
        <v>963.69475438361621</v>
      </c>
      <c r="LY15" s="2">
        <f t="shared" si="97"/>
        <v>93.579096616697015</v>
      </c>
      <c r="LZ15" s="2">
        <f t="shared" si="98"/>
        <v>64.90807296219154</v>
      </c>
      <c r="MB15" s="2">
        <f t="shared" si="236"/>
        <v>25.89565</v>
      </c>
      <c r="MC15" s="2">
        <f t="shared" si="237"/>
        <v>31.143099999999997</v>
      </c>
      <c r="MD15" s="2">
        <f t="shared" si="238"/>
        <v>2.3649999999999984</v>
      </c>
      <c r="ME15" s="2">
        <f t="shared" si="99"/>
        <v>247.76564117605369</v>
      </c>
      <c r="MF15" s="2">
        <f t="shared" si="100"/>
        <v>992.40885910369764</v>
      </c>
      <c r="MH15" s="2">
        <f t="shared" si="239"/>
        <v>893.26033616627012</v>
      </c>
      <c r="MI15" s="2">
        <f>-273.15+((35000+61.5*LI15)/((LN(KH15/HX15))^2+19.8))</f>
        <v>970.05732974196974</v>
      </c>
      <c r="MK15" s="2">
        <f t="shared" si="240"/>
        <v>831.20029643183477</v>
      </c>
      <c r="MM15" s="2">
        <f t="shared" si="101"/>
        <v>13.12141210041511</v>
      </c>
      <c r="MN15" s="2">
        <f t="shared" si="241"/>
        <v>-1.8785878995848897</v>
      </c>
      <c r="MO15" s="3">
        <f t="shared" si="102"/>
        <v>15</v>
      </c>
    </row>
    <row r="16" spans="1:353" ht="15" x14ac:dyDescent="0.2">
      <c r="A16" s="50">
        <v>1.5</v>
      </c>
      <c r="B16" s="73" t="s">
        <v>197</v>
      </c>
      <c r="C16" s="3" t="s">
        <v>212</v>
      </c>
      <c r="E16" s="69">
        <v>53.6</v>
      </c>
      <c r="F16" s="69">
        <v>0.05</v>
      </c>
      <c r="G16" s="69">
        <v>2.8</v>
      </c>
      <c r="H16" s="69">
        <v>2.71</v>
      </c>
      <c r="I16" s="69">
        <v>7.0000000000000007E-2</v>
      </c>
      <c r="J16" s="69">
        <v>17.3</v>
      </c>
      <c r="K16" s="69">
        <v>22.5</v>
      </c>
      <c r="L16" s="69">
        <v>0.25</v>
      </c>
      <c r="M16" s="69"/>
      <c r="N16" s="69">
        <v>0.8</v>
      </c>
      <c r="P16" s="69">
        <v>54.9</v>
      </c>
      <c r="Q16" s="69">
        <v>0.03</v>
      </c>
      <c r="R16" s="69">
        <v>2.72</v>
      </c>
      <c r="S16" s="69">
        <v>6.62</v>
      </c>
      <c r="T16" s="69">
        <v>0.13</v>
      </c>
      <c r="U16" s="69">
        <v>34.799999999999997</v>
      </c>
      <c r="V16" s="69">
        <v>0.7</v>
      </c>
      <c r="W16" s="69">
        <v>0.02</v>
      </c>
      <c r="X16" s="69"/>
      <c r="Y16" s="69">
        <v>0.5</v>
      </c>
      <c r="Z16" s="3"/>
      <c r="AA16" s="69">
        <v>41.2</v>
      </c>
      <c r="AB16" s="69">
        <v>5.0000000000000001E-3</v>
      </c>
      <c r="AC16" s="69">
        <v>0.02</v>
      </c>
      <c r="AD16" s="69">
        <v>9.92</v>
      </c>
      <c r="AE16" s="69">
        <v>0.13</v>
      </c>
      <c r="AF16" s="69">
        <v>49</v>
      </c>
      <c r="AG16" s="69">
        <v>7.0000000000000007E-2</v>
      </c>
      <c r="AH16" s="69"/>
      <c r="AI16" s="69"/>
      <c r="AJ16" s="69">
        <v>0.03</v>
      </c>
      <c r="AK16" s="3">
        <f t="shared" si="0"/>
        <v>0.10198533853613935</v>
      </c>
      <c r="AL16" s="3">
        <f t="shared" si="1"/>
        <v>0.89801466146386066</v>
      </c>
      <c r="AM16" s="69"/>
      <c r="AN16" s="69">
        <v>0.19</v>
      </c>
      <c r="AO16" s="69">
        <v>40.299999999999997</v>
      </c>
      <c r="AP16" s="69">
        <v>14.4</v>
      </c>
      <c r="AQ16" s="69">
        <v>0.2</v>
      </c>
      <c r="AR16" s="69">
        <v>17.399999999999999</v>
      </c>
      <c r="AS16" s="69"/>
      <c r="AT16" s="69"/>
      <c r="AU16" s="69"/>
      <c r="AV16" s="69">
        <v>27.8</v>
      </c>
      <c r="AW16" s="3"/>
      <c r="AX16" s="63">
        <f t="shared" si="2"/>
        <v>-0.65957234613690452</v>
      </c>
      <c r="AY16" s="63">
        <f t="shared" ca="1" si="3"/>
        <v>-0.64783472952964183</v>
      </c>
      <c r="AZ16" s="61"/>
      <c r="BA16" s="63">
        <f t="shared" si="103"/>
        <v>-0.96005916225295707</v>
      </c>
      <c r="BB16" s="63">
        <f t="shared" ca="1" si="104"/>
        <v>-0.86357589171159432</v>
      </c>
      <c r="BC16" s="3"/>
      <c r="BD16" s="64">
        <f t="shared" si="105"/>
        <v>-2.2585213305102938</v>
      </c>
      <c r="BE16" s="64">
        <f t="shared" ca="1" si="106"/>
        <v>-2.2157736000762265</v>
      </c>
      <c r="BF16" s="64">
        <f t="shared" si="4"/>
        <v>-1.7381555567477927</v>
      </c>
      <c r="BG16" s="64">
        <f t="shared" ca="1" si="5"/>
        <v>-1.7121139006207988</v>
      </c>
      <c r="BH16" s="3"/>
      <c r="BI16" s="64">
        <f t="shared" si="6"/>
        <v>-9.5658211387803078</v>
      </c>
      <c r="BJ16" s="64">
        <f t="shared" ca="1" si="7"/>
        <v>-10.135641370330356</v>
      </c>
      <c r="BK16" s="61"/>
      <c r="BL16" s="61"/>
      <c r="BM16" s="64">
        <f t="shared" si="107"/>
        <v>-10.225393484917213</v>
      </c>
      <c r="BN16" s="64">
        <f t="shared" ca="1" si="108"/>
        <v>-10.783476099859998</v>
      </c>
      <c r="BO16" s="76"/>
      <c r="BP16" s="64">
        <f t="shared" si="109"/>
        <v>-10.525880301033265</v>
      </c>
      <c r="BQ16" s="64">
        <f t="shared" ca="1" si="110"/>
        <v>-10.999217262041951</v>
      </c>
      <c r="BR16" s="61"/>
      <c r="BS16" s="64">
        <f t="shared" si="8"/>
        <v>-11.3039766955281</v>
      </c>
      <c r="BT16" s="64">
        <f t="shared" ca="1" si="9"/>
        <v>-11.847755270951154</v>
      </c>
      <c r="BU16" s="3"/>
      <c r="BV16">
        <v>60.08</v>
      </c>
      <c r="BW16">
        <v>79.88</v>
      </c>
      <c r="BX16">
        <v>101.96</v>
      </c>
      <c r="BY16">
        <v>159.69</v>
      </c>
      <c r="BZ16">
        <v>71.849999999999994</v>
      </c>
      <c r="CA16">
        <v>70.94</v>
      </c>
      <c r="CB16">
        <v>40.299999999999997</v>
      </c>
      <c r="CC16">
        <v>151.99</v>
      </c>
      <c r="CD16" s="3"/>
      <c r="CE16" s="3">
        <f t="shared" si="10"/>
        <v>0</v>
      </c>
      <c r="CF16" s="3">
        <f t="shared" si="11"/>
        <v>2.3785678517776665E-3</v>
      </c>
      <c r="CG16" s="3">
        <f t="shared" si="12"/>
        <v>0.39525304040800313</v>
      </c>
      <c r="CH16" s="3">
        <f t="shared" si="13"/>
        <v>0.20041753653444677</v>
      </c>
      <c r="CI16" s="3">
        <f t="shared" si="14"/>
        <v>2.8192839018889204E-3</v>
      </c>
      <c r="CJ16" s="3">
        <f t="shared" si="15"/>
        <v>0.4317617866004963</v>
      </c>
      <c r="CK16" s="3">
        <f t="shared" si="16"/>
        <v>0.18290677018224882</v>
      </c>
      <c r="CL16" s="3"/>
      <c r="CM16" s="3">
        <f t="shared" si="111"/>
        <v>0</v>
      </c>
      <c r="CN16" s="3">
        <f t="shared" si="111"/>
        <v>4.7571357035553329E-3</v>
      </c>
      <c r="CO16" s="3">
        <f t="shared" si="112"/>
        <v>1.1857591212240095</v>
      </c>
      <c r="CP16" s="3">
        <f t="shared" si="113"/>
        <v>0.20041753653444677</v>
      </c>
      <c r="CQ16" s="3">
        <f t="shared" si="113"/>
        <v>2.8192839018889204E-3</v>
      </c>
      <c r="CR16" s="3">
        <f t="shared" si="113"/>
        <v>0.4317617866004963</v>
      </c>
      <c r="CS16" s="3">
        <f t="shared" si="114"/>
        <v>0.54872031054674641</v>
      </c>
      <c r="CT16" s="3">
        <f t="shared" si="115"/>
        <v>2.3742351745111434</v>
      </c>
      <c r="CU16">
        <v>32</v>
      </c>
      <c r="CV16" s="3">
        <f t="shared" si="116"/>
        <v>13.478024562831616</v>
      </c>
      <c r="CW16" s="3"/>
      <c r="CX16" s="3">
        <f t="shared" si="117"/>
        <v>0</v>
      </c>
      <c r="CY16" s="3">
        <f t="shared" si="118"/>
        <v>6.4116791861242042E-2</v>
      </c>
      <c r="CZ16" s="3">
        <f t="shared" si="119"/>
        <v>15.981690561458832</v>
      </c>
      <c r="DA16" s="3">
        <f t="shared" si="120"/>
        <v>2.7012324802334762</v>
      </c>
      <c r="DB16" s="3">
        <f t="shared" si="121"/>
        <v>3.7998377679254632E-2</v>
      </c>
      <c r="DC16" s="3">
        <f t="shared" si="122"/>
        <v>5.8192959650935512</v>
      </c>
      <c r="DD16" s="3">
        <f t="shared" si="123"/>
        <v>7.3956658236736406</v>
      </c>
      <c r="DE16" s="3">
        <f t="shared" si="124"/>
        <v>32</v>
      </c>
      <c r="DF16" s="3"/>
      <c r="DG16" s="3">
        <f t="shared" si="125"/>
        <v>0</v>
      </c>
      <c r="DH16" s="3">
        <f t="shared" si="126"/>
        <v>3.2058395930621021E-2</v>
      </c>
      <c r="DI16" s="3">
        <f t="shared" si="127"/>
        <v>10.654460374305888</v>
      </c>
      <c r="DJ16" s="3">
        <f t="shared" si="128"/>
        <v>2.7012324802334762</v>
      </c>
      <c r="DK16" s="3">
        <f t="shared" si="129"/>
        <v>3.7998377679254632E-2</v>
      </c>
      <c r="DL16" s="3">
        <f t="shared" si="130"/>
        <v>5.8192959650935512</v>
      </c>
      <c r="DM16" s="3">
        <f t="shared" si="131"/>
        <v>4.9304438824490937</v>
      </c>
      <c r="DN16" s="3">
        <f t="shared" si="132"/>
        <v>24.175489475691887</v>
      </c>
      <c r="DO16" s="3">
        <f t="shared" si="133"/>
        <v>0.99274101664546077</v>
      </c>
      <c r="DP16" s="3"/>
      <c r="DQ16" s="3">
        <f t="shared" si="134"/>
        <v>0</v>
      </c>
      <c r="DR16" s="3">
        <f t="shared" si="135"/>
        <v>3.1825684568187414E-2</v>
      </c>
      <c r="DS16" s="3">
        <f t="shared" si="136"/>
        <v>10.577119823797204</v>
      </c>
      <c r="DT16" s="3">
        <f t="shared" si="137"/>
        <v>2.6816242786227207</v>
      </c>
      <c r="DU16" s="3">
        <f t="shared" si="138"/>
        <v>3.7722548088181429E-2</v>
      </c>
      <c r="DV16" s="3">
        <f t="shared" si="139"/>
        <v>5.7770537925477994</v>
      </c>
      <c r="DW16" s="3">
        <f t="shared" si="140"/>
        <v>4.8946538723759057</v>
      </c>
      <c r="DX16" s="3">
        <f t="shared" si="141"/>
        <v>23.999999999999996</v>
      </c>
      <c r="DY16" s="3"/>
      <c r="DZ16" s="3">
        <f t="shared" si="142"/>
        <v>0.3170264024779979</v>
      </c>
      <c r="EA16" s="3">
        <f t="shared" si="143"/>
        <v>0.31636022918216428</v>
      </c>
      <c r="EB16" s="3"/>
      <c r="EC16" s="3">
        <f t="shared" si="144"/>
        <v>2.2170493439322101</v>
      </c>
      <c r="ED16" s="3">
        <f t="shared" si="145"/>
        <v>0.46457493469051059</v>
      </c>
      <c r="EE16" s="3">
        <f t="shared" si="146"/>
        <v>0.82675614238952377</v>
      </c>
      <c r="EF16" s="3">
        <f t="shared" si="147"/>
        <v>0.1732438576104762</v>
      </c>
      <c r="EG16" s="3"/>
      <c r="EH16" s="3">
        <f t="shared" si="17"/>
        <v>0</v>
      </c>
      <c r="EI16" s="3">
        <f t="shared" si="18"/>
        <v>0.19</v>
      </c>
      <c r="EJ16" s="3">
        <f t="shared" si="19"/>
        <v>40.299999999999997</v>
      </c>
      <c r="EK16" s="3">
        <f t="shared" si="20"/>
        <v>2.7723729450603196</v>
      </c>
      <c r="EL16" s="3">
        <f t="shared" si="21"/>
        <v>11.905288450409143</v>
      </c>
      <c r="EM16" s="3">
        <f t="shared" si="22"/>
        <v>0.2</v>
      </c>
      <c r="EN16" s="3">
        <f t="shared" si="23"/>
        <v>17.399999999999999</v>
      </c>
      <c r="EO16" s="3">
        <f t="shared" si="24"/>
        <v>27.8</v>
      </c>
      <c r="EP16" s="3">
        <f t="shared" si="148"/>
        <v>100.56766139546946</v>
      </c>
      <c r="EQ16" s="3"/>
      <c r="ER16" s="3">
        <f t="shared" si="149"/>
        <v>0</v>
      </c>
      <c r="ES16" s="3">
        <f t="shared" si="150"/>
        <v>3.1825684568187414E-2</v>
      </c>
      <c r="ET16" s="3">
        <f t="shared" si="151"/>
        <v>10.577119823797204</v>
      </c>
      <c r="EU16" s="3">
        <f t="shared" si="152"/>
        <v>0.46457493469051059</v>
      </c>
      <c r="EV16" s="3">
        <f t="shared" si="153"/>
        <v>2.2170493439322101</v>
      </c>
      <c r="EW16" s="3">
        <f t="shared" si="154"/>
        <v>3.7722548088181429E-2</v>
      </c>
      <c r="EX16" s="3">
        <f t="shared" si="155"/>
        <v>5.7770537925477994</v>
      </c>
      <c r="EY16" s="3">
        <f t="shared" si="156"/>
        <v>4.8946538723759057</v>
      </c>
      <c r="EZ16" s="3">
        <f t="shared" si="157"/>
        <v>23.999999999999996</v>
      </c>
      <c r="FA16" s="3"/>
      <c r="FB16" s="3">
        <f t="shared" si="158"/>
        <v>0.27733559426009968</v>
      </c>
      <c r="FC16" s="3">
        <f t="shared" si="159"/>
        <v>2.9151905838127639E-2</v>
      </c>
      <c r="FD16" s="3">
        <f t="shared" si="160"/>
        <v>0.66371036859175503</v>
      </c>
      <c r="FE16" s="3"/>
      <c r="FF16" s="3"/>
      <c r="FG16" s="3">
        <f t="shared" si="161"/>
        <v>1.3281577526199715E-3</v>
      </c>
      <c r="FH16" s="3">
        <f t="shared" si="162"/>
        <v>0.44140711770922736</v>
      </c>
      <c r="FI16" s="3">
        <f t="shared" si="163"/>
        <v>1.9387762103282247E-2</v>
      </c>
      <c r="FJ16" s="3">
        <f t="shared" si="164"/>
        <v>9.2522480318552702E-2</v>
      </c>
      <c r="FK16" s="3">
        <f t="shared" si="165"/>
        <v>0.24108951263674147</v>
      </c>
      <c r="FL16" s="3">
        <f t="shared" si="166"/>
        <v>0.20426496947957626</v>
      </c>
      <c r="FM16" s="3">
        <f t="shared" si="167"/>
        <v>2.9952846814889771</v>
      </c>
      <c r="FN16" s="3">
        <f t="shared" si="168"/>
        <v>1.8338263972623069E-2</v>
      </c>
      <c r="FO16" s="3">
        <f t="shared" si="169"/>
        <v>9.3571978449211821E-2</v>
      </c>
      <c r="FP16" s="3"/>
      <c r="FQ16" s="3">
        <f t="shared" si="25"/>
        <v>0</v>
      </c>
      <c r="FR16" s="3">
        <f t="shared" si="26"/>
        <v>3.9782105710234267E-3</v>
      </c>
      <c r="FS16" s="3">
        <f t="shared" si="27"/>
        <v>1.3221399779746505</v>
      </c>
      <c r="FT16" s="3">
        <f t="shared" si="28"/>
        <v>5.8071866836313824E-2</v>
      </c>
      <c r="FU16" s="3">
        <f t="shared" si="29"/>
        <v>0.27713116799152626</v>
      </c>
      <c r="FV16" s="3">
        <f t="shared" si="30"/>
        <v>4.7153185110226786E-3</v>
      </c>
      <c r="FW16" s="3">
        <f t="shared" si="31"/>
        <v>0.72213172406847492</v>
      </c>
      <c r="FX16" s="3">
        <f t="shared" si="32"/>
        <v>0.61183173404698821</v>
      </c>
      <c r="FZ16" s="44">
        <f t="shared" ca="1" si="170"/>
        <v>978.89795905538142</v>
      </c>
      <c r="GA16" s="44">
        <f t="shared" ca="1" si="33"/>
        <v>5.7941353449731636</v>
      </c>
      <c r="GB16" s="68">
        <f t="shared" si="171"/>
        <v>0.91922235050907641</v>
      </c>
      <c r="GC16" s="28">
        <f t="shared" ca="1" si="34"/>
        <v>969.33082192182212</v>
      </c>
      <c r="GD16" s="28"/>
      <c r="GE16" s="28">
        <f t="shared" ca="1" si="35"/>
        <v>978.89795905538142</v>
      </c>
      <c r="GF16" s="28">
        <f t="shared" ca="1" si="36"/>
        <v>939.92203459012524</v>
      </c>
      <c r="GG16" s="28">
        <f t="shared" si="37"/>
        <v>5.3534298024043174</v>
      </c>
      <c r="GH16" s="28">
        <f t="shared" ca="1" si="38"/>
        <v>5.7941353449731636</v>
      </c>
      <c r="GI16" s="28">
        <f t="shared" si="172"/>
        <v>1130.428662558727</v>
      </c>
      <c r="GJ16" s="28">
        <f t="shared" si="173"/>
        <v>1008.0171029512411</v>
      </c>
      <c r="GK16" s="28">
        <f t="shared" ca="1" si="39"/>
        <v>948.62545628780549</v>
      </c>
      <c r="GL16" s="51">
        <f t="shared" si="40"/>
        <v>0.82346366763878953</v>
      </c>
      <c r="GM16" s="52"/>
      <c r="GN16" s="2">
        <f t="shared" si="41"/>
        <v>0.20459594412585894</v>
      </c>
      <c r="GP16" s="2">
        <f t="shared" si="42"/>
        <v>0.89207996098814502</v>
      </c>
      <c r="GQ16" s="2">
        <f t="shared" si="43"/>
        <v>6.2594831169221379E-4</v>
      </c>
      <c r="GR16" s="2">
        <f t="shared" si="44"/>
        <v>2.7461480369945369E-2</v>
      </c>
      <c r="GS16" s="2">
        <f t="shared" si="45"/>
        <v>3.771935685016925E-2</v>
      </c>
      <c r="GT16" s="2">
        <f t="shared" si="46"/>
        <v>9.8678414096916309E-4</v>
      </c>
      <c r="GU16" s="2">
        <f t="shared" si="47"/>
        <v>0.42923353281527576</v>
      </c>
      <c r="GV16" s="2">
        <f t="shared" si="48"/>
        <v>0.40123115551006289</v>
      </c>
      <c r="GW16" s="2">
        <f t="shared" si="49"/>
        <v>4.0336308001594091E-3</v>
      </c>
      <c r="GX16" s="2">
        <f t="shared" si="50"/>
        <v>0</v>
      </c>
      <c r="GY16" s="2">
        <f t="shared" si="51"/>
        <v>5.2632202223447389E-3</v>
      </c>
      <c r="GZ16" s="2">
        <f t="shared" si="174"/>
        <v>1.7986350700087639</v>
      </c>
      <c r="HB16" s="36">
        <f t="shared" si="175"/>
        <v>1.78415992197629</v>
      </c>
      <c r="HC16" s="36">
        <f t="shared" si="175"/>
        <v>1.2518966233844276E-3</v>
      </c>
      <c r="HD16" s="36">
        <f t="shared" si="176"/>
        <v>8.2384441109836115E-2</v>
      </c>
      <c r="HE16" s="36">
        <f t="shared" si="52"/>
        <v>3.771935685016925E-2</v>
      </c>
      <c r="HF16" s="36">
        <f t="shared" si="52"/>
        <v>9.8678414096916309E-4</v>
      </c>
      <c r="HG16" s="36">
        <f t="shared" si="52"/>
        <v>0.42923353281527576</v>
      </c>
      <c r="HH16" s="36">
        <f t="shared" si="52"/>
        <v>0.40123115551006289</v>
      </c>
      <c r="HI16" s="36">
        <f t="shared" si="52"/>
        <v>4.0336308001594091E-3</v>
      </c>
      <c r="HJ16" s="36">
        <f t="shared" si="52"/>
        <v>0</v>
      </c>
      <c r="HK16" s="36">
        <f t="shared" si="177"/>
        <v>1.5789660667034217E-2</v>
      </c>
      <c r="HL16" s="36">
        <f t="shared" si="178"/>
        <v>2.756790380493181</v>
      </c>
      <c r="HM16" s="36">
        <f t="shared" si="179"/>
        <v>2.1764440424834257</v>
      </c>
      <c r="HO16" s="18">
        <f t="shared" si="53"/>
        <v>1.9415621165114951</v>
      </c>
      <c r="HP16" s="18">
        <f t="shared" si="54"/>
        <v>1.3623414738850772E-3</v>
      </c>
      <c r="HQ16" s="18">
        <f t="shared" si="180"/>
        <v>5.8437883488504871E-2</v>
      </c>
      <c r="HR16" s="18">
        <f t="shared" si="181"/>
        <v>6.1098867209381416E-2</v>
      </c>
      <c r="HS16" s="18">
        <f t="shared" si="55"/>
        <v>0.11953675069788629</v>
      </c>
      <c r="HT16" s="18">
        <f t="shared" si="56"/>
        <v>8.2094069502857261E-2</v>
      </c>
      <c r="HU16" s="18">
        <f t="shared" si="57"/>
        <v>2.14768046482946E-3</v>
      </c>
      <c r="HV16" s="18">
        <f t="shared" si="58"/>
        <v>0.93420276532992097</v>
      </c>
      <c r="HW16" s="18">
        <f t="shared" si="59"/>
        <v>0.87325715806861726</v>
      </c>
      <c r="HX16" s="18">
        <f t="shared" si="60"/>
        <v>1.7557943449169198E-2</v>
      </c>
      <c r="HY16" s="18">
        <f t="shared" si="61"/>
        <v>0</v>
      </c>
      <c r="HZ16" s="18">
        <f t="shared" si="62"/>
        <v>2.2910208594400995E-2</v>
      </c>
      <c r="IA16" s="36">
        <f t="shared" si="182"/>
        <v>3.9946310340930613</v>
      </c>
      <c r="IB16" s="36">
        <f t="shared" si="183"/>
        <v>0</v>
      </c>
      <c r="IC16" s="36">
        <f t="shared" si="184"/>
        <v>-1.6128546124383192E-2</v>
      </c>
      <c r="ID16" s="36">
        <f t="shared" si="185"/>
        <v>1.7557943449169198E-2</v>
      </c>
      <c r="IE16" s="36">
        <f t="shared" si="186"/>
        <v>4.3540923760212222E-2</v>
      </c>
      <c r="IF16" s="36">
        <f t="shared" si="187"/>
        <v>7.4484798641463248E-3</v>
      </c>
      <c r="IG16" s="36">
        <f t="shared" si="188"/>
        <v>1.1455104297200498E-2</v>
      </c>
      <c r="IH16" s="36">
        <f t="shared" si="189"/>
        <v>0.81081265014705817</v>
      </c>
      <c r="II16" s="36">
        <f t="shared" si="190"/>
        <v>0.10274209234286008</v>
      </c>
      <c r="IJ16" s="36">
        <f t="shared" si="191"/>
        <v>9.4243668006238249E-2</v>
      </c>
      <c r="IK16" s="36">
        <f t="shared" si="192"/>
        <v>0.74374539658698935</v>
      </c>
      <c r="IL16" s="36">
        <f t="shared" si="193"/>
        <v>0.99355719386064645</v>
      </c>
      <c r="IM16" s="36">
        <f t="shared" si="194"/>
        <v>0.81081265014705817</v>
      </c>
      <c r="IN16" s="36"/>
      <c r="IO16" s="2">
        <f t="shared" si="195"/>
        <v>0.9192223505090763</v>
      </c>
      <c r="IP16" s="36">
        <f t="shared" si="196"/>
        <v>8.2094069502857261E-2</v>
      </c>
      <c r="IQ16" s="53">
        <f t="shared" si="197"/>
        <v>0.26237017445898453</v>
      </c>
      <c r="IR16" s="18">
        <f t="shared" si="198"/>
        <v>0.62326042247267288</v>
      </c>
      <c r="IS16" s="18">
        <f t="shared" si="199"/>
        <v>0.39402119744895325</v>
      </c>
      <c r="IT16" s="18">
        <f t="shared" si="63"/>
        <v>0.84074703565280773</v>
      </c>
      <c r="IU16" s="18">
        <f t="shared" si="64"/>
        <v>7.3881547069524892E-2</v>
      </c>
      <c r="IV16" s="18">
        <f t="shared" si="65"/>
        <v>9.8391003137892244E-2</v>
      </c>
      <c r="IW16" s="18">
        <f t="shared" si="66"/>
        <v>8.6462148794918346E-3</v>
      </c>
      <c r="IX16" s="18">
        <f t="shared" si="67"/>
        <v>8.2721944223089011E-2</v>
      </c>
      <c r="IY16" s="18">
        <f t="shared" si="68"/>
        <v>0.10044983895097236</v>
      </c>
      <c r="IZ16" s="2">
        <f t="shared" si="69"/>
        <v>0.9137162286986783</v>
      </c>
      <c r="JA16" s="2">
        <f t="shared" si="70"/>
        <v>3.755689870153282E-4</v>
      </c>
      <c r="JB16" s="2">
        <f t="shared" si="71"/>
        <v>2.6676866645089791E-2</v>
      </c>
      <c r="JC16" s="2">
        <f t="shared" si="72"/>
        <v>9.2141011936575798E-2</v>
      </c>
      <c r="JD16" s="2">
        <f t="shared" si="73"/>
        <v>1.8325991189427314E-3</v>
      </c>
      <c r="JE16" s="2">
        <f t="shared" si="74"/>
        <v>0.86342930300413845</v>
      </c>
      <c r="JF16" s="2">
        <f t="shared" si="75"/>
        <v>1.2482747060313068E-2</v>
      </c>
      <c r="JG16" s="2">
        <f t="shared" si="76"/>
        <v>3.2269046401275274E-4</v>
      </c>
      <c r="JH16" s="2">
        <f t="shared" si="77"/>
        <v>0</v>
      </c>
      <c r="JI16" s="2">
        <f t="shared" si="78"/>
        <v>3.2895126389654613E-3</v>
      </c>
      <c r="JJ16" s="2">
        <f t="shared" si="200"/>
        <v>1.9142665285537317</v>
      </c>
      <c r="JL16" s="36">
        <f t="shared" si="201"/>
        <v>1.8274324573973566</v>
      </c>
      <c r="JM16" s="36">
        <f t="shared" si="201"/>
        <v>7.511379740306564E-4</v>
      </c>
      <c r="JN16" s="36">
        <f t="shared" si="202"/>
        <v>8.003059993526937E-2</v>
      </c>
      <c r="JO16" s="36">
        <f t="shared" si="79"/>
        <v>9.2141011936575798E-2</v>
      </c>
      <c r="JP16" s="36">
        <f t="shared" si="79"/>
        <v>1.8325991189427314E-3</v>
      </c>
      <c r="JQ16" s="36">
        <f t="shared" si="79"/>
        <v>0.86342930300413845</v>
      </c>
      <c r="JR16" s="36">
        <f t="shared" si="79"/>
        <v>1.2482747060313068E-2</v>
      </c>
      <c r="JS16" s="36">
        <f t="shared" si="79"/>
        <v>3.2269046401275274E-4</v>
      </c>
      <c r="JT16" s="36">
        <f t="shared" si="79"/>
        <v>0</v>
      </c>
      <c r="JU16" s="36">
        <f t="shared" si="203"/>
        <v>9.8685379168963836E-3</v>
      </c>
      <c r="JV16" s="36">
        <f t="shared" si="204"/>
        <v>2.8882910848075358</v>
      </c>
      <c r="JW16" s="36">
        <f t="shared" si="205"/>
        <v>2.0773529481014257</v>
      </c>
      <c r="JY16" s="18">
        <f t="shared" si="80"/>
        <v>1.8981111014153158</v>
      </c>
      <c r="JZ16" s="18">
        <f t="shared" si="81"/>
        <v>7.801893423917581E-4</v>
      </c>
      <c r="KA16" s="18">
        <f t="shared" si="206"/>
        <v>0.1018888985846842</v>
      </c>
      <c r="KB16" s="18">
        <f t="shared" si="207"/>
        <v>8.9456365578875346E-3</v>
      </c>
      <c r="KC16" s="18">
        <f t="shared" si="82"/>
        <v>0.11083453514257173</v>
      </c>
      <c r="KD16" s="18">
        <f t="shared" si="83"/>
        <v>0.19140940278749438</v>
      </c>
      <c r="KE16" s="18">
        <f t="shared" si="84"/>
        <v>3.8069551824237583E-3</v>
      </c>
      <c r="KF16" s="18">
        <f t="shared" si="85"/>
        <v>1.7936474080728062</v>
      </c>
      <c r="KG16" s="18">
        <f t="shared" si="86"/>
        <v>2.5931071406145756E-2</v>
      </c>
      <c r="KH16" s="18">
        <f t="shared" si="87"/>
        <v>1.3406839734822179E-3</v>
      </c>
      <c r="KI16" s="18">
        <f t="shared" si="88"/>
        <v>0</v>
      </c>
      <c r="KJ16" s="18">
        <f t="shared" si="89"/>
        <v>1.3666957556743603E-2</v>
      </c>
      <c r="KK16" s="36">
        <f t="shared" si="208"/>
        <v>4.0395283048793749</v>
      </c>
      <c r="KL16" s="36">
        <f t="shared" si="209"/>
        <v>7.9056609758751756E-2</v>
      </c>
      <c r="KM16" s="36">
        <f t="shared" si="210"/>
        <v>0.11742451661485909</v>
      </c>
      <c r="KN16" s="36">
        <f t="shared" si="211"/>
        <v>1.3406839734822179E-3</v>
      </c>
      <c r="KO16" s="36">
        <f t="shared" si="212"/>
        <v>7.801893423917581E-4</v>
      </c>
      <c r="KP16" s="36">
        <f t="shared" si="213"/>
        <v>1.3666957556743603E-2</v>
      </c>
      <c r="KQ16" s="36">
        <f t="shared" si="214"/>
        <v>-6.0620049723382865E-3</v>
      </c>
      <c r="KR16" s="36">
        <f t="shared" si="215"/>
        <v>2.5931071406145756E-2</v>
      </c>
      <c r="KS16" s="36">
        <f t="shared" si="216"/>
        <v>0.98410725513326258</v>
      </c>
      <c r="KT16" s="36">
        <f t="shared" si="217"/>
        <v>0.88751248706569374</v>
      </c>
      <c r="KU16" s="36">
        <f t="shared" si="218"/>
        <v>2.3385814458638517E-2</v>
      </c>
      <c r="KV16" s="53">
        <f t="shared" si="219"/>
        <v>0.7743669705148406</v>
      </c>
      <c r="KW16" s="36">
        <f t="shared" si="220"/>
        <v>2.5931071406145759E-2</v>
      </c>
      <c r="KX16" s="36">
        <f t="shared" si="221"/>
        <v>5.8946894635063384E-2</v>
      </c>
      <c r="KY16" s="36">
        <f t="shared" si="222"/>
        <v>0.78699996822624074</v>
      </c>
      <c r="KZ16" s="18">
        <f t="shared" si="223"/>
        <v>0.94105310536493658</v>
      </c>
      <c r="LA16" s="18">
        <f t="shared" si="224"/>
        <v>0.84464278573647844</v>
      </c>
      <c r="LB16" s="18">
        <f t="shared" si="225"/>
        <v>5.2907821047746974E-2</v>
      </c>
      <c r="LC16" s="18">
        <f t="shared" si="226"/>
        <v>0.91180638827977967</v>
      </c>
      <c r="LD16" s="18">
        <f t="shared" si="227"/>
        <v>5.7114901158168516E-2</v>
      </c>
      <c r="LE16" s="54">
        <f t="shared" si="228"/>
        <v>0.77015068784895024</v>
      </c>
      <c r="LF16" s="36">
        <f t="shared" si="229"/>
        <v>1.0197641524396877</v>
      </c>
      <c r="LH16" s="2" t="str">
        <f t="shared" si="90"/>
        <v xml:space="preserve">A2-1 </v>
      </c>
      <c r="LI16" s="2">
        <f t="shared" si="230"/>
        <v>15</v>
      </c>
      <c r="LK16" s="2">
        <f t="shared" si="91"/>
        <v>0.12951754483933936</v>
      </c>
      <c r="LL16" s="2">
        <f t="shared" si="231"/>
        <v>1072.143445447442</v>
      </c>
      <c r="LN16" s="2">
        <f t="shared" si="92"/>
        <v>1098.1271432868798</v>
      </c>
      <c r="LO16" s="2">
        <f t="shared" si="93"/>
        <v>971.65970907578537</v>
      </c>
      <c r="LP16" s="2">
        <f t="shared" si="94"/>
        <v>1293.086502349383</v>
      </c>
      <c r="LQ16" s="2">
        <f t="shared" si="95"/>
        <v>1124.6198053719629</v>
      </c>
      <c r="LR16" s="2">
        <f t="shared" si="232"/>
        <v>0.10741007640223425</v>
      </c>
      <c r="LS16" s="2">
        <f t="shared" si="233"/>
        <v>940.29158062550266</v>
      </c>
      <c r="LT16" s="2">
        <f t="shared" si="96"/>
        <v>973.85803760200713</v>
      </c>
      <c r="LV16" s="2">
        <f t="shared" si="234"/>
        <v>1130.428662558727</v>
      </c>
      <c r="LW16" s="2">
        <f t="shared" si="235"/>
        <v>394.79286081207249</v>
      </c>
      <c r="LY16" s="2">
        <f t="shared" si="97"/>
        <v>37.832413689583134</v>
      </c>
      <c r="LZ16" s="2">
        <f t="shared" si="98"/>
        <v>29.631500875156874</v>
      </c>
      <c r="MB16" s="2">
        <f t="shared" si="236"/>
        <v>25.89565</v>
      </c>
      <c r="MC16" s="2">
        <f t="shared" si="237"/>
        <v>31.143099999999997</v>
      </c>
      <c r="MD16" s="2">
        <f t="shared" si="238"/>
        <v>2.3649999999999984</v>
      </c>
      <c r="ME16" s="2">
        <f t="shared" si="99"/>
        <v>457.46318812231755</v>
      </c>
      <c r="MF16" s="2">
        <f t="shared" si="100"/>
        <v>1065.2896747395735</v>
      </c>
      <c r="MH16" s="2">
        <f t="shared" si="239"/>
        <v>968.08949841852802</v>
      </c>
      <c r="MI16" s="2">
        <f>-273.15+((35000+61.5*LI16)/((LN(KH16/HX16))^2+19.8))</f>
        <v>1086.6821184343762</v>
      </c>
      <c r="MK16" s="2">
        <f t="shared" si="240"/>
        <v>1008.0171029512411</v>
      </c>
      <c r="MM16" s="2">
        <f t="shared" si="101"/>
        <v>5.3534298024043174</v>
      </c>
      <c r="MN16" s="2">
        <f t="shared" si="241"/>
        <v>-9.6465701975956826</v>
      </c>
      <c r="MO16" s="3">
        <f t="shared" si="102"/>
        <v>15</v>
      </c>
    </row>
    <row r="17" spans="1:353" ht="15" x14ac:dyDescent="0.2">
      <c r="A17" s="50">
        <v>1.5</v>
      </c>
      <c r="B17" s="73" t="s">
        <v>198</v>
      </c>
      <c r="C17" s="3" t="s">
        <v>212</v>
      </c>
      <c r="E17" s="69">
        <v>53.3</v>
      </c>
      <c r="F17" s="69">
        <v>0.41</v>
      </c>
      <c r="G17" s="69">
        <v>5.81</v>
      </c>
      <c r="H17" s="69">
        <v>3.38</v>
      </c>
      <c r="I17" s="69">
        <v>0.08</v>
      </c>
      <c r="J17" s="69">
        <v>18.100000000000001</v>
      </c>
      <c r="K17" s="69">
        <v>17</v>
      </c>
      <c r="L17" s="69">
        <v>1.42</v>
      </c>
      <c r="M17" s="69"/>
      <c r="N17" s="69">
        <v>0.81</v>
      </c>
      <c r="P17" s="69">
        <v>55.9</v>
      </c>
      <c r="Q17" s="69">
        <v>0.1</v>
      </c>
      <c r="R17" s="69">
        <v>4.08</v>
      </c>
      <c r="S17" s="69">
        <v>6.49</v>
      </c>
      <c r="T17" s="69">
        <v>0.14000000000000001</v>
      </c>
      <c r="U17" s="69">
        <v>33</v>
      </c>
      <c r="V17" s="69">
        <v>0.43</v>
      </c>
      <c r="W17" s="69">
        <v>0.06</v>
      </c>
      <c r="X17" s="69"/>
      <c r="Y17" s="69">
        <v>0.34</v>
      </c>
      <c r="Z17" s="3"/>
      <c r="AA17" s="69">
        <v>41.3</v>
      </c>
      <c r="AB17" s="69">
        <v>0.02</v>
      </c>
      <c r="AC17" s="69">
        <v>3.0000000000000001E-3</v>
      </c>
      <c r="AD17" s="69">
        <v>9.98</v>
      </c>
      <c r="AE17" s="69">
        <v>0.11</v>
      </c>
      <c r="AF17" s="69">
        <v>49.2</v>
      </c>
      <c r="AG17" s="69">
        <v>0.04</v>
      </c>
      <c r="AH17" s="69"/>
      <c r="AI17" s="69"/>
      <c r="AJ17" s="69">
        <v>0.03</v>
      </c>
      <c r="AK17" s="3">
        <f t="shared" si="0"/>
        <v>0.10216469438278851</v>
      </c>
      <c r="AL17" s="3">
        <f t="shared" si="1"/>
        <v>0.89783530561721148</v>
      </c>
      <c r="AM17" s="69"/>
      <c r="AN17" s="69">
        <v>0.1</v>
      </c>
      <c r="AO17" s="69">
        <v>56.5</v>
      </c>
      <c r="AP17" s="69">
        <v>11.8</v>
      </c>
      <c r="AQ17" s="69">
        <v>0.12</v>
      </c>
      <c r="AR17" s="69">
        <v>19.8</v>
      </c>
      <c r="AS17" s="69"/>
      <c r="AT17" s="69"/>
      <c r="AU17" s="69"/>
      <c r="AV17" s="69">
        <v>11.2</v>
      </c>
      <c r="AW17" s="3"/>
      <c r="AX17" s="63">
        <f t="shared" si="2"/>
        <v>-1.5620925627253288</v>
      </c>
      <c r="AY17" s="63">
        <f t="shared" ca="1" si="3"/>
        <v>-1.5503849439984629</v>
      </c>
      <c r="AZ17" s="61"/>
      <c r="BA17" s="63">
        <f t="shared" si="103"/>
        <v>-2.4029816880045156</v>
      </c>
      <c r="BB17" s="63">
        <f t="shared" ca="1" si="104"/>
        <v>-2.3676900608572899</v>
      </c>
      <c r="BC17" s="3"/>
      <c r="BD17" s="64">
        <f t="shared" si="105"/>
        <v>-2.7896429102150697</v>
      </c>
      <c r="BE17" s="64">
        <f t="shared" ca="1" si="106"/>
        <v>-2.7695908638809748</v>
      </c>
      <c r="BF17" s="64">
        <f t="shared" si="4"/>
        <v>-1.2045388469667939</v>
      </c>
      <c r="BG17" s="64">
        <f t="shared" ca="1" si="5"/>
        <v>-1.1861742506397768</v>
      </c>
      <c r="BH17" s="3"/>
      <c r="BI17" s="64">
        <f t="shared" si="6"/>
        <v>-7.4203202357994593</v>
      </c>
      <c r="BJ17" s="64">
        <f t="shared" ca="1" si="7"/>
        <v>-7.6287489410037388</v>
      </c>
      <c r="BK17" s="61"/>
      <c r="BL17" s="61"/>
      <c r="BM17" s="64">
        <f t="shared" si="107"/>
        <v>-8.9824127985247877</v>
      </c>
      <c r="BN17" s="64">
        <f t="shared" ca="1" si="108"/>
        <v>-9.1791338850022015</v>
      </c>
      <c r="BO17" s="76"/>
      <c r="BP17" s="64">
        <f t="shared" si="109"/>
        <v>-9.8233019238039745</v>
      </c>
      <c r="BQ17" s="64">
        <f t="shared" ca="1" si="110"/>
        <v>-9.9964390018610292</v>
      </c>
      <c r="BR17" s="61"/>
      <c r="BS17" s="64">
        <f t="shared" si="8"/>
        <v>-8.6248590827662532</v>
      </c>
      <c r="BT17" s="64">
        <f t="shared" ca="1" si="9"/>
        <v>-8.8149231916435156</v>
      </c>
      <c r="BU17" s="3"/>
      <c r="BV17">
        <v>60.08</v>
      </c>
      <c r="BW17">
        <v>79.88</v>
      </c>
      <c r="BX17">
        <v>101.96</v>
      </c>
      <c r="BY17">
        <v>159.69</v>
      </c>
      <c r="BZ17">
        <v>71.849999999999994</v>
      </c>
      <c r="CA17">
        <v>70.94</v>
      </c>
      <c r="CB17">
        <v>40.299999999999997</v>
      </c>
      <c r="CC17">
        <v>151.99</v>
      </c>
      <c r="CD17" s="3"/>
      <c r="CE17" s="3">
        <f t="shared" si="10"/>
        <v>0</v>
      </c>
      <c r="CF17" s="3">
        <f t="shared" si="11"/>
        <v>1.2518778167250877E-3</v>
      </c>
      <c r="CG17" s="3">
        <f t="shared" si="12"/>
        <v>0.55413887799136918</v>
      </c>
      <c r="CH17" s="3">
        <f t="shared" si="13"/>
        <v>0.1642310368823939</v>
      </c>
      <c r="CI17" s="3">
        <f t="shared" si="14"/>
        <v>1.6915703411333521E-3</v>
      </c>
      <c r="CJ17" s="3">
        <f t="shared" si="15"/>
        <v>0.49131513647642683</v>
      </c>
      <c r="CK17" s="3">
        <f t="shared" si="16"/>
        <v>7.3689058490690171E-2</v>
      </c>
      <c r="CL17" s="3"/>
      <c r="CM17" s="3">
        <f t="shared" si="111"/>
        <v>0</v>
      </c>
      <c r="CN17" s="3">
        <f t="shared" si="111"/>
        <v>2.5037556334501754E-3</v>
      </c>
      <c r="CO17" s="3">
        <f t="shared" si="112"/>
        <v>1.6624166339741075</v>
      </c>
      <c r="CP17" s="3">
        <f t="shared" si="113"/>
        <v>0.1642310368823939</v>
      </c>
      <c r="CQ17" s="3">
        <f t="shared" si="113"/>
        <v>1.6915703411333521E-3</v>
      </c>
      <c r="CR17" s="3">
        <f t="shared" si="113"/>
        <v>0.49131513647642683</v>
      </c>
      <c r="CS17" s="3">
        <f t="shared" si="114"/>
        <v>0.2210671754720705</v>
      </c>
      <c r="CT17" s="3">
        <f t="shared" si="115"/>
        <v>2.543225308779582</v>
      </c>
      <c r="CU17">
        <v>32</v>
      </c>
      <c r="CV17" s="3">
        <f t="shared" si="116"/>
        <v>12.582447921358508</v>
      </c>
      <c r="CW17" s="3"/>
      <c r="CX17" s="3">
        <f t="shared" si="117"/>
        <v>0</v>
      </c>
      <c r="CY17" s="3">
        <f t="shared" si="118"/>
        <v>3.1503374865694815E-2</v>
      </c>
      <c r="CZ17" s="3">
        <f t="shared" si="119"/>
        <v>20.917270720579317</v>
      </c>
      <c r="DA17" s="3">
        <f t="shared" si="120"/>
        <v>2.0664284686434296</v>
      </c>
      <c r="DB17" s="3">
        <f t="shared" si="121"/>
        <v>2.1284095722625049E-2</v>
      </c>
      <c r="DC17" s="3">
        <f t="shared" si="122"/>
        <v>6.1819471176897887</v>
      </c>
      <c r="DD17" s="3">
        <f t="shared" si="123"/>
        <v>2.78156622249915</v>
      </c>
      <c r="DE17" s="3">
        <f t="shared" si="124"/>
        <v>32.000000000000007</v>
      </c>
      <c r="DF17" s="3"/>
      <c r="DG17" s="3">
        <f t="shared" si="125"/>
        <v>0</v>
      </c>
      <c r="DH17" s="3">
        <f t="shared" si="126"/>
        <v>1.5751687432847408E-2</v>
      </c>
      <c r="DI17" s="3">
        <f t="shared" si="127"/>
        <v>13.944847147052878</v>
      </c>
      <c r="DJ17" s="3">
        <f t="shared" si="128"/>
        <v>2.0664284686434296</v>
      </c>
      <c r="DK17" s="3">
        <f t="shared" si="129"/>
        <v>2.1284095722625049E-2</v>
      </c>
      <c r="DL17" s="3">
        <f t="shared" si="130"/>
        <v>6.1819471176897887</v>
      </c>
      <c r="DM17" s="3">
        <f t="shared" si="131"/>
        <v>1.8543774816660998</v>
      </c>
      <c r="DN17" s="3">
        <f t="shared" si="132"/>
        <v>24.084635998207666</v>
      </c>
      <c r="DO17" s="3">
        <f t="shared" si="133"/>
        <v>0.99648589257425502</v>
      </c>
      <c r="DP17" s="3"/>
      <c r="DQ17" s="3">
        <f t="shared" si="134"/>
        <v>0</v>
      </c>
      <c r="DR17" s="3">
        <f t="shared" si="135"/>
        <v>1.5696334311071626E-2</v>
      </c>
      <c r="DS17" s="3">
        <f t="shared" si="136"/>
        <v>13.89584345614254</v>
      </c>
      <c r="DT17" s="3">
        <f t="shared" si="137"/>
        <v>2.0591668170169988</v>
      </c>
      <c r="DU17" s="3">
        <f t="shared" si="138"/>
        <v>2.1209301123795907E-2</v>
      </c>
      <c r="DV17" s="3">
        <f t="shared" si="139"/>
        <v>6.1602230914179525</v>
      </c>
      <c r="DW17" s="3">
        <f t="shared" si="140"/>
        <v>1.8478609999876427</v>
      </c>
      <c r="DX17" s="3">
        <f t="shared" si="141"/>
        <v>24</v>
      </c>
      <c r="DY17" s="3"/>
      <c r="DZ17" s="3">
        <f t="shared" si="142"/>
        <v>0.25052550614539265</v>
      </c>
      <c r="EA17" s="3">
        <f t="shared" si="143"/>
        <v>0.11737142329727453</v>
      </c>
      <c r="EB17" s="3"/>
      <c r="EC17" s="3">
        <f t="shared" si="144"/>
        <v>1.8342639417693198</v>
      </c>
      <c r="ED17" s="3">
        <f t="shared" si="145"/>
        <v>0.22490287524767894</v>
      </c>
      <c r="EE17" s="3">
        <f t="shared" si="146"/>
        <v>0.89077967195805763</v>
      </c>
      <c r="EF17" s="3">
        <f t="shared" si="147"/>
        <v>0.10922032804194237</v>
      </c>
      <c r="EG17" s="3"/>
      <c r="EH17" s="3">
        <f t="shared" si="17"/>
        <v>0</v>
      </c>
      <c r="EI17" s="3">
        <f t="shared" si="18"/>
        <v>0.1</v>
      </c>
      <c r="EJ17" s="3">
        <f t="shared" si="19"/>
        <v>56.5</v>
      </c>
      <c r="EK17" s="3">
        <f t="shared" si="20"/>
        <v>1.4322432965255245</v>
      </c>
      <c r="EL17" s="3">
        <f t="shared" si="21"/>
        <v>10.511200129105081</v>
      </c>
      <c r="EM17" s="3">
        <f t="shared" si="22"/>
        <v>0.12</v>
      </c>
      <c r="EN17" s="3">
        <f t="shared" si="23"/>
        <v>19.8</v>
      </c>
      <c r="EO17" s="3">
        <f t="shared" si="24"/>
        <v>11.2</v>
      </c>
      <c r="EP17" s="3">
        <f t="shared" si="148"/>
        <v>99.663443425630618</v>
      </c>
      <c r="EQ17" s="3"/>
      <c r="ER17" s="3">
        <f t="shared" si="149"/>
        <v>0</v>
      </c>
      <c r="ES17" s="3">
        <f t="shared" si="150"/>
        <v>1.5696334311071626E-2</v>
      </c>
      <c r="ET17" s="3">
        <f t="shared" si="151"/>
        <v>13.89584345614254</v>
      </c>
      <c r="EU17" s="3">
        <f t="shared" si="152"/>
        <v>0.22490287524767894</v>
      </c>
      <c r="EV17" s="3">
        <f t="shared" si="153"/>
        <v>1.8342639417693198</v>
      </c>
      <c r="EW17" s="3">
        <f t="shared" si="154"/>
        <v>2.1209301123795907E-2</v>
      </c>
      <c r="EX17" s="3">
        <f t="shared" si="155"/>
        <v>6.1602230914179525</v>
      </c>
      <c r="EY17" s="3">
        <f t="shared" si="156"/>
        <v>1.8478609999876427</v>
      </c>
      <c r="EZ17" s="3">
        <f t="shared" si="157"/>
        <v>24</v>
      </c>
      <c r="FA17" s="3"/>
      <c r="FB17" s="3">
        <f t="shared" si="158"/>
        <v>0.22944110537108825</v>
      </c>
      <c r="FC17" s="3">
        <f t="shared" si="159"/>
        <v>1.4084063223581881E-2</v>
      </c>
      <c r="FD17" s="3">
        <f t="shared" si="160"/>
        <v>0.87019758002550429</v>
      </c>
      <c r="FE17" s="3"/>
      <c r="FF17" s="3"/>
      <c r="FG17" s="3">
        <f t="shared" si="161"/>
        <v>6.5459240660569482E-4</v>
      </c>
      <c r="FH17" s="3">
        <f t="shared" si="162"/>
        <v>0.57950559853686801</v>
      </c>
      <c r="FI17" s="3">
        <f t="shared" si="163"/>
        <v>9.3792417671096015E-3</v>
      </c>
      <c r="FJ17" s="3">
        <f t="shared" si="164"/>
        <v>7.649526470303962E-2</v>
      </c>
      <c r="FK17" s="3">
        <f t="shared" si="165"/>
        <v>0.25690299268122219</v>
      </c>
      <c r="FL17" s="3">
        <f t="shared" si="166"/>
        <v>7.7062309905154849E-2</v>
      </c>
      <c r="FM17" s="3">
        <f t="shared" si="167"/>
        <v>2.9973488373595258</v>
      </c>
      <c r="FN17" s="3">
        <f t="shared" si="168"/>
        <v>8.7895734114323849E-3</v>
      </c>
      <c r="FO17" s="3">
        <f t="shared" si="169"/>
        <v>7.7084933058716817E-2</v>
      </c>
      <c r="FP17" s="3"/>
      <c r="FQ17" s="3">
        <f t="shared" si="25"/>
        <v>0</v>
      </c>
      <c r="FR17" s="3">
        <f t="shared" si="26"/>
        <v>1.9620417888839533E-3</v>
      </c>
      <c r="FS17" s="3">
        <f t="shared" si="27"/>
        <v>1.7369804320178175</v>
      </c>
      <c r="FT17" s="3">
        <f t="shared" si="28"/>
        <v>2.8112859405959867E-2</v>
      </c>
      <c r="FU17" s="3">
        <f t="shared" si="29"/>
        <v>0.22928299272116498</v>
      </c>
      <c r="FV17" s="3">
        <f t="shared" si="30"/>
        <v>2.6511626404744884E-3</v>
      </c>
      <c r="FW17" s="3">
        <f t="shared" si="31"/>
        <v>0.77002788642724407</v>
      </c>
      <c r="FX17" s="3">
        <f t="shared" si="32"/>
        <v>0.23098262499845534</v>
      </c>
      <c r="FZ17" s="44">
        <f t="shared" ca="1" si="170"/>
        <v>974.38299335414604</v>
      </c>
      <c r="GA17" s="44">
        <f t="shared" ca="1" si="33"/>
        <v>-15.045721794247804</v>
      </c>
      <c r="GB17" s="68">
        <f t="shared" si="171"/>
        <v>0.90517593419872855</v>
      </c>
      <c r="GC17" s="28">
        <f t="shared" ca="1" si="34"/>
        <v>1159.6763092113788</v>
      </c>
      <c r="GD17" s="28"/>
      <c r="GE17" s="28">
        <f t="shared" ca="1" si="35"/>
        <v>974.38299335414604</v>
      </c>
      <c r="GF17" s="28">
        <f t="shared" ca="1" si="36"/>
        <v>1044.7624873087918</v>
      </c>
      <c r="GG17" s="28">
        <f t="shared" si="37"/>
        <v>26.59853216225158</v>
      </c>
      <c r="GH17" s="28">
        <f t="shared" ca="1" si="38"/>
        <v>-15.045721794247804</v>
      </c>
      <c r="GI17" s="28">
        <f t="shared" si="172"/>
        <v>1231.0020806522225</v>
      </c>
      <c r="GJ17" s="28">
        <f t="shared" si="173"/>
        <v>1178.1619924446818</v>
      </c>
      <c r="GK17" s="28">
        <f t="shared" ca="1" si="39"/>
        <v>890.8703047623103</v>
      </c>
      <c r="GL17" s="51">
        <f t="shared" si="40"/>
        <v>0.94952710927989514</v>
      </c>
      <c r="GM17" s="52"/>
      <c r="GN17" s="2">
        <f t="shared" si="41"/>
        <v>4.5286434395310805E-2</v>
      </c>
      <c r="GP17" s="2">
        <f t="shared" si="42"/>
        <v>0.88708697613186804</v>
      </c>
      <c r="GQ17" s="2">
        <f t="shared" si="43"/>
        <v>5.1327761558761517E-3</v>
      </c>
      <c r="GR17" s="2">
        <f t="shared" si="44"/>
        <v>5.6982571767636644E-2</v>
      </c>
      <c r="GS17" s="2">
        <f t="shared" si="45"/>
        <v>4.7044806698735078E-2</v>
      </c>
      <c r="GT17" s="2">
        <f t="shared" si="46"/>
        <v>1.1277533039647577E-3</v>
      </c>
      <c r="GU17" s="2">
        <f t="shared" si="47"/>
        <v>0.44908248230962378</v>
      </c>
      <c r="GV17" s="2">
        <f t="shared" si="48"/>
        <v>0.30315242860760305</v>
      </c>
      <c r="GW17" s="2">
        <f t="shared" si="49"/>
        <v>2.2911022944905442E-2</v>
      </c>
      <c r="GX17" s="2">
        <f t="shared" si="50"/>
        <v>0</v>
      </c>
      <c r="GY17" s="2">
        <f t="shared" si="51"/>
        <v>5.3290104751240481E-3</v>
      </c>
      <c r="GZ17" s="2">
        <f t="shared" si="174"/>
        <v>1.777849828395337</v>
      </c>
      <c r="HB17" s="36">
        <f t="shared" si="175"/>
        <v>1.7741739522637361</v>
      </c>
      <c r="HC17" s="36">
        <f t="shared" si="175"/>
        <v>1.0265552311752303E-2</v>
      </c>
      <c r="HD17" s="36">
        <f t="shared" si="176"/>
        <v>0.17094771530290992</v>
      </c>
      <c r="HE17" s="36">
        <f t="shared" si="52"/>
        <v>4.7044806698735078E-2</v>
      </c>
      <c r="HF17" s="36">
        <f t="shared" si="52"/>
        <v>1.1277533039647577E-3</v>
      </c>
      <c r="HG17" s="36">
        <f t="shared" si="52"/>
        <v>0.44908248230962378</v>
      </c>
      <c r="HH17" s="36">
        <f t="shared" si="52"/>
        <v>0.30315242860760305</v>
      </c>
      <c r="HI17" s="36">
        <f t="shared" si="52"/>
        <v>2.2911022944905442E-2</v>
      </c>
      <c r="HJ17" s="36">
        <f t="shared" si="52"/>
        <v>0</v>
      </c>
      <c r="HK17" s="36">
        <f t="shared" si="177"/>
        <v>1.5987031425372146E-2</v>
      </c>
      <c r="HL17" s="36">
        <f t="shared" si="178"/>
        <v>2.7946927451686032</v>
      </c>
      <c r="HM17" s="36">
        <f t="shared" si="179"/>
        <v>2.1469265307868475</v>
      </c>
      <c r="HO17" s="18">
        <f t="shared" si="53"/>
        <v>1.9045105641729865</v>
      </c>
      <c r="HP17" s="18">
        <f t="shared" si="54"/>
        <v>1.1019693305640638E-2</v>
      </c>
      <c r="HQ17" s="18">
        <f t="shared" si="180"/>
        <v>9.5489435827013525E-2</v>
      </c>
      <c r="HR17" s="18">
        <f t="shared" si="181"/>
        <v>0.14918535441379588</v>
      </c>
      <c r="HS17" s="18">
        <f t="shared" si="55"/>
        <v>0.2446747902408094</v>
      </c>
      <c r="HT17" s="18">
        <f t="shared" si="56"/>
        <v>0.10100174363725314</v>
      </c>
      <c r="HU17" s="18">
        <f t="shared" si="57"/>
        <v>2.4212034884644623E-3</v>
      </c>
      <c r="HV17" s="18">
        <f t="shared" si="58"/>
        <v>0.96414709578214641</v>
      </c>
      <c r="HW17" s="18">
        <f t="shared" si="59"/>
        <v>0.6508459918501287</v>
      </c>
      <c r="HX17" s="18">
        <f t="shared" si="60"/>
        <v>9.83765660157674E-2</v>
      </c>
      <c r="HY17" s="18">
        <f t="shared" si="61"/>
        <v>0</v>
      </c>
      <c r="HZ17" s="18">
        <f t="shared" si="62"/>
        <v>2.2881987943769683E-2</v>
      </c>
      <c r="IA17" s="36">
        <f t="shared" si="182"/>
        <v>3.9998796364369662</v>
      </c>
      <c r="IB17" s="36">
        <f t="shared" si="183"/>
        <v>0</v>
      </c>
      <c r="IC17" s="36">
        <f t="shared" si="184"/>
        <v>-3.6110155496871243E-4</v>
      </c>
      <c r="ID17" s="36">
        <f t="shared" si="185"/>
        <v>9.83765660157674E-2</v>
      </c>
      <c r="IE17" s="36">
        <f t="shared" si="186"/>
        <v>5.0808788398028479E-2</v>
      </c>
      <c r="IF17" s="36">
        <f t="shared" si="187"/>
        <v>2.2340323714492523E-2</v>
      </c>
      <c r="IG17" s="36">
        <f t="shared" si="188"/>
        <v>1.1440993971884842E-2</v>
      </c>
      <c r="IH17" s="36">
        <f t="shared" si="189"/>
        <v>0.56625588576572283</v>
      </c>
      <c r="II17" s="36">
        <f t="shared" si="190"/>
        <v>0.24944647682683835</v>
      </c>
      <c r="IJ17" s="36">
        <f t="shared" si="191"/>
        <v>0.22528085888453611</v>
      </c>
      <c r="IK17" s="36">
        <f t="shared" si="192"/>
        <v>0.51139873337349417</v>
      </c>
      <c r="IL17" s="36">
        <f t="shared" si="193"/>
        <v>0.99866903469273449</v>
      </c>
      <c r="IM17" s="36">
        <f t="shared" si="194"/>
        <v>0.56625588576572283</v>
      </c>
      <c r="IN17" s="36"/>
      <c r="IO17" s="2">
        <f t="shared" si="195"/>
        <v>0.90517593419872855</v>
      </c>
      <c r="IP17" s="36">
        <f t="shared" si="196"/>
        <v>0.10100174363725314</v>
      </c>
      <c r="IQ17" s="53">
        <f t="shared" si="197"/>
        <v>0.25286001660713137</v>
      </c>
      <c r="IR17" s="18">
        <f t="shared" si="198"/>
        <v>0.50680328424478416</v>
      </c>
      <c r="IS17" s="18">
        <f t="shared" si="199"/>
        <v>0.38077703214367187</v>
      </c>
      <c r="IT17" s="18">
        <f t="shared" si="63"/>
        <v>0.73944995565260985</v>
      </c>
      <c r="IU17" s="18">
        <f t="shared" si="64"/>
        <v>7.7463008684183848E-2</v>
      </c>
      <c r="IV17" s="18">
        <f t="shared" si="65"/>
        <v>0.22480609033014906</v>
      </c>
      <c r="IW17" s="18">
        <f t="shared" si="66"/>
        <v>2.3550148315490391E-2</v>
      </c>
      <c r="IX17" s="18">
        <f t="shared" si="67"/>
        <v>0.16623285352506534</v>
      </c>
      <c r="IY17" s="18">
        <f t="shared" si="68"/>
        <v>0.20489352810903314</v>
      </c>
      <c r="IZ17" s="2">
        <f t="shared" si="69"/>
        <v>0.93035951155293484</v>
      </c>
      <c r="JA17" s="2">
        <f t="shared" si="70"/>
        <v>1.2518966233844276E-3</v>
      </c>
      <c r="JB17" s="2">
        <f t="shared" si="71"/>
        <v>4.0015299967634685E-2</v>
      </c>
      <c r="JC17" s="2">
        <f t="shared" si="72"/>
        <v>9.0331596294316766E-2</v>
      </c>
      <c r="JD17" s="2">
        <f t="shared" si="73"/>
        <v>1.9735682819383262E-3</v>
      </c>
      <c r="JE17" s="2">
        <f t="shared" si="74"/>
        <v>0.81876916664185551</v>
      </c>
      <c r="JF17" s="2">
        <f t="shared" si="75"/>
        <v>7.6679731941923131E-3</v>
      </c>
      <c r="JG17" s="2">
        <f t="shared" si="76"/>
        <v>9.6807139203825812E-4</v>
      </c>
      <c r="JH17" s="2">
        <f t="shared" si="77"/>
        <v>0</v>
      </c>
      <c r="JI17" s="2">
        <f t="shared" si="78"/>
        <v>2.236868594496514E-3</v>
      </c>
      <c r="JJ17" s="2">
        <f t="shared" si="200"/>
        <v>1.8935739525427917</v>
      </c>
      <c r="JL17" s="36">
        <f t="shared" si="201"/>
        <v>1.8607190231058697</v>
      </c>
      <c r="JM17" s="36">
        <f t="shared" si="201"/>
        <v>2.5037932467688552E-3</v>
      </c>
      <c r="JN17" s="36">
        <f t="shared" si="202"/>
        <v>0.12004589990290405</v>
      </c>
      <c r="JO17" s="36">
        <f t="shared" si="79"/>
        <v>9.0331596294316766E-2</v>
      </c>
      <c r="JP17" s="36">
        <f t="shared" si="79"/>
        <v>1.9735682819383262E-3</v>
      </c>
      <c r="JQ17" s="36">
        <f t="shared" si="79"/>
        <v>0.81876916664185551</v>
      </c>
      <c r="JR17" s="36">
        <f t="shared" si="79"/>
        <v>7.6679731941923131E-3</v>
      </c>
      <c r="JS17" s="36">
        <f t="shared" si="79"/>
        <v>9.6807139203825812E-4</v>
      </c>
      <c r="JT17" s="36">
        <f t="shared" si="79"/>
        <v>0</v>
      </c>
      <c r="JU17" s="36">
        <f t="shared" si="203"/>
        <v>6.710605783489542E-3</v>
      </c>
      <c r="JV17" s="36">
        <f t="shared" si="204"/>
        <v>2.9096896978433739</v>
      </c>
      <c r="JW17" s="36">
        <f t="shared" si="205"/>
        <v>2.0620755554955315</v>
      </c>
      <c r="JY17" s="18">
        <f t="shared" si="80"/>
        <v>1.9184716065960694</v>
      </c>
      <c r="JZ17" s="18">
        <f t="shared" si="81"/>
        <v>2.5815054250884237E-3</v>
      </c>
      <c r="KA17" s="18">
        <f t="shared" si="206"/>
        <v>8.1528393403930588E-2</v>
      </c>
      <c r="KB17" s="18">
        <f t="shared" si="207"/>
        <v>8.3500750414230634E-2</v>
      </c>
      <c r="KC17" s="18">
        <f t="shared" si="82"/>
        <v>0.16502914381816122</v>
      </c>
      <c r="KD17" s="18">
        <f t="shared" si="83"/>
        <v>0.18627057660740134</v>
      </c>
      <c r="KE17" s="18">
        <f t="shared" si="84"/>
        <v>4.069646911286336E-3</v>
      </c>
      <c r="KF17" s="18">
        <f t="shared" si="85"/>
        <v>1.6883638841256177</v>
      </c>
      <c r="KG17" s="18">
        <f t="shared" si="86"/>
        <v>1.581194008393896E-2</v>
      </c>
      <c r="KH17" s="18">
        <f t="shared" si="87"/>
        <v>3.9924727069932473E-3</v>
      </c>
      <c r="KI17" s="18">
        <f t="shared" si="88"/>
        <v>0</v>
      </c>
      <c r="KJ17" s="18">
        <f t="shared" si="89"/>
        <v>9.2251840991338149E-3</v>
      </c>
      <c r="KK17" s="36">
        <f t="shared" si="208"/>
        <v>3.99381596037369</v>
      </c>
      <c r="KL17" s="36">
        <f t="shared" si="209"/>
        <v>0</v>
      </c>
      <c r="KM17" s="36">
        <f t="shared" si="210"/>
        <v>-1.8580845049449124E-2</v>
      </c>
      <c r="KN17" s="36">
        <f t="shared" si="211"/>
        <v>3.9924727069932473E-3</v>
      </c>
      <c r="KO17" s="36">
        <f t="shared" si="212"/>
        <v>2.5815054250884237E-3</v>
      </c>
      <c r="KP17" s="36">
        <f t="shared" si="213"/>
        <v>9.2251840991338149E-3</v>
      </c>
      <c r="KQ17" s="36">
        <f t="shared" si="214"/>
        <v>7.0283093608103572E-2</v>
      </c>
      <c r="KR17" s="36">
        <f t="shared" si="215"/>
        <v>1.581194008393896E-2</v>
      </c>
      <c r="KS17" s="36">
        <f t="shared" si="216"/>
        <v>0.89501378426358724</v>
      </c>
      <c r="KT17" s="36">
        <f t="shared" si="217"/>
        <v>0.80433578816198315</v>
      </c>
      <c r="KU17" s="36">
        <f t="shared" si="218"/>
        <v>1.4209959123980971E-2</v>
      </c>
      <c r="KV17" s="53">
        <f t="shared" si="219"/>
        <v>0.71799230960305527</v>
      </c>
      <c r="KW17" s="36">
        <f t="shared" si="220"/>
        <v>1.581194008393896E-2</v>
      </c>
      <c r="KX17" s="36">
        <f t="shared" si="221"/>
        <v>9.9363678898000143E-2</v>
      </c>
      <c r="KY17" s="36">
        <f t="shared" si="222"/>
        <v>0.73190434254336367</v>
      </c>
      <c r="KZ17" s="18">
        <f t="shared" si="223"/>
        <v>0.90063632110199987</v>
      </c>
      <c r="LA17" s="18">
        <f t="shared" si="224"/>
        <v>0.81479897902218179</v>
      </c>
      <c r="LB17" s="18">
        <f t="shared" si="225"/>
        <v>8.9893581039365261E-2</v>
      </c>
      <c r="LC17" s="18">
        <f t="shared" si="226"/>
        <v>0.87913447580202431</v>
      </c>
      <c r="LD17" s="18">
        <f t="shared" si="227"/>
        <v>9.6991464495757213E-2</v>
      </c>
      <c r="LE17" s="54">
        <f t="shared" si="228"/>
        <v>0.71631787330669039</v>
      </c>
      <c r="LF17" s="36">
        <f t="shared" si="229"/>
        <v>0.99690798018684523</v>
      </c>
      <c r="LH17" s="2" t="str">
        <f t="shared" si="90"/>
        <v xml:space="preserve">A2-10 </v>
      </c>
      <c r="LI17" s="2">
        <f t="shared" si="230"/>
        <v>15</v>
      </c>
      <c r="LK17" s="2">
        <f t="shared" si="91"/>
        <v>0.33936524172786531</v>
      </c>
      <c r="LL17" s="2">
        <f t="shared" si="231"/>
        <v>1349.4998814915041</v>
      </c>
      <c r="LN17" s="2">
        <f t="shared" si="92"/>
        <v>1115.4324064277482</v>
      </c>
      <c r="LO17" s="2">
        <f t="shared" si="93"/>
        <v>1003.9180178063441</v>
      </c>
      <c r="LP17" s="2">
        <f t="shared" si="94"/>
        <v>1071.4668432154442</v>
      </c>
      <c r="LQ17" s="2">
        <f t="shared" si="95"/>
        <v>942.00879995554681</v>
      </c>
      <c r="LR17" s="2">
        <f t="shared" si="232"/>
        <v>0.2320657625890245</v>
      </c>
      <c r="LS17" s="2">
        <f t="shared" si="233"/>
        <v>1226.3598340832227</v>
      </c>
      <c r="LT17" s="2">
        <f t="shared" si="96"/>
        <v>913.40477858906809</v>
      </c>
      <c r="LV17" s="2">
        <f t="shared" si="234"/>
        <v>1231.0020806522225</v>
      </c>
      <c r="LW17" s="2">
        <f t="shared" si="235"/>
        <v>874.51482225815414</v>
      </c>
      <c r="LY17" s="2">
        <f t="shared" si="97"/>
        <v>226.48368499973958</v>
      </c>
      <c r="LZ17" s="2">
        <f t="shared" si="98"/>
        <v>129.91181670978597</v>
      </c>
      <c r="MB17" s="2">
        <f t="shared" si="236"/>
        <v>25.89565</v>
      </c>
      <c r="MC17" s="2">
        <f t="shared" si="237"/>
        <v>31.143099999999997</v>
      </c>
      <c r="MD17" s="2">
        <f t="shared" si="238"/>
        <v>2.3649999999999984</v>
      </c>
      <c r="ME17" s="2">
        <f t="shared" si="99"/>
        <v>550.52865183628194</v>
      </c>
      <c r="MF17" s="2">
        <f t="shared" si="100"/>
        <v>986.21940112906771</v>
      </c>
      <c r="MH17" s="2">
        <f t="shared" si="239"/>
        <v>865.58313442475753</v>
      </c>
      <c r="MI17" s="2">
        <f>-273.15+((35000+61.5*LI17)/((LN(KH17/HX17))^2+19.8))</f>
        <v>921.55360647222926</v>
      </c>
      <c r="MK17" s="2">
        <f t="shared" si="240"/>
        <v>1178.1619924446818</v>
      </c>
      <c r="MM17" s="2">
        <f t="shared" si="101"/>
        <v>26.59853216225158</v>
      </c>
      <c r="MN17" s="2">
        <f t="shared" si="241"/>
        <v>11.59853216225158</v>
      </c>
      <c r="MO17" s="3">
        <f t="shared" si="102"/>
        <v>15</v>
      </c>
    </row>
    <row r="18" spans="1:353" ht="15" x14ac:dyDescent="0.2">
      <c r="A18" s="50">
        <v>1.5</v>
      </c>
      <c r="B18" s="73" t="s">
        <v>199</v>
      </c>
      <c r="C18" s="3" t="s">
        <v>212</v>
      </c>
      <c r="E18" s="69">
        <v>53</v>
      </c>
      <c r="F18" s="69">
        <v>0.43</v>
      </c>
      <c r="G18" s="69">
        <v>6.09</v>
      </c>
      <c r="H18" s="69">
        <v>2.4900000000000002</v>
      </c>
      <c r="I18" s="69">
        <v>0.09</v>
      </c>
      <c r="J18" s="69">
        <v>14.5</v>
      </c>
      <c r="K18" s="69">
        <v>20.8</v>
      </c>
      <c r="L18" s="69">
        <v>1.85</v>
      </c>
      <c r="M18" s="69"/>
      <c r="N18" s="69">
        <v>0.92</v>
      </c>
      <c r="P18" s="69">
        <v>55.9</v>
      </c>
      <c r="Q18" s="69">
        <v>0.12</v>
      </c>
      <c r="R18" s="69">
        <v>3.96</v>
      </c>
      <c r="S18" s="69">
        <v>6.47</v>
      </c>
      <c r="T18" s="69">
        <v>0.15</v>
      </c>
      <c r="U18" s="69">
        <v>32.799999999999997</v>
      </c>
      <c r="V18" s="69">
        <v>0.45</v>
      </c>
      <c r="W18" s="69">
        <v>7.0000000000000007E-2</v>
      </c>
      <c r="X18" s="69"/>
      <c r="Y18" s="69">
        <v>0.38</v>
      </c>
      <c r="Z18" s="3"/>
      <c r="AA18" s="69">
        <v>42.5</v>
      </c>
      <c r="AB18" s="69">
        <v>0.02</v>
      </c>
      <c r="AC18" s="69">
        <v>0.32</v>
      </c>
      <c r="AD18" s="69">
        <v>9.7899999999999991</v>
      </c>
      <c r="AE18" s="69">
        <v>0.14000000000000001</v>
      </c>
      <c r="AF18" s="69">
        <v>47.6</v>
      </c>
      <c r="AG18" s="69">
        <v>0.06</v>
      </c>
      <c r="AH18" s="69"/>
      <c r="AI18" s="69"/>
      <c r="AJ18" s="69">
        <v>0.04</v>
      </c>
      <c r="AK18" s="3">
        <f t="shared" si="0"/>
        <v>0.1034411336189911</v>
      </c>
      <c r="AL18" s="3">
        <f t="shared" si="1"/>
        <v>0.8965588663810089</v>
      </c>
      <c r="AM18" s="69"/>
      <c r="AN18" s="69">
        <v>0.1</v>
      </c>
      <c r="AO18" s="69">
        <v>55.8</v>
      </c>
      <c r="AP18" s="69">
        <v>12</v>
      </c>
      <c r="AQ18" s="69">
        <v>0.12</v>
      </c>
      <c r="AR18" s="69">
        <v>19.8</v>
      </c>
      <c r="AS18" s="69"/>
      <c r="AT18" s="69"/>
      <c r="AU18" s="69"/>
      <c r="AV18" s="69">
        <v>12.6</v>
      </c>
      <c r="AW18" s="3"/>
      <c r="AX18" s="63">
        <f t="shared" si="2"/>
        <v>-1.3663973580362956</v>
      </c>
      <c r="AY18" s="63">
        <f t="shared" ca="1" si="3"/>
        <v>-1.3453136809719772</v>
      </c>
      <c r="AZ18" s="61"/>
      <c r="BA18" s="63">
        <f t="shared" si="103"/>
        <v>-1.6586329433501739</v>
      </c>
      <c r="BB18" s="63">
        <f t="shared" ca="1" si="104"/>
        <v>-1.5922120794336792</v>
      </c>
      <c r="BC18" s="3"/>
      <c r="BD18" s="64">
        <f t="shared" si="105"/>
        <v>-2.3861874919867616</v>
      </c>
      <c r="BE18" s="64">
        <f t="shared" ca="1" si="106"/>
        <v>-2.3490765654064827</v>
      </c>
      <c r="BF18" s="64">
        <f t="shared" si="4"/>
        <v>-0.91018870525628959</v>
      </c>
      <c r="BG18" s="64">
        <f t="shared" ca="1" si="5"/>
        <v>-0.87678142961813421</v>
      </c>
      <c r="BH18" s="3"/>
      <c r="BI18" s="64">
        <f t="shared" si="6"/>
        <v>-11.786366853914998</v>
      </c>
      <c r="BJ18" s="64">
        <f t="shared" ca="1" si="7"/>
        <v>-12.17864161662037</v>
      </c>
      <c r="BK18" s="61"/>
      <c r="BL18" s="61"/>
      <c r="BM18" s="64">
        <f t="shared" si="107"/>
        <v>-13.152764211951293</v>
      </c>
      <c r="BN18" s="64">
        <f t="shared" ca="1" si="108"/>
        <v>-13.523955297592346</v>
      </c>
      <c r="BO18" s="76"/>
      <c r="BP18" s="64">
        <f t="shared" si="109"/>
        <v>-13.444999797265172</v>
      </c>
      <c r="BQ18" s="64">
        <f t="shared" ca="1" si="110"/>
        <v>-13.770853696054049</v>
      </c>
      <c r="BR18" s="61"/>
      <c r="BS18" s="64">
        <f t="shared" si="8"/>
        <v>-12.696555559171287</v>
      </c>
      <c r="BT18" s="64">
        <f t="shared" ca="1" si="9"/>
        <v>-13.055423046238504</v>
      </c>
      <c r="BU18" s="3"/>
      <c r="BV18">
        <v>60.08</v>
      </c>
      <c r="BW18">
        <v>79.88</v>
      </c>
      <c r="BX18">
        <v>101.96</v>
      </c>
      <c r="BY18">
        <v>159.69</v>
      </c>
      <c r="BZ18">
        <v>71.849999999999994</v>
      </c>
      <c r="CA18">
        <v>70.94</v>
      </c>
      <c r="CB18">
        <v>40.299999999999997</v>
      </c>
      <c r="CC18">
        <v>151.99</v>
      </c>
      <c r="CD18" s="3"/>
      <c r="CE18" s="3">
        <f t="shared" si="10"/>
        <v>0</v>
      </c>
      <c r="CF18" s="3">
        <f t="shared" si="11"/>
        <v>1.2518778167250877E-3</v>
      </c>
      <c r="CG18" s="3">
        <f t="shared" si="12"/>
        <v>0.54727344056492744</v>
      </c>
      <c r="CH18" s="3">
        <f t="shared" si="13"/>
        <v>0.16701461377870566</v>
      </c>
      <c r="CI18" s="3">
        <f t="shared" si="14"/>
        <v>1.6915703411333521E-3</v>
      </c>
      <c r="CJ18" s="3">
        <f t="shared" si="15"/>
        <v>0.49131513647642683</v>
      </c>
      <c r="CK18" s="3">
        <f t="shared" si="16"/>
        <v>8.2900190802026444E-2</v>
      </c>
      <c r="CL18" s="3"/>
      <c r="CM18" s="3">
        <f t="shared" si="111"/>
        <v>0</v>
      </c>
      <c r="CN18" s="3">
        <f t="shared" si="111"/>
        <v>2.5037556334501754E-3</v>
      </c>
      <c r="CO18" s="3">
        <f t="shared" si="112"/>
        <v>1.6418203216947824</v>
      </c>
      <c r="CP18" s="3">
        <f t="shared" si="113"/>
        <v>0.16701461377870566</v>
      </c>
      <c r="CQ18" s="3">
        <f t="shared" si="113"/>
        <v>1.6915703411333521E-3</v>
      </c>
      <c r="CR18" s="3">
        <f t="shared" si="113"/>
        <v>0.49131513647642683</v>
      </c>
      <c r="CS18" s="3">
        <f t="shared" si="114"/>
        <v>0.24870057240607935</v>
      </c>
      <c r="CT18" s="3">
        <f t="shared" si="115"/>
        <v>2.5530459703305777</v>
      </c>
      <c r="CU18">
        <v>32</v>
      </c>
      <c r="CV18" s="3">
        <f t="shared" si="116"/>
        <v>12.534047710804254</v>
      </c>
      <c r="CW18" s="3"/>
      <c r="CX18" s="3">
        <f t="shared" si="117"/>
        <v>0</v>
      </c>
      <c r="CY18" s="3">
        <f t="shared" si="118"/>
        <v>3.1382192565859425E-2</v>
      </c>
      <c r="CZ18" s="3">
        <f t="shared" si="119"/>
        <v>20.578654244690391</v>
      </c>
      <c r="DA18" s="3">
        <f t="shared" si="120"/>
        <v>2.0933691375038421</v>
      </c>
      <c r="DB18" s="3">
        <f t="shared" si="121"/>
        <v>2.1202223361946864E-2</v>
      </c>
      <c r="DC18" s="3">
        <f t="shared" si="122"/>
        <v>6.1581673616358374</v>
      </c>
      <c r="DD18" s="3">
        <f t="shared" si="123"/>
        <v>3.1172248402421263</v>
      </c>
      <c r="DE18" s="3">
        <f t="shared" si="124"/>
        <v>32</v>
      </c>
      <c r="DF18" s="3"/>
      <c r="DG18" s="3">
        <f t="shared" si="125"/>
        <v>0</v>
      </c>
      <c r="DH18" s="3">
        <f t="shared" si="126"/>
        <v>1.5691096282929713E-2</v>
      </c>
      <c r="DI18" s="3">
        <f t="shared" si="127"/>
        <v>13.719102829793593</v>
      </c>
      <c r="DJ18" s="3">
        <f t="shared" si="128"/>
        <v>2.0933691375038421</v>
      </c>
      <c r="DK18" s="3">
        <f t="shared" si="129"/>
        <v>2.1202223361946864E-2</v>
      </c>
      <c r="DL18" s="3">
        <f t="shared" si="130"/>
        <v>6.1581673616358374</v>
      </c>
      <c r="DM18" s="3">
        <f t="shared" si="131"/>
        <v>2.0781498934947509</v>
      </c>
      <c r="DN18" s="3">
        <f t="shared" si="132"/>
        <v>24.085682542072899</v>
      </c>
      <c r="DO18" s="3">
        <f t="shared" si="133"/>
        <v>0.99644259439510474</v>
      </c>
      <c r="DP18" s="3"/>
      <c r="DQ18" s="3">
        <f t="shared" si="134"/>
        <v>0</v>
      </c>
      <c r="DR18" s="3">
        <f t="shared" si="135"/>
        <v>1.5635276689065867E-2</v>
      </c>
      <c r="DS18" s="3">
        <f t="shared" si="136"/>
        <v>13.67029841649275</v>
      </c>
      <c r="DT18" s="3">
        <f t="shared" si="137"/>
        <v>2.0859221744009711</v>
      </c>
      <c r="DU18" s="3">
        <f t="shared" si="138"/>
        <v>2.1126798453722832E-2</v>
      </c>
      <c r="DV18" s="3">
        <f t="shared" si="139"/>
        <v>6.1362602625476708</v>
      </c>
      <c r="DW18" s="3">
        <f t="shared" si="140"/>
        <v>2.0707570714158203</v>
      </c>
      <c r="DX18" s="3">
        <f t="shared" si="141"/>
        <v>24</v>
      </c>
      <c r="DY18" s="3"/>
      <c r="DZ18" s="3">
        <f t="shared" si="142"/>
        <v>0.25369446499110809</v>
      </c>
      <c r="EA18" s="3">
        <f t="shared" si="143"/>
        <v>0.13155134819303979</v>
      </c>
      <c r="EB18" s="3"/>
      <c r="EC18" s="3">
        <f t="shared" si="144"/>
        <v>1.8582482156876745</v>
      </c>
      <c r="ED18" s="3">
        <f t="shared" si="145"/>
        <v>0.22767395871329654</v>
      </c>
      <c r="EE18" s="3">
        <f t="shared" si="146"/>
        <v>0.89085213172985267</v>
      </c>
      <c r="EF18" s="3">
        <f t="shared" si="147"/>
        <v>0.10914786827014736</v>
      </c>
      <c r="EG18" s="3"/>
      <c r="EH18" s="3">
        <f t="shared" si="17"/>
        <v>0</v>
      </c>
      <c r="EI18" s="3">
        <f t="shared" si="18"/>
        <v>0.1</v>
      </c>
      <c r="EJ18" s="3">
        <f t="shared" si="19"/>
        <v>55.8</v>
      </c>
      <c r="EK18" s="3">
        <f t="shared" si="20"/>
        <v>1.4555523121033771</v>
      </c>
      <c r="EL18" s="3">
        <f t="shared" si="21"/>
        <v>10.690225580758232</v>
      </c>
      <c r="EM18" s="3">
        <f t="shared" si="22"/>
        <v>0.12</v>
      </c>
      <c r="EN18" s="3">
        <f t="shared" si="23"/>
        <v>19.8</v>
      </c>
      <c r="EO18" s="3">
        <f t="shared" si="24"/>
        <v>12.6</v>
      </c>
      <c r="EP18" s="3">
        <f t="shared" si="148"/>
        <v>100.5657778928616</v>
      </c>
      <c r="EQ18" s="3"/>
      <c r="ER18" s="3">
        <f t="shared" si="149"/>
        <v>0</v>
      </c>
      <c r="ES18" s="3">
        <f t="shared" si="150"/>
        <v>1.5635276689065867E-2</v>
      </c>
      <c r="ET18" s="3">
        <f t="shared" si="151"/>
        <v>13.67029841649275</v>
      </c>
      <c r="EU18" s="3">
        <f t="shared" si="152"/>
        <v>0.22767395871329654</v>
      </c>
      <c r="EV18" s="3">
        <f t="shared" si="153"/>
        <v>1.8582482156876745</v>
      </c>
      <c r="EW18" s="3">
        <f t="shared" si="154"/>
        <v>2.1126798453722832E-2</v>
      </c>
      <c r="EX18" s="3">
        <f t="shared" si="155"/>
        <v>6.1362602625476708</v>
      </c>
      <c r="EY18" s="3">
        <f t="shared" si="156"/>
        <v>2.0707570714158203</v>
      </c>
      <c r="EZ18" s="3">
        <f t="shared" si="157"/>
        <v>24</v>
      </c>
      <c r="FA18" s="3"/>
      <c r="FB18" s="3">
        <f t="shared" si="158"/>
        <v>0.23244058352638733</v>
      </c>
      <c r="FC18" s="3">
        <f t="shared" si="159"/>
        <v>1.425748738960946E-2</v>
      </c>
      <c r="FD18" s="3">
        <f t="shared" si="160"/>
        <v>0.85606675610529903</v>
      </c>
      <c r="FE18" s="3"/>
      <c r="FF18" s="3"/>
      <c r="FG18" s="3">
        <f t="shared" si="161"/>
        <v>6.5204384533204941E-4</v>
      </c>
      <c r="FH18" s="3">
        <f t="shared" si="162"/>
        <v>0.57009761474576803</v>
      </c>
      <c r="FI18" s="3">
        <f t="shared" si="163"/>
        <v>9.4947730362332037E-3</v>
      </c>
      <c r="FJ18" s="3">
        <f t="shared" si="164"/>
        <v>7.7495226738504341E-2</v>
      </c>
      <c r="FK18" s="3">
        <f t="shared" si="165"/>
        <v>0.2559027778733145</v>
      </c>
      <c r="FL18" s="3">
        <f t="shared" si="166"/>
        <v>8.6357563760847925E-2</v>
      </c>
      <c r="FM18" s="3">
        <f t="shared" si="167"/>
        <v>2.9973591501932848</v>
      </c>
      <c r="FN18" s="3">
        <f t="shared" si="168"/>
        <v>8.9074004693865724E-3</v>
      </c>
      <c r="FO18" s="3">
        <f t="shared" si="169"/>
        <v>7.8082599305350858E-2</v>
      </c>
      <c r="FP18" s="3"/>
      <c r="FQ18" s="3">
        <f t="shared" si="25"/>
        <v>0</v>
      </c>
      <c r="FR18" s="3">
        <f t="shared" si="26"/>
        <v>1.9544095861332334E-3</v>
      </c>
      <c r="FS18" s="3">
        <f t="shared" si="27"/>
        <v>1.7087873020615938</v>
      </c>
      <c r="FT18" s="3">
        <f t="shared" si="28"/>
        <v>2.8459244839162068E-2</v>
      </c>
      <c r="FU18" s="3">
        <f t="shared" si="29"/>
        <v>0.23228102696095931</v>
      </c>
      <c r="FV18" s="3">
        <f t="shared" si="30"/>
        <v>2.640849806715354E-3</v>
      </c>
      <c r="FW18" s="3">
        <f t="shared" si="31"/>
        <v>0.76703253281845885</v>
      </c>
      <c r="FX18" s="3">
        <f t="shared" si="32"/>
        <v>0.25884463392697754</v>
      </c>
      <c r="FZ18" s="44">
        <f t="shared" ca="1" si="170"/>
        <v>853.67565549100402</v>
      </c>
      <c r="GA18" s="44">
        <f t="shared" ca="1" si="33"/>
        <v>-2.1827758062089799</v>
      </c>
      <c r="GB18" s="68">
        <f t="shared" si="171"/>
        <v>0.91213093993591743</v>
      </c>
      <c r="GC18" s="28">
        <f t="shared" ca="1" si="34"/>
        <v>847.95604311813406</v>
      </c>
      <c r="GD18" s="28"/>
      <c r="GE18" s="28">
        <f t="shared" ca="1" si="35"/>
        <v>853.67565549100402</v>
      </c>
      <c r="GF18" s="28">
        <f t="shared" ca="1" si="36"/>
        <v>833.87512476122822</v>
      </c>
      <c r="GG18" s="28">
        <f t="shared" si="37"/>
        <v>14.358242954477001</v>
      </c>
      <c r="GH18" s="28">
        <f t="shared" ca="1" si="38"/>
        <v>-2.1827758062089799</v>
      </c>
      <c r="GI18" s="28">
        <f t="shared" si="172"/>
        <v>978.51476014036382</v>
      </c>
      <c r="GJ18" s="28">
        <f t="shared" si="173"/>
        <v>869.38646781461705</v>
      </c>
      <c r="GK18" s="28">
        <f t="shared" ca="1" si="39"/>
        <v>725.61740409470394</v>
      </c>
      <c r="GL18" s="51">
        <f t="shared" si="40"/>
        <v>0.87056440867665086</v>
      </c>
      <c r="GM18" s="52"/>
      <c r="GN18" s="2">
        <f t="shared" si="41"/>
        <v>8.4533349223134227E-2</v>
      </c>
      <c r="GP18" s="2">
        <f t="shared" si="42"/>
        <v>0.88209399127559118</v>
      </c>
      <c r="GQ18" s="2">
        <f t="shared" si="43"/>
        <v>5.383155480553038E-3</v>
      </c>
      <c r="GR18" s="2">
        <f t="shared" si="44"/>
        <v>5.9728719804631181E-2</v>
      </c>
      <c r="GS18" s="2">
        <f t="shared" si="45"/>
        <v>3.4657268840192414E-2</v>
      </c>
      <c r="GT18" s="2">
        <f t="shared" si="46"/>
        <v>1.2687224669603525E-3</v>
      </c>
      <c r="GU18" s="2">
        <f t="shared" si="47"/>
        <v>0.35976220958505772</v>
      </c>
      <c r="GV18" s="2">
        <f t="shared" si="48"/>
        <v>0.37091591264930263</v>
      </c>
      <c r="GW18" s="2">
        <f t="shared" si="49"/>
        <v>2.9848867921179627E-2</v>
      </c>
      <c r="GX18" s="2">
        <f t="shared" si="50"/>
        <v>0</v>
      </c>
      <c r="GY18" s="2">
        <f t="shared" si="51"/>
        <v>6.0527032556964497E-3</v>
      </c>
      <c r="GZ18" s="2">
        <f t="shared" si="174"/>
        <v>1.7497115512791648</v>
      </c>
      <c r="HB18" s="36">
        <f t="shared" si="175"/>
        <v>1.7641879825511824</v>
      </c>
      <c r="HC18" s="36">
        <f t="shared" si="175"/>
        <v>1.0766310961106076E-2</v>
      </c>
      <c r="HD18" s="36">
        <f t="shared" si="176"/>
        <v>0.17918615941389354</v>
      </c>
      <c r="HE18" s="36">
        <f t="shared" si="52"/>
        <v>3.4657268840192414E-2</v>
      </c>
      <c r="HF18" s="36">
        <f t="shared" si="52"/>
        <v>1.2687224669603525E-3</v>
      </c>
      <c r="HG18" s="36">
        <f t="shared" si="52"/>
        <v>0.35976220958505772</v>
      </c>
      <c r="HH18" s="36">
        <f t="shared" si="52"/>
        <v>0.37091591264930263</v>
      </c>
      <c r="HI18" s="36">
        <f t="shared" si="52"/>
        <v>2.9848867921179627E-2</v>
      </c>
      <c r="HJ18" s="36">
        <f t="shared" si="52"/>
        <v>0</v>
      </c>
      <c r="HK18" s="36">
        <f t="shared" si="177"/>
        <v>1.8158109767089349E-2</v>
      </c>
      <c r="HL18" s="36">
        <f t="shared" si="178"/>
        <v>2.7687515441559638</v>
      </c>
      <c r="HM18" s="36">
        <f t="shared" si="179"/>
        <v>2.1670416808125199</v>
      </c>
      <c r="HO18" s="18">
        <f t="shared" si="53"/>
        <v>1.9115344454884813</v>
      </c>
      <c r="HP18" s="18">
        <f t="shared" si="54"/>
        <v>1.1665522300652783E-2</v>
      </c>
      <c r="HQ18" s="18">
        <f t="shared" si="180"/>
        <v>8.8465554511518718E-2</v>
      </c>
      <c r="HR18" s="18">
        <f t="shared" si="181"/>
        <v>0.17040369620489726</v>
      </c>
      <c r="HS18" s="18">
        <f t="shared" si="55"/>
        <v>0.25886925071641598</v>
      </c>
      <c r="HT18" s="18">
        <f t="shared" si="56"/>
        <v>7.5103746119821943E-2</v>
      </c>
      <c r="HU18" s="18">
        <f t="shared" si="57"/>
        <v>2.7493744672863691E-3</v>
      </c>
      <c r="HV18" s="18">
        <f t="shared" si="58"/>
        <v>0.77961970335202957</v>
      </c>
      <c r="HW18" s="18">
        <f t="shared" si="59"/>
        <v>0.80379024278765454</v>
      </c>
      <c r="HX18" s="18">
        <f t="shared" si="60"/>
        <v>0.12936748182052801</v>
      </c>
      <c r="HY18" s="18">
        <f t="shared" si="61"/>
        <v>0</v>
      </c>
      <c r="HZ18" s="18">
        <f t="shared" si="62"/>
        <v>2.6232920473367692E-2</v>
      </c>
      <c r="IA18" s="36">
        <f t="shared" si="182"/>
        <v>3.9989326875262381</v>
      </c>
      <c r="IB18" s="36">
        <f t="shared" si="183"/>
        <v>0</v>
      </c>
      <c r="IC18" s="36">
        <f t="shared" si="184"/>
        <v>-3.2027920162533974E-3</v>
      </c>
      <c r="ID18" s="36">
        <f t="shared" si="185"/>
        <v>0.12936748182052801</v>
      </c>
      <c r="IE18" s="36">
        <f t="shared" si="186"/>
        <v>4.1036214384369246E-2</v>
      </c>
      <c r="IF18" s="36">
        <f t="shared" si="187"/>
        <v>2.3714670063574736E-2</v>
      </c>
      <c r="IG18" s="36">
        <f t="shared" si="188"/>
        <v>1.3116460236683846E-2</v>
      </c>
      <c r="IH18" s="36">
        <f t="shared" si="189"/>
        <v>0.72592289810302668</v>
      </c>
      <c r="II18" s="36">
        <f t="shared" si="190"/>
        <v>6.4400275684412422E-2</v>
      </c>
      <c r="IJ18" s="36">
        <f t="shared" si="191"/>
        <v>5.8553137106108689E-2</v>
      </c>
      <c r="IK18" s="36">
        <f t="shared" si="192"/>
        <v>0.66001368052184128</v>
      </c>
      <c r="IL18" s="36">
        <f t="shared" si="193"/>
        <v>0.997558000292595</v>
      </c>
      <c r="IM18" s="36">
        <f t="shared" si="194"/>
        <v>0.72592289810302668</v>
      </c>
      <c r="IN18" s="36"/>
      <c r="IO18" s="2">
        <f t="shared" si="195"/>
        <v>0.91213093993591743</v>
      </c>
      <c r="IP18" s="36">
        <f t="shared" si="196"/>
        <v>7.5103746119821943E-2</v>
      </c>
      <c r="IQ18" s="53">
        <f t="shared" si="197"/>
        <v>0.17534629560120704</v>
      </c>
      <c r="IR18" s="18">
        <f t="shared" si="198"/>
        <v>0.5896050938364723</v>
      </c>
      <c r="IS18" s="18">
        <f t="shared" si="199"/>
        <v>0.29478068373809468</v>
      </c>
      <c r="IT18" s="18">
        <f t="shared" si="63"/>
        <v>0.72213211411841516</v>
      </c>
      <c r="IU18" s="18">
        <f t="shared" si="64"/>
        <v>6.9565746902667175E-2</v>
      </c>
      <c r="IV18" s="18">
        <f t="shared" si="65"/>
        <v>5.8461117963512159E-2</v>
      </c>
      <c r="IW18" s="18">
        <f t="shared" si="66"/>
        <v>5.6317829610189139E-3</v>
      </c>
      <c r="IX18" s="18">
        <f t="shared" si="67"/>
        <v>4.2216650708717093E-2</v>
      </c>
      <c r="IY18" s="18">
        <f t="shared" si="68"/>
        <v>5.2990228047784312E-2</v>
      </c>
      <c r="IZ18" s="2">
        <f t="shared" si="69"/>
        <v>0.93035951155293484</v>
      </c>
      <c r="JA18" s="2">
        <f t="shared" si="70"/>
        <v>1.5022759480613128E-3</v>
      </c>
      <c r="JB18" s="2">
        <f t="shared" si="71"/>
        <v>3.8838379380351312E-2</v>
      </c>
      <c r="JC18" s="2">
        <f t="shared" si="72"/>
        <v>9.0053224657046141E-2</v>
      </c>
      <c r="JD18" s="2">
        <f t="shared" si="73"/>
        <v>2.1145374449339205E-3</v>
      </c>
      <c r="JE18" s="2">
        <f t="shared" si="74"/>
        <v>0.81380692926826836</v>
      </c>
      <c r="JF18" s="2">
        <f t="shared" si="75"/>
        <v>8.0246231102012577E-3</v>
      </c>
      <c r="JG18" s="2">
        <f t="shared" si="76"/>
        <v>1.1294166240446346E-3</v>
      </c>
      <c r="JH18" s="2">
        <f t="shared" si="77"/>
        <v>0</v>
      </c>
      <c r="JI18" s="2">
        <f t="shared" si="78"/>
        <v>2.500029605613751E-3</v>
      </c>
      <c r="JJ18" s="2">
        <f t="shared" si="200"/>
        <v>1.8883289275914552</v>
      </c>
      <c r="JL18" s="36">
        <f t="shared" si="201"/>
        <v>1.8607190231058697</v>
      </c>
      <c r="JM18" s="36">
        <f t="shared" si="201"/>
        <v>3.0045518961226256E-3</v>
      </c>
      <c r="JN18" s="36">
        <f t="shared" si="202"/>
        <v>0.11651513814105394</v>
      </c>
      <c r="JO18" s="36">
        <f t="shared" si="79"/>
        <v>9.0053224657046141E-2</v>
      </c>
      <c r="JP18" s="36">
        <f t="shared" si="79"/>
        <v>2.1145374449339205E-3</v>
      </c>
      <c r="JQ18" s="36">
        <f t="shared" si="79"/>
        <v>0.81380692926826836</v>
      </c>
      <c r="JR18" s="36">
        <f t="shared" si="79"/>
        <v>8.0246231102012577E-3</v>
      </c>
      <c r="JS18" s="36">
        <f t="shared" si="79"/>
        <v>1.1294166240446346E-3</v>
      </c>
      <c r="JT18" s="36">
        <f t="shared" si="79"/>
        <v>0</v>
      </c>
      <c r="JU18" s="36">
        <f t="shared" si="203"/>
        <v>7.5000888168412529E-3</v>
      </c>
      <c r="JV18" s="36">
        <f t="shared" si="204"/>
        <v>2.9028675330643821</v>
      </c>
      <c r="JW18" s="36">
        <f t="shared" si="205"/>
        <v>2.0669217357177034</v>
      </c>
      <c r="JY18" s="18">
        <f t="shared" si="80"/>
        <v>1.9229802964604668</v>
      </c>
      <c r="JZ18" s="18">
        <f t="shared" si="81"/>
        <v>3.105086810093847E-3</v>
      </c>
      <c r="KA18" s="18">
        <f t="shared" si="206"/>
        <v>7.7019703539533246E-2</v>
      </c>
      <c r="KB18" s="18">
        <f t="shared" si="207"/>
        <v>8.3532077503063545E-2</v>
      </c>
      <c r="KC18" s="18">
        <f t="shared" si="82"/>
        <v>0.16055178104259679</v>
      </c>
      <c r="KD18" s="18">
        <f t="shared" si="83"/>
        <v>0.18613296741511809</v>
      </c>
      <c r="KE18" s="18">
        <f t="shared" si="84"/>
        <v>4.3705834059228968E-3</v>
      </c>
      <c r="KF18" s="18">
        <f t="shared" si="85"/>
        <v>1.6820752307822635</v>
      </c>
      <c r="KG18" s="18">
        <f t="shared" si="86"/>
        <v>1.6586267927417579E-2</v>
      </c>
      <c r="KH18" s="18">
        <f t="shared" si="87"/>
        <v>4.6688315378375297E-3</v>
      </c>
      <c r="KI18" s="18">
        <f t="shared" si="88"/>
        <v>0</v>
      </c>
      <c r="KJ18" s="18">
        <f t="shared" si="89"/>
        <v>1.033473106356164E-2</v>
      </c>
      <c r="KK18" s="36">
        <f t="shared" si="208"/>
        <v>3.9908057764452787</v>
      </c>
      <c r="KL18" s="36">
        <f t="shared" si="209"/>
        <v>0</v>
      </c>
      <c r="KM18" s="36">
        <f t="shared" si="210"/>
        <v>-2.7646217039139387E-2</v>
      </c>
      <c r="KN18" s="36">
        <f t="shared" si="211"/>
        <v>4.6688315378375297E-3</v>
      </c>
      <c r="KO18" s="36">
        <f t="shared" si="212"/>
        <v>3.105086810093847E-3</v>
      </c>
      <c r="KP18" s="36">
        <f t="shared" si="213"/>
        <v>1.033473106356164E-2</v>
      </c>
      <c r="KQ18" s="36">
        <f t="shared" si="214"/>
        <v>6.8528514901664367E-2</v>
      </c>
      <c r="KR18" s="36">
        <f t="shared" si="215"/>
        <v>1.6586267927417579E-2</v>
      </c>
      <c r="KS18" s="36">
        <f t="shared" si="216"/>
        <v>0.89217945598206438</v>
      </c>
      <c r="KT18" s="36">
        <f t="shared" si="217"/>
        <v>0.80141512819840499</v>
      </c>
      <c r="KU18" s="36">
        <f t="shared" si="218"/>
        <v>1.4898892760036465E-2</v>
      </c>
      <c r="KV18" s="53">
        <f t="shared" si="219"/>
        <v>0.71481094302665926</v>
      </c>
      <c r="KW18" s="36">
        <f t="shared" si="220"/>
        <v>1.6586267927417579E-2</v>
      </c>
      <c r="KX18" s="36">
        <f t="shared" si="221"/>
        <v>9.9631811697816236E-2</v>
      </c>
      <c r="KY18" s="36">
        <f t="shared" si="222"/>
        <v>0.73156129631712186</v>
      </c>
      <c r="KZ18" s="18">
        <f t="shared" si="223"/>
        <v>0.90036818830218368</v>
      </c>
      <c r="LA18" s="18">
        <f t="shared" si="224"/>
        <v>0.81305777854561823</v>
      </c>
      <c r="LB18" s="18">
        <f t="shared" si="225"/>
        <v>8.9970326077662699E-2</v>
      </c>
      <c r="LC18" s="18">
        <f t="shared" si="226"/>
        <v>0.87729563864145488</v>
      </c>
      <c r="LD18" s="18">
        <f t="shared" si="227"/>
        <v>9.7078678487367162E-2</v>
      </c>
      <c r="LE18" s="54">
        <f t="shared" si="228"/>
        <v>0.71329204308158078</v>
      </c>
      <c r="LF18" s="36">
        <f t="shared" si="229"/>
        <v>0.99540288822263934</v>
      </c>
      <c r="LH18" s="2" t="str">
        <f t="shared" si="90"/>
        <v xml:space="preserve">A2-11 </v>
      </c>
      <c r="LI18" s="2">
        <f t="shared" si="230"/>
        <v>15</v>
      </c>
      <c r="LK18" s="2">
        <f t="shared" si="91"/>
        <v>0.18885485357165172</v>
      </c>
      <c r="LL18" s="2">
        <f t="shared" si="231"/>
        <v>1180.7416999832317</v>
      </c>
      <c r="LN18" s="2">
        <f t="shared" si="92"/>
        <v>810.94159970676026</v>
      </c>
      <c r="LO18" s="2">
        <f t="shared" si="93"/>
        <v>719.56877822233503</v>
      </c>
      <c r="LP18" s="2">
        <f t="shared" si="94"/>
        <v>1060.0280426249637</v>
      </c>
      <c r="LQ18" s="2">
        <f t="shared" si="95"/>
        <v>927.27908410915688</v>
      </c>
      <c r="LR18" s="2">
        <f t="shared" si="232"/>
        <v>5.9185646493870508E-2</v>
      </c>
      <c r="LS18" s="2">
        <f t="shared" si="233"/>
        <v>784.23441984149042</v>
      </c>
      <c r="LT18" s="2">
        <f t="shared" si="96"/>
        <v>893.0712285341848</v>
      </c>
      <c r="LV18" s="2">
        <f t="shared" si="234"/>
        <v>978.51476014036382</v>
      </c>
      <c r="LW18" s="2">
        <f t="shared" si="235"/>
        <v>875.99221327257908</v>
      </c>
      <c r="LY18" s="2">
        <f t="shared" si="97"/>
        <v>118.37390745786898</v>
      </c>
      <c r="LZ18" s="2">
        <f t="shared" si="98"/>
        <v>78.849512602919688</v>
      </c>
      <c r="MB18" s="2">
        <f t="shared" si="236"/>
        <v>25.89565</v>
      </c>
      <c r="MC18" s="2">
        <f t="shared" si="237"/>
        <v>31.143099999999997</v>
      </c>
      <c r="MD18" s="2">
        <f t="shared" si="238"/>
        <v>2.3649999999999984</v>
      </c>
      <c r="ME18" s="2">
        <f t="shared" si="99"/>
        <v>272.16753016546795</v>
      </c>
      <c r="MF18" s="2">
        <f t="shared" si="100"/>
        <v>977.82936833468955</v>
      </c>
      <c r="MH18" s="2">
        <f t="shared" si="239"/>
        <v>874.74518614264332</v>
      </c>
      <c r="MI18" s="2">
        <f t="shared" ref="MI18:MI25" si="242">-273.15+((35000+61.5*LI18)/((LN(KH18/HX18))^2+19.8))</f>
        <v>891.87844055020184</v>
      </c>
      <c r="MK18" s="2">
        <f t="shared" si="240"/>
        <v>869.38646781461705</v>
      </c>
      <c r="MM18" s="2">
        <f t="shared" si="101"/>
        <v>14.358242954477001</v>
      </c>
      <c r="MN18" s="2">
        <f t="shared" si="241"/>
        <v>-0.64175704552299884</v>
      </c>
      <c r="MO18" s="3">
        <f t="shared" si="102"/>
        <v>15</v>
      </c>
    </row>
    <row r="19" spans="1:353" ht="15" x14ac:dyDescent="0.2">
      <c r="A19" s="50">
        <v>1.5</v>
      </c>
      <c r="B19" s="73" t="s">
        <v>200</v>
      </c>
      <c r="C19" s="3" t="s">
        <v>212</v>
      </c>
      <c r="E19" s="69">
        <v>52.5</v>
      </c>
      <c r="F19" s="69">
        <v>0.33</v>
      </c>
      <c r="G19" s="69">
        <v>5.93</v>
      </c>
      <c r="H19" s="69">
        <v>2.2999999999999998</v>
      </c>
      <c r="I19" s="69">
        <v>7.0000000000000007E-2</v>
      </c>
      <c r="J19" s="69">
        <v>14.4</v>
      </c>
      <c r="K19" s="69">
        <v>21.4</v>
      </c>
      <c r="L19" s="69">
        <v>1.62</v>
      </c>
      <c r="M19" s="69"/>
      <c r="N19" s="69">
        <v>0.95</v>
      </c>
      <c r="P19" s="69">
        <v>55.7</v>
      </c>
      <c r="Q19" s="69">
        <v>7.0000000000000007E-2</v>
      </c>
      <c r="R19" s="69">
        <v>4.1100000000000003</v>
      </c>
      <c r="S19" s="69">
        <v>6.35</v>
      </c>
      <c r="T19" s="69">
        <v>0.14000000000000001</v>
      </c>
      <c r="U19" s="69">
        <v>32.799999999999997</v>
      </c>
      <c r="V19" s="69">
        <v>0.43</v>
      </c>
      <c r="W19" s="69">
        <v>0.04</v>
      </c>
      <c r="X19" s="69"/>
      <c r="Y19" s="69">
        <v>0.42</v>
      </c>
      <c r="Z19" s="3"/>
      <c r="AA19" s="69">
        <v>41.2</v>
      </c>
      <c r="AB19" s="69">
        <v>7.0000000000000001E-3</v>
      </c>
      <c r="AC19" s="69">
        <v>1E-3</v>
      </c>
      <c r="AD19" s="69">
        <v>9.7799999999999994</v>
      </c>
      <c r="AE19" s="69">
        <v>0.12</v>
      </c>
      <c r="AF19" s="69">
        <v>48.9</v>
      </c>
      <c r="AG19" s="69">
        <v>0.02</v>
      </c>
      <c r="AH19" s="69"/>
      <c r="AI19" s="69"/>
      <c r="AJ19" s="69">
        <v>0.03</v>
      </c>
      <c r="AK19" s="3">
        <f t="shared" si="0"/>
        <v>0.10087609511889861</v>
      </c>
      <c r="AL19" s="3">
        <f t="shared" si="1"/>
        <v>0.89912390488110139</v>
      </c>
      <c r="AM19" s="69"/>
      <c r="AN19" s="69">
        <v>0.05</v>
      </c>
      <c r="AO19" s="69">
        <v>56.5</v>
      </c>
      <c r="AP19" s="69">
        <v>11.4</v>
      </c>
      <c r="AQ19" s="69">
        <v>0.12</v>
      </c>
      <c r="AR19" s="69">
        <v>19.399999999999999</v>
      </c>
      <c r="AS19" s="69"/>
      <c r="AT19" s="69"/>
      <c r="AU19" s="69"/>
      <c r="AV19" s="69">
        <v>12.4</v>
      </c>
      <c r="AW19" s="3"/>
      <c r="AX19" s="63">
        <f t="shared" si="2"/>
        <v>-4.2066975430217166</v>
      </c>
      <c r="AY19" s="63">
        <f t="shared" ca="1" si="3"/>
        <v>-4.1475417338790894</v>
      </c>
      <c r="AZ19" s="61"/>
      <c r="BA19" s="63">
        <f t="shared" si="103"/>
        <v>-2.6866535740925208</v>
      </c>
      <c r="BB19" s="63">
        <f t="shared" ca="1" si="104"/>
        <v>-2.5068814431009798</v>
      </c>
      <c r="BC19" s="3"/>
      <c r="BD19" s="64">
        <f t="shared" si="105"/>
        <v>-3.7774299640958802</v>
      </c>
      <c r="BE19" s="64">
        <f t="shared" ca="1" si="106"/>
        <v>-3.675264044737073</v>
      </c>
      <c r="BF19" s="64">
        <f t="shared" si="4"/>
        <v>-3.6900864049687669</v>
      </c>
      <c r="BG19" s="64">
        <f t="shared" ca="1" si="5"/>
        <v>-3.596768174675482</v>
      </c>
      <c r="BH19" s="3"/>
      <c r="BI19" s="64">
        <f t="shared" si="6"/>
        <v>-12.490133974836994</v>
      </c>
      <c r="BJ19" s="64">
        <f t="shared" ca="1" si="7"/>
        <v>-13.551849614585457</v>
      </c>
      <c r="BK19" s="61"/>
      <c r="BL19" s="61"/>
      <c r="BM19" s="64">
        <f t="shared" si="107"/>
        <v>-16.696831517858712</v>
      </c>
      <c r="BN19" s="64">
        <f t="shared" ca="1" si="108"/>
        <v>-17.699391348464545</v>
      </c>
      <c r="BO19" s="76"/>
      <c r="BP19" s="64">
        <f t="shared" si="109"/>
        <v>-15.176787548929514</v>
      </c>
      <c r="BQ19" s="64">
        <f t="shared" ca="1" si="110"/>
        <v>-16.058731057686437</v>
      </c>
      <c r="BR19" s="61"/>
      <c r="BS19" s="64">
        <f t="shared" si="8"/>
        <v>-16.18022037980576</v>
      </c>
      <c r="BT19" s="64">
        <f t="shared" ca="1" si="9"/>
        <v>-17.148617789260939</v>
      </c>
      <c r="BU19" s="3"/>
      <c r="BV19">
        <v>60.08</v>
      </c>
      <c r="BW19">
        <v>79.88</v>
      </c>
      <c r="BX19">
        <v>101.96</v>
      </c>
      <c r="BY19">
        <v>159.69</v>
      </c>
      <c r="BZ19">
        <v>71.849999999999994</v>
      </c>
      <c r="CA19">
        <v>70.94</v>
      </c>
      <c r="CB19">
        <v>40.299999999999997</v>
      </c>
      <c r="CC19">
        <v>151.99</v>
      </c>
      <c r="CD19" s="3"/>
      <c r="CE19" s="3">
        <f t="shared" si="10"/>
        <v>0</v>
      </c>
      <c r="CF19" s="3">
        <f t="shared" si="11"/>
        <v>6.2593890836254386E-4</v>
      </c>
      <c r="CG19" s="3">
        <f t="shared" si="12"/>
        <v>0.55413887799136918</v>
      </c>
      <c r="CH19" s="3">
        <f t="shared" si="13"/>
        <v>0.15866388308977036</v>
      </c>
      <c r="CI19" s="3">
        <f t="shared" si="14"/>
        <v>1.6915703411333521E-3</v>
      </c>
      <c r="CJ19" s="3">
        <f t="shared" si="15"/>
        <v>0.4813895781637717</v>
      </c>
      <c r="CK19" s="3">
        <f t="shared" si="16"/>
        <v>8.1584314757549833E-2</v>
      </c>
      <c r="CL19" s="3"/>
      <c r="CM19" s="3">
        <f t="shared" si="111"/>
        <v>0</v>
      </c>
      <c r="CN19" s="3">
        <f t="shared" si="111"/>
        <v>1.2518778167250877E-3</v>
      </c>
      <c r="CO19" s="3">
        <f t="shared" si="112"/>
        <v>1.6624166339741075</v>
      </c>
      <c r="CP19" s="3">
        <f t="shared" si="113"/>
        <v>0.15866388308977036</v>
      </c>
      <c r="CQ19" s="3">
        <f t="shared" si="113"/>
        <v>1.6915703411333521E-3</v>
      </c>
      <c r="CR19" s="3">
        <f t="shared" si="113"/>
        <v>0.4813895781637717</v>
      </c>
      <c r="CS19" s="3">
        <f t="shared" si="114"/>
        <v>0.24475294427264949</v>
      </c>
      <c r="CT19" s="3">
        <f t="shared" si="115"/>
        <v>2.5501664876581573</v>
      </c>
      <c r="CU19">
        <v>32</v>
      </c>
      <c r="CV19" s="3">
        <f t="shared" si="116"/>
        <v>12.548200344906073</v>
      </c>
      <c r="CW19" s="3"/>
      <c r="CX19" s="3">
        <f t="shared" si="117"/>
        <v>0</v>
      </c>
      <c r="CY19" s="3">
        <f t="shared" si="118"/>
        <v>1.5708813651610008E-2</v>
      </c>
      <c r="CZ19" s="3">
        <f t="shared" si="119"/>
        <v>20.860336979811489</v>
      </c>
      <c r="DA19" s="3">
        <f t="shared" si="120"/>
        <v>1.9909461925111933</v>
      </c>
      <c r="DB19" s="3">
        <f t="shared" si="121"/>
        <v>2.1226163538042412E-2</v>
      </c>
      <c r="DC19" s="3">
        <f t="shared" si="122"/>
        <v>6.0405728707488295</v>
      </c>
      <c r="DD19" s="3">
        <f t="shared" si="123"/>
        <v>3.0712089797388371</v>
      </c>
      <c r="DE19" s="3">
        <f t="shared" si="124"/>
        <v>32</v>
      </c>
      <c r="DF19" s="3"/>
      <c r="DG19" s="3">
        <f t="shared" si="125"/>
        <v>0</v>
      </c>
      <c r="DH19" s="3">
        <f t="shared" si="126"/>
        <v>7.8544068258050038E-3</v>
      </c>
      <c r="DI19" s="3">
        <f t="shared" si="127"/>
        <v>13.906891319874326</v>
      </c>
      <c r="DJ19" s="3">
        <f t="shared" si="128"/>
        <v>1.9909461925111933</v>
      </c>
      <c r="DK19" s="3">
        <f t="shared" si="129"/>
        <v>2.1226163538042412E-2</v>
      </c>
      <c r="DL19" s="3">
        <f t="shared" si="130"/>
        <v>6.0405728707488295</v>
      </c>
      <c r="DM19" s="3">
        <f t="shared" si="131"/>
        <v>2.0474726531592244</v>
      </c>
      <c r="DN19" s="3">
        <f t="shared" si="132"/>
        <v>24.014963606657421</v>
      </c>
      <c r="DO19" s="3">
        <f t="shared" si="133"/>
        <v>0.9993769048788701</v>
      </c>
      <c r="DP19" s="3"/>
      <c r="DQ19" s="3">
        <f t="shared" si="134"/>
        <v>0</v>
      </c>
      <c r="DR19" s="3">
        <f t="shared" si="135"/>
        <v>7.8495127832324749E-3</v>
      </c>
      <c r="DS19" s="3">
        <f t="shared" si="136"/>
        <v>13.898226003742829</v>
      </c>
      <c r="DT19" s="3">
        <f t="shared" si="137"/>
        <v>1.9897056436522074</v>
      </c>
      <c r="DU19" s="3">
        <f t="shared" si="138"/>
        <v>2.1212937619101552E-2</v>
      </c>
      <c r="DV19" s="3">
        <f t="shared" si="139"/>
        <v>6.0368090192642363</v>
      </c>
      <c r="DW19" s="3">
        <f t="shared" si="140"/>
        <v>2.0461968829383941</v>
      </c>
      <c r="DX19" s="3">
        <f t="shared" si="141"/>
        <v>24</v>
      </c>
      <c r="DY19" s="3"/>
      <c r="DZ19" s="3">
        <f t="shared" si="142"/>
        <v>0.24789161014617089</v>
      </c>
      <c r="EA19" s="3">
        <f t="shared" si="143"/>
        <v>0.12833307906350336</v>
      </c>
      <c r="EB19" s="3"/>
      <c r="EC19" s="3">
        <f t="shared" si="144"/>
        <v>1.9498275558998936</v>
      </c>
      <c r="ED19" s="3">
        <f t="shared" si="145"/>
        <v>3.9878087752313718E-2</v>
      </c>
      <c r="EE19" s="3">
        <f t="shared" si="146"/>
        <v>0.97995779532538518</v>
      </c>
      <c r="EF19" s="3">
        <f t="shared" si="147"/>
        <v>2.0042204674614799E-2</v>
      </c>
      <c r="EG19" s="3"/>
      <c r="EH19" s="3">
        <f t="shared" si="17"/>
        <v>0</v>
      </c>
      <c r="EI19" s="3">
        <f t="shared" si="18"/>
        <v>0.05</v>
      </c>
      <c r="EJ19" s="3">
        <f t="shared" si="19"/>
        <v>56.5</v>
      </c>
      <c r="EK19" s="3">
        <f t="shared" si="20"/>
        <v>0.25391108342585345</v>
      </c>
      <c r="EL19" s="3">
        <f t="shared" si="21"/>
        <v>11.171518866709391</v>
      </c>
      <c r="EM19" s="3">
        <f t="shared" si="22"/>
        <v>0.12</v>
      </c>
      <c r="EN19" s="3">
        <f t="shared" si="23"/>
        <v>19.399999999999999</v>
      </c>
      <c r="EO19" s="3">
        <f t="shared" si="24"/>
        <v>12.4</v>
      </c>
      <c r="EP19" s="3">
        <f t="shared" si="148"/>
        <v>99.895429950135252</v>
      </c>
      <c r="EQ19" s="3"/>
      <c r="ER19" s="3">
        <f t="shared" si="149"/>
        <v>0</v>
      </c>
      <c r="ES19" s="3">
        <f t="shared" si="150"/>
        <v>7.8495127832324749E-3</v>
      </c>
      <c r="ET19" s="3">
        <f t="shared" si="151"/>
        <v>13.898226003742829</v>
      </c>
      <c r="EU19" s="3">
        <f t="shared" si="152"/>
        <v>3.9878087752313718E-2</v>
      </c>
      <c r="EV19" s="3">
        <f t="shared" si="153"/>
        <v>1.9498275558998936</v>
      </c>
      <c r="EW19" s="3">
        <f t="shared" si="154"/>
        <v>2.1212937619101552E-2</v>
      </c>
      <c r="EX19" s="3">
        <f t="shared" si="155"/>
        <v>6.0368090192642363</v>
      </c>
      <c r="EY19" s="3">
        <f t="shared" si="156"/>
        <v>2.0461968829383941</v>
      </c>
      <c r="EZ19" s="3">
        <f t="shared" si="157"/>
        <v>24</v>
      </c>
      <c r="FA19" s="3"/>
      <c r="FB19" s="3">
        <f t="shared" si="158"/>
        <v>0.24413625655175419</v>
      </c>
      <c r="FC19" s="3">
        <f t="shared" si="159"/>
        <v>2.4948283829300797E-3</v>
      </c>
      <c r="FD19" s="3">
        <f t="shared" si="160"/>
        <v>0.86949226156168291</v>
      </c>
      <c r="FE19" s="3"/>
      <c r="FF19" s="3"/>
      <c r="FG19" s="3">
        <f t="shared" si="161"/>
        <v>3.2735237036018294E-4</v>
      </c>
      <c r="FH19" s="3">
        <f t="shared" si="162"/>
        <v>0.57960504706040994</v>
      </c>
      <c r="FI19" s="3">
        <f t="shared" si="163"/>
        <v>1.6630569197920951E-3</v>
      </c>
      <c r="FJ19" s="3">
        <f t="shared" si="164"/>
        <v>8.1314686636459563E-2</v>
      </c>
      <c r="FK19" s="3">
        <f t="shared" si="165"/>
        <v>0.25175622951901011</v>
      </c>
      <c r="FL19" s="3">
        <f t="shared" si="166"/>
        <v>8.5333627493968139E-2</v>
      </c>
      <c r="FM19" s="3">
        <f t="shared" si="167"/>
        <v>2.9973483827976124</v>
      </c>
      <c r="FN19" s="3">
        <f t="shared" si="168"/>
        <v>1.0732873715681851E-3</v>
      </c>
      <c r="FO19" s="3">
        <f t="shared" si="169"/>
        <v>8.190445618468338E-2</v>
      </c>
      <c r="FP19" s="3"/>
      <c r="FQ19" s="3">
        <f t="shared" si="25"/>
        <v>0</v>
      </c>
      <c r="FR19" s="3">
        <f t="shared" si="26"/>
        <v>9.8118909790405936E-4</v>
      </c>
      <c r="FS19" s="3">
        <f t="shared" si="27"/>
        <v>1.7372782504678537</v>
      </c>
      <c r="FT19" s="3">
        <f t="shared" si="28"/>
        <v>4.9847609690392147E-3</v>
      </c>
      <c r="FU19" s="3">
        <f t="shared" si="29"/>
        <v>0.24372844448748671</v>
      </c>
      <c r="FV19" s="3">
        <f t="shared" si="30"/>
        <v>2.6516172023876941E-3</v>
      </c>
      <c r="FW19" s="3">
        <f t="shared" si="31"/>
        <v>0.75460112740802954</v>
      </c>
      <c r="FX19" s="3">
        <f t="shared" si="32"/>
        <v>0.25577461036729926</v>
      </c>
      <c r="FZ19" s="44">
        <f t="shared" ca="1" si="170"/>
        <v>825.25718030416829</v>
      </c>
      <c r="GA19" s="44">
        <f t="shared" ca="1" si="33"/>
        <v>-1.9267988433279974</v>
      </c>
      <c r="GB19" s="68">
        <f t="shared" si="171"/>
        <v>0.91776715712860957</v>
      </c>
      <c r="GC19" s="28">
        <f t="shared" ca="1" si="34"/>
        <v>778.87890518252868</v>
      </c>
      <c r="GD19" s="28"/>
      <c r="GE19" s="28">
        <f t="shared" ca="1" si="35"/>
        <v>825.25718030416829</v>
      </c>
      <c r="GF19" s="28">
        <f t="shared" ca="1" si="36"/>
        <v>785.15649801388417</v>
      </c>
      <c r="GG19" s="28">
        <f t="shared" si="37"/>
        <v>12.801691590639278</v>
      </c>
      <c r="GH19" s="28">
        <f t="shared" ca="1" si="38"/>
        <v>-1.9267988433279974</v>
      </c>
      <c r="GI19" s="28">
        <f t="shared" si="172"/>
        <v>946.6471465691933</v>
      </c>
      <c r="GJ19" s="28">
        <f t="shared" si="173"/>
        <v>831.50309796378167</v>
      </c>
      <c r="GK19" s="28">
        <f t="shared" ca="1" si="39"/>
        <v>676.47997547910575</v>
      </c>
      <c r="GL19" s="51">
        <f t="shared" si="40"/>
        <v>0.82502187226596657</v>
      </c>
      <c r="GM19" s="52"/>
      <c r="GN19" s="2">
        <f t="shared" si="41"/>
        <v>9.5367848288465853E-2</v>
      </c>
      <c r="GP19" s="2">
        <f t="shared" si="42"/>
        <v>0.87377234984846297</v>
      </c>
      <c r="GQ19" s="2">
        <f t="shared" si="43"/>
        <v>4.1312588571686109E-3</v>
      </c>
      <c r="GR19" s="2">
        <f t="shared" si="44"/>
        <v>5.8159492354920017E-2</v>
      </c>
      <c r="GS19" s="2">
        <f t="shared" si="45"/>
        <v>3.20127382861215E-2</v>
      </c>
      <c r="GT19" s="2">
        <f t="shared" si="46"/>
        <v>9.8678414096916309E-4</v>
      </c>
      <c r="GU19" s="2">
        <f t="shared" si="47"/>
        <v>0.35728109089826421</v>
      </c>
      <c r="GV19" s="2">
        <f t="shared" si="48"/>
        <v>0.3816154101295709</v>
      </c>
      <c r="GW19" s="2">
        <f t="shared" si="49"/>
        <v>2.6137927585032972E-2</v>
      </c>
      <c r="GX19" s="2">
        <f t="shared" si="50"/>
        <v>0</v>
      </c>
      <c r="GY19" s="2">
        <f t="shared" si="51"/>
        <v>6.2500740140343765E-3</v>
      </c>
      <c r="GZ19" s="2">
        <f t="shared" si="174"/>
        <v>1.7403471261145447</v>
      </c>
      <c r="HB19" s="36">
        <f t="shared" si="175"/>
        <v>1.7475446996969259</v>
      </c>
      <c r="HC19" s="36">
        <f t="shared" si="175"/>
        <v>8.2625177143372218E-3</v>
      </c>
      <c r="HD19" s="36">
        <f t="shared" si="176"/>
        <v>0.17447847706476005</v>
      </c>
      <c r="HE19" s="36">
        <f t="shared" si="52"/>
        <v>3.20127382861215E-2</v>
      </c>
      <c r="HF19" s="36">
        <f t="shared" si="52"/>
        <v>9.8678414096916309E-4</v>
      </c>
      <c r="HG19" s="36">
        <f t="shared" si="52"/>
        <v>0.35728109089826421</v>
      </c>
      <c r="HH19" s="36">
        <f t="shared" si="52"/>
        <v>0.3816154101295709</v>
      </c>
      <c r="HI19" s="36">
        <f t="shared" si="52"/>
        <v>2.6137927585032972E-2</v>
      </c>
      <c r="HJ19" s="36">
        <f t="shared" si="52"/>
        <v>0</v>
      </c>
      <c r="HK19" s="36">
        <f t="shared" si="177"/>
        <v>1.875022204210313E-2</v>
      </c>
      <c r="HL19" s="36">
        <f t="shared" si="178"/>
        <v>2.7470698675580851</v>
      </c>
      <c r="HM19" s="36">
        <f t="shared" si="179"/>
        <v>2.184145394646805</v>
      </c>
      <c r="HO19" s="18">
        <f t="shared" si="53"/>
        <v>1.9084458538912374</v>
      </c>
      <c r="HP19" s="18">
        <f t="shared" si="54"/>
        <v>9.023270006978645E-3</v>
      </c>
      <c r="HQ19" s="18">
        <f t="shared" si="180"/>
        <v>9.1554146108762557E-2</v>
      </c>
      <c r="HR19" s="18">
        <f t="shared" si="181"/>
        <v>0.16250342865522666</v>
      </c>
      <c r="HS19" s="18">
        <f t="shared" si="55"/>
        <v>0.25405757476398921</v>
      </c>
      <c r="HT19" s="18">
        <f t="shared" si="56"/>
        <v>6.992047489766573E-2</v>
      </c>
      <c r="HU19" s="18">
        <f t="shared" si="57"/>
        <v>2.1552800370083012E-3</v>
      </c>
      <c r="HV19" s="18">
        <f t="shared" si="58"/>
        <v>0.78035384927983031</v>
      </c>
      <c r="HW19" s="18">
        <f t="shared" si="59"/>
        <v>0.83350354056075393</v>
      </c>
      <c r="HX19" s="18">
        <f t="shared" si="60"/>
        <v>0.11417806832092291</v>
      </c>
      <c r="HY19" s="18">
        <f t="shared" si="61"/>
        <v>0</v>
      </c>
      <c r="HZ19" s="18">
        <f t="shared" si="62"/>
        <v>2.7302140747909709E-2</v>
      </c>
      <c r="IA19" s="36">
        <f t="shared" si="182"/>
        <v>3.9989400525062964</v>
      </c>
      <c r="IB19" s="36">
        <f t="shared" si="183"/>
        <v>0</v>
      </c>
      <c r="IC19" s="36">
        <f t="shared" si="184"/>
        <v>-3.1806853209701558E-3</v>
      </c>
      <c r="ID19" s="36">
        <f t="shared" si="185"/>
        <v>0.11417806832092291</v>
      </c>
      <c r="IE19" s="36">
        <f t="shared" si="186"/>
        <v>4.8325360334303749E-2</v>
      </c>
      <c r="IF19" s="36">
        <f t="shared" si="187"/>
        <v>2.1614392887229404E-2</v>
      </c>
      <c r="IG19" s="36">
        <f t="shared" si="188"/>
        <v>1.3651070373954854E-2</v>
      </c>
      <c r="IH19" s="36">
        <f t="shared" si="189"/>
        <v>0.74991271696526585</v>
      </c>
      <c r="II19" s="36">
        <f t="shared" si="190"/>
        <v>5.0180803606115099E-2</v>
      </c>
      <c r="IJ19" s="36">
        <f t="shared" si="191"/>
        <v>4.5937849953100927E-2</v>
      </c>
      <c r="IK19" s="36">
        <f t="shared" si="192"/>
        <v>0.68650510542391119</v>
      </c>
      <c r="IL19" s="36">
        <f t="shared" si="193"/>
        <v>0.99786241248779184</v>
      </c>
      <c r="IM19" s="36">
        <f t="shared" si="194"/>
        <v>0.74991271696526585</v>
      </c>
      <c r="IN19" s="36"/>
      <c r="IO19" s="2">
        <f t="shared" si="195"/>
        <v>0.91776715712860957</v>
      </c>
      <c r="IP19" s="36">
        <f t="shared" si="196"/>
        <v>6.992047489766573E-2</v>
      </c>
      <c r="IQ19" s="53">
        <f t="shared" si="197"/>
        <v>0.17744662106624509</v>
      </c>
      <c r="IR19" s="18">
        <f t="shared" si="198"/>
        <v>0.60619583325958204</v>
      </c>
      <c r="IS19" s="18">
        <f t="shared" si="199"/>
        <v>0.29657096399799227</v>
      </c>
      <c r="IT19" s="18">
        <f t="shared" si="63"/>
        <v>0.73528857842800743</v>
      </c>
      <c r="IU19" s="18">
        <f t="shared" si="64"/>
        <v>6.588258216187752E-2</v>
      </c>
      <c r="IV19" s="18">
        <f t="shared" si="65"/>
        <v>4.6038055849824989E-2</v>
      </c>
      <c r="IW19" s="18">
        <f t="shared" si="66"/>
        <v>4.1250552314898688E-3</v>
      </c>
      <c r="IX19" s="18">
        <f t="shared" si="67"/>
        <v>3.3851256639407031E-2</v>
      </c>
      <c r="IY19" s="18">
        <f t="shared" si="68"/>
        <v>4.1971440880003E-2</v>
      </c>
      <c r="IZ19" s="2">
        <f t="shared" si="69"/>
        <v>0.9270308549820836</v>
      </c>
      <c r="JA19" s="2">
        <f t="shared" si="70"/>
        <v>8.7632763636909933E-4</v>
      </c>
      <c r="JB19" s="2">
        <f t="shared" si="71"/>
        <v>4.0309530114455532E-2</v>
      </c>
      <c r="JC19" s="2">
        <f t="shared" si="72"/>
        <v>8.8382994833422407E-2</v>
      </c>
      <c r="JD19" s="2">
        <f t="shared" si="73"/>
        <v>1.9735682819383262E-3</v>
      </c>
      <c r="JE19" s="2">
        <f t="shared" si="74"/>
        <v>0.81380692926826836</v>
      </c>
      <c r="JF19" s="2">
        <f t="shared" si="75"/>
        <v>7.6679731941923131E-3</v>
      </c>
      <c r="JG19" s="2">
        <f t="shared" si="76"/>
        <v>6.4538092802550549E-4</v>
      </c>
      <c r="JH19" s="2">
        <f t="shared" si="77"/>
        <v>0</v>
      </c>
      <c r="JI19" s="2">
        <f t="shared" si="78"/>
        <v>2.7631906167309875E-3</v>
      </c>
      <c r="JJ19" s="2">
        <f t="shared" si="200"/>
        <v>1.8834567498554862</v>
      </c>
      <c r="JL19" s="36">
        <f t="shared" si="201"/>
        <v>1.8540617099641672</v>
      </c>
      <c r="JM19" s="36">
        <f t="shared" si="201"/>
        <v>1.7526552727381987E-3</v>
      </c>
      <c r="JN19" s="36">
        <f t="shared" si="202"/>
        <v>0.12092859034336659</v>
      </c>
      <c r="JO19" s="36">
        <f t="shared" si="79"/>
        <v>8.8382994833422407E-2</v>
      </c>
      <c r="JP19" s="36">
        <f t="shared" si="79"/>
        <v>1.9735682819383262E-3</v>
      </c>
      <c r="JQ19" s="36">
        <f t="shared" si="79"/>
        <v>0.81380692926826836</v>
      </c>
      <c r="JR19" s="36">
        <f t="shared" si="79"/>
        <v>7.6679731941923131E-3</v>
      </c>
      <c r="JS19" s="36">
        <f t="shared" si="79"/>
        <v>6.4538092802550549E-4</v>
      </c>
      <c r="JT19" s="36">
        <f t="shared" si="79"/>
        <v>0</v>
      </c>
      <c r="JU19" s="36">
        <f t="shared" si="203"/>
        <v>8.289571850192962E-3</v>
      </c>
      <c r="JV19" s="36">
        <f t="shared" si="204"/>
        <v>2.897509373936312</v>
      </c>
      <c r="JW19" s="36">
        <f t="shared" si="205"/>
        <v>2.0707439478785554</v>
      </c>
      <c r="JY19" s="18">
        <f t="shared" si="80"/>
        <v>1.9196435324508323</v>
      </c>
      <c r="JZ19" s="18">
        <f t="shared" si="81"/>
        <v>1.8146501493700319E-3</v>
      </c>
      <c r="KA19" s="18">
        <f t="shared" si="206"/>
        <v>8.0356467549167698E-2</v>
      </c>
      <c r="KB19" s="18">
        <f t="shared" si="207"/>
        <v>8.658496350350664E-2</v>
      </c>
      <c r="KC19" s="18">
        <f t="shared" si="82"/>
        <v>0.16694143105267434</v>
      </c>
      <c r="KD19" s="18">
        <f t="shared" si="83"/>
        <v>0.18301855164669109</v>
      </c>
      <c r="KE19" s="18">
        <f t="shared" si="84"/>
        <v>4.0867545755488678E-3</v>
      </c>
      <c r="KF19" s="18">
        <f t="shared" si="85"/>
        <v>1.6851857735238984</v>
      </c>
      <c r="KG19" s="18">
        <f t="shared" si="86"/>
        <v>1.5878409084368727E-2</v>
      </c>
      <c r="KH19" s="18">
        <f t="shared" si="87"/>
        <v>2.6728373015701221E-3</v>
      </c>
      <c r="KI19" s="18">
        <f t="shared" si="88"/>
        <v>0</v>
      </c>
      <c r="KJ19" s="18">
        <f t="shared" si="89"/>
        <v>1.144372049286101E-2</v>
      </c>
      <c r="KK19" s="36">
        <f t="shared" si="208"/>
        <v>3.9906856602778151</v>
      </c>
      <c r="KL19" s="36">
        <f t="shared" si="209"/>
        <v>0</v>
      </c>
      <c r="KM19" s="36">
        <f t="shared" si="210"/>
        <v>-2.8008238729190893E-2</v>
      </c>
      <c r="KN19" s="36">
        <f t="shared" si="211"/>
        <v>2.6728373015701221E-3</v>
      </c>
      <c r="KO19" s="36">
        <f t="shared" si="212"/>
        <v>1.8146501493700319E-3</v>
      </c>
      <c r="KP19" s="36">
        <f t="shared" si="213"/>
        <v>1.144372049286101E-2</v>
      </c>
      <c r="KQ19" s="36">
        <f t="shared" si="214"/>
        <v>7.2468405709075506E-2</v>
      </c>
      <c r="KR19" s="36">
        <f t="shared" si="215"/>
        <v>1.5878409084368727E-2</v>
      </c>
      <c r="KS19" s="36">
        <f t="shared" si="216"/>
        <v>0.89106480740166216</v>
      </c>
      <c r="KT19" s="36">
        <f t="shared" si="217"/>
        <v>0.80201724665840679</v>
      </c>
      <c r="KU19" s="36">
        <f t="shared" si="218"/>
        <v>1.4291618106090052E-2</v>
      </c>
      <c r="KV19" s="53">
        <f t="shared" si="219"/>
        <v>0.71770161756465856</v>
      </c>
      <c r="KW19" s="36">
        <f t="shared" si="220"/>
        <v>1.5878409084368727E-2</v>
      </c>
      <c r="KX19" s="36">
        <f t="shared" si="221"/>
        <v>9.796495446502046E-2</v>
      </c>
      <c r="KY19" s="36">
        <f t="shared" si="222"/>
        <v>0.73320363733941174</v>
      </c>
      <c r="KZ19" s="18">
        <f t="shared" si="223"/>
        <v>0.90203504553497948</v>
      </c>
      <c r="LA19" s="18">
        <f t="shared" si="224"/>
        <v>0.81197285907246486</v>
      </c>
      <c r="LB19" s="18">
        <f t="shared" si="225"/>
        <v>8.8183806781797491E-2</v>
      </c>
      <c r="LC19" s="18">
        <f t="shared" si="226"/>
        <v>0.88161477530686305</v>
      </c>
      <c r="LD19" s="18">
        <f t="shared" si="227"/>
        <v>9.5747223731649275E-2</v>
      </c>
      <c r="LE19" s="54">
        <f t="shared" si="228"/>
        <v>0.7158472697064423</v>
      </c>
      <c r="LF19" s="36">
        <f t="shared" si="229"/>
        <v>0.99534283013890756</v>
      </c>
      <c r="LH19" s="2" t="str">
        <f t="shared" si="90"/>
        <v xml:space="preserve">A2-2 </v>
      </c>
      <c r="LI19" s="2">
        <f t="shared" si="230"/>
        <v>15</v>
      </c>
      <c r="LK19" s="2">
        <f t="shared" si="91"/>
        <v>0.16114239690405632</v>
      </c>
      <c r="LL19" s="2">
        <f t="shared" si="231"/>
        <v>1135.0492019476771</v>
      </c>
      <c r="LN19" s="2">
        <f t="shared" si="92"/>
        <v>779.52300495099439</v>
      </c>
      <c r="LO19" s="2">
        <f t="shared" si="93"/>
        <v>696.63620155557408</v>
      </c>
      <c r="LP19" s="2">
        <f t="shared" si="94"/>
        <v>1042.8580569811181</v>
      </c>
      <c r="LQ19" s="2">
        <f t="shared" si="95"/>
        <v>913.56605916674414</v>
      </c>
      <c r="LR19" s="2">
        <f t="shared" si="232"/>
        <v>4.7288378501867998E-2</v>
      </c>
      <c r="LS19" s="2">
        <f t="shared" si="233"/>
        <v>735.39365916468796</v>
      </c>
      <c r="LT19" s="2">
        <f t="shared" si="96"/>
        <v>879.45473168627734</v>
      </c>
      <c r="LV19" s="2">
        <f t="shared" si="234"/>
        <v>946.6471465691933</v>
      </c>
      <c r="LW19" s="2">
        <f t="shared" si="235"/>
        <v>888.38890382549869</v>
      </c>
      <c r="LY19" s="2">
        <f t="shared" si="97"/>
        <v>103.274129331453</v>
      </c>
      <c r="LZ19" s="2">
        <f t="shared" si="98"/>
        <v>70.475659775718</v>
      </c>
      <c r="MB19" s="2">
        <f t="shared" si="236"/>
        <v>25.89565</v>
      </c>
      <c r="MC19" s="2">
        <f t="shared" si="237"/>
        <v>31.143099999999997</v>
      </c>
      <c r="MD19" s="2">
        <f t="shared" si="238"/>
        <v>2.3649999999999984</v>
      </c>
      <c r="ME19" s="2">
        <f t="shared" si="99"/>
        <v>253.40246173341393</v>
      </c>
      <c r="MF19" s="2">
        <f t="shared" si="100"/>
        <v>963.82908522607329</v>
      </c>
      <c r="MH19" s="2">
        <f t="shared" si="239"/>
        <v>866.38117114262411</v>
      </c>
      <c r="MI19" s="2">
        <f t="shared" si="242"/>
        <v>786.59950717939307</v>
      </c>
      <c r="MK19" s="2">
        <f t="shared" si="240"/>
        <v>831.50309796378167</v>
      </c>
      <c r="MM19" s="2">
        <f t="shared" si="101"/>
        <v>12.801691590639278</v>
      </c>
      <c r="MN19" s="2">
        <f t="shared" si="241"/>
        <v>-2.1983084093607221</v>
      </c>
      <c r="MO19" s="3">
        <f t="shared" si="102"/>
        <v>15</v>
      </c>
    </row>
    <row r="20" spans="1:353" ht="15" x14ac:dyDescent="0.2">
      <c r="A20" s="50">
        <v>1.5</v>
      </c>
      <c r="B20" s="74" t="s">
        <v>201</v>
      </c>
      <c r="C20" s="3" t="s">
        <v>212</v>
      </c>
      <c r="E20" s="69">
        <v>53.6</v>
      </c>
      <c r="F20" s="69">
        <v>0.17</v>
      </c>
      <c r="G20" s="69">
        <v>3.75</v>
      </c>
      <c r="H20" s="69">
        <v>2.08</v>
      </c>
      <c r="I20" s="69">
        <v>7.0000000000000007E-2</v>
      </c>
      <c r="J20" s="69">
        <v>16.100000000000001</v>
      </c>
      <c r="K20" s="69">
        <v>23.1</v>
      </c>
      <c r="L20" s="69">
        <v>0.71</v>
      </c>
      <c r="M20" s="69"/>
      <c r="N20" s="69">
        <v>1.04</v>
      </c>
      <c r="P20" s="69">
        <v>56.3</v>
      </c>
      <c r="Q20" s="69">
        <v>0.04</v>
      </c>
      <c r="R20" s="69">
        <v>3.25</v>
      </c>
      <c r="S20" s="69">
        <v>6.29</v>
      </c>
      <c r="T20" s="69">
        <v>0.12</v>
      </c>
      <c r="U20" s="69">
        <v>33.299999999999997</v>
      </c>
      <c r="V20" s="69">
        <v>0.49</v>
      </c>
      <c r="W20" s="69">
        <v>0.02</v>
      </c>
      <c r="X20" s="69"/>
      <c r="Y20" s="69">
        <v>0.53</v>
      </c>
      <c r="Z20" s="3"/>
      <c r="AA20" s="69">
        <v>41.6</v>
      </c>
      <c r="AB20" s="69">
        <v>0.03</v>
      </c>
      <c r="AC20" s="69">
        <v>4.0000000000000001E-3</v>
      </c>
      <c r="AD20" s="69">
        <v>9.3699999999999992</v>
      </c>
      <c r="AE20" s="69">
        <v>0.12</v>
      </c>
      <c r="AF20" s="69">
        <v>49.4</v>
      </c>
      <c r="AG20" s="69">
        <v>0.03</v>
      </c>
      <c r="AH20" s="69"/>
      <c r="AI20" s="69"/>
      <c r="AJ20" s="69">
        <v>0.02</v>
      </c>
      <c r="AK20" s="3">
        <f t="shared" si="0"/>
        <v>9.6169699939411796E-2</v>
      </c>
      <c r="AL20" s="3">
        <f t="shared" si="1"/>
        <v>0.90383030006058818</v>
      </c>
      <c r="AM20" s="69"/>
      <c r="AN20" s="69">
        <v>0.05</v>
      </c>
      <c r="AO20" s="69">
        <v>44</v>
      </c>
      <c r="AP20" s="69">
        <v>14.2</v>
      </c>
      <c r="AQ20" s="69">
        <v>0.18</v>
      </c>
      <c r="AR20" s="69">
        <v>17.600000000000001</v>
      </c>
      <c r="AS20" s="69"/>
      <c r="AT20" s="69"/>
      <c r="AU20" s="69"/>
      <c r="AV20" s="69">
        <v>23.8</v>
      </c>
      <c r="AW20" s="3"/>
      <c r="AX20" s="63">
        <f t="shared" si="2"/>
        <v>-0.51945745906615381</v>
      </c>
      <c r="AY20" s="63">
        <f t="shared" ca="1" si="3"/>
        <v>-0.48306402744975485</v>
      </c>
      <c r="AZ20" s="61"/>
      <c r="BA20" s="63">
        <f t="shared" si="103"/>
        <v>-0.55007940253787257</v>
      </c>
      <c r="BB20" s="63">
        <f t="shared" ca="1" si="104"/>
        <v>-0.32203554426981018</v>
      </c>
      <c r="BC20" s="3"/>
      <c r="BD20" s="64">
        <f t="shared" si="105"/>
        <v>-2.1000118186953332</v>
      </c>
      <c r="BE20" s="64">
        <f t="shared" ca="1" si="106"/>
        <v>-1.9933092601676003</v>
      </c>
      <c r="BF20" s="64">
        <f t="shared" si="4"/>
        <v>-6.3646534210379357E-2</v>
      </c>
      <c r="BG20" s="64">
        <f t="shared" ca="1" si="5"/>
        <v>7.6589901136436822E-3</v>
      </c>
      <c r="BH20" s="3"/>
      <c r="BI20" s="64">
        <f t="shared" si="6"/>
        <v>-11.775798188558042</v>
      </c>
      <c r="BJ20" s="64">
        <f t="shared" ca="1" si="7"/>
        <v>-13.122601664360282</v>
      </c>
      <c r="BK20" s="61"/>
      <c r="BL20" s="61"/>
      <c r="BM20" s="64">
        <f t="shared" si="107"/>
        <v>-12.295255647624195</v>
      </c>
      <c r="BN20" s="64">
        <f t="shared" ca="1" si="108"/>
        <v>-13.605665691810037</v>
      </c>
      <c r="BO20" s="76"/>
      <c r="BP20" s="64">
        <f t="shared" si="109"/>
        <v>-12.325877591095914</v>
      </c>
      <c r="BQ20" s="64">
        <f t="shared" ca="1" si="110"/>
        <v>-13.444637208630091</v>
      </c>
      <c r="BR20" s="61"/>
      <c r="BS20" s="64">
        <f t="shared" si="8"/>
        <v>-11.839444722768421</v>
      </c>
      <c r="BT20" s="64">
        <f t="shared" ca="1" si="9"/>
        <v>-13.114942674246638</v>
      </c>
      <c r="BU20" s="3"/>
      <c r="BV20">
        <v>60.08</v>
      </c>
      <c r="BW20">
        <v>79.88</v>
      </c>
      <c r="BX20">
        <v>101.96</v>
      </c>
      <c r="BY20">
        <v>159.69</v>
      </c>
      <c r="BZ20">
        <v>71.849999999999994</v>
      </c>
      <c r="CA20">
        <v>70.94</v>
      </c>
      <c r="CB20">
        <v>40.299999999999997</v>
      </c>
      <c r="CC20">
        <v>151.99</v>
      </c>
      <c r="CD20" s="3"/>
      <c r="CE20" s="3">
        <f t="shared" si="10"/>
        <v>0</v>
      </c>
      <c r="CF20" s="3">
        <f t="shared" si="11"/>
        <v>6.2593890836254386E-4</v>
      </c>
      <c r="CG20" s="3">
        <f t="shared" si="12"/>
        <v>0.4315417810906238</v>
      </c>
      <c r="CH20" s="3">
        <f t="shared" si="13"/>
        <v>0.19763395963813501</v>
      </c>
      <c r="CI20" s="3">
        <f t="shared" si="14"/>
        <v>2.5373555117000281E-3</v>
      </c>
      <c r="CJ20" s="3">
        <f t="shared" si="15"/>
        <v>0.43672456575682389</v>
      </c>
      <c r="CK20" s="3">
        <f t="shared" si="16"/>
        <v>0.15658924929271661</v>
      </c>
      <c r="CL20" s="3"/>
      <c r="CM20" s="3">
        <f t="shared" si="111"/>
        <v>0</v>
      </c>
      <c r="CN20" s="3">
        <f t="shared" si="111"/>
        <v>1.2518778167250877E-3</v>
      </c>
      <c r="CO20" s="3">
        <f t="shared" si="112"/>
        <v>1.2946253432718713</v>
      </c>
      <c r="CP20" s="3">
        <f t="shared" si="113"/>
        <v>0.19763395963813501</v>
      </c>
      <c r="CQ20" s="3">
        <f t="shared" si="113"/>
        <v>2.5373555117000281E-3</v>
      </c>
      <c r="CR20" s="3">
        <f t="shared" si="113"/>
        <v>0.43672456575682389</v>
      </c>
      <c r="CS20" s="3">
        <f t="shared" si="114"/>
        <v>0.46976774787814984</v>
      </c>
      <c r="CT20" s="3">
        <f t="shared" si="115"/>
        <v>2.4025408498734051</v>
      </c>
      <c r="CU20">
        <v>32</v>
      </c>
      <c r="CV20" s="3">
        <f t="shared" si="116"/>
        <v>13.319232429153555</v>
      </c>
      <c r="CW20" s="3"/>
      <c r="CX20" s="3">
        <f t="shared" si="117"/>
        <v>0</v>
      </c>
      <c r="CY20" s="3">
        <f t="shared" si="118"/>
        <v>1.6674051613862737E-2</v>
      </c>
      <c r="CZ20" s="3">
        <f t="shared" si="119"/>
        <v>17.243415855710762</v>
      </c>
      <c r="DA20" s="3">
        <f t="shared" si="120"/>
        <v>2.6323326443142725</v>
      </c>
      <c r="DB20" s="3">
        <f t="shared" si="121"/>
        <v>3.379562781572653E-2</v>
      </c>
      <c r="DC20" s="3">
        <f t="shared" si="122"/>
        <v>5.816835998836293</v>
      </c>
      <c r="DD20" s="3">
        <f t="shared" si="123"/>
        <v>6.2569458217090848</v>
      </c>
      <c r="DE20" s="3">
        <f t="shared" si="124"/>
        <v>32</v>
      </c>
      <c r="DF20" s="3"/>
      <c r="DG20" s="3">
        <f t="shared" si="125"/>
        <v>0</v>
      </c>
      <c r="DH20" s="3">
        <f t="shared" si="126"/>
        <v>8.3370258069313686E-3</v>
      </c>
      <c r="DI20" s="3">
        <f t="shared" si="127"/>
        <v>11.49561057047384</v>
      </c>
      <c r="DJ20" s="3">
        <f t="shared" si="128"/>
        <v>2.6323326443142725</v>
      </c>
      <c r="DK20" s="3">
        <f t="shared" si="129"/>
        <v>3.379562781572653E-2</v>
      </c>
      <c r="DL20" s="3">
        <f t="shared" si="130"/>
        <v>5.816835998836293</v>
      </c>
      <c r="DM20" s="3">
        <f t="shared" si="131"/>
        <v>4.1712972144727232</v>
      </c>
      <c r="DN20" s="3">
        <f t="shared" si="132"/>
        <v>24.158209081719786</v>
      </c>
      <c r="DO20" s="3">
        <f t="shared" si="133"/>
        <v>0.99345112540484215</v>
      </c>
      <c r="DP20" s="3"/>
      <c r="DQ20" s="3">
        <f t="shared" si="134"/>
        <v>0</v>
      </c>
      <c r="DR20" s="3">
        <f t="shared" si="135"/>
        <v>8.2824276704251808E-3</v>
      </c>
      <c r="DS20" s="3">
        <f t="shared" si="136"/>
        <v>11.420327258453035</v>
      </c>
      <c r="DT20" s="3">
        <f t="shared" si="137"/>
        <v>2.6150938279339182</v>
      </c>
      <c r="DU20" s="3">
        <f t="shared" si="138"/>
        <v>3.3574304487296709E-2</v>
      </c>
      <c r="DV20" s="3">
        <f t="shared" si="139"/>
        <v>5.7787422693393147</v>
      </c>
      <c r="DW20" s="3">
        <f t="shared" si="140"/>
        <v>4.1439799121160101</v>
      </c>
      <c r="DX20" s="3">
        <f t="shared" si="141"/>
        <v>24</v>
      </c>
      <c r="DY20" s="3"/>
      <c r="DZ20" s="3">
        <f t="shared" si="142"/>
        <v>0.3115493080432486</v>
      </c>
      <c r="EA20" s="3">
        <f t="shared" si="143"/>
        <v>0.26624891597821776</v>
      </c>
      <c r="EB20" s="3"/>
      <c r="EC20" s="3">
        <f t="shared" si="144"/>
        <v>2.1959658538438158</v>
      </c>
      <c r="ED20" s="3">
        <f t="shared" si="145"/>
        <v>0.41912797409010238</v>
      </c>
      <c r="EE20" s="3">
        <f t="shared" si="146"/>
        <v>0.83972736671508308</v>
      </c>
      <c r="EF20" s="3">
        <f t="shared" si="147"/>
        <v>0.16027263328491687</v>
      </c>
      <c r="EG20" s="3"/>
      <c r="EH20" s="3">
        <f t="shared" si="17"/>
        <v>0</v>
      </c>
      <c r="EI20" s="3">
        <f t="shared" si="18"/>
        <v>0.05</v>
      </c>
      <c r="EJ20" s="3">
        <f t="shared" si="19"/>
        <v>44</v>
      </c>
      <c r="EK20" s="3">
        <f t="shared" si="20"/>
        <v>2.5291758786472989</v>
      </c>
      <c r="EL20" s="3">
        <f t="shared" si="21"/>
        <v>11.924128607354179</v>
      </c>
      <c r="EM20" s="3">
        <f t="shared" si="22"/>
        <v>0.18</v>
      </c>
      <c r="EN20" s="3">
        <f t="shared" si="23"/>
        <v>17.600000000000001</v>
      </c>
      <c r="EO20" s="3">
        <f t="shared" si="24"/>
        <v>23.8</v>
      </c>
      <c r="EP20" s="3">
        <f t="shared" si="148"/>
        <v>100.08330448600147</v>
      </c>
      <c r="EQ20" s="3"/>
      <c r="ER20" s="3">
        <f t="shared" si="149"/>
        <v>0</v>
      </c>
      <c r="ES20" s="3">
        <f t="shared" si="150"/>
        <v>8.2824276704251808E-3</v>
      </c>
      <c r="ET20" s="3">
        <f t="shared" si="151"/>
        <v>11.420327258453035</v>
      </c>
      <c r="EU20" s="3">
        <f t="shared" si="152"/>
        <v>0.41912797409010238</v>
      </c>
      <c r="EV20" s="3">
        <f t="shared" si="153"/>
        <v>2.1959658538438158</v>
      </c>
      <c r="EW20" s="3">
        <f t="shared" si="154"/>
        <v>3.3574304487296709E-2</v>
      </c>
      <c r="EX20" s="3">
        <f t="shared" si="155"/>
        <v>5.7787422693393147</v>
      </c>
      <c r="EY20" s="3">
        <f t="shared" si="156"/>
        <v>4.1439799121160101</v>
      </c>
      <c r="EZ20" s="3">
        <f t="shared" si="157"/>
        <v>24</v>
      </c>
      <c r="FA20" s="3"/>
      <c r="FB20" s="3">
        <f t="shared" si="158"/>
        <v>0.27536629804167539</v>
      </c>
      <c r="FC20" s="3">
        <f t="shared" si="159"/>
        <v>2.6222646777539164E-2</v>
      </c>
      <c r="FD20" s="3">
        <f t="shared" si="160"/>
        <v>0.71451018852284265</v>
      </c>
      <c r="FE20" s="3"/>
      <c r="FF20" s="3"/>
      <c r="FG20" s="3">
        <f t="shared" si="161"/>
        <v>3.4558460137741446E-4</v>
      </c>
      <c r="FH20" s="3">
        <f t="shared" si="162"/>
        <v>0.47651357793378812</v>
      </c>
      <c r="FI20" s="3">
        <f t="shared" si="163"/>
        <v>1.7488130245828723E-2</v>
      </c>
      <c r="FJ20" s="3">
        <f t="shared" si="164"/>
        <v>9.1626756602882678E-2</v>
      </c>
      <c r="FK20" s="3">
        <f t="shared" si="165"/>
        <v>0.24111823526614914</v>
      </c>
      <c r="FL20" s="3">
        <f t="shared" si="166"/>
        <v>0.17290771534997387</v>
      </c>
      <c r="FM20" s="3">
        <f t="shared" si="167"/>
        <v>2.9958032119390881</v>
      </c>
      <c r="FN20" s="3">
        <f t="shared" si="168"/>
        <v>1.6554204180149804E-2</v>
      </c>
      <c r="FO20" s="3">
        <f t="shared" si="169"/>
        <v>9.2560682668561586E-2</v>
      </c>
      <c r="FP20" s="3"/>
      <c r="FQ20" s="3">
        <f t="shared" si="25"/>
        <v>0</v>
      </c>
      <c r="FR20" s="3">
        <f t="shared" si="26"/>
        <v>1.0353034588031476E-3</v>
      </c>
      <c r="FS20" s="3">
        <f t="shared" si="27"/>
        <v>1.4275409073066294</v>
      </c>
      <c r="FT20" s="3">
        <f t="shared" si="28"/>
        <v>5.2390996761262798E-2</v>
      </c>
      <c r="FU20" s="3">
        <f t="shared" si="29"/>
        <v>0.27449573173047698</v>
      </c>
      <c r="FV20" s="3">
        <f t="shared" si="30"/>
        <v>4.1967880609120886E-3</v>
      </c>
      <c r="FW20" s="3">
        <f t="shared" si="31"/>
        <v>0.72234278366741433</v>
      </c>
      <c r="FX20" s="3">
        <f t="shared" si="32"/>
        <v>0.51799748901450127</v>
      </c>
      <c r="FZ20" s="44">
        <f t="shared" ca="1" si="170"/>
        <v>863.07729277034503</v>
      </c>
      <c r="GA20" s="44">
        <f t="shared" ca="1" si="33"/>
        <v>2.3110674649746503</v>
      </c>
      <c r="GB20" s="68">
        <f t="shared" si="171"/>
        <v>0.93242314839649465</v>
      </c>
      <c r="GC20" s="28">
        <f t="shared" ca="1" si="34"/>
        <v>799.53905161861087</v>
      </c>
      <c r="GD20" s="28"/>
      <c r="GE20" s="28">
        <f t="shared" ca="1" si="35"/>
        <v>863.07729277034503</v>
      </c>
      <c r="GF20" s="28">
        <f t="shared" ca="1" si="36"/>
        <v>795.99902181874631</v>
      </c>
      <c r="GG20" s="28">
        <f t="shared" si="37"/>
        <v>6.8441405339364216</v>
      </c>
      <c r="GH20" s="28">
        <f t="shared" ca="1" si="38"/>
        <v>2.3110674649746503</v>
      </c>
      <c r="GI20" s="28">
        <f t="shared" si="172"/>
        <v>981.64300404211315</v>
      </c>
      <c r="GJ20" s="28">
        <f t="shared" si="173"/>
        <v>869.97518627771353</v>
      </c>
      <c r="GK20" s="28">
        <f t="shared" ca="1" si="39"/>
        <v>758.4285473584398</v>
      </c>
      <c r="GL20" s="51">
        <f t="shared" si="40"/>
        <v>0.68396054073803425</v>
      </c>
      <c r="GM20" s="52"/>
      <c r="GN20" s="2">
        <f t="shared" si="41"/>
        <v>0.1664591182610744</v>
      </c>
      <c r="GP20" s="2">
        <f t="shared" si="42"/>
        <v>0.89207996098814502</v>
      </c>
      <c r="GQ20" s="2">
        <f t="shared" si="43"/>
        <v>2.1282242597535266E-3</v>
      </c>
      <c r="GR20" s="2">
        <f t="shared" si="44"/>
        <v>3.6778768352605407E-2</v>
      </c>
      <c r="GS20" s="2">
        <f t="shared" si="45"/>
        <v>2.8950650276144664E-2</v>
      </c>
      <c r="GT20" s="2">
        <f t="shared" si="46"/>
        <v>9.8678414096916309E-4</v>
      </c>
      <c r="GU20" s="2">
        <f t="shared" si="47"/>
        <v>0.39946010857375375</v>
      </c>
      <c r="GV20" s="2">
        <f t="shared" si="48"/>
        <v>0.41193065299033127</v>
      </c>
      <c r="GW20" s="2">
        <f t="shared" si="49"/>
        <v>1.1455511472452721E-2</v>
      </c>
      <c r="GX20" s="2">
        <f t="shared" si="50"/>
        <v>0</v>
      </c>
      <c r="GY20" s="2">
        <f t="shared" si="51"/>
        <v>6.8421862890481605E-3</v>
      </c>
      <c r="GZ20" s="2">
        <f t="shared" si="174"/>
        <v>1.7906128473432039</v>
      </c>
      <c r="HB20" s="36">
        <f t="shared" si="175"/>
        <v>1.78415992197629</v>
      </c>
      <c r="HC20" s="36">
        <f t="shared" si="175"/>
        <v>4.2564485195070532E-3</v>
      </c>
      <c r="HD20" s="36">
        <f t="shared" si="176"/>
        <v>0.11033630505781622</v>
      </c>
      <c r="HE20" s="36">
        <f t="shared" si="52"/>
        <v>2.8950650276144664E-2</v>
      </c>
      <c r="HF20" s="36">
        <f t="shared" si="52"/>
        <v>9.8678414096916309E-4</v>
      </c>
      <c r="HG20" s="36">
        <f t="shared" si="52"/>
        <v>0.39946010857375375</v>
      </c>
      <c r="HH20" s="36">
        <f t="shared" si="52"/>
        <v>0.41193065299033127</v>
      </c>
      <c r="HI20" s="36">
        <f t="shared" si="52"/>
        <v>1.1455511472452721E-2</v>
      </c>
      <c r="HJ20" s="36">
        <f t="shared" si="52"/>
        <v>0</v>
      </c>
      <c r="HK20" s="36">
        <f t="shared" si="177"/>
        <v>2.0526558867144482E-2</v>
      </c>
      <c r="HL20" s="36">
        <f t="shared" si="178"/>
        <v>2.7720629418744092</v>
      </c>
      <c r="HM20" s="36">
        <f t="shared" si="179"/>
        <v>2.164453017774167</v>
      </c>
      <c r="HO20" s="18">
        <f t="shared" si="53"/>
        <v>1.9308651636566516</v>
      </c>
      <c r="HP20" s="18">
        <f t="shared" si="54"/>
        <v>4.6064414215237137E-3</v>
      </c>
      <c r="HQ20" s="18">
        <f t="shared" si="180"/>
        <v>6.9134836343348383E-2</v>
      </c>
      <c r="HR20" s="18">
        <f t="shared" si="181"/>
        <v>9.0076995958279227E-2</v>
      </c>
      <c r="HS20" s="18">
        <f t="shared" si="55"/>
        <v>0.15921183230162761</v>
      </c>
      <c r="HT20" s="18">
        <f t="shared" si="56"/>
        <v>6.2662322356725836E-2</v>
      </c>
      <c r="HU20" s="18">
        <f t="shared" si="57"/>
        <v>2.135847911812394E-3</v>
      </c>
      <c r="HV20" s="18">
        <f t="shared" si="58"/>
        <v>0.86461263748285766</v>
      </c>
      <c r="HW20" s="18">
        <f t="shared" si="59"/>
        <v>0.89160454497860575</v>
      </c>
      <c r="HX20" s="18">
        <f t="shared" si="60"/>
        <v>4.9589832753393764E-2</v>
      </c>
      <c r="HY20" s="18">
        <f t="shared" si="61"/>
        <v>0</v>
      </c>
      <c r="HZ20" s="18">
        <f t="shared" si="62"/>
        <v>2.9619181523006639E-2</v>
      </c>
      <c r="IA20" s="36">
        <f t="shared" si="182"/>
        <v>3.9949078043862052</v>
      </c>
      <c r="IB20" s="36">
        <f t="shared" si="183"/>
        <v>0</v>
      </c>
      <c r="IC20" s="36">
        <f t="shared" si="184"/>
        <v>-1.5296059473124402E-2</v>
      </c>
      <c r="ID20" s="36">
        <f t="shared" si="185"/>
        <v>4.9589832753393764E-2</v>
      </c>
      <c r="IE20" s="36">
        <f t="shared" si="186"/>
        <v>4.0487163204885462E-2</v>
      </c>
      <c r="IF20" s="36">
        <f t="shared" si="187"/>
        <v>1.432383656923146E-2</v>
      </c>
      <c r="IG20" s="36">
        <f t="shared" si="188"/>
        <v>1.480959076150332E-2</v>
      </c>
      <c r="IH20" s="36">
        <f t="shared" si="189"/>
        <v>0.82198395444298555</v>
      </c>
      <c r="II20" s="36">
        <f t="shared" si="190"/>
        <v>5.2645502698298985E-2</v>
      </c>
      <c r="IJ20" s="36">
        <f t="shared" si="191"/>
        <v>4.8975078146242718E-2</v>
      </c>
      <c r="IK20" s="36">
        <f t="shared" si="192"/>
        <v>0.76467554378778035</v>
      </c>
      <c r="IL20" s="36">
        <f t="shared" si="193"/>
        <v>0.99383988043029858</v>
      </c>
      <c r="IM20" s="36">
        <f t="shared" si="194"/>
        <v>0.82198395444298555</v>
      </c>
      <c r="IN20" s="36"/>
      <c r="IO20" s="2">
        <f t="shared" si="195"/>
        <v>0.93242314839649476</v>
      </c>
      <c r="IP20" s="36">
        <f t="shared" si="196"/>
        <v>6.2662322356725836E-2</v>
      </c>
      <c r="IQ20" s="53">
        <f t="shared" si="197"/>
        <v>0.22592586650107171</v>
      </c>
      <c r="IR20" s="18">
        <f t="shared" si="198"/>
        <v>0.63370647489129583</v>
      </c>
      <c r="IS20" s="18">
        <f t="shared" si="199"/>
        <v>0.35658809613272274</v>
      </c>
      <c r="IT20" s="18">
        <f t="shared" si="63"/>
        <v>0.81652050912520746</v>
      </c>
      <c r="IU20" s="18">
        <f t="shared" si="64"/>
        <v>5.9176871971983014E-2</v>
      </c>
      <c r="IV20" s="18">
        <f t="shared" si="65"/>
        <v>5.2840209424115846E-2</v>
      </c>
      <c r="IW20" s="18">
        <f t="shared" si="66"/>
        <v>3.8295649320722494E-3</v>
      </c>
      <c r="IX20" s="18">
        <f t="shared" si="67"/>
        <v>4.3145114701261658E-2</v>
      </c>
      <c r="IY20" s="18">
        <f t="shared" si="68"/>
        <v>5.179537914565828E-2</v>
      </c>
      <c r="IZ20" s="2">
        <f t="shared" si="69"/>
        <v>0.93701682469463732</v>
      </c>
      <c r="JA20" s="2">
        <f t="shared" si="70"/>
        <v>5.0075864935377097E-4</v>
      </c>
      <c r="JB20" s="2">
        <f t="shared" si="71"/>
        <v>3.187493257225802E-2</v>
      </c>
      <c r="JC20" s="2">
        <f t="shared" si="72"/>
        <v>8.7547879921610547E-2</v>
      </c>
      <c r="JD20" s="2">
        <f t="shared" si="73"/>
        <v>1.6916299559471366E-3</v>
      </c>
      <c r="JE20" s="2">
        <f t="shared" si="74"/>
        <v>0.82621252270223589</v>
      </c>
      <c r="JF20" s="2">
        <f t="shared" si="75"/>
        <v>8.7379229422191469E-3</v>
      </c>
      <c r="JG20" s="2">
        <f t="shared" si="76"/>
        <v>3.2269046401275274E-4</v>
      </c>
      <c r="JH20" s="2">
        <f t="shared" si="77"/>
        <v>0</v>
      </c>
      <c r="JI20" s="2">
        <f t="shared" si="78"/>
        <v>3.4868833973033895E-3</v>
      </c>
      <c r="JJ20" s="2">
        <f t="shared" si="200"/>
        <v>1.8973920452995778</v>
      </c>
      <c r="JL20" s="36">
        <f t="shared" si="201"/>
        <v>1.8740336493892746</v>
      </c>
      <c r="JM20" s="36">
        <f t="shared" si="201"/>
        <v>1.0015172987075419E-3</v>
      </c>
      <c r="JN20" s="36">
        <f t="shared" si="202"/>
        <v>9.5624797716774068E-2</v>
      </c>
      <c r="JO20" s="36">
        <f t="shared" si="79"/>
        <v>8.7547879921610547E-2</v>
      </c>
      <c r="JP20" s="36">
        <f t="shared" si="79"/>
        <v>1.6916299559471366E-3</v>
      </c>
      <c r="JQ20" s="36">
        <f t="shared" si="79"/>
        <v>0.82621252270223589</v>
      </c>
      <c r="JR20" s="36">
        <f t="shared" si="79"/>
        <v>8.7379229422191469E-3</v>
      </c>
      <c r="JS20" s="36">
        <f t="shared" si="79"/>
        <v>3.2269046401275274E-4</v>
      </c>
      <c r="JT20" s="36">
        <f t="shared" si="79"/>
        <v>0</v>
      </c>
      <c r="JU20" s="36">
        <f t="shared" si="203"/>
        <v>1.0460650191910168E-2</v>
      </c>
      <c r="JV20" s="36">
        <f t="shared" si="204"/>
        <v>2.9056332605826918</v>
      </c>
      <c r="JW20" s="36">
        <f t="shared" si="205"/>
        <v>2.0649543359084372</v>
      </c>
      <c r="JY20" s="18">
        <f t="shared" si="80"/>
        <v>1.9348969549723474</v>
      </c>
      <c r="JZ20" s="18">
        <f t="shared" si="81"/>
        <v>1.034043744226722E-3</v>
      </c>
      <c r="KA20" s="18">
        <f t="shared" si="206"/>
        <v>6.5103045027652628E-2</v>
      </c>
      <c r="KB20" s="18">
        <f t="shared" si="207"/>
        <v>6.6537515416093929E-2</v>
      </c>
      <c r="KC20" s="18">
        <f t="shared" si="82"/>
        <v>0.13164056044374656</v>
      </c>
      <c r="KD20" s="18">
        <f t="shared" si="83"/>
        <v>0.1807823742437209</v>
      </c>
      <c r="KE20" s="18">
        <f t="shared" si="84"/>
        <v>3.4931386122856382E-3</v>
      </c>
      <c r="KF20" s="18">
        <f t="shared" si="85"/>
        <v>1.7060911311358302</v>
      </c>
      <c r="KG20" s="18">
        <f t="shared" si="86"/>
        <v>1.8043411866369236E-2</v>
      </c>
      <c r="KH20" s="18">
        <f t="shared" si="87"/>
        <v>1.3326821456388785E-3</v>
      </c>
      <c r="KI20" s="18">
        <f t="shared" si="88"/>
        <v>0</v>
      </c>
      <c r="KJ20" s="18">
        <f t="shared" si="89"/>
        <v>1.4400509980137552E-2</v>
      </c>
      <c r="KK20" s="36">
        <f t="shared" si="208"/>
        <v>3.9917148071443029</v>
      </c>
      <c r="KL20" s="36">
        <f t="shared" si="209"/>
        <v>0</v>
      </c>
      <c r="KM20" s="36">
        <f t="shared" si="210"/>
        <v>-2.490716874121901E-2</v>
      </c>
      <c r="KN20" s="36">
        <f t="shared" si="211"/>
        <v>1.3326821456388785E-3</v>
      </c>
      <c r="KO20" s="36">
        <f t="shared" si="212"/>
        <v>1.034043744226722E-3</v>
      </c>
      <c r="KP20" s="36">
        <f t="shared" si="213"/>
        <v>1.4400509980137552E-2</v>
      </c>
      <c r="KQ20" s="36">
        <f t="shared" si="214"/>
        <v>5.0804323290317498E-2</v>
      </c>
      <c r="KR20" s="36">
        <f t="shared" si="215"/>
        <v>1.8043411866369236E-2</v>
      </c>
      <c r="KS20" s="36">
        <f t="shared" si="216"/>
        <v>0.91024243254546167</v>
      </c>
      <c r="KT20" s="36">
        <f t="shared" si="217"/>
        <v>0.82151076156844338</v>
      </c>
      <c r="KU20" s="36">
        <f t="shared" si="218"/>
        <v>1.6284515524268045E-2</v>
      </c>
      <c r="KV20" s="53">
        <f t="shared" si="219"/>
        <v>0.73440012204249416</v>
      </c>
      <c r="KW20" s="36">
        <f t="shared" si="220"/>
        <v>1.8043411866369236E-2</v>
      </c>
      <c r="KX20" s="36">
        <f t="shared" si="221"/>
        <v>9.5810542534146143E-2</v>
      </c>
      <c r="KY20" s="36">
        <f t="shared" si="222"/>
        <v>0.74935844436226084</v>
      </c>
      <c r="KZ20" s="18">
        <f t="shared" si="223"/>
        <v>0.90418945746585389</v>
      </c>
      <c r="LA20" s="18">
        <f t="shared" si="224"/>
        <v>0.8300711767423895</v>
      </c>
      <c r="LB20" s="18">
        <f t="shared" si="225"/>
        <v>8.7956754117152286E-2</v>
      </c>
      <c r="LC20" s="18">
        <f t="shared" si="226"/>
        <v>0.88351133842663332</v>
      </c>
      <c r="LD20" s="18">
        <f t="shared" si="227"/>
        <v>9.3619428949072936E-2</v>
      </c>
      <c r="LE20" s="54">
        <f t="shared" si="228"/>
        <v>0.73337729635303905</v>
      </c>
      <c r="LF20" s="36">
        <f t="shared" si="229"/>
        <v>0.99585740357215158</v>
      </c>
      <c r="LH20" s="2" t="str">
        <f t="shared" si="90"/>
        <v xml:space="preserve">ABG05-1 </v>
      </c>
      <c r="LI20" s="2">
        <f t="shared" si="230"/>
        <v>15</v>
      </c>
      <c r="LK20" s="2">
        <f t="shared" si="91"/>
        <v>0.10875823928542296</v>
      </c>
      <c r="LL20" s="2">
        <f t="shared" si="231"/>
        <v>1021.8443904884707</v>
      </c>
      <c r="LN20" s="2">
        <f t="shared" si="92"/>
        <v>899.26075130722472</v>
      </c>
      <c r="LO20" s="2">
        <f t="shared" si="93"/>
        <v>816.50928791789556</v>
      </c>
      <c r="LP20" s="2">
        <f t="shared" si="94"/>
        <v>1079.6310236604165</v>
      </c>
      <c r="LQ20" s="2">
        <f t="shared" si="95"/>
        <v>944.20296279844217</v>
      </c>
      <c r="LR20" s="2">
        <f t="shared" si="232"/>
        <v>5.883072044337205E-2</v>
      </c>
      <c r="LS20" s="2">
        <f t="shared" si="233"/>
        <v>782.8637484770428</v>
      </c>
      <c r="LT20" s="2">
        <f t="shared" si="96"/>
        <v>895.40657277159869</v>
      </c>
      <c r="LV20" s="2">
        <f t="shared" si="234"/>
        <v>981.64300404211315</v>
      </c>
      <c r="LW20" s="2">
        <f t="shared" si="235"/>
        <v>795.07942974888317</v>
      </c>
      <c r="LY20" s="2">
        <f t="shared" si="97"/>
        <v>51.262503722407224</v>
      </c>
      <c r="LZ20" s="2">
        <f t="shared" si="98"/>
        <v>38.678693063877084</v>
      </c>
      <c r="MB20" s="2">
        <f t="shared" si="236"/>
        <v>25.89565</v>
      </c>
      <c r="MC20" s="2">
        <f t="shared" si="237"/>
        <v>31.143099999999997</v>
      </c>
      <c r="MD20" s="2">
        <f t="shared" si="238"/>
        <v>2.3649999999999984</v>
      </c>
      <c r="ME20" s="2">
        <f t="shared" si="99"/>
        <v>325.35218290745627</v>
      </c>
      <c r="MF20" s="2">
        <f t="shared" si="100"/>
        <v>981.65006148055488</v>
      </c>
      <c r="MH20" s="2">
        <f t="shared" si="239"/>
        <v>891.24561494124407</v>
      </c>
      <c r="MI20" s="2">
        <f>-273.15+((35000+61.5*LI20)/((LN(KH20/HX20))^2+19.8))</f>
        <v>819.39210710118653</v>
      </c>
      <c r="MK20" s="2">
        <f t="shared" si="240"/>
        <v>869.97518627771353</v>
      </c>
      <c r="MM20" s="2">
        <f t="shared" si="101"/>
        <v>6.8441405339364216</v>
      </c>
      <c r="MN20" s="2">
        <f t="shared" si="241"/>
        <v>-8.1558594660635784</v>
      </c>
      <c r="MO20" s="3">
        <f t="shared" si="102"/>
        <v>15</v>
      </c>
    </row>
    <row r="21" spans="1:353" ht="15" x14ac:dyDescent="0.2">
      <c r="A21" s="50">
        <v>1.5</v>
      </c>
      <c r="B21" s="74" t="s">
        <v>202</v>
      </c>
      <c r="C21" s="3" t="s">
        <v>212</v>
      </c>
      <c r="E21" s="69">
        <v>53.4</v>
      </c>
      <c r="F21" s="69">
        <v>0.06</v>
      </c>
      <c r="G21" s="69">
        <v>4.41</v>
      </c>
      <c r="H21" s="69">
        <v>2.2599999999999998</v>
      </c>
      <c r="I21" s="69">
        <v>0.06</v>
      </c>
      <c r="J21" s="69">
        <v>15.6</v>
      </c>
      <c r="K21" s="69">
        <v>22.5</v>
      </c>
      <c r="L21" s="69">
        <v>0.98</v>
      </c>
      <c r="M21" s="69"/>
      <c r="N21" s="69">
        <v>0.94</v>
      </c>
      <c r="P21" s="69">
        <v>56.1</v>
      </c>
      <c r="Q21" s="69">
        <v>0.02</v>
      </c>
      <c r="R21" s="69">
        <v>3.62</v>
      </c>
      <c r="S21" s="69">
        <v>6.51</v>
      </c>
      <c r="T21" s="69">
        <v>0.14000000000000001</v>
      </c>
      <c r="U21" s="69">
        <v>32.9</v>
      </c>
      <c r="V21" s="69">
        <v>0.52</v>
      </c>
      <c r="W21" s="69">
        <v>0.04</v>
      </c>
      <c r="X21" s="69"/>
      <c r="Y21" s="69">
        <v>0.48</v>
      </c>
      <c r="Z21" s="3"/>
      <c r="AA21" s="69">
        <v>40.799999999999997</v>
      </c>
      <c r="AB21" s="69">
        <v>0.01</v>
      </c>
      <c r="AC21" s="69">
        <v>0.01</v>
      </c>
      <c r="AD21" s="69">
        <v>9.31</v>
      </c>
      <c r="AE21" s="69">
        <v>0.11</v>
      </c>
      <c r="AF21" s="69">
        <v>48.5</v>
      </c>
      <c r="AG21" s="69">
        <v>0.02</v>
      </c>
      <c r="AH21" s="69"/>
      <c r="AI21" s="69"/>
      <c r="AJ21" s="69">
        <v>0.01</v>
      </c>
      <c r="AK21" s="3">
        <f t="shared" si="0"/>
        <v>9.721453902684668E-2</v>
      </c>
      <c r="AL21" s="3">
        <f t="shared" si="1"/>
        <v>0.90278546097315338</v>
      </c>
      <c r="AM21" s="69"/>
      <c r="AN21" s="69">
        <v>0.02</v>
      </c>
      <c r="AO21" s="69">
        <v>50.7</v>
      </c>
      <c r="AP21" s="69">
        <v>12.8</v>
      </c>
      <c r="AQ21" s="69">
        <v>0.16</v>
      </c>
      <c r="AR21" s="69">
        <v>18.399999999999999</v>
      </c>
      <c r="AS21" s="69"/>
      <c r="AT21" s="69"/>
      <c r="AU21" s="69"/>
      <c r="AV21" s="69">
        <v>17.5</v>
      </c>
      <c r="AW21" s="3"/>
      <c r="AX21" s="63">
        <f t="shared" si="2"/>
        <v>-1.5092106838782779</v>
      </c>
      <c r="AY21" s="63">
        <f t="shared" ca="1" si="3"/>
        <v>-1.4612329065807346</v>
      </c>
      <c r="AZ21" s="61"/>
      <c r="BA21" s="63">
        <f t="shared" si="103"/>
        <v>-1.3693198345303688</v>
      </c>
      <c r="BB21" s="63">
        <f t="shared" ca="1" si="104"/>
        <v>-1.1762125917655228</v>
      </c>
      <c r="BC21" s="3"/>
      <c r="BD21" s="64">
        <f t="shared" si="105"/>
        <v>-2.5525417407679694</v>
      </c>
      <c r="BE21" s="64">
        <f t="shared" ca="1" si="106"/>
        <v>-2.4520515542467032</v>
      </c>
      <c r="BF21" s="64">
        <f t="shared" si="4"/>
        <v>-0.92715767880863442</v>
      </c>
      <c r="BG21" s="64">
        <f t="shared" ca="1" si="5"/>
        <v>-0.84626649555630884</v>
      </c>
      <c r="BH21" s="3"/>
      <c r="BI21" s="64">
        <f t="shared" si="6"/>
        <v>-11.772648595488446</v>
      </c>
      <c r="BJ21" s="64">
        <f t="shared" ca="1" si="7"/>
        <v>-12.913120028192241</v>
      </c>
      <c r="BK21" s="61"/>
      <c r="BL21" s="61"/>
      <c r="BM21" s="64">
        <f t="shared" si="107"/>
        <v>-13.281859279366724</v>
      </c>
      <c r="BN21" s="64">
        <f t="shared" ca="1" si="108"/>
        <v>-14.374352934772975</v>
      </c>
      <c r="BO21" s="76"/>
      <c r="BP21" s="64">
        <f t="shared" si="109"/>
        <v>-13.141968430018816</v>
      </c>
      <c r="BQ21" s="64">
        <f t="shared" ca="1" si="110"/>
        <v>-14.089332619957764</v>
      </c>
      <c r="BR21" s="61"/>
      <c r="BS21" s="64">
        <f t="shared" si="8"/>
        <v>-12.699806274297082</v>
      </c>
      <c r="BT21" s="64">
        <f t="shared" ca="1" si="9"/>
        <v>-13.75938652374855</v>
      </c>
      <c r="BU21" s="3"/>
      <c r="BV21">
        <v>60.08</v>
      </c>
      <c r="BW21">
        <v>79.88</v>
      </c>
      <c r="BX21">
        <v>101.96</v>
      </c>
      <c r="BY21">
        <v>159.69</v>
      </c>
      <c r="BZ21">
        <v>71.849999999999994</v>
      </c>
      <c r="CA21">
        <v>70.94</v>
      </c>
      <c r="CB21">
        <v>40.299999999999997</v>
      </c>
      <c r="CC21">
        <v>151.99</v>
      </c>
      <c r="CD21" s="3"/>
      <c r="CE21" s="3">
        <f t="shared" si="10"/>
        <v>0</v>
      </c>
      <c r="CF21" s="3">
        <f t="shared" si="11"/>
        <v>2.5037556334501755E-4</v>
      </c>
      <c r="CG21" s="3">
        <f t="shared" si="12"/>
        <v>0.49725382502942334</v>
      </c>
      <c r="CH21" s="3">
        <f t="shared" si="13"/>
        <v>0.17814892136395272</v>
      </c>
      <c r="CI21" s="3">
        <f t="shared" si="14"/>
        <v>2.2554271215111362E-3</v>
      </c>
      <c r="CJ21" s="3">
        <f t="shared" si="15"/>
        <v>0.45657568238213397</v>
      </c>
      <c r="CK21" s="3">
        <f t="shared" si="16"/>
        <v>0.1151391538917034</v>
      </c>
      <c r="CL21" s="3"/>
      <c r="CM21" s="3">
        <f t="shared" si="111"/>
        <v>0</v>
      </c>
      <c r="CN21" s="3">
        <f t="shared" si="111"/>
        <v>5.0075112669003511E-4</v>
      </c>
      <c r="CO21" s="3">
        <f t="shared" si="112"/>
        <v>1.49176147508827</v>
      </c>
      <c r="CP21" s="3">
        <f t="shared" si="113"/>
        <v>0.17814892136395272</v>
      </c>
      <c r="CQ21" s="3">
        <f t="shared" si="113"/>
        <v>2.2554271215111362E-3</v>
      </c>
      <c r="CR21" s="3">
        <f t="shared" si="113"/>
        <v>0.45657568238213397</v>
      </c>
      <c r="CS21" s="3">
        <f t="shared" si="114"/>
        <v>0.34541746167511023</v>
      </c>
      <c r="CT21" s="3">
        <f t="shared" si="115"/>
        <v>2.4746597187576684</v>
      </c>
      <c r="CU21">
        <v>32</v>
      </c>
      <c r="CV21" s="3">
        <f t="shared" si="116"/>
        <v>12.931070788215148</v>
      </c>
      <c r="CW21" s="3"/>
      <c r="CX21" s="3">
        <f t="shared" si="117"/>
        <v>0</v>
      </c>
      <c r="CY21" s="3">
        <f t="shared" si="118"/>
        <v>6.4752482665073356E-3</v>
      </c>
      <c r="CZ21" s="3">
        <f t="shared" si="119"/>
        <v>19.290073233498667</v>
      </c>
      <c r="DA21" s="3">
        <f t="shared" si="120"/>
        <v>2.3036563130014467</v>
      </c>
      <c r="DB21" s="3">
        <f t="shared" si="121"/>
        <v>2.9165087765920829E-2</v>
      </c>
      <c r="DC21" s="3">
        <f t="shared" si="122"/>
        <v>5.9040124690610103</v>
      </c>
      <c r="DD21" s="3">
        <f t="shared" si="123"/>
        <v>4.4666176484064435</v>
      </c>
      <c r="DE21" s="3">
        <f t="shared" si="124"/>
        <v>31.999999999999996</v>
      </c>
      <c r="DF21" s="3"/>
      <c r="DG21" s="3">
        <f t="shared" si="125"/>
        <v>0</v>
      </c>
      <c r="DH21" s="3">
        <f t="shared" si="126"/>
        <v>3.2376241332536678E-3</v>
      </c>
      <c r="DI21" s="3">
        <f t="shared" si="127"/>
        <v>12.860048822332445</v>
      </c>
      <c r="DJ21" s="3">
        <f t="shared" si="128"/>
        <v>2.3036563130014467</v>
      </c>
      <c r="DK21" s="3">
        <f t="shared" si="129"/>
        <v>2.9165087765920829E-2</v>
      </c>
      <c r="DL21" s="3">
        <f t="shared" si="130"/>
        <v>5.9040124690610103</v>
      </c>
      <c r="DM21" s="3">
        <f t="shared" si="131"/>
        <v>2.9777450989376288</v>
      </c>
      <c r="DN21" s="3">
        <f t="shared" si="132"/>
        <v>24.077865415231706</v>
      </c>
      <c r="DO21" s="3">
        <f t="shared" si="133"/>
        <v>0.99676609973978636</v>
      </c>
      <c r="DP21" s="3"/>
      <c r="DQ21" s="3">
        <f t="shared" si="134"/>
        <v>0</v>
      </c>
      <c r="DR21" s="3">
        <f t="shared" si="135"/>
        <v>3.2271539797266648E-3</v>
      </c>
      <c r="DS21" s="3">
        <f t="shared" si="136"/>
        <v>12.818460707099543</v>
      </c>
      <c r="DT21" s="3">
        <f t="shared" si="137"/>
        <v>2.2962065182513887</v>
      </c>
      <c r="DU21" s="3">
        <f t="shared" si="138"/>
        <v>2.9070770781005464E-2</v>
      </c>
      <c r="DV21" s="3">
        <f t="shared" si="139"/>
        <v>5.8849194816010097</v>
      </c>
      <c r="DW21" s="3">
        <f t="shared" si="140"/>
        <v>2.9681153682873247</v>
      </c>
      <c r="DX21" s="3">
        <f t="shared" si="141"/>
        <v>24</v>
      </c>
      <c r="DY21" s="3"/>
      <c r="DZ21" s="3">
        <f t="shared" si="142"/>
        <v>0.28067120813110769</v>
      </c>
      <c r="EA21" s="3">
        <f t="shared" si="143"/>
        <v>0.18801514363301147</v>
      </c>
      <c r="EB21" s="3"/>
      <c r="EC21" s="3">
        <f t="shared" si="144"/>
        <v>2.0892369015977157</v>
      </c>
      <c r="ED21" s="3">
        <f t="shared" si="145"/>
        <v>0.20696961665367297</v>
      </c>
      <c r="EE21" s="3">
        <f t="shared" si="146"/>
        <v>0.90986454615097734</v>
      </c>
      <c r="EF21" s="3">
        <f t="shared" si="147"/>
        <v>9.013545384902262E-2</v>
      </c>
      <c r="EG21" s="3"/>
      <c r="EH21" s="3">
        <f t="shared" si="17"/>
        <v>0</v>
      </c>
      <c r="EI21" s="3">
        <f t="shared" si="18"/>
        <v>0.02</v>
      </c>
      <c r="EJ21" s="3">
        <f t="shared" si="19"/>
        <v>50.7</v>
      </c>
      <c r="EK21" s="3">
        <f t="shared" si="20"/>
        <v>1.2821443822389611</v>
      </c>
      <c r="EL21" s="3">
        <f t="shared" si="21"/>
        <v>11.646266190732511</v>
      </c>
      <c r="EM21" s="3">
        <f t="shared" si="22"/>
        <v>0.16</v>
      </c>
      <c r="EN21" s="3">
        <f t="shared" si="23"/>
        <v>18.399999999999999</v>
      </c>
      <c r="EO21" s="3">
        <f t="shared" si="24"/>
        <v>17.5</v>
      </c>
      <c r="EP21" s="3">
        <f t="shared" si="148"/>
        <v>99.708410572971474</v>
      </c>
      <c r="EQ21" s="3"/>
      <c r="ER21" s="3">
        <f t="shared" si="149"/>
        <v>0</v>
      </c>
      <c r="ES21" s="3">
        <f t="shared" si="150"/>
        <v>3.2271539797266648E-3</v>
      </c>
      <c r="ET21" s="3">
        <f t="shared" si="151"/>
        <v>12.818460707099543</v>
      </c>
      <c r="EU21" s="3">
        <f t="shared" si="152"/>
        <v>0.20696961665367297</v>
      </c>
      <c r="EV21" s="3">
        <f t="shared" si="153"/>
        <v>2.0892369015977157</v>
      </c>
      <c r="EW21" s="3">
        <f t="shared" si="154"/>
        <v>2.9070770781005464E-2</v>
      </c>
      <c r="EX21" s="3">
        <f t="shared" si="155"/>
        <v>5.8849194816010097</v>
      </c>
      <c r="EY21" s="3">
        <f t="shared" si="156"/>
        <v>2.9681153682873247</v>
      </c>
      <c r="EZ21" s="3">
        <f t="shared" si="157"/>
        <v>24</v>
      </c>
      <c r="FA21" s="3"/>
      <c r="FB21" s="3">
        <f t="shared" si="158"/>
        <v>0.26200099436219565</v>
      </c>
      <c r="FC21" s="3">
        <f t="shared" si="159"/>
        <v>1.2940821293721936E-2</v>
      </c>
      <c r="FD21" s="3">
        <f t="shared" si="160"/>
        <v>0.80147710544753481</v>
      </c>
      <c r="FE21" s="3"/>
      <c r="FF21" s="3"/>
      <c r="FG21" s="3">
        <f t="shared" si="161"/>
        <v>1.3462782142767228E-4</v>
      </c>
      <c r="FH21" s="3">
        <f t="shared" si="162"/>
        <v>0.53475026289238214</v>
      </c>
      <c r="FI21" s="3">
        <f t="shared" si="163"/>
        <v>8.6341924701605049E-3</v>
      </c>
      <c r="FJ21" s="3">
        <f t="shared" si="164"/>
        <v>8.715710941447663E-2</v>
      </c>
      <c r="FK21" s="3">
        <f t="shared" si="165"/>
        <v>0.24550235100722248</v>
      </c>
      <c r="FL21" s="3">
        <f t="shared" si="166"/>
        <v>0.12382145639433062</v>
      </c>
      <c r="FM21" s="3">
        <f t="shared" si="167"/>
        <v>2.996366153652374</v>
      </c>
      <c r="FN21" s="3">
        <f t="shared" si="168"/>
        <v>7.8256917370985203E-3</v>
      </c>
      <c r="FO21" s="3">
        <f t="shared" si="169"/>
        <v>8.7965610147538509E-2</v>
      </c>
      <c r="FP21" s="3"/>
      <c r="FQ21" s="3">
        <f t="shared" si="25"/>
        <v>0</v>
      </c>
      <c r="FR21" s="3">
        <f t="shared" si="26"/>
        <v>4.033942474658331E-4</v>
      </c>
      <c r="FS21" s="3">
        <f t="shared" si="27"/>
        <v>1.6023075883874429</v>
      </c>
      <c r="FT21" s="3">
        <f t="shared" si="28"/>
        <v>2.5871202081709122E-2</v>
      </c>
      <c r="FU21" s="3">
        <f t="shared" si="29"/>
        <v>0.26115461269971446</v>
      </c>
      <c r="FV21" s="3">
        <f t="shared" si="30"/>
        <v>3.6338463476256831E-3</v>
      </c>
      <c r="FW21" s="3">
        <f t="shared" si="31"/>
        <v>0.73561493520012622</v>
      </c>
      <c r="FX21" s="3">
        <f t="shared" si="32"/>
        <v>0.37101442103591559</v>
      </c>
      <c r="FZ21" s="44">
        <f t="shared" ca="1" si="170"/>
        <v>864.09898788617704</v>
      </c>
      <c r="GA21" s="44">
        <f t="shared" ca="1" si="33"/>
        <v>2.4601099409400184</v>
      </c>
      <c r="GB21" s="68">
        <f t="shared" si="171"/>
        <v>0.92483821971351865</v>
      </c>
      <c r="GC21" s="28">
        <f t="shared" ca="1" si="34"/>
        <v>809.91910574524979</v>
      </c>
      <c r="GD21" s="28"/>
      <c r="GE21" s="28">
        <f t="shared" ca="1" si="35"/>
        <v>864.09898788617704</v>
      </c>
      <c r="GF21" s="28">
        <f t="shared" ca="1" si="36"/>
        <v>806.1964122913879</v>
      </c>
      <c r="GG21" s="28">
        <f t="shared" si="37"/>
        <v>8.4224778187935598</v>
      </c>
      <c r="GH21" s="28">
        <f t="shared" ca="1" si="38"/>
        <v>2.4601099409400184</v>
      </c>
      <c r="GI21" s="28">
        <f t="shared" si="172"/>
        <v>978.98367969170965</v>
      </c>
      <c r="GJ21" s="28">
        <f t="shared" si="173"/>
        <v>870.15074902678327</v>
      </c>
      <c r="GK21" s="28">
        <f t="shared" ca="1" si="39"/>
        <v>759.54194813712138</v>
      </c>
      <c r="GL21" s="51">
        <f t="shared" si="40"/>
        <v>0.73214778053487728</v>
      </c>
      <c r="GM21" s="52"/>
      <c r="GN21" s="2">
        <f t="shared" si="41"/>
        <v>0.14866802575139862</v>
      </c>
      <c r="GP21" s="2">
        <f t="shared" si="42"/>
        <v>0.88875130441729366</v>
      </c>
      <c r="GQ21" s="2">
        <f t="shared" si="43"/>
        <v>7.511379740306564E-4</v>
      </c>
      <c r="GR21" s="2">
        <f t="shared" si="44"/>
        <v>4.3251831582663963E-2</v>
      </c>
      <c r="GS21" s="2">
        <f t="shared" si="45"/>
        <v>3.1455995011580258E-2</v>
      </c>
      <c r="GT21" s="2">
        <f t="shared" si="46"/>
        <v>8.458149779735683E-4</v>
      </c>
      <c r="GU21" s="2">
        <f t="shared" si="47"/>
        <v>0.38705451513978623</v>
      </c>
      <c r="GV21" s="2">
        <f t="shared" si="48"/>
        <v>0.40123115551006289</v>
      </c>
      <c r="GW21" s="2">
        <f t="shared" si="49"/>
        <v>1.5811832736624884E-2</v>
      </c>
      <c r="GX21" s="2">
        <f t="shared" si="50"/>
        <v>0</v>
      </c>
      <c r="GY21" s="2">
        <f t="shared" si="51"/>
        <v>6.1842837612550673E-3</v>
      </c>
      <c r="GZ21" s="2">
        <f t="shared" si="174"/>
        <v>1.7753378711112713</v>
      </c>
      <c r="HB21" s="36">
        <f t="shared" si="175"/>
        <v>1.7775026088345873</v>
      </c>
      <c r="HC21" s="36">
        <f t="shared" si="175"/>
        <v>1.5022759480613128E-3</v>
      </c>
      <c r="HD21" s="36">
        <f t="shared" si="176"/>
        <v>0.12975549474799189</v>
      </c>
      <c r="HE21" s="36">
        <f t="shared" si="52"/>
        <v>3.1455995011580258E-2</v>
      </c>
      <c r="HF21" s="36">
        <f t="shared" si="52"/>
        <v>8.458149779735683E-4</v>
      </c>
      <c r="HG21" s="36">
        <f t="shared" si="52"/>
        <v>0.38705451513978623</v>
      </c>
      <c r="HH21" s="36">
        <f t="shared" si="52"/>
        <v>0.40123115551006289</v>
      </c>
      <c r="HI21" s="36">
        <f t="shared" si="52"/>
        <v>1.5811832736624884E-2</v>
      </c>
      <c r="HJ21" s="36">
        <f t="shared" si="52"/>
        <v>0</v>
      </c>
      <c r="HK21" s="36">
        <f t="shared" si="177"/>
        <v>1.8552851283765201E-2</v>
      </c>
      <c r="HL21" s="36">
        <f t="shared" si="178"/>
        <v>2.7637125441904336</v>
      </c>
      <c r="HM21" s="36">
        <f t="shared" si="179"/>
        <v>2.1709927874418513</v>
      </c>
      <c r="HO21" s="18">
        <f t="shared" si="53"/>
        <v>1.9294726717194817</v>
      </c>
      <c r="HP21" s="18">
        <f t="shared" si="54"/>
        <v>1.6307151239942396E-3</v>
      </c>
      <c r="HQ21" s="18">
        <f t="shared" si="180"/>
        <v>7.0527328280518331E-2</v>
      </c>
      <c r="HR21" s="18">
        <f t="shared" si="181"/>
        <v>0.11727150053870794</v>
      </c>
      <c r="HS21" s="18">
        <f t="shared" si="55"/>
        <v>0.18779882881922627</v>
      </c>
      <c r="HT21" s="18">
        <f t="shared" si="56"/>
        <v>6.8290738291947595E-2</v>
      </c>
      <c r="HU21" s="18">
        <f t="shared" si="57"/>
        <v>1.8362582166909051E-3</v>
      </c>
      <c r="HV21" s="18">
        <f t="shared" si="58"/>
        <v>0.84029256071527869</v>
      </c>
      <c r="HW21" s="18">
        <f t="shared" si="59"/>
        <v>0.87106994470930632</v>
      </c>
      <c r="HX21" s="18">
        <f t="shared" si="60"/>
        <v>6.865474965489915E-2</v>
      </c>
      <c r="HY21" s="18">
        <f t="shared" si="61"/>
        <v>0</v>
      </c>
      <c r="HZ21" s="18">
        <f t="shared" si="62"/>
        <v>2.685207088235703E-2</v>
      </c>
      <c r="IA21" s="36">
        <f t="shared" si="182"/>
        <v>3.9958985381331824</v>
      </c>
      <c r="IB21" s="36">
        <f t="shared" si="183"/>
        <v>0</v>
      </c>
      <c r="IC21" s="36">
        <f t="shared" si="184"/>
        <v>-1.2317015042329515E-2</v>
      </c>
      <c r="ID21" s="36">
        <f t="shared" si="185"/>
        <v>6.865474965489915E-2</v>
      </c>
      <c r="IE21" s="36">
        <f t="shared" si="186"/>
        <v>4.861675088380879E-2</v>
      </c>
      <c r="IF21" s="36">
        <f t="shared" si="187"/>
        <v>1.095528869835477E-2</v>
      </c>
      <c r="IG21" s="36">
        <f t="shared" si="188"/>
        <v>1.3426035441178515E-2</v>
      </c>
      <c r="IH21" s="36">
        <f t="shared" si="189"/>
        <v>0.79807186968596433</v>
      </c>
      <c r="II21" s="36">
        <f t="shared" si="190"/>
        <v>5.525571466063095E-2</v>
      </c>
      <c r="IJ21" s="36">
        <f t="shared" si="191"/>
        <v>5.0999526095323856E-2</v>
      </c>
      <c r="IK21" s="36">
        <f t="shared" si="192"/>
        <v>0.7365986919899965</v>
      </c>
      <c r="IL21" s="36">
        <f t="shared" si="193"/>
        <v>0.99498040902483653</v>
      </c>
      <c r="IM21" s="36">
        <f t="shared" si="194"/>
        <v>0.79807186968596422</v>
      </c>
      <c r="IN21" s="36"/>
      <c r="IO21" s="2">
        <f t="shared" si="195"/>
        <v>0.92483821971351865</v>
      </c>
      <c r="IP21" s="36">
        <f t="shared" si="196"/>
        <v>6.8290738291947595E-2</v>
      </c>
      <c r="IQ21" s="53">
        <f t="shared" si="197"/>
        <v>0.21075456327081887</v>
      </c>
      <c r="IR21" s="18">
        <f t="shared" si="198"/>
        <v>0.62404149507511464</v>
      </c>
      <c r="IS21" s="18">
        <f t="shared" si="199"/>
        <v>0.33927751296698005</v>
      </c>
      <c r="IT21" s="18">
        <f t="shared" si="63"/>
        <v>0.79003908482957197</v>
      </c>
      <c r="IU21" s="18">
        <f t="shared" si="64"/>
        <v>6.4206628625368758E-2</v>
      </c>
      <c r="IV21" s="18">
        <f t="shared" si="65"/>
        <v>5.404666457683769E-2</v>
      </c>
      <c r="IW21" s="18">
        <f t="shared" si="66"/>
        <v>4.3923828422659317E-3</v>
      </c>
      <c r="IX21" s="18">
        <f t="shared" si="67"/>
        <v>4.2698977420375692E-2</v>
      </c>
      <c r="IY21" s="18">
        <f t="shared" si="68"/>
        <v>5.1737138334139919E-2</v>
      </c>
      <c r="IZ21" s="2">
        <f t="shared" si="69"/>
        <v>0.93368816812378608</v>
      </c>
      <c r="JA21" s="2">
        <f t="shared" si="70"/>
        <v>2.5037932467688548E-4</v>
      </c>
      <c r="JB21" s="2">
        <f t="shared" si="71"/>
        <v>3.550377104971509E-2</v>
      </c>
      <c r="JC21" s="2">
        <f t="shared" si="72"/>
        <v>9.0609967931587376E-2</v>
      </c>
      <c r="JD21" s="2">
        <f t="shared" si="73"/>
        <v>1.9735682819383262E-3</v>
      </c>
      <c r="JE21" s="2">
        <f t="shared" si="74"/>
        <v>0.81628804795506194</v>
      </c>
      <c r="JF21" s="2">
        <f t="shared" si="75"/>
        <v>9.2728978162325646E-3</v>
      </c>
      <c r="JG21" s="2">
        <f t="shared" si="76"/>
        <v>6.4538092802550549E-4</v>
      </c>
      <c r="JH21" s="2">
        <f t="shared" si="77"/>
        <v>0</v>
      </c>
      <c r="JI21" s="2">
        <f t="shared" si="78"/>
        <v>3.1579321334068429E-3</v>
      </c>
      <c r="JJ21" s="2">
        <f t="shared" si="200"/>
        <v>1.8913901135444307</v>
      </c>
      <c r="JL21" s="36">
        <f t="shared" si="201"/>
        <v>1.8673763362475722</v>
      </c>
      <c r="JM21" s="36">
        <f t="shared" si="201"/>
        <v>5.0075864935377097E-4</v>
      </c>
      <c r="JN21" s="36">
        <f t="shared" si="202"/>
        <v>0.10651131314914528</v>
      </c>
      <c r="JO21" s="36">
        <f t="shared" si="79"/>
        <v>9.0609967931587376E-2</v>
      </c>
      <c r="JP21" s="36">
        <f t="shared" si="79"/>
        <v>1.9735682819383262E-3</v>
      </c>
      <c r="JQ21" s="36">
        <f t="shared" si="79"/>
        <v>0.81628804795506194</v>
      </c>
      <c r="JR21" s="36">
        <f t="shared" si="79"/>
        <v>9.2728978162325646E-3</v>
      </c>
      <c r="JS21" s="36">
        <f t="shared" si="79"/>
        <v>6.4538092802550549E-4</v>
      </c>
      <c r="JT21" s="36">
        <f t="shared" si="79"/>
        <v>0</v>
      </c>
      <c r="JU21" s="36">
        <f t="shared" si="203"/>
        <v>9.4737964002205282E-3</v>
      </c>
      <c r="JV21" s="36">
        <f t="shared" si="204"/>
        <v>2.9026520673591376</v>
      </c>
      <c r="JW21" s="36">
        <f t="shared" si="205"/>
        <v>2.0670751646300003</v>
      </c>
      <c r="JY21" s="18">
        <f t="shared" si="80"/>
        <v>1.9300036238375584</v>
      </c>
      <c r="JZ21" s="18">
        <f t="shared" si="81"/>
        <v>5.1755288377642141E-4</v>
      </c>
      <c r="KA21" s="18">
        <f t="shared" si="206"/>
        <v>6.9996376162441587E-2</v>
      </c>
      <c r="KB21" s="18">
        <f t="shared" si="207"/>
        <v>7.678155061270972E-2</v>
      </c>
      <c r="KC21" s="18">
        <f t="shared" si="82"/>
        <v>0.14677792677515131</v>
      </c>
      <c r="KD21" s="18">
        <f t="shared" si="83"/>
        <v>0.18729761437930503</v>
      </c>
      <c r="KE21" s="18">
        <f t="shared" si="84"/>
        <v>4.0795139812962126E-3</v>
      </c>
      <c r="KF21" s="18">
        <f t="shared" si="85"/>
        <v>1.6873287511122113</v>
      </c>
      <c r="KG21" s="18">
        <f t="shared" si="86"/>
        <v>1.9167776780086097E-2</v>
      </c>
      <c r="KH21" s="18">
        <f t="shared" si="87"/>
        <v>2.6681017760947683E-3</v>
      </c>
      <c r="KI21" s="18">
        <f t="shared" si="88"/>
        <v>0</v>
      </c>
      <c r="KJ21" s="18">
        <f t="shared" si="89"/>
        <v>1.3055366169104635E-2</v>
      </c>
      <c r="KK21" s="36">
        <f t="shared" si="208"/>
        <v>3.9908962276945834</v>
      </c>
      <c r="KL21" s="36">
        <f t="shared" si="209"/>
        <v>0</v>
      </c>
      <c r="KM21" s="36">
        <f t="shared" si="210"/>
        <v>-2.7373617711955234E-2</v>
      </c>
      <c r="KN21" s="36">
        <f t="shared" si="211"/>
        <v>2.6681017760947683E-3</v>
      </c>
      <c r="KO21" s="36">
        <f t="shared" si="212"/>
        <v>5.1755288377642141E-4</v>
      </c>
      <c r="KP21" s="36">
        <f t="shared" si="213"/>
        <v>1.3055366169104635E-2</v>
      </c>
      <c r="KQ21" s="36">
        <f t="shared" si="214"/>
        <v>6.1058082667510324E-2</v>
      </c>
      <c r="KR21" s="36">
        <f t="shared" si="215"/>
        <v>1.9167776780086097E-2</v>
      </c>
      <c r="KS21" s="36">
        <f t="shared" si="216"/>
        <v>0.8989812335707198</v>
      </c>
      <c r="KT21" s="36">
        <f t="shared" si="217"/>
        <v>0.80740519241886421</v>
      </c>
      <c r="KU21" s="36">
        <f t="shared" si="218"/>
        <v>1.7215223100816593E-2</v>
      </c>
      <c r="KV21" s="53">
        <f t="shared" si="219"/>
        <v>0.71904716372059019</v>
      </c>
      <c r="KW21" s="36">
        <f t="shared" si="220"/>
        <v>1.9167776780086097E-2</v>
      </c>
      <c r="KX21" s="36">
        <f t="shared" si="221"/>
        <v>9.9911970634317129E-2</v>
      </c>
      <c r="KY21" s="36">
        <f t="shared" si="222"/>
        <v>0.73614344127079467</v>
      </c>
      <c r="KZ21" s="18">
        <f t="shared" si="223"/>
        <v>0.90008802936568288</v>
      </c>
      <c r="LA21" s="18">
        <f t="shared" si="224"/>
        <v>0.81876105281999989</v>
      </c>
      <c r="LB21" s="18">
        <f t="shared" si="225"/>
        <v>9.0884477514409312E-2</v>
      </c>
      <c r="LC21" s="18">
        <f t="shared" si="226"/>
        <v>0.876761894766387</v>
      </c>
      <c r="LD21" s="18">
        <f t="shared" si="227"/>
        <v>9.7322712696135905E-2</v>
      </c>
      <c r="LE21" s="54">
        <f t="shared" si="228"/>
        <v>0.71785849203138496</v>
      </c>
      <c r="LF21" s="36">
        <f t="shared" si="229"/>
        <v>0.99544811384729204</v>
      </c>
      <c r="LH21" s="2" t="str">
        <f t="shared" si="90"/>
        <v xml:space="preserve">ABG06-1 </v>
      </c>
      <c r="LI21" s="2">
        <f t="shared" si="230"/>
        <v>15</v>
      </c>
      <c r="LK21" s="2">
        <f t="shared" si="91"/>
        <v>0.12854002678345045</v>
      </c>
      <c r="LL21" s="2">
        <f t="shared" si="231"/>
        <v>1069.9620484368543</v>
      </c>
      <c r="LN21" s="2">
        <f t="shared" si="92"/>
        <v>877.93302731431993</v>
      </c>
      <c r="LO21" s="2">
        <f t="shared" si="93"/>
        <v>789.9594822282254</v>
      </c>
      <c r="LP21" s="2">
        <f t="shared" si="94"/>
        <v>1082.3541670306868</v>
      </c>
      <c r="LQ21" s="2">
        <f t="shared" si="95"/>
        <v>942.78526406555284</v>
      </c>
      <c r="LR21" s="2">
        <f t="shared" si="232"/>
        <v>5.9481050784182796E-2</v>
      </c>
      <c r="LS21" s="2">
        <f t="shared" si="233"/>
        <v>785.37166845382114</v>
      </c>
      <c r="LT21" s="2">
        <f t="shared" si="96"/>
        <v>910.28964841590994</v>
      </c>
      <c r="LV21" s="2">
        <f t="shared" si="234"/>
        <v>978.98367969170965</v>
      </c>
      <c r="LW21" s="2">
        <f t="shared" si="235"/>
        <v>845.35462830311633</v>
      </c>
      <c r="LY21" s="2">
        <f t="shared" si="97"/>
        <v>59.793238876389701</v>
      </c>
      <c r="LZ21" s="2">
        <f t="shared" si="98"/>
        <v>44.235381823414386</v>
      </c>
      <c r="MB21" s="2">
        <f t="shared" si="236"/>
        <v>25.89565</v>
      </c>
      <c r="MC21" s="2">
        <f t="shared" si="237"/>
        <v>31.143099999999997</v>
      </c>
      <c r="MD21" s="2">
        <f t="shared" si="238"/>
        <v>2.3649999999999984</v>
      </c>
      <c r="ME21" s="2">
        <f t="shared" si="99"/>
        <v>315.13588455024262</v>
      </c>
      <c r="MF21" s="2">
        <f t="shared" si="100"/>
        <v>996.44103955755224</v>
      </c>
      <c r="MH21" s="2">
        <f t="shared" si="239"/>
        <v>903.38659966025523</v>
      </c>
      <c r="MI21" s="2">
        <f t="shared" si="242"/>
        <v>910.54741797023655</v>
      </c>
      <c r="MK21" s="2">
        <f t="shared" si="240"/>
        <v>870.15074902678327</v>
      </c>
      <c r="MM21" s="2">
        <f t="shared" si="101"/>
        <v>8.4224778187935598</v>
      </c>
      <c r="MN21" s="2">
        <f t="shared" si="241"/>
        <v>-6.5775221812064402</v>
      </c>
      <c r="MO21" s="3">
        <f t="shared" si="102"/>
        <v>15</v>
      </c>
    </row>
    <row r="22" spans="1:353" ht="15" x14ac:dyDescent="0.2">
      <c r="A22" s="50">
        <v>1.5</v>
      </c>
      <c r="B22" s="74" t="s">
        <v>203</v>
      </c>
      <c r="C22" s="3" t="s">
        <v>212</v>
      </c>
      <c r="E22" s="69">
        <v>53.2</v>
      </c>
      <c r="F22" s="69">
        <v>0.04</v>
      </c>
      <c r="G22" s="69">
        <v>3.21</v>
      </c>
      <c r="H22" s="69">
        <v>3.12</v>
      </c>
      <c r="I22" s="69">
        <v>0.1</v>
      </c>
      <c r="J22" s="69">
        <v>17.7</v>
      </c>
      <c r="K22" s="69">
        <v>20.6</v>
      </c>
      <c r="L22" s="69">
        <v>0.28999999999999998</v>
      </c>
      <c r="M22" s="69"/>
      <c r="N22" s="69">
        <v>0.91</v>
      </c>
      <c r="P22" s="69">
        <v>56.2</v>
      </c>
      <c r="Q22" s="69">
        <v>0.02</v>
      </c>
      <c r="R22" s="69">
        <v>3.43</v>
      </c>
      <c r="S22" s="69">
        <v>6.24</v>
      </c>
      <c r="T22" s="69">
        <v>0.12</v>
      </c>
      <c r="U22" s="69">
        <v>32.799999999999997</v>
      </c>
      <c r="V22" s="69">
        <v>1.17</v>
      </c>
      <c r="W22" s="69">
        <v>0.03</v>
      </c>
      <c r="X22" s="69"/>
      <c r="Y22" s="69">
        <v>0.8</v>
      </c>
      <c r="Z22" s="3"/>
      <c r="AA22" s="69">
        <v>41.2</v>
      </c>
      <c r="AB22" s="69">
        <v>0.01</v>
      </c>
      <c r="AC22" s="69">
        <v>0.03</v>
      </c>
      <c r="AD22" s="69">
        <v>9.81</v>
      </c>
      <c r="AE22" s="69">
        <v>0.12</v>
      </c>
      <c r="AF22" s="69">
        <v>49</v>
      </c>
      <c r="AG22" s="69">
        <v>0.11</v>
      </c>
      <c r="AH22" s="69"/>
      <c r="AI22" s="69"/>
      <c r="AJ22" s="69">
        <v>0.03</v>
      </c>
      <c r="AK22" s="3">
        <f t="shared" si="0"/>
        <v>0.10096863672432378</v>
      </c>
      <c r="AL22" s="3">
        <f t="shared" si="1"/>
        <v>0.89903136327567623</v>
      </c>
      <c r="AM22" s="69"/>
      <c r="AN22" s="69">
        <v>0.14000000000000001</v>
      </c>
      <c r="AO22" s="69">
        <v>32</v>
      </c>
      <c r="AP22" s="69">
        <v>18</v>
      </c>
      <c r="AQ22" s="69">
        <v>0.23</v>
      </c>
      <c r="AR22" s="69">
        <v>16.2</v>
      </c>
      <c r="AS22" s="69"/>
      <c r="AT22" s="69"/>
      <c r="AU22" s="69"/>
      <c r="AV22" s="69">
        <v>34.299999999999997</v>
      </c>
      <c r="AW22" s="3"/>
      <c r="AX22" s="63">
        <f t="shared" si="2"/>
        <v>0.53415307726790306</v>
      </c>
      <c r="AY22" s="63">
        <f t="shared" ca="1" si="3"/>
        <v>0.53417787094720148</v>
      </c>
      <c r="AZ22" s="61"/>
      <c r="BA22" s="63">
        <f t="shared" si="103"/>
        <v>-6.2268807278106131E-2</v>
      </c>
      <c r="BB22" s="63">
        <f t="shared" ca="1" si="104"/>
        <v>-6.1248109460819045E-2</v>
      </c>
      <c r="BC22" s="3"/>
      <c r="BD22" s="64">
        <f t="shared" si="105"/>
        <v>-1.8055738242515706</v>
      </c>
      <c r="BE22" s="64">
        <f t="shared" ca="1" si="106"/>
        <v>-1.8051864816246401</v>
      </c>
      <c r="BF22" s="64">
        <f t="shared" si="4"/>
        <v>0.63792817604909979</v>
      </c>
      <c r="BG22" s="64">
        <f t="shared" ca="1" si="5"/>
        <v>0.63807266797834483</v>
      </c>
      <c r="BH22" s="3"/>
      <c r="BI22" s="64">
        <f t="shared" si="6"/>
        <v>-8.203184012612347</v>
      </c>
      <c r="BJ22" s="64">
        <f t="shared" ca="1" si="7"/>
        <v>-8.2092121485091329</v>
      </c>
      <c r="BK22" s="61"/>
      <c r="BL22" s="61"/>
      <c r="BM22" s="64">
        <f t="shared" si="107"/>
        <v>-7.6690309353444439</v>
      </c>
      <c r="BN22" s="64">
        <f t="shared" ca="1" si="108"/>
        <v>-7.6750342775619318</v>
      </c>
      <c r="BO22" s="76"/>
      <c r="BP22" s="64">
        <f t="shared" si="109"/>
        <v>-8.2654528198904522</v>
      </c>
      <c r="BQ22" s="64">
        <f t="shared" ca="1" si="110"/>
        <v>-8.2704602579699511</v>
      </c>
      <c r="BR22" s="61"/>
      <c r="BS22" s="64">
        <f t="shared" si="8"/>
        <v>-7.5652558365632476</v>
      </c>
      <c r="BT22" s="64">
        <f t="shared" ca="1" si="9"/>
        <v>-7.5711394805307881</v>
      </c>
      <c r="BU22" s="3"/>
      <c r="BV22">
        <v>60.08</v>
      </c>
      <c r="BW22">
        <v>79.88</v>
      </c>
      <c r="BX22">
        <v>101.96</v>
      </c>
      <c r="BY22">
        <v>159.69</v>
      </c>
      <c r="BZ22">
        <v>71.849999999999994</v>
      </c>
      <c r="CA22">
        <v>70.94</v>
      </c>
      <c r="CB22">
        <v>40.299999999999997</v>
      </c>
      <c r="CC22">
        <v>151.99</v>
      </c>
      <c r="CD22" s="3"/>
      <c r="CE22" s="3">
        <f t="shared" si="10"/>
        <v>0</v>
      </c>
      <c r="CF22" s="3">
        <f t="shared" si="11"/>
        <v>1.7526289434151229E-3</v>
      </c>
      <c r="CG22" s="3">
        <f t="shared" si="12"/>
        <v>0.31384856806590822</v>
      </c>
      <c r="CH22" s="3">
        <f t="shared" si="13"/>
        <v>0.25052192066805845</v>
      </c>
      <c r="CI22" s="3">
        <f t="shared" si="14"/>
        <v>3.2421764871722585E-3</v>
      </c>
      <c r="CJ22" s="3">
        <f t="shared" si="15"/>
        <v>0.40198511166253104</v>
      </c>
      <c r="CK22" s="3">
        <f t="shared" si="16"/>
        <v>0.22567274162773862</v>
      </c>
      <c r="CL22" s="3"/>
      <c r="CM22" s="3">
        <f t="shared" si="111"/>
        <v>0</v>
      </c>
      <c r="CN22" s="3">
        <f t="shared" si="111"/>
        <v>3.5052578868302459E-3</v>
      </c>
      <c r="CO22" s="3">
        <f t="shared" si="112"/>
        <v>0.94154570419772465</v>
      </c>
      <c r="CP22" s="3">
        <f t="shared" si="113"/>
        <v>0.25052192066805845</v>
      </c>
      <c r="CQ22" s="3">
        <f t="shared" si="113"/>
        <v>3.2421764871722585E-3</v>
      </c>
      <c r="CR22" s="3">
        <f t="shared" si="113"/>
        <v>0.40198511166253104</v>
      </c>
      <c r="CS22" s="3">
        <f t="shared" si="114"/>
        <v>0.67701822488321584</v>
      </c>
      <c r="CT22" s="3">
        <f t="shared" si="115"/>
        <v>2.2778183957855322</v>
      </c>
      <c r="CU22">
        <v>32</v>
      </c>
      <c r="CV22" s="3">
        <f t="shared" si="116"/>
        <v>14.048529970258857</v>
      </c>
      <c r="CW22" s="3"/>
      <c r="CX22" s="3">
        <f t="shared" si="117"/>
        <v>0</v>
      </c>
      <c r="CY22" s="3">
        <f t="shared" si="118"/>
        <v>4.9243720476620935E-2</v>
      </c>
      <c r="CZ22" s="3">
        <f t="shared" si="119"/>
        <v>13.227333043790216</v>
      </c>
      <c r="DA22" s="3">
        <f t="shared" si="120"/>
        <v>3.5194647107120307</v>
      </c>
      <c r="DB22" s="3">
        <f t="shared" si="121"/>
        <v>4.554781354890805E-2</v>
      </c>
      <c r="DC22" s="3">
        <f t="shared" si="122"/>
        <v>5.6472998887889201</v>
      </c>
      <c r="DD22" s="3">
        <f t="shared" si="123"/>
        <v>9.5111108226833085</v>
      </c>
      <c r="DE22" s="3">
        <f t="shared" si="124"/>
        <v>32</v>
      </c>
      <c r="DF22" s="3"/>
      <c r="DG22" s="3">
        <f t="shared" si="125"/>
        <v>0</v>
      </c>
      <c r="DH22" s="3">
        <f t="shared" si="126"/>
        <v>2.4621860238310467E-2</v>
      </c>
      <c r="DI22" s="3">
        <f t="shared" si="127"/>
        <v>8.8182220291934765</v>
      </c>
      <c r="DJ22" s="3">
        <f t="shared" si="128"/>
        <v>3.5194647107120307</v>
      </c>
      <c r="DK22" s="3">
        <f t="shared" si="129"/>
        <v>4.554781354890805E-2</v>
      </c>
      <c r="DL22" s="3">
        <f t="shared" si="130"/>
        <v>5.6472998887889201</v>
      </c>
      <c r="DM22" s="3">
        <f t="shared" si="131"/>
        <v>6.340740548455539</v>
      </c>
      <c r="DN22" s="3">
        <f t="shared" si="132"/>
        <v>24.395896850937184</v>
      </c>
      <c r="DO22" s="3">
        <f t="shared" si="133"/>
        <v>0.98377199029180284</v>
      </c>
      <c r="DP22" s="3"/>
      <c r="DQ22" s="3">
        <f t="shared" si="134"/>
        <v>0</v>
      </c>
      <c r="DR22" s="3">
        <f t="shared" si="135"/>
        <v>2.4222296451329291E-2</v>
      </c>
      <c r="DS22" s="3">
        <f t="shared" si="136"/>
        <v>8.6751198364946873</v>
      </c>
      <c r="DT22" s="3">
        <f t="shared" si="137"/>
        <v>3.4623508032189387</v>
      </c>
      <c r="DU22" s="3">
        <f t="shared" si="138"/>
        <v>4.480866318844922E-2</v>
      </c>
      <c r="DV22" s="3">
        <f t="shared" si="139"/>
        <v>5.555655451368553</v>
      </c>
      <c r="DW22" s="3">
        <f t="shared" si="140"/>
        <v>6.2378429492780434</v>
      </c>
      <c r="DX22" s="3">
        <f t="shared" si="141"/>
        <v>24.000000000000004</v>
      </c>
      <c r="DY22" s="3"/>
      <c r="DZ22" s="3">
        <f t="shared" si="142"/>
        <v>0.38393750297718282</v>
      </c>
      <c r="EA22" s="3">
        <f t="shared" si="143"/>
        <v>0.41828327736652521</v>
      </c>
      <c r="EB22" s="3"/>
      <c r="EC22" s="3">
        <f t="shared" si="144"/>
        <v>2.4237581818943208</v>
      </c>
      <c r="ED22" s="3">
        <f t="shared" si="145"/>
        <v>1.0385926213246179</v>
      </c>
      <c r="EE22" s="3">
        <f t="shared" si="146"/>
        <v>0.70003252692966844</v>
      </c>
      <c r="EF22" s="3">
        <f t="shared" si="147"/>
        <v>0.29996747307033156</v>
      </c>
      <c r="EG22" s="3"/>
      <c r="EH22" s="3">
        <f t="shared" si="17"/>
        <v>0</v>
      </c>
      <c r="EI22" s="3">
        <f t="shared" si="18"/>
        <v>0.14000000000000001</v>
      </c>
      <c r="EJ22" s="3">
        <f t="shared" si="19"/>
        <v>32</v>
      </c>
      <c r="EK22" s="3">
        <f t="shared" si="20"/>
        <v>6.0003693508150695</v>
      </c>
      <c r="EL22" s="3">
        <f t="shared" si="21"/>
        <v>12.600585484734031</v>
      </c>
      <c r="EM22" s="3">
        <f t="shared" si="22"/>
        <v>0.23</v>
      </c>
      <c r="EN22" s="3">
        <f t="shared" si="23"/>
        <v>16.2</v>
      </c>
      <c r="EO22" s="3">
        <f t="shared" si="24"/>
        <v>34.299999999999997</v>
      </c>
      <c r="EP22" s="3">
        <f t="shared" si="148"/>
        <v>101.47095483554909</v>
      </c>
      <c r="EQ22" s="3"/>
      <c r="ER22" s="3">
        <f t="shared" si="149"/>
        <v>0</v>
      </c>
      <c r="ES22" s="3">
        <f t="shared" si="150"/>
        <v>2.4222296451329291E-2</v>
      </c>
      <c r="ET22" s="3">
        <f t="shared" si="151"/>
        <v>8.6751198364946873</v>
      </c>
      <c r="EU22" s="3">
        <f t="shared" si="152"/>
        <v>1.0385926213246179</v>
      </c>
      <c r="EV22" s="3">
        <f t="shared" si="153"/>
        <v>2.4237581818943208</v>
      </c>
      <c r="EW22" s="3">
        <f t="shared" si="154"/>
        <v>4.480866318844922E-2</v>
      </c>
      <c r="EX22" s="3">
        <f t="shared" si="155"/>
        <v>5.555655451368553</v>
      </c>
      <c r="EY22" s="3">
        <f t="shared" si="156"/>
        <v>6.2378429492780434</v>
      </c>
      <c r="EZ22" s="3">
        <f t="shared" si="157"/>
        <v>24.000000000000004</v>
      </c>
      <c r="FA22" s="3"/>
      <c r="FB22" s="3">
        <f t="shared" si="158"/>
        <v>0.30375141499002828</v>
      </c>
      <c r="FC22" s="3">
        <f t="shared" si="159"/>
        <v>6.5109175551778198E-2</v>
      </c>
      <c r="FD22" s="3">
        <f t="shared" si="160"/>
        <v>0.54384162641812683</v>
      </c>
      <c r="FE22" s="3"/>
      <c r="FF22" s="3"/>
      <c r="FG22" s="3">
        <f t="shared" si="161"/>
        <v>1.0111501974984138E-3</v>
      </c>
      <c r="FH22" s="3">
        <f t="shared" si="162"/>
        <v>0.36213945088235516</v>
      </c>
      <c r="FI22" s="3">
        <f t="shared" si="163"/>
        <v>4.3355638730742656E-2</v>
      </c>
      <c r="FJ22" s="3">
        <f t="shared" si="164"/>
        <v>0.10117882791317016</v>
      </c>
      <c r="FK22" s="3">
        <f t="shared" si="165"/>
        <v>0.2319186423208095</v>
      </c>
      <c r="FL22" s="3">
        <f t="shared" si="166"/>
        <v>0.26039628995542408</v>
      </c>
      <c r="FM22" s="3">
        <f t="shared" si="167"/>
        <v>2.994398917101444</v>
      </c>
      <c r="FN22" s="3">
        <f t="shared" si="168"/>
        <v>4.2108625433890566E-2</v>
      </c>
      <c r="FO22" s="3">
        <f t="shared" si="169"/>
        <v>0.10242584121002223</v>
      </c>
      <c r="FP22" s="3"/>
      <c r="FQ22" s="3">
        <f t="shared" si="25"/>
        <v>0</v>
      </c>
      <c r="FR22" s="3">
        <f t="shared" si="26"/>
        <v>3.0277870564161613E-3</v>
      </c>
      <c r="FS22" s="3">
        <f t="shared" si="27"/>
        <v>1.0843899795618359</v>
      </c>
      <c r="FT22" s="3">
        <f t="shared" si="28"/>
        <v>0.12982407766557724</v>
      </c>
      <c r="FU22" s="3">
        <f t="shared" si="29"/>
        <v>0.3029697727367901</v>
      </c>
      <c r="FV22" s="3">
        <f t="shared" si="30"/>
        <v>5.6010828985561525E-3</v>
      </c>
      <c r="FW22" s="3">
        <f t="shared" si="31"/>
        <v>0.69445693142106912</v>
      </c>
      <c r="FX22" s="3">
        <f t="shared" si="32"/>
        <v>0.77973036865975542</v>
      </c>
      <c r="FZ22" s="44">
        <f t="shared" ca="1" si="170"/>
        <v>1084.3921379514786</v>
      </c>
      <c r="GA22" s="44">
        <f t="shared" ca="1" si="33"/>
        <v>7.9842387257983285</v>
      </c>
      <c r="GB22" s="68">
        <f t="shared" si="171"/>
        <v>0.9100136412602059</v>
      </c>
      <c r="GC22" s="28">
        <f t="shared" ca="1" si="34"/>
        <v>1110.5915274609256</v>
      </c>
      <c r="GD22" s="28"/>
      <c r="GE22" s="28">
        <f t="shared" ca="1" si="35"/>
        <v>1084.3921379514786</v>
      </c>
      <c r="GF22" s="28">
        <f t="shared" ca="1" si="36"/>
        <v>1066.4911723741948</v>
      </c>
      <c r="GG22" s="28">
        <f t="shared" si="37"/>
        <v>6.8926478631219723</v>
      </c>
      <c r="GH22" s="28">
        <f t="shared" ca="1" si="38"/>
        <v>7.9842387257983285</v>
      </c>
      <c r="GI22" s="28">
        <f t="shared" si="172"/>
        <v>1181.2404903688489</v>
      </c>
      <c r="GJ22" s="28">
        <f t="shared" si="173"/>
        <v>1111.0839876896816</v>
      </c>
      <c r="GK22" s="28">
        <f t="shared" ca="1" si="39"/>
        <v>1081.7826106463422</v>
      </c>
      <c r="GL22" s="51">
        <f t="shared" si="40"/>
        <v>0.92655367231638397</v>
      </c>
      <c r="GM22" s="52"/>
      <c r="GN22" s="2">
        <f t="shared" si="41"/>
        <v>0.21973457434151297</v>
      </c>
      <c r="GP22" s="2">
        <f t="shared" si="42"/>
        <v>0.88542264784644242</v>
      </c>
      <c r="GQ22" s="2">
        <f t="shared" si="43"/>
        <v>5.0075864935377097E-4</v>
      </c>
      <c r="GR22" s="2">
        <f t="shared" si="44"/>
        <v>3.148262570983023E-2</v>
      </c>
      <c r="GS22" s="2">
        <f t="shared" si="45"/>
        <v>4.3425975414216993E-2</v>
      </c>
      <c r="GT22" s="2">
        <f t="shared" si="46"/>
        <v>1.4096916299559472E-3</v>
      </c>
      <c r="GU22" s="2">
        <f t="shared" si="47"/>
        <v>0.43915800756244971</v>
      </c>
      <c r="GV22" s="2">
        <f t="shared" si="48"/>
        <v>0.36734941348921318</v>
      </c>
      <c r="GW22" s="2">
        <f t="shared" si="49"/>
        <v>4.6790117281849137E-3</v>
      </c>
      <c r="GX22" s="2">
        <f t="shared" si="50"/>
        <v>0</v>
      </c>
      <c r="GY22" s="2">
        <f t="shared" si="51"/>
        <v>5.9869130029171404E-3</v>
      </c>
      <c r="GZ22" s="2">
        <f t="shared" si="174"/>
        <v>1.7794150450325643</v>
      </c>
      <c r="HB22" s="36">
        <f t="shared" si="175"/>
        <v>1.7708452956928848</v>
      </c>
      <c r="HC22" s="36">
        <f t="shared" si="175"/>
        <v>1.0015172987075419E-3</v>
      </c>
      <c r="HD22" s="36">
        <f t="shared" si="176"/>
        <v>9.4447877129490682E-2</v>
      </c>
      <c r="HE22" s="36">
        <f t="shared" si="52"/>
        <v>4.3425975414216993E-2</v>
      </c>
      <c r="HF22" s="36">
        <f t="shared" si="52"/>
        <v>1.4096916299559472E-3</v>
      </c>
      <c r="HG22" s="36">
        <f t="shared" si="52"/>
        <v>0.43915800756244971</v>
      </c>
      <c r="HH22" s="36">
        <f t="shared" si="52"/>
        <v>0.36734941348921318</v>
      </c>
      <c r="HI22" s="36">
        <f t="shared" si="52"/>
        <v>4.6790117281849137E-3</v>
      </c>
      <c r="HJ22" s="36">
        <f t="shared" si="52"/>
        <v>0</v>
      </c>
      <c r="HK22" s="36">
        <f t="shared" si="177"/>
        <v>1.796073900875142E-2</v>
      </c>
      <c r="HL22" s="36">
        <f t="shared" si="178"/>
        <v>2.7402775289538552</v>
      </c>
      <c r="HM22" s="36">
        <f t="shared" si="179"/>
        <v>2.1895592459536739</v>
      </c>
      <c r="HO22" s="18">
        <f t="shared" si="53"/>
        <v>1.9386853451689618</v>
      </c>
      <c r="HP22" s="18">
        <f t="shared" si="54"/>
        <v>1.0964407306838229E-3</v>
      </c>
      <c r="HQ22" s="18">
        <f t="shared" si="180"/>
        <v>6.1314654831038151E-2</v>
      </c>
      <c r="HR22" s="18">
        <f t="shared" si="181"/>
        <v>7.6551493588677105E-2</v>
      </c>
      <c r="HS22" s="18">
        <f t="shared" si="55"/>
        <v>0.13786614841971526</v>
      </c>
      <c r="HT22" s="18">
        <f t="shared" si="56"/>
        <v>9.5083745982755735E-2</v>
      </c>
      <c r="HU22" s="18">
        <f t="shared" si="57"/>
        <v>3.0866033423135493E-3</v>
      </c>
      <c r="HV22" s="18">
        <f t="shared" si="58"/>
        <v>0.96156247589295518</v>
      </c>
      <c r="HW22" s="18">
        <f t="shared" si="59"/>
        <v>0.80433330480096599</v>
      </c>
      <c r="HX22" s="18">
        <f t="shared" si="60"/>
        <v>2.0489946782745912E-2</v>
      </c>
      <c r="HY22" s="18">
        <f t="shared" si="61"/>
        <v>0</v>
      </c>
      <c r="HZ22" s="18">
        <f t="shared" si="62"/>
        <v>2.6217401440515001E-2</v>
      </c>
      <c r="IA22" s="36">
        <f t="shared" si="182"/>
        <v>3.9884214125616122</v>
      </c>
      <c r="IB22" s="36">
        <f t="shared" si="183"/>
        <v>0</v>
      </c>
      <c r="IC22" s="36">
        <f t="shared" si="184"/>
        <v>-3.48366019756714E-2</v>
      </c>
      <c r="ID22" s="36">
        <f t="shared" si="185"/>
        <v>2.0489946782745912E-2</v>
      </c>
      <c r="IE22" s="36">
        <f t="shared" si="186"/>
        <v>5.6061546805931194E-2</v>
      </c>
      <c r="IF22" s="36">
        <f t="shared" si="187"/>
        <v>2.6265540125534788E-3</v>
      </c>
      <c r="IG22" s="36">
        <f t="shared" si="188"/>
        <v>1.31087007202575E-2</v>
      </c>
      <c r="IH22" s="36">
        <f t="shared" si="189"/>
        <v>0.73253650326222375</v>
      </c>
      <c r="II22" s="36">
        <f t="shared" si="190"/>
        <v>0.16205485930674357</v>
      </c>
      <c r="IJ22" s="36">
        <f t="shared" si="191"/>
        <v>0.14704260171748287</v>
      </c>
      <c r="IK22" s="36">
        <f t="shared" si="192"/>
        <v>0.66467660243880433</v>
      </c>
      <c r="IL22" s="36">
        <f t="shared" si="193"/>
        <v>0.98687811089045541</v>
      </c>
      <c r="IM22" s="36">
        <f t="shared" si="194"/>
        <v>0.73253650326222375</v>
      </c>
      <c r="IN22" s="36"/>
      <c r="IO22" s="2">
        <f t="shared" si="195"/>
        <v>0.91001364126020601</v>
      </c>
      <c r="IP22" s="36">
        <f t="shared" si="196"/>
        <v>9.5083745982755735E-2</v>
      </c>
      <c r="IQ22" s="53">
        <f t="shared" si="197"/>
        <v>0.26959645138129973</v>
      </c>
      <c r="IR22" s="18">
        <f t="shared" si="198"/>
        <v>0.59306426332781925</v>
      </c>
      <c r="IS22" s="18">
        <f t="shared" si="199"/>
        <v>0.40154711614029936</v>
      </c>
      <c r="IT22" s="18">
        <f t="shared" si="63"/>
        <v>0.81549476886464745</v>
      </c>
      <c r="IU22" s="18">
        <f t="shared" si="64"/>
        <v>8.0639895375476653E-2</v>
      </c>
      <c r="IV22" s="18">
        <f t="shared" si="65"/>
        <v>0.15660437954376469</v>
      </c>
      <c r="IW22" s="18">
        <f t="shared" si="66"/>
        <v>1.5485765530209866E-2</v>
      </c>
      <c r="IX22" s="18">
        <f t="shared" si="67"/>
        <v>0.12771005229923391</v>
      </c>
      <c r="IY22" s="18">
        <f t="shared" si="68"/>
        <v>0.1590102559234175</v>
      </c>
      <c r="IZ22" s="2">
        <f t="shared" si="69"/>
        <v>0.93535249640921181</v>
      </c>
      <c r="JA22" s="2">
        <f t="shared" si="70"/>
        <v>2.5037932467688548E-4</v>
      </c>
      <c r="JB22" s="2">
        <f t="shared" si="71"/>
        <v>3.3640313453183079E-2</v>
      </c>
      <c r="JC22" s="2">
        <f t="shared" si="72"/>
        <v>8.6851950828433985E-2</v>
      </c>
      <c r="JD22" s="2">
        <f t="shared" si="73"/>
        <v>1.6916299559471366E-3</v>
      </c>
      <c r="JE22" s="2">
        <f t="shared" si="74"/>
        <v>0.81380692926826836</v>
      </c>
      <c r="JF22" s="2">
        <f t="shared" si="75"/>
        <v>2.0864020086523268E-2</v>
      </c>
      <c r="JG22" s="2">
        <f t="shared" si="76"/>
        <v>4.8403569601912906E-4</v>
      </c>
      <c r="JH22" s="2">
        <f t="shared" si="77"/>
        <v>0</v>
      </c>
      <c r="JI22" s="2">
        <f t="shared" si="78"/>
        <v>5.2632202223447389E-3</v>
      </c>
      <c r="JJ22" s="2">
        <f t="shared" si="200"/>
        <v>1.8982049752446084</v>
      </c>
      <c r="JL22" s="36">
        <f t="shared" si="201"/>
        <v>1.8707049928184236</v>
      </c>
      <c r="JM22" s="36">
        <f t="shared" si="201"/>
        <v>5.0075864935377097E-4</v>
      </c>
      <c r="JN22" s="36">
        <f t="shared" si="202"/>
        <v>0.10092094035954924</v>
      </c>
      <c r="JO22" s="36">
        <f t="shared" si="79"/>
        <v>8.6851950828433985E-2</v>
      </c>
      <c r="JP22" s="36">
        <f t="shared" si="79"/>
        <v>1.6916299559471366E-3</v>
      </c>
      <c r="JQ22" s="36">
        <f t="shared" si="79"/>
        <v>0.81380692926826836</v>
      </c>
      <c r="JR22" s="36">
        <f t="shared" si="79"/>
        <v>2.0864020086523268E-2</v>
      </c>
      <c r="JS22" s="36">
        <f t="shared" si="79"/>
        <v>4.8403569601912906E-4</v>
      </c>
      <c r="JT22" s="36">
        <f t="shared" si="79"/>
        <v>0</v>
      </c>
      <c r="JU22" s="36">
        <f t="shared" si="203"/>
        <v>1.5789660667034217E-2</v>
      </c>
      <c r="JV22" s="36">
        <f t="shared" si="204"/>
        <v>2.9116149183295521</v>
      </c>
      <c r="JW22" s="36">
        <f t="shared" si="205"/>
        <v>2.060712068147498</v>
      </c>
      <c r="JY22" s="18">
        <f t="shared" si="80"/>
        <v>1.9274921773223521</v>
      </c>
      <c r="JZ22" s="18">
        <f t="shared" si="81"/>
        <v>5.1595969597627853E-4</v>
      </c>
      <c r="KA22" s="18">
        <f t="shared" si="206"/>
        <v>7.2507822677647882E-2</v>
      </c>
      <c r="KB22" s="18">
        <f t="shared" si="207"/>
        <v>6.6138177140830118E-2</v>
      </c>
      <c r="KC22" s="18">
        <f t="shared" si="82"/>
        <v>0.138645999818478</v>
      </c>
      <c r="KD22" s="18">
        <f t="shared" si="83"/>
        <v>0.178976863214307</v>
      </c>
      <c r="KE22" s="18">
        <f t="shared" si="84"/>
        <v>3.4859622650600846E-3</v>
      </c>
      <c r="KF22" s="18">
        <f t="shared" si="85"/>
        <v>1.6770217602851778</v>
      </c>
      <c r="KG22" s="18">
        <f t="shared" si="86"/>
        <v>4.2994737982370301E-2</v>
      </c>
      <c r="KH22" s="18">
        <f t="shared" si="87"/>
        <v>1.9949164004015862E-3</v>
      </c>
      <c r="KI22" s="18">
        <f t="shared" si="88"/>
        <v>0</v>
      </c>
      <c r="KJ22" s="18">
        <f t="shared" si="89"/>
        <v>2.1691962859007523E-2</v>
      </c>
      <c r="KK22" s="36">
        <f t="shared" si="208"/>
        <v>3.9928203398431306</v>
      </c>
      <c r="KL22" s="36">
        <f t="shared" si="209"/>
        <v>0</v>
      </c>
      <c r="KM22" s="36">
        <f t="shared" si="210"/>
        <v>-2.1577710627926905E-2</v>
      </c>
      <c r="KN22" s="36">
        <f t="shared" si="211"/>
        <v>1.9949164004015862E-3</v>
      </c>
      <c r="KO22" s="36">
        <f t="shared" si="212"/>
        <v>5.1595969597627853E-4</v>
      </c>
      <c r="KP22" s="36">
        <f t="shared" si="213"/>
        <v>2.1691962859007523E-2</v>
      </c>
      <c r="KQ22" s="36">
        <f t="shared" si="214"/>
        <v>4.2451297881421005E-2</v>
      </c>
      <c r="KR22" s="36">
        <f t="shared" si="215"/>
        <v>4.2994737982370301E-2</v>
      </c>
      <c r="KS22" s="36">
        <f t="shared" si="216"/>
        <v>0.88676129510238855</v>
      </c>
      <c r="KT22" s="36">
        <f t="shared" si="217"/>
        <v>0.79974741358446322</v>
      </c>
      <c r="KU22" s="36">
        <f t="shared" si="218"/>
        <v>3.8775858496589127E-2</v>
      </c>
      <c r="KV22" s="53">
        <f t="shared" si="219"/>
        <v>0.70845941571302362</v>
      </c>
      <c r="KW22" s="36">
        <f t="shared" si="220"/>
        <v>4.2994737982370301E-2</v>
      </c>
      <c r="KX22" s="36">
        <f t="shared" si="221"/>
        <v>9.6431571095050808E-2</v>
      </c>
      <c r="KY22" s="36">
        <f t="shared" si="222"/>
        <v>0.73219733740061332</v>
      </c>
      <c r="KZ22" s="18">
        <f t="shared" si="223"/>
        <v>0.90356842890494926</v>
      </c>
      <c r="LA22" s="18">
        <f t="shared" si="224"/>
        <v>0.82374168240292256</v>
      </c>
      <c r="LB22" s="18">
        <f t="shared" si="225"/>
        <v>8.7912217901263412E-2</v>
      </c>
      <c r="LC22" s="18">
        <f t="shared" si="226"/>
        <v>0.85976739213026909</v>
      </c>
      <c r="LD22" s="18">
        <f t="shared" si="227"/>
        <v>9.1756991221898912E-2</v>
      </c>
      <c r="LE22" s="54">
        <f t="shared" si="228"/>
        <v>0.70822623806856111</v>
      </c>
      <c r="LF22" s="36">
        <f t="shared" si="229"/>
        <v>0.99641016992156528</v>
      </c>
      <c r="LH22" s="2" t="str">
        <f t="shared" si="90"/>
        <v xml:space="preserve">ABG07-1 </v>
      </c>
      <c r="LI22" s="2">
        <f t="shared" si="230"/>
        <v>15</v>
      </c>
      <c r="LK22" s="2">
        <f t="shared" si="91"/>
        <v>0.20454294394632314</v>
      </c>
      <c r="LL22" s="2">
        <f t="shared" si="231"/>
        <v>1203.7186822855961</v>
      </c>
      <c r="LN22" s="2">
        <f t="shared" si="92"/>
        <v>1221.0236459292739</v>
      </c>
      <c r="LO22" s="2">
        <f t="shared" si="93"/>
        <v>1069.270544960862</v>
      </c>
      <c r="LP22" s="2">
        <f t="shared" si="94"/>
        <v>1290.4088045017602</v>
      </c>
      <c r="LQ22" s="2">
        <f t="shared" si="95"/>
        <v>1137.4011220812777</v>
      </c>
      <c r="LR22" s="2">
        <f t="shared" si="232"/>
        <v>0.1803238081767746</v>
      </c>
      <c r="LS22" s="2">
        <f t="shared" si="233"/>
        <v>1118.89501560799</v>
      </c>
      <c r="LT22" s="2">
        <f t="shared" si="96"/>
        <v>1109.7885161170425</v>
      </c>
      <c r="LV22" s="2">
        <f t="shared" si="234"/>
        <v>1181.2404903688489</v>
      </c>
      <c r="LW22" s="2">
        <f t="shared" si="235"/>
        <v>798.56629281666926</v>
      </c>
      <c r="LY22" s="2">
        <f t="shared" si="97"/>
        <v>33.759464051129612</v>
      </c>
      <c r="LZ22" s="2">
        <f t="shared" si="98"/>
        <v>26.812484858121678</v>
      </c>
      <c r="MB22" s="2">
        <f t="shared" si="236"/>
        <v>25.89565</v>
      </c>
      <c r="MC22" s="2">
        <f t="shared" si="237"/>
        <v>31.143099999999997</v>
      </c>
      <c r="MD22" s="2">
        <f t="shared" si="238"/>
        <v>2.3649999999999984</v>
      </c>
      <c r="ME22" s="2">
        <f t="shared" si="99"/>
        <v>594.67105824319663</v>
      </c>
      <c r="MF22" s="2">
        <f t="shared" si="100"/>
        <v>1199.0839879488403</v>
      </c>
      <c r="MH22" s="2">
        <f t="shared" si="239"/>
        <v>1093.8722055104095</v>
      </c>
      <c r="MI22" s="2">
        <f t="shared" si="242"/>
        <v>1150.888732009229</v>
      </c>
      <c r="MK22" s="2">
        <f t="shared" si="240"/>
        <v>1111.0839876896816</v>
      </c>
      <c r="MM22" s="2">
        <f t="shared" si="101"/>
        <v>6.8926478631219723</v>
      </c>
      <c r="MN22" s="2">
        <f t="shared" si="241"/>
        <v>-8.1073521368780277</v>
      </c>
      <c r="MO22" s="3">
        <f t="shared" si="102"/>
        <v>15</v>
      </c>
    </row>
    <row r="23" spans="1:353" ht="15" x14ac:dyDescent="0.2">
      <c r="A23" s="50">
        <v>1.5</v>
      </c>
      <c r="B23" s="73" t="s">
        <v>204</v>
      </c>
      <c r="C23" s="3" t="s">
        <v>212</v>
      </c>
      <c r="E23" s="69">
        <v>51.8</v>
      </c>
      <c r="F23" s="69">
        <v>0.45</v>
      </c>
      <c r="G23" s="69">
        <v>6.33</v>
      </c>
      <c r="H23" s="69">
        <v>2.46</v>
      </c>
      <c r="I23" s="69">
        <v>0.09</v>
      </c>
      <c r="J23" s="69">
        <v>14</v>
      </c>
      <c r="K23" s="69">
        <v>20.6</v>
      </c>
      <c r="L23" s="69">
        <v>1.87</v>
      </c>
      <c r="M23" s="69"/>
      <c r="N23" s="69">
        <v>0.94</v>
      </c>
      <c r="P23" s="69">
        <v>54.8</v>
      </c>
      <c r="Q23" s="69">
        <v>0.16</v>
      </c>
      <c r="R23" s="69">
        <v>4.38</v>
      </c>
      <c r="S23" s="69">
        <v>6.02</v>
      </c>
      <c r="T23" s="69">
        <v>0.13</v>
      </c>
      <c r="U23" s="69">
        <v>29.7</v>
      </c>
      <c r="V23" s="69">
        <v>3.44</v>
      </c>
      <c r="W23" s="69">
        <v>0.35</v>
      </c>
      <c r="X23" s="69"/>
      <c r="Y23" s="69">
        <v>0.47</v>
      </c>
      <c r="Z23" s="3"/>
      <c r="AA23" s="69">
        <v>40.700000000000003</v>
      </c>
      <c r="AB23" s="69">
        <v>0.02</v>
      </c>
      <c r="AC23" s="69">
        <v>0.01</v>
      </c>
      <c r="AD23" s="69">
        <v>10</v>
      </c>
      <c r="AE23" s="69">
        <v>0.14000000000000001</v>
      </c>
      <c r="AF23" s="69">
        <v>48.4</v>
      </c>
      <c r="AG23" s="69">
        <v>0.02</v>
      </c>
      <c r="AH23" s="69"/>
      <c r="AI23" s="69"/>
      <c r="AJ23" s="69">
        <v>0.01</v>
      </c>
      <c r="AK23" s="3">
        <f t="shared" si="0"/>
        <v>0.1038644803064698</v>
      </c>
      <c r="AL23" s="3">
        <f t="shared" si="1"/>
        <v>0.89613551969353022</v>
      </c>
      <c r="AM23" s="69"/>
      <c r="AN23" s="69">
        <v>0.08</v>
      </c>
      <c r="AO23" s="69">
        <v>49.7</v>
      </c>
      <c r="AP23" s="69">
        <v>12</v>
      </c>
      <c r="AQ23" s="69">
        <v>0.13</v>
      </c>
      <c r="AR23" s="69">
        <v>21.5</v>
      </c>
      <c r="AS23" s="69"/>
      <c r="AT23" s="69"/>
      <c r="AU23" s="69"/>
      <c r="AV23" s="69">
        <v>10.9</v>
      </c>
      <c r="AW23" s="3"/>
      <c r="AX23" s="63">
        <f t="shared" si="2"/>
        <v>0.79979545479671454</v>
      </c>
      <c r="AY23" s="63">
        <f t="shared" ca="1" si="3"/>
        <v>0.81834426107839042</v>
      </c>
      <c r="AZ23" s="61"/>
      <c r="BA23" s="63">
        <f t="shared" si="103"/>
        <v>-1.5601790138883143</v>
      </c>
      <c r="BB23" s="63">
        <f t="shared" ca="1" si="104"/>
        <v>-1.4890710271064229</v>
      </c>
      <c r="BC23" s="3"/>
      <c r="BD23" s="64">
        <f t="shared" si="105"/>
        <v>-1.2718146296655612</v>
      </c>
      <c r="BE23" s="64">
        <f t="shared" ca="1" si="106"/>
        <v>-1.2336355541671407</v>
      </c>
      <c r="BF23" s="64">
        <f t="shared" si="4"/>
        <v>1.1448882182750677</v>
      </c>
      <c r="BG23" s="64">
        <f t="shared" ca="1" si="5"/>
        <v>1.1775872432638694</v>
      </c>
      <c r="BH23" s="3"/>
      <c r="BI23" s="64">
        <f t="shared" si="6"/>
        <v>-11.836850921903416</v>
      </c>
      <c r="BJ23" s="64">
        <f t="shared" ca="1" si="7"/>
        <v>-12.256807348191275</v>
      </c>
      <c r="BK23" s="61"/>
      <c r="BL23" s="61"/>
      <c r="BM23" s="64">
        <f t="shared" si="107"/>
        <v>-11.0370554671067</v>
      </c>
      <c r="BN23" s="64">
        <f t="shared" ca="1" si="108"/>
        <v>-11.438463087112885</v>
      </c>
      <c r="BO23" s="76"/>
      <c r="BP23" s="64">
        <f t="shared" si="109"/>
        <v>-13.39702993579173</v>
      </c>
      <c r="BQ23" s="64">
        <f t="shared" ca="1" si="110"/>
        <v>-13.745878375297698</v>
      </c>
      <c r="BR23" s="61"/>
      <c r="BS23" s="64">
        <f t="shared" si="8"/>
        <v>-10.691962703628349</v>
      </c>
      <c r="BT23" s="64">
        <f t="shared" ca="1" si="9"/>
        <v>-11.079220104927405</v>
      </c>
      <c r="BU23" s="3"/>
      <c r="BV23">
        <v>60.08</v>
      </c>
      <c r="BW23">
        <v>79.88</v>
      </c>
      <c r="BX23">
        <v>101.96</v>
      </c>
      <c r="BY23">
        <v>159.69</v>
      </c>
      <c r="BZ23">
        <v>71.849999999999994</v>
      </c>
      <c r="CA23">
        <v>70.94</v>
      </c>
      <c r="CB23">
        <v>40.299999999999997</v>
      </c>
      <c r="CC23">
        <v>151.99</v>
      </c>
      <c r="CD23" s="3"/>
      <c r="CE23" s="3">
        <f t="shared" si="10"/>
        <v>0</v>
      </c>
      <c r="CF23" s="3">
        <f t="shared" si="11"/>
        <v>1.0015022533800702E-3</v>
      </c>
      <c r="CG23" s="3">
        <f t="shared" si="12"/>
        <v>0.48744605727736373</v>
      </c>
      <c r="CH23" s="3">
        <f t="shared" si="13"/>
        <v>0.16701461377870566</v>
      </c>
      <c r="CI23" s="3">
        <f t="shared" si="14"/>
        <v>1.8325345362277983E-3</v>
      </c>
      <c r="CJ23" s="3">
        <f t="shared" si="15"/>
        <v>0.53349875930521096</v>
      </c>
      <c r="CK23" s="3">
        <f t="shared" si="16"/>
        <v>7.1715244423975255E-2</v>
      </c>
      <c r="CL23" s="3"/>
      <c r="CM23" s="3">
        <f t="shared" si="111"/>
        <v>0</v>
      </c>
      <c r="CN23" s="3">
        <f t="shared" si="111"/>
        <v>2.0030045067601404E-3</v>
      </c>
      <c r="CO23" s="3">
        <f t="shared" si="112"/>
        <v>1.4623381718320911</v>
      </c>
      <c r="CP23" s="3">
        <f t="shared" si="113"/>
        <v>0.16701461377870566</v>
      </c>
      <c r="CQ23" s="3">
        <f t="shared" si="113"/>
        <v>1.8325345362277983E-3</v>
      </c>
      <c r="CR23" s="3">
        <f t="shared" si="113"/>
        <v>0.53349875930521096</v>
      </c>
      <c r="CS23" s="3">
        <f t="shared" si="114"/>
        <v>0.21514573327192577</v>
      </c>
      <c r="CT23" s="3">
        <f t="shared" si="115"/>
        <v>2.3818328172309213</v>
      </c>
      <c r="CU23">
        <v>32</v>
      </c>
      <c r="CV23" s="3">
        <f t="shared" si="116"/>
        <v>13.435031950396359</v>
      </c>
      <c r="CW23" s="3"/>
      <c r="CX23" s="3">
        <f t="shared" si="117"/>
        <v>0</v>
      </c>
      <c r="CY23" s="3">
        <f t="shared" si="118"/>
        <v>2.6910429545110387E-2</v>
      </c>
      <c r="CZ23" s="3">
        <f t="shared" si="119"/>
        <v>19.646560060848344</v>
      </c>
      <c r="DA23" s="3">
        <f t="shared" si="120"/>
        <v>2.2438466723000188</v>
      </c>
      <c r="DB23" s="3">
        <f t="shared" si="121"/>
        <v>2.4620160044425243E-2</v>
      </c>
      <c r="DC23" s="3">
        <f t="shared" si="122"/>
        <v>7.1675728767623266</v>
      </c>
      <c r="DD23" s="3">
        <f t="shared" si="123"/>
        <v>2.8904898004997759</v>
      </c>
      <c r="DE23" s="3">
        <f t="shared" si="124"/>
        <v>32.000000000000007</v>
      </c>
      <c r="DF23" s="3"/>
      <c r="DG23" s="3">
        <f t="shared" si="125"/>
        <v>0</v>
      </c>
      <c r="DH23" s="3">
        <f t="shared" si="126"/>
        <v>1.3455214772555193E-2</v>
      </c>
      <c r="DI23" s="3">
        <f t="shared" si="127"/>
        <v>13.097706707232229</v>
      </c>
      <c r="DJ23" s="3">
        <f t="shared" si="128"/>
        <v>2.2438466723000188</v>
      </c>
      <c r="DK23" s="3">
        <f t="shared" si="129"/>
        <v>2.4620160044425243E-2</v>
      </c>
      <c r="DL23" s="3">
        <f t="shared" si="130"/>
        <v>7.1675728767623266</v>
      </c>
      <c r="DM23" s="3">
        <f t="shared" si="131"/>
        <v>1.9269932003331838</v>
      </c>
      <c r="DN23" s="3">
        <f t="shared" si="132"/>
        <v>24.474194831444738</v>
      </c>
      <c r="DO23" s="3">
        <f t="shared" si="133"/>
        <v>0.98062470145757419</v>
      </c>
      <c r="DP23" s="3"/>
      <c r="DQ23" s="3">
        <f t="shared" si="134"/>
        <v>0</v>
      </c>
      <c r="DR23" s="3">
        <f t="shared" si="135"/>
        <v>1.3194515969384479E-2</v>
      </c>
      <c r="DS23" s="3">
        <f t="shared" si="136"/>
        <v>12.843934729558471</v>
      </c>
      <c r="DT23" s="3">
        <f t="shared" si="137"/>
        <v>2.2003714731407773</v>
      </c>
      <c r="DU23" s="3">
        <f t="shared" si="138"/>
        <v>2.4143137093402201E-2</v>
      </c>
      <c r="DV23" s="3">
        <f t="shared" si="139"/>
        <v>7.0286990124504625</v>
      </c>
      <c r="DW23" s="3">
        <f t="shared" si="140"/>
        <v>1.8896571317875037</v>
      </c>
      <c r="DX23" s="3">
        <f t="shared" si="141"/>
        <v>24.000000000000004</v>
      </c>
      <c r="DY23" s="3"/>
      <c r="DZ23" s="3">
        <f t="shared" si="142"/>
        <v>0.2384174523941579</v>
      </c>
      <c r="EA23" s="3">
        <f t="shared" si="143"/>
        <v>0.1282550208781795</v>
      </c>
      <c r="EB23" s="3"/>
      <c r="EC23" s="3">
        <f t="shared" si="144"/>
        <v>0.96035236642552535</v>
      </c>
      <c r="ED23" s="3">
        <f t="shared" si="145"/>
        <v>1.240019106715252</v>
      </c>
      <c r="EE23" s="3">
        <f t="shared" si="146"/>
        <v>0.43645010769692116</v>
      </c>
      <c r="EF23" s="3">
        <f t="shared" si="147"/>
        <v>0.56354989230307884</v>
      </c>
      <c r="EG23" s="3"/>
      <c r="EH23" s="3">
        <f t="shared" si="17"/>
        <v>0</v>
      </c>
      <c r="EI23" s="3">
        <f t="shared" si="18"/>
        <v>0.08</v>
      </c>
      <c r="EJ23" s="3">
        <f t="shared" si="19"/>
        <v>49.7</v>
      </c>
      <c r="EK23" s="3">
        <f t="shared" si="20"/>
        <v>7.5152759437969374</v>
      </c>
      <c r="EL23" s="3">
        <f t="shared" si="21"/>
        <v>5.237401292363054</v>
      </c>
      <c r="EM23" s="3">
        <f t="shared" si="22"/>
        <v>0.13</v>
      </c>
      <c r="EN23" s="3">
        <f t="shared" si="23"/>
        <v>21.5</v>
      </c>
      <c r="EO23" s="3">
        <f t="shared" si="24"/>
        <v>10.9</v>
      </c>
      <c r="EP23" s="3">
        <f t="shared" si="148"/>
        <v>95.062677236159999</v>
      </c>
      <c r="EQ23" s="3"/>
      <c r="ER23" s="3">
        <f t="shared" si="149"/>
        <v>0</v>
      </c>
      <c r="ES23" s="3">
        <f t="shared" si="150"/>
        <v>1.3194515969384479E-2</v>
      </c>
      <c r="ET23" s="3">
        <f t="shared" si="151"/>
        <v>12.843934729558471</v>
      </c>
      <c r="EU23" s="3">
        <f t="shared" si="152"/>
        <v>1.240019106715252</v>
      </c>
      <c r="EV23" s="3">
        <f t="shared" si="153"/>
        <v>0.96035236642552535</v>
      </c>
      <c r="EW23" s="3">
        <f t="shared" si="154"/>
        <v>2.4143137093402201E-2</v>
      </c>
      <c r="EX23" s="3">
        <f t="shared" si="155"/>
        <v>7.0286990124504625</v>
      </c>
      <c r="EY23" s="3">
        <f t="shared" si="156"/>
        <v>1.8896571317875037</v>
      </c>
      <c r="EZ23" s="3">
        <f t="shared" si="157"/>
        <v>24.000000000000004</v>
      </c>
      <c r="FA23" s="3"/>
      <c r="FB23" s="3">
        <f t="shared" si="158"/>
        <v>0.12020856055135812</v>
      </c>
      <c r="FC23" s="3">
        <f t="shared" si="159"/>
        <v>7.7629229182721068E-2</v>
      </c>
      <c r="FD23" s="3">
        <f t="shared" si="160"/>
        <v>0.80407208834868626</v>
      </c>
      <c r="FE23" s="3"/>
      <c r="FF23" s="3"/>
      <c r="FG23" s="3">
        <f t="shared" si="161"/>
        <v>5.503251059943517E-4</v>
      </c>
      <c r="FH23" s="3">
        <f t="shared" si="162"/>
        <v>0.53570284486597475</v>
      </c>
      <c r="FI23" s="3">
        <f t="shared" si="163"/>
        <v>5.171949072792905E-2</v>
      </c>
      <c r="FJ23" s="3">
        <f t="shared" si="164"/>
        <v>4.0054975799897294E-2</v>
      </c>
      <c r="FK23" s="3">
        <f t="shared" si="165"/>
        <v>0.29315736462060155</v>
      </c>
      <c r="FL23" s="3">
        <f t="shared" si="166"/>
        <v>7.8814998879602929E-2</v>
      </c>
      <c r="FM23" s="3">
        <f t="shared" si="167"/>
        <v>2.996982107863325</v>
      </c>
      <c r="FN23" s="3">
        <f t="shared" si="168"/>
        <v>5.1048172709100247E-2</v>
      </c>
      <c r="FO23" s="3">
        <f t="shared" si="169"/>
        <v>4.0726293818726118E-2</v>
      </c>
      <c r="FP23" s="3"/>
      <c r="FQ23" s="3">
        <f t="shared" si="25"/>
        <v>0</v>
      </c>
      <c r="FR23" s="3">
        <f t="shared" si="26"/>
        <v>1.6493144961730599E-3</v>
      </c>
      <c r="FS23" s="3">
        <f t="shared" si="27"/>
        <v>1.6054918411948089</v>
      </c>
      <c r="FT23" s="3">
        <f t="shared" si="28"/>
        <v>0.15500238833940649</v>
      </c>
      <c r="FU23" s="3">
        <f t="shared" si="29"/>
        <v>0.12004404580319067</v>
      </c>
      <c r="FV23" s="3">
        <f t="shared" si="30"/>
        <v>3.0178921366752751E-3</v>
      </c>
      <c r="FW23" s="3">
        <f t="shared" si="31"/>
        <v>0.87858737655630781</v>
      </c>
      <c r="FX23" s="3">
        <f t="shared" si="32"/>
        <v>0.23620714147343796</v>
      </c>
      <c r="FZ23" s="44">
        <f t="shared" ca="1" si="170"/>
        <v>967.01974823947342</v>
      </c>
      <c r="GA23" s="44">
        <f t="shared" ca="1" si="33"/>
        <v>1.6231782101059662</v>
      </c>
      <c r="GB23" s="68">
        <f t="shared" si="171"/>
        <v>0.91027242949262333</v>
      </c>
      <c r="GC23" s="28">
        <f t="shared" ca="1" si="34"/>
        <v>843.78145859688073</v>
      </c>
      <c r="GD23" s="28"/>
      <c r="GE23" s="28">
        <f t="shared" ca="1" si="35"/>
        <v>967.01974823947342</v>
      </c>
      <c r="GF23" s="28">
        <f t="shared" ca="1" si="36"/>
        <v>866.62289445344106</v>
      </c>
      <c r="GG23" s="28">
        <f t="shared" si="37"/>
        <v>15.212037057130066</v>
      </c>
      <c r="GH23" s="28">
        <f t="shared" ca="1" si="38"/>
        <v>1.6231782101059662</v>
      </c>
      <c r="GI23" s="28">
        <f t="shared" si="172"/>
        <v>974.42428665680347</v>
      </c>
      <c r="GJ23" s="28">
        <f t="shared" si="173"/>
        <v>866.58264190029502</v>
      </c>
      <c r="GK23" s="28">
        <f t="shared" ca="1" si="39"/>
        <v>716.8238042888695</v>
      </c>
      <c r="GL23" s="51">
        <f t="shared" si="40"/>
        <v>0.86689606074988135</v>
      </c>
      <c r="GM23" s="52"/>
      <c r="GN23" s="2">
        <f t="shared" si="41"/>
        <v>0.67877251444463571</v>
      </c>
      <c r="GP23" s="2">
        <f t="shared" si="42"/>
        <v>0.86212205185048341</v>
      </c>
      <c r="GQ23" s="2">
        <f t="shared" si="43"/>
        <v>5.6335348052299235E-3</v>
      </c>
      <c r="GR23" s="2">
        <f t="shared" si="44"/>
        <v>6.2082560979197933E-2</v>
      </c>
      <c r="GS23" s="2">
        <f t="shared" si="45"/>
        <v>3.4239711384286477E-2</v>
      </c>
      <c r="GT23" s="2">
        <f t="shared" si="46"/>
        <v>1.2687224669603525E-3</v>
      </c>
      <c r="GU23" s="2">
        <f t="shared" si="47"/>
        <v>0.3473566161510902</v>
      </c>
      <c r="GV23" s="2">
        <f t="shared" si="48"/>
        <v>0.36734941348921318</v>
      </c>
      <c r="GW23" s="2">
        <f t="shared" si="49"/>
        <v>3.0171558385192379E-2</v>
      </c>
      <c r="GX23" s="2">
        <f t="shared" si="50"/>
        <v>0</v>
      </c>
      <c r="GY23" s="2">
        <f t="shared" si="51"/>
        <v>6.1842837612550673E-3</v>
      </c>
      <c r="GZ23" s="2">
        <f t="shared" si="174"/>
        <v>1.7164084532729091</v>
      </c>
      <c r="HB23" s="36">
        <f t="shared" si="175"/>
        <v>1.7242441037009668</v>
      </c>
      <c r="HC23" s="36">
        <f t="shared" si="175"/>
        <v>1.1267069610459847E-2</v>
      </c>
      <c r="HD23" s="36">
        <f t="shared" si="176"/>
        <v>0.18624768293759381</v>
      </c>
      <c r="HE23" s="36">
        <f t="shared" si="52"/>
        <v>3.4239711384286477E-2</v>
      </c>
      <c r="HF23" s="36">
        <f t="shared" si="52"/>
        <v>1.2687224669603525E-3</v>
      </c>
      <c r="HG23" s="36">
        <f t="shared" si="52"/>
        <v>0.3473566161510902</v>
      </c>
      <c r="HH23" s="36">
        <f t="shared" si="52"/>
        <v>0.36734941348921318</v>
      </c>
      <c r="HI23" s="36">
        <f t="shared" si="52"/>
        <v>3.0171558385192379E-2</v>
      </c>
      <c r="HJ23" s="36">
        <f t="shared" si="52"/>
        <v>0</v>
      </c>
      <c r="HK23" s="36">
        <f t="shared" si="177"/>
        <v>1.8552851283765201E-2</v>
      </c>
      <c r="HL23" s="36">
        <f t="shared" si="178"/>
        <v>2.7206977294095283</v>
      </c>
      <c r="HM23" s="36">
        <f t="shared" si="179"/>
        <v>2.2053166491604994</v>
      </c>
      <c r="HO23" s="18">
        <f t="shared" si="53"/>
        <v>1.9012521145542824</v>
      </c>
      <c r="HP23" s="18">
        <f t="shared" si="54"/>
        <v>1.2423728099598701E-2</v>
      </c>
      <c r="HQ23" s="18">
        <f t="shared" si="180"/>
        <v>9.8747885445717554E-2</v>
      </c>
      <c r="HR23" s="18">
        <f t="shared" si="181"/>
        <v>0.17507552525417674</v>
      </c>
      <c r="HS23" s="18">
        <f t="shared" si="55"/>
        <v>0.2738234106998943</v>
      </c>
      <c r="HT23" s="18">
        <f t="shared" si="56"/>
        <v>7.5509405578217254E-2</v>
      </c>
      <c r="HU23" s="18">
        <f t="shared" si="57"/>
        <v>2.7979347795516469E-3</v>
      </c>
      <c r="HV23" s="18">
        <f t="shared" si="58"/>
        <v>0.766031328794052</v>
      </c>
      <c r="HW23" s="18">
        <f t="shared" si="59"/>
        <v>0.81012177762710635</v>
      </c>
      <c r="HX23" s="18">
        <f t="shared" si="60"/>
        <v>0.13307568007596565</v>
      </c>
      <c r="HY23" s="18">
        <f t="shared" si="61"/>
        <v>0</v>
      </c>
      <c r="HZ23" s="18">
        <f t="shared" si="62"/>
        <v>2.727660788365743E-2</v>
      </c>
      <c r="IA23" s="36">
        <f t="shared" si="182"/>
        <v>4.0023119880923259</v>
      </c>
      <c r="IB23" s="36">
        <f t="shared" si="183"/>
        <v>4.6239761846516327E-3</v>
      </c>
      <c r="IC23" s="36">
        <f t="shared" si="184"/>
        <v>6.931957626106211E-3</v>
      </c>
      <c r="ID23" s="36">
        <f t="shared" si="185"/>
        <v>0.13307568007596565</v>
      </c>
      <c r="IE23" s="36">
        <f t="shared" si="186"/>
        <v>4.1999845178211093E-2</v>
      </c>
      <c r="IF23" s="36">
        <f t="shared" si="187"/>
        <v>2.8374020133753231E-2</v>
      </c>
      <c r="IG23" s="36">
        <f t="shared" si="188"/>
        <v>1.3638303941828715E-2</v>
      </c>
      <c r="IH23" s="36">
        <f t="shared" si="189"/>
        <v>0.72610960837331329</v>
      </c>
      <c r="II23" s="36">
        <f t="shared" si="190"/>
        <v>5.7715562999477998E-2</v>
      </c>
      <c r="IJ23" s="36">
        <f t="shared" si="191"/>
        <v>5.2362791178331293E-2</v>
      </c>
      <c r="IK23" s="36">
        <f t="shared" si="192"/>
        <v>0.658767303303887</v>
      </c>
      <c r="IL23" s="36">
        <f t="shared" si="193"/>
        <v>1.0009130207025501</v>
      </c>
      <c r="IM23" s="36">
        <f t="shared" si="194"/>
        <v>0.72610960837331329</v>
      </c>
      <c r="IN23" s="36"/>
      <c r="IO23" s="2">
        <f t="shared" si="195"/>
        <v>0.91530169673376927</v>
      </c>
      <c r="IP23" s="36">
        <f t="shared" si="196"/>
        <v>7.0885429393565624E-2</v>
      </c>
      <c r="IQ23" s="53">
        <f t="shared" si="197"/>
        <v>0.16978911929531337</v>
      </c>
      <c r="IR23" s="18">
        <f t="shared" si="198"/>
        <v>0.59373340050291756</v>
      </c>
      <c r="IS23" s="18">
        <f t="shared" si="199"/>
        <v>0.28494227614821305</v>
      </c>
      <c r="IT23" s="18">
        <f t="shared" si="63"/>
        <v>0.7144846532782223</v>
      </c>
      <c r="IU23" s="18">
        <f t="shared" si="64"/>
        <v>6.6115509299693315E-2</v>
      </c>
      <c r="IV23" s="18">
        <f t="shared" si="65"/>
        <v>4.943050889209584E-2</v>
      </c>
      <c r="IW23" s="18">
        <f t="shared" si="66"/>
        <v>4.5740986252805057E-3</v>
      </c>
      <c r="IX23" s="18">
        <f t="shared" si="67"/>
        <v>3.5317340007135177E-2</v>
      </c>
      <c r="IY23" s="18">
        <f t="shared" si="68"/>
        <v>4.4471400553225245E-2</v>
      </c>
      <c r="IZ23" s="2">
        <f t="shared" si="69"/>
        <v>0.91205190041325268</v>
      </c>
      <c r="JA23" s="2">
        <f t="shared" si="70"/>
        <v>2.0030345974150839E-3</v>
      </c>
      <c r="JB23" s="2">
        <f t="shared" si="71"/>
        <v>4.2957601435843117E-2</v>
      </c>
      <c r="JC23" s="2">
        <f t="shared" si="72"/>
        <v>8.3789862818457142E-2</v>
      </c>
      <c r="JD23" s="2">
        <f t="shared" si="73"/>
        <v>1.8325991189427314E-3</v>
      </c>
      <c r="JE23" s="2">
        <f t="shared" si="74"/>
        <v>0.73689224997766989</v>
      </c>
      <c r="JF23" s="2">
        <f t="shared" si="75"/>
        <v>6.1343785553538505E-2</v>
      </c>
      <c r="JG23" s="2">
        <f t="shared" si="76"/>
        <v>5.6470831202231724E-3</v>
      </c>
      <c r="JH23" s="2">
        <f t="shared" si="77"/>
        <v>0</v>
      </c>
      <c r="JI23" s="2">
        <f t="shared" si="78"/>
        <v>3.0921418806275336E-3</v>
      </c>
      <c r="JJ23" s="2">
        <f t="shared" si="200"/>
        <v>1.8496102589159702</v>
      </c>
      <c r="JL23" s="36">
        <f t="shared" si="201"/>
        <v>1.8241038008265054</v>
      </c>
      <c r="JM23" s="36">
        <f t="shared" si="201"/>
        <v>4.0060691948301677E-3</v>
      </c>
      <c r="JN23" s="36">
        <f t="shared" si="202"/>
        <v>0.12887280430752934</v>
      </c>
      <c r="JO23" s="36">
        <f t="shared" si="79"/>
        <v>8.3789862818457142E-2</v>
      </c>
      <c r="JP23" s="36">
        <f t="shared" si="79"/>
        <v>1.8325991189427314E-3</v>
      </c>
      <c r="JQ23" s="36">
        <f t="shared" si="79"/>
        <v>0.73689224997766989</v>
      </c>
      <c r="JR23" s="36">
        <f t="shared" si="79"/>
        <v>6.1343785553538505E-2</v>
      </c>
      <c r="JS23" s="36">
        <f t="shared" si="79"/>
        <v>5.6470831202231724E-3</v>
      </c>
      <c r="JT23" s="36">
        <f t="shared" si="79"/>
        <v>0</v>
      </c>
      <c r="JU23" s="36">
        <f t="shared" si="203"/>
        <v>9.2764256418826005E-3</v>
      </c>
      <c r="JV23" s="36">
        <f t="shared" si="204"/>
        <v>2.8557646805595791</v>
      </c>
      <c r="JW23" s="36">
        <f t="shared" si="205"/>
        <v>2.1010134486376226</v>
      </c>
      <c r="JY23" s="18">
        <f t="shared" si="80"/>
        <v>1.9162333086237455</v>
      </c>
      <c r="JZ23" s="18">
        <f t="shared" si="81"/>
        <v>4.2084026272555374E-3</v>
      </c>
      <c r="KA23" s="18">
        <f t="shared" si="206"/>
        <v>8.3766691376254476E-2</v>
      </c>
      <c r="KB23" s="18">
        <f t="shared" si="207"/>
        <v>9.6742305299587994E-2</v>
      </c>
      <c r="KC23" s="18">
        <f t="shared" si="82"/>
        <v>0.18050899667584247</v>
      </c>
      <c r="KD23" s="18">
        <f t="shared" si="83"/>
        <v>0.17604362864107995</v>
      </c>
      <c r="KE23" s="18">
        <f t="shared" si="84"/>
        <v>3.8503153948601368E-3</v>
      </c>
      <c r="KF23" s="18">
        <f t="shared" si="85"/>
        <v>1.5482205273999212</v>
      </c>
      <c r="KG23" s="18">
        <f t="shared" si="86"/>
        <v>0.1288841184383267</v>
      </c>
      <c r="KH23" s="18">
        <f t="shared" si="87"/>
        <v>2.3729195162326789E-2</v>
      </c>
      <c r="KI23" s="18">
        <f t="shared" si="88"/>
        <v>0</v>
      </c>
      <c r="KJ23" s="18">
        <f t="shared" si="89"/>
        <v>1.2993263352588156E-2</v>
      </c>
      <c r="KK23" s="36">
        <f t="shared" si="208"/>
        <v>3.9946717563159457</v>
      </c>
      <c r="KL23" s="36">
        <f t="shared" si="209"/>
        <v>0</v>
      </c>
      <c r="KM23" s="36">
        <f t="shared" si="210"/>
        <v>-1.6006052088648914E-2</v>
      </c>
      <c r="KN23" s="36">
        <f t="shared" si="211"/>
        <v>2.3729195162326789E-2</v>
      </c>
      <c r="KO23" s="36">
        <f t="shared" si="212"/>
        <v>4.2084026272555374E-3</v>
      </c>
      <c r="KP23" s="36">
        <f t="shared" si="213"/>
        <v>1.2993263352588156E-2</v>
      </c>
      <c r="KQ23" s="36">
        <f t="shared" si="214"/>
        <v>6.001984678467305E-2</v>
      </c>
      <c r="KR23" s="36">
        <f t="shared" si="215"/>
        <v>0.1288841184383267</v>
      </c>
      <c r="KS23" s="36">
        <f t="shared" si="216"/>
        <v>0.76750105179280304</v>
      </c>
      <c r="KT23" s="36">
        <f t="shared" si="217"/>
        <v>0.68760542361487298</v>
      </c>
      <c r="KU23" s="36">
        <f t="shared" si="218"/>
        <v>0.11546748847966348</v>
      </c>
      <c r="KV23" s="53">
        <f t="shared" si="219"/>
        <v>0.60272631560756273</v>
      </c>
      <c r="KW23" s="36">
        <f t="shared" si="220"/>
        <v>0.1288841184383267</v>
      </c>
      <c r="KX23" s="36">
        <f t="shared" si="221"/>
        <v>0.10209782997825874</v>
      </c>
      <c r="KY23" s="36">
        <f t="shared" si="222"/>
        <v>0.66311981988615709</v>
      </c>
      <c r="KZ23" s="18">
        <f t="shared" si="223"/>
        <v>0.89790217002174122</v>
      </c>
      <c r="LA23" s="18">
        <f t="shared" si="224"/>
        <v>0.79559163094904461</v>
      </c>
      <c r="LB23" s="18">
        <f t="shared" si="225"/>
        <v>9.0464397771523777E-2</v>
      </c>
      <c r="LC23" s="18">
        <f t="shared" si="226"/>
        <v>0.7574131380171929</v>
      </c>
      <c r="LD23" s="18">
        <f t="shared" si="227"/>
        <v>8.6123232987293477E-2</v>
      </c>
      <c r="LE23" s="54">
        <f t="shared" si="228"/>
        <v>0.60259155377733231</v>
      </c>
      <c r="LF23" s="36">
        <f t="shared" si="229"/>
        <v>0.99733587815797331</v>
      </c>
      <c r="LH23" s="2" t="str">
        <f t="shared" si="90"/>
        <v xml:space="preserve">ABG08 </v>
      </c>
      <c r="LI23" s="2">
        <f t="shared" si="230"/>
        <v>15</v>
      </c>
      <c r="LK23" s="2">
        <f t="shared" si="91"/>
        <v>0.2067923818601847</v>
      </c>
      <c r="LL23" s="2">
        <f t="shared" si="231"/>
        <v>1206.8679297331078</v>
      </c>
      <c r="LN23" s="2">
        <f t="shared" si="92"/>
        <v>799.16027649265561</v>
      </c>
      <c r="LO23" s="2">
        <f t="shared" si="93"/>
        <v>709.42721396814511</v>
      </c>
      <c r="LP23" s="2">
        <f t="shared" si="94"/>
        <v>1542.9688287519239</v>
      </c>
      <c r="LQ23" s="2">
        <f t="shared" si="95"/>
        <v>1364.7293170016603</v>
      </c>
      <c r="LR23" s="2">
        <f t="shared" si="232"/>
        <v>5.8609085682912718E-2</v>
      </c>
      <c r="LS23" s="2">
        <f t="shared" si="233"/>
        <v>782.00544080325665</v>
      </c>
      <c r="LT23" s="2">
        <f t="shared" si="96"/>
        <v>1489.1941055400939</v>
      </c>
      <c r="LV23" s="2">
        <f t="shared" si="234"/>
        <v>974.42428665680347</v>
      </c>
      <c r="LW23" s="2">
        <f t="shared" si="235"/>
        <v>965.16959682969889</v>
      </c>
      <c r="LY23" s="2">
        <f t="shared" si="97"/>
        <v>-4.2222643575685197</v>
      </c>
      <c r="LZ23" s="2">
        <f t="shared" si="98"/>
        <v>-1.3183117188260107</v>
      </c>
      <c r="MB23" s="2">
        <f t="shared" si="236"/>
        <v>25.89565</v>
      </c>
      <c r="MC23" s="2">
        <f t="shared" si="237"/>
        <v>31.143099999999997</v>
      </c>
      <c r="MD23" s="2">
        <f t="shared" si="238"/>
        <v>2.3649999999999984</v>
      </c>
      <c r="ME23" s="2">
        <f t="shared" si="99"/>
        <v>272.93254103032621</v>
      </c>
      <c r="MF23" s="2">
        <f t="shared" si="100"/>
        <v>1599.2070855864599</v>
      </c>
      <c r="MH23" s="2">
        <f t="shared" si="239"/>
        <v>1479.4907103145488</v>
      </c>
      <c r="MI23" s="2">
        <f t="shared" si="242"/>
        <v>1304.2727180778475</v>
      </c>
      <c r="MK23" s="2">
        <f t="shared" si="240"/>
        <v>866.58264190029502</v>
      </c>
      <c r="MM23" s="2">
        <f t="shared" si="101"/>
        <v>15.212037057130066</v>
      </c>
      <c r="MN23" s="2">
        <f t="shared" si="241"/>
        <v>0.21203705713006649</v>
      </c>
      <c r="MO23" s="3">
        <f t="shared" si="102"/>
        <v>15</v>
      </c>
    </row>
    <row r="24" spans="1:353" ht="15" x14ac:dyDescent="0.25">
      <c r="A24" s="50">
        <v>1.5</v>
      </c>
      <c r="B24" s="72" t="s">
        <v>208</v>
      </c>
      <c r="C24" s="75" t="s">
        <v>213</v>
      </c>
      <c r="E24" s="69">
        <v>53.027000000000001</v>
      </c>
      <c r="F24" s="69">
        <v>0.109</v>
      </c>
      <c r="G24" s="69">
        <v>4.2</v>
      </c>
      <c r="H24" s="69">
        <v>2.3559999999999999</v>
      </c>
      <c r="I24" s="69">
        <v>4.2999999999999997E-2</v>
      </c>
      <c r="J24" s="69">
        <v>15.67</v>
      </c>
      <c r="K24" s="69">
        <v>22.326000000000001</v>
      </c>
      <c r="L24" s="69">
        <v>1.1719999999999999</v>
      </c>
      <c r="M24" s="69">
        <v>0.01</v>
      </c>
      <c r="N24" s="69">
        <v>0.9</v>
      </c>
      <c r="P24" s="69">
        <v>55.442</v>
      </c>
      <c r="Q24" s="69">
        <v>0</v>
      </c>
      <c r="R24" s="69">
        <v>2.927</v>
      </c>
      <c r="S24" s="69">
        <v>5.74</v>
      </c>
      <c r="T24" s="69">
        <v>6.3E-2</v>
      </c>
      <c r="U24" s="69">
        <v>34.097000000000001</v>
      </c>
      <c r="V24" s="69">
        <v>0.27900000000000003</v>
      </c>
      <c r="W24" s="69">
        <v>6.6000000000000003E-2</v>
      </c>
      <c r="X24" s="69">
        <v>1.2E-2</v>
      </c>
      <c r="Y24" s="69">
        <v>0.34599999999999997</v>
      </c>
      <c r="Z24" s="3"/>
      <c r="AA24" s="69">
        <v>40.768000000000001</v>
      </c>
      <c r="AB24" s="69">
        <v>0</v>
      </c>
      <c r="AC24" s="69">
        <v>2.9000000000000001E-2</v>
      </c>
      <c r="AD24" s="69">
        <v>8.4309999999999992</v>
      </c>
      <c r="AE24" s="69">
        <v>0.114</v>
      </c>
      <c r="AF24" s="69">
        <v>49.804000000000002</v>
      </c>
      <c r="AG24" s="69">
        <v>1.4E-2</v>
      </c>
      <c r="AH24" s="69">
        <v>1.9E-2</v>
      </c>
      <c r="AI24" s="69">
        <v>1E-3</v>
      </c>
      <c r="AJ24" s="69">
        <v>0.01</v>
      </c>
      <c r="AK24" s="3">
        <f t="shared" si="0"/>
        <v>8.672697845264711E-2</v>
      </c>
      <c r="AL24" s="3">
        <f t="shared" si="1"/>
        <v>0.9132730215473529</v>
      </c>
      <c r="AM24" s="69">
        <v>0.05</v>
      </c>
      <c r="AN24" s="69">
        <v>2E-3</v>
      </c>
      <c r="AO24" s="69">
        <v>48.481999999999999</v>
      </c>
      <c r="AP24" s="69">
        <v>13.191000000000001</v>
      </c>
      <c r="AQ24" s="69">
        <v>0.126</v>
      </c>
      <c r="AR24" s="69">
        <v>18.79</v>
      </c>
      <c r="AS24" s="69">
        <v>1.2E-2</v>
      </c>
      <c r="AT24" s="69">
        <v>5.0000000000000001E-3</v>
      </c>
      <c r="AU24" s="69">
        <v>1E-3</v>
      </c>
      <c r="AV24" s="69">
        <v>18.536999999999999</v>
      </c>
      <c r="AW24" s="3"/>
      <c r="AX24" s="63">
        <f t="shared" si="2"/>
        <v>-4.6826243862593042E-2</v>
      </c>
      <c r="AY24" s="63">
        <f t="shared" ca="1" si="3"/>
        <v>1.5315892003883613E-2</v>
      </c>
      <c r="AZ24" s="61"/>
      <c r="BA24" s="63">
        <f t="shared" si="103"/>
        <v>-0.27647327729164761</v>
      </c>
      <c r="BB24" s="63">
        <f t="shared" ca="1" si="104"/>
        <v>2.8676129195971178E-2</v>
      </c>
      <c r="BC24" s="3"/>
      <c r="BD24" s="64">
        <f t="shared" si="105"/>
        <v>-1.9000163875950167</v>
      </c>
      <c r="BE24" s="64">
        <f t="shared" ca="1" si="106"/>
        <v>-1.7459614987977827</v>
      </c>
      <c r="BF24" s="64">
        <f t="shared" si="4"/>
        <v>0.22294904154064321</v>
      </c>
      <c r="BG24" s="64">
        <f t="shared" ca="1" si="5"/>
        <v>0.33745749739299269</v>
      </c>
      <c r="BH24" s="3"/>
      <c r="BI24" s="64">
        <f t="shared" si="6"/>
        <v>-12.451362704169474</v>
      </c>
      <c r="BJ24" s="64">
        <f t="shared" ca="1" si="7"/>
        <v>-14.253543584714905</v>
      </c>
      <c r="BK24" s="61"/>
      <c r="BL24" s="61"/>
      <c r="BM24" s="64">
        <f t="shared" si="107"/>
        <v>-12.498188948032068</v>
      </c>
      <c r="BN24" s="64">
        <f t="shared" ca="1" si="108"/>
        <v>-14.238227692711021</v>
      </c>
      <c r="BO24" s="76"/>
      <c r="BP24" s="64">
        <f t="shared" si="109"/>
        <v>-12.727835981461123</v>
      </c>
      <c r="BQ24" s="64">
        <f t="shared" ca="1" si="110"/>
        <v>-14.224867455518933</v>
      </c>
      <c r="BR24" s="61"/>
      <c r="BS24" s="64">
        <f t="shared" si="8"/>
        <v>-12.228413662628832</v>
      </c>
      <c r="BT24" s="64">
        <f t="shared" ca="1" si="9"/>
        <v>-13.916086087321911</v>
      </c>
      <c r="BU24" s="3"/>
      <c r="BV24">
        <v>60.08</v>
      </c>
      <c r="BW24">
        <v>79.88</v>
      </c>
      <c r="BX24">
        <v>101.96</v>
      </c>
      <c r="BY24">
        <v>159.69</v>
      </c>
      <c r="BZ24">
        <v>71.849999999999994</v>
      </c>
      <c r="CA24">
        <v>70.94</v>
      </c>
      <c r="CB24">
        <v>40.299999999999997</v>
      </c>
      <c r="CC24">
        <v>151.99</v>
      </c>
      <c r="CD24" s="3"/>
      <c r="CE24" s="3">
        <f t="shared" si="10"/>
        <v>8.3222370173102538E-4</v>
      </c>
      <c r="CF24" s="3">
        <f t="shared" si="11"/>
        <v>2.5037556334501756E-5</v>
      </c>
      <c r="CG24" s="3">
        <f t="shared" si="12"/>
        <v>0.47550019615535505</v>
      </c>
      <c r="CH24" s="3">
        <f t="shared" si="13"/>
        <v>0.18359081419624221</v>
      </c>
      <c r="CI24" s="3">
        <f t="shared" si="14"/>
        <v>1.7761488581900199E-3</v>
      </c>
      <c r="CJ24" s="3">
        <f t="shared" si="15"/>
        <v>0.46625310173697271</v>
      </c>
      <c r="CK24" s="3">
        <f t="shared" si="16"/>
        <v>0.12196197118231461</v>
      </c>
      <c r="CL24" s="3"/>
      <c r="CM24" s="3">
        <f t="shared" si="111"/>
        <v>1.6644474034620508E-3</v>
      </c>
      <c r="CN24" s="3">
        <f t="shared" si="111"/>
        <v>5.0075112669003512E-5</v>
      </c>
      <c r="CO24" s="3">
        <f t="shared" si="112"/>
        <v>1.4265005884660651</v>
      </c>
      <c r="CP24" s="3">
        <f t="shared" si="113"/>
        <v>0.18359081419624221</v>
      </c>
      <c r="CQ24" s="3">
        <f t="shared" si="113"/>
        <v>1.7761488581900199E-3</v>
      </c>
      <c r="CR24" s="3">
        <f t="shared" si="113"/>
        <v>0.46625310173697271</v>
      </c>
      <c r="CS24" s="3">
        <f t="shared" si="114"/>
        <v>0.36588591354694383</v>
      </c>
      <c r="CT24" s="3">
        <f t="shared" si="115"/>
        <v>2.445721089320545</v>
      </c>
      <c r="CU24">
        <v>32</v>
      </c>
      <c r="CV24" s="3">
        <f t="shared" si="116"/>
        <v>13.084075751618121</v>
      </c>
      <c r="CW24" s="3"/>
      <c r="CX24" s="3">
        <f t="shared" si="117"/>
        <v>2.1777755911481563E-2</v>
      </c>
      <c r="CY24" s="3">
        <f t="shared" si="118"/>
        <v>6.5518656743205424E-4</v>
      </c>
      <c r="CZ24" s="3">
        <f t="shared" si="119"/>
        <v>18.664441759217823</v>
      </c>
      <c r="DA24" s="3">
        <f t="shared" si="120"/>
        <v>2.4021161202448806</v>
      </c>
      <c r="DB24" s="3">
        <f t="shared" si="121"/>
        <v>2.3239266206708253E-2</v>
      </c>
      <c r="DC24" s="3">
        <f t="shared" si="122"/>
        <v>6.100490902553461</v>
      </c>
      <c r="DD24" s="3">
        <f t="shared" si="123"/>
        <v>4.7872790092982118</v>
      </c>
      <c r="DE24" s="3">
        <f t="shared" si="124"/>
        <v>32</v>
      </c>
      <c r="DF24" s="3"/>
      <c r="DG24" s="3">
        <f t="shared" si="125"/>
        <v>1.0888877955740782E-2</v>
      </c>
      <c r="DH24" s="3">
        <f t="shared" si="126"/>
        <v>3.2759328371602712E-4</v>
      </c>
      <c r="DI24" s="3">
        <f t="shared" si="127"/>
        <v>12.442961172811881</v>
      </c>
      <c r="DJ24" s="3">
        <f t="shared" si="128"/>
        <v>2.4021161202448806</v>
      </c>
      <c r="DK24" s="3">
        <f t="shared" si="129"/>
        <v>2.3239266206708253E-2</v>
      </c>
      <c r="DL24" s="3">
        <f t="shared" si="130"/>
        <v>6.100490902553461</v>
      </c>
      <c r="DM24" s="3">
        <f t="shared" si="131"/>
        <v>3.1915193395321411</v>
      </c>
      <c r="DN24" s="3">
        <f t="shared" si="132"/>
        <v>24.171543272588529</v>
      </c>
      <c r="DO24" s="3">
        <f t="shared" si="133"/>
        <v>0.9929030897756923</v>
      </c>
      <c r="DP24" s="3"/>
      <c r="DQ24" s="3">
        <f t="shared" si="134"/>
        <v>1.0811600566445445E-2</v>
      </c>
      <c r="DR24" s="3">
        <f t="shared" si="135"/>
        <v>3.2526838359140829E-4</v>
      </c>
      <c r="DS24" s="3">
        <f t="shared" si="136"/>
        <v>12.354654594443888</v>
      </c>
      <c r="DT24" s="3">
        <f t="shared" si="137"/>
        <v>2.3850685177911406</v>
      </c>
      <c r="DU24" s="3">
        <f t="shared" si="138"/>
        <v>2.3074339220760458E-2</v>
      </c>
      <c r="DV24" s="3">
        <f t="shared" si="139"/>
        <v>6.0571962662938335</v>
      </c>
      <c r="DW24" s="3">
        <f t="shared" si="140"/>
        <v>3.1688694133003397</v>
      </c>
      <c r="DX24" s="3">
        <f t="shared" si="141"/>
        <v>24</v>
      </c>
      <c r="DY24" s="3"/>
      <c r="DZ24" s="3">
        <f t="shared" si="142"/>
        <v>0.28251524665364419</v>
      </c>
      <c r="EA24" s="3">
        <f t="shared" si="143"/>
        <v>0.20413337923267191</v>
      </c>
      <c r="EB24" s="3"/>
      <c r="EC24" s="3">
        <f t="shared" si="144"/>
        <v>1.9308662634354481</v>
      </c>
      <c r="ED24" s="3">
        <f t="shared" si="145"/>
        <v>0.4542022543556925</v>
      </c>
      <c r="EE24" s="3">
        <f t="shared" si="146"/>
        <v>0.80956427416335264</v>
      </c>
      <c r="EF24" s="3">
        <f t="shared" si="147"/>
        <v>0.19043572583664733</v>
      </c>
      <c r="EG24" s="3"/>
      <c r="EH24" s="3">
        <f t="shared" si="17"/>
        <v>0.05</v>
      </c>
      <c r="EI24" s="3">
        <f t="shared" si="18"/>
        <v>2E-3</v>
      </c>
      <c r="EJ24" s="3">
        <f t="shared" si="19"/>
        <v>48.481999999999999</v>
      </c>
      <c r="EK24" s="3">
        <f t="shared" si="20"/>
        <v>2.7916274510148136</v>
      </c>
      <c r="EL24" s="3">
        <f t="shared" si="21"/>
        <v>10.678962340488786</v>
      </c>
      <c r="EM24" s="3">
        <f t="shared" si="22"/>
        <v>0.126</v>
      </c>
      <c r="EN24" s="3">
        <f t="shared" si="23"/>
        <v>18.79</v>
      </c>
      <c r="EO24" s="3">
        <f t="shared" si="24"/>
        <v>18.536999999999999</v>
      </c>
      <c r="EP24" s="3">
        <f t="shared" si="148"/>
        <v>99.457589791503608</v>
      </c>
      <c r="EQ24" s="3"/>
      <c r="ER24" s="3">
        <f t="shared" si="149"/>
        <v>1.0811600566445445E-2</v>
      </c>
      <c r="ES24" s="3">
        <f t="shared" si="150"/>
        <v>3.2526838359140829E-4</v>
      </c>
      <c r="ET24" s="3">
        <f t="shared" si="151"/>
        <v>12.354654594443888</v>
      </c>
      <c r="EU24" s="3">
        <f t="shared" si="152"/>
        <v>0.4542022543556925</v>
      </c>
      <c r="EV24" s="3">
        <f t="shared" si="153"/>
        <v>1.9308662634354481</v>
      </c>
      <c r="EW24" s="3">
        <f t="shared" si="154"/>
        <v>2.3074339220760458E-2</v>
      </c>
      <c r="EX24" s="3">
        <f t="shared" si="155"/>
        <v>6.0571962662938335</v>
      </c>
      <c r="EY24" s="3">
        <f t="shared" si="156"/>
        <v>3.1688694133003397</v>
      </c>
      <c r="EZ24" s="3">
        <f t="shared" si="157"/>
        <v>24</v>
      </c>
      <c r="FA24" s="3"/>
      <c r="FB24" s="3">
        <f t="shared" si="158"/>
        <v>0.24171897205978504</v>
      </c>
      <c r="FC24" s="3">
        <f t="shared" si="159"/>
        <v>2.8427214667776989E-2</v>
      </c>
      <c r="FD24" s="3">
        <f t="shared" si="160"/>
        <v>0.77324234949185688</v>
      </c>
      <c r="FE24" s="3"/>
      <c r="FF24" s="3"/>
      <c r="FG24" s="3">
        <f t="shared" si="161"/>
        <v>1.3572011831964062E-5</v>
      </c>
      <c r="FH24" s="3">
        <f t="shared" si="162"/>
        <v>0.51550512375113822</v>
      </c>
      <c r="FI24" s="3">
        <f t="shared" si="163"/>
        <v>1.895185232009447E-2</v>
      </c>
      <c r="FJ24" s="3">
        <f t="shared" si="164"/>
        <v>8.0566513978207452E-2</v>
      </c>
      <c r="FK24" s="3">
        <f t="shared" si="165"/>
        <v>0.25274002498175763</v>
      </c>
      <c r="FL24" s="3">
        <f t="shared" si="166"/>
        <v>0.13222291295697036</v>
      </c>
      <c r="FM24" s="3">
        <f t="shared" si="167"/>
        <v>2.995764257526599</v>
      </c>
      <c r="FN24" s="3">
        <f t="shared" si="168"/>
        <v>1.8911485934894123E-2</v>
      </c>
      <c r="FO24" s="3">
        <f t="shared" si="169"/>
        <v>8.0606880363407657E-2</v>
      </c>
      <c r="FP24" s="3"/>
      <c r="FQ24" s="3">
        <f t="shared" si="25"/>
        <v>1.3514500708056807E-3</v>
      </c>
      <c r="FR24" s="3">
        <f t="shared" si="26"/>
        <v>4.0658547948926036E-5</v>
      </c>
      <c r="FS24" s="3">
        <f t="shared" si="27"/>
        <v>1.544331824305486</v>
      </c>
      <c r="FT24" s="3">
        <f t="shared" si="28"/>
        <v>5.6775281794461563E-2</v>
      </c>
      <c r="FU24" s="3">
        <f t="shared" si="29"/>
        <v>0.24135828292943101</v>
      </c>
      <c r="FV24" s="3">
        <f t="shared" si="30"/>
        <v>2.8842924025950572E-3</v>
      </c>
      <c r="FW24" s="3">
        <f t="shared" si="31"/>
        <v>0.75714953328672918</v>
      </c>
      <c r="FX24" s="3">
        <f t="shared" si="32"/>
        <v>0.39610867666254246</v>
      </c>
      <c r="FZ24" s="44">
        <f t="shared" ca="1" si="170"/>
        <v>838.44796627283392</v>
      </c>
      <c r="GA24" s="44">
        <f t="shared" ca="1" si="33"/>
        <v>-6.395663287617797</v>
      </c>
      <c r="GB24" s="68">
        <f t="shared" si="171"/>
        <v>0.92221664118160085</v>
      </c>
      <c r="GC24" s="28">
        <f t="shared" ca="1" si="34"/>
        <v>746.76715628255511</v>
      </c>
      <c r="GD24" s="28"/>
      <c r="GE24" s="28">
        <f t="shared" ca="1" si="35"/>
        <v>838.44796627283392</v>
      </c>
      <c r="GF24" s="28">
        <f t="shared" ca="1" si="36"/>
        <v>785.36584655884576</v>
      </c>
      <c r="GG24" s="28">
        <f t="shared" si="37"/>
        <v>15.200487031365597</v>
      </c>
      <c r="GH24" s="28">
        <f t="shared" ca="1" si="38"/>
        <v>-6.395663287617797</v>
      </c>
      <c r="GI24" s="28">
        <f t="shared" si="172"/>
        <v>962.20493731451336</v>
      </c>
      <c r="GJ24" s="28">
        <f t="shared" si="173"/>
        <v>833.52462496456508</v>
      </c>
      <c r="GK24" s="28">
        <f t="shared" ca="1" si="39"/>
        <v>636.71309747704424</v>
      </c>
      <c r="GL24" s="51">
        <f t="shared" si="40"/>
        <v>0.89312154653135578</v>
      </c>
      <c r="GM24" s="52"/>
      <c r="GN24" s="2">
        <f t="shared" si="41"/>
        <v>7.9434606835323343E-2</v>
      </c>
      <c r="GP24" s="2">
        <f t="shared" si="42"/>
        <v>0.88254335991265609</v>
      </c>
      <c r="GQ24" s="2">
        <f t="shared" si="43"/>
        <v>1.3645673194890259E-3</v>
      </c>
      <c r="GR24" s="2">
        <f t="shared" si="44"/>
        <v>4.1192220554918058E-2</v>
      </c>
      <c r="GS24" s="2">
        <f t="shared" si="45"/>
        <v>3.2792178870479242E-2</v>
      </c>
      <c r="GT24" s="2">
        <f t="shared" si="46"/>
        <v>6.061674008810572E-4</v>
      </c>
      <c r="GU24" s="2">
        <f t="shared" si="47"/>
        <v>0.38879129822054165</v>
      </c>
      <c r="GV24" s="2">
        <f t="shared" si="48"/>
        <v>0.39812830124078508</v>
      </c>
      <c r="GW24" s="2">
        <f t="shared" si="49"/>
        <v>1.8909661191147308E-2</v>
      </c>
      <c r="GX24" s="2">
        <f t="shared" si="50"/>
        <v>1.0616162045097456E-4</v>
      </c>
      <c r="GY24" s="2">
        <f t="shared" si="51"/>
        <v>5.9211227501378312E-3</v>
      </c>
      <c r="GZ24" s="2">
        <f t="shared" si="174"/>
        <v>1.7703550390814862</v>
      </c>
      <c r="HB24" s="36">
        <f t="shared" si="175"/>
        <v>1.7650867198253122</v>
      </c>
      <c r="HC24" s="36">
        <f t="shared" si="175"/>
        <v>2.7291346389780517E-3</v>
      </c>
      <c r="HD24" s="36">
        <f t="shared" si="176"/>
        <v>0.12357666166475417</v>
      </c>
      <c r="HE24" s="36">
        <f t="shared" si="52"/>
        <v>3.2792178870479242E-2</v>
      </c>
      <c r="HF24" s="36">
        <f t="shared" si="52"/>
        <v>6.061674008810572E-4</v>
      </c>
      <c r="HG24" s="36">
        <f t="shared" si="52"/>
        <v>0.38879129822054165</v>
      </c>
      <c r="HH24" s="36">
        <f t="shared" si="52"/>
        <v>0.39812830124078508</v>
      </c>
      <c r="HI24" s="36">
        <f t="shared" si="52"/>
        <v>1.8909661191147308E-2</v>
      </c>
      <c r="HJ24" s="36">
        <f t="shared" si="52"/>
        <v>1.0616162045097456E-4</v>
      </c>
      <c r="HK24" s="36">
        <f t="shared" si="177"/>
        <v>1.7763368250413494E-2</v>
      </c>
      <c r="HL24" s="36">
        <f t="shared" si="178"/>
        <v>2.7484896529237433</v>
      </c>
      <c r="HM24" s="36">
        <f t="shared" si="179"/>
        <v>2.1830171321974663</v>
      </c>
      <c r="HO24" s="18">
        <f t="shared" si="53"/>
        <v>1.9266072745964429</v>
      </c>
      <c r="HP24" s="18">
        <f t="shared" si="54"/>
        <v>2.9788738364813169E-3</v>
      </c>
      <c r="HQ24" s="18">
        <f t="shared" si="180"/>
        <v>7.3392725403557124E-2</v>
      </c>
      <c r="HR24" s="18">
        <f t="shared" si="181"/>
        <v>0.10645392096572837</v>
      </c>
      <c r="HS24" s="18">
        <f t="shared" si="55"/>
        <v>0.17984664636928549</v>
      </c>
      <c r="HT24" s="18">
        <f t="shared" si="56"/>
        <v>7.1585888276339951E-2</v>
      </c>
      <c r="HU24" s="18">
        <f t="shared" si="57"/>
        <v>1.3232738211029574E-3</v>
      </c>
      <c r="HV24" s="18">
        <f t="shared" si="58"/>
        <v>0.84873806486473669</v>
      </c>
      <c r="HW24" s="18">
        <f t="shared" si="59"/>
        <v>0.86912090242130757</v>
      </c>
      <c r="HX24" s="18">
        <f t="shared" si="60"/>
        <v>8.2560228688648235E-2</v>
      </c>
      <c r="HY24" s="18">
        <f t="shared" si="61"/>
        <v>4.6350527245264477E-4</v>
      </c>
      <c r="HZ24" s="18">
        <f t="shared" si="62"/>
        <v>2.5851824810790125E-2</v>
      </c>
      <c r="IA24" s="36">
        <f t="shared" si="182"/>
        <v>4.009076482957588</v>
      </c>
      <c r="IB24" s="36">
        <f t="shared" si="183"/>
        <v>1.7689460642724232E-2</v>
      </c>
      <c r="IC24" s="36">
        <f t="shared" si="184"/>
        <v>2.7167801850142226E-2</v>
      </c>
      <c r="ID24" s="36">
        <f t="shared" si="185"/>
        <v>8.2560228688648235E-2</v>
      </c>
      <c r="IE24" s="36">
        <f t="shared" si="186"/>
        <v>2.3893692277080131E-2</v>
      </c>
      <c r="IF24" s="36">
        <f t="shared" si="187"/>
        <v>2.4749516563238497E-2</v>
      </c>
      <c r="IG24" s="36">
        <f t="shared" si="188"/>
        <v>1.2925912405395062E-2</v>
      </c>
      <c r="IH24" s="36">
        <f t="shared" si="189"/>
        <v>0.80755178117559379</v>
      </c>
      <c r="II24" s="36">
        <f t="shared" si="190"/>
        <v>5.6386085982741418E-2</v>
      </c>
      <c r="IJ24" s="36">
        <f t="shared" si="191"/>
        <v>5.1925526494588418E-2</v>
      </c>
      <c r="IK24" s="36">
        <f t="shared" si="192"/>
        <v>0.74366841887234425</v>
      </c>
      <c r="IL24" s="36">
        <f t="shared" si="193"/>
        <v>1.0080672170926972</v>
      </c>
      <c r="IM24" s="36">
        <f t="shared" si="194"/>
        <v>0.80755178117559379</v>
      </c>
      <c r="IN24" s="36"/>
      <c r="IO24" s="2">
        <f t="shared" si="195"/>
        <v>0.9402898647442125</v>
      </c>
      <c r="IP24" s="36">
        <f t="shared" si="196"/>
        <v>5.3896427633615719E-2</v>
      </c>
      <c r="IQ24" s="53">
        <f t="shared" si="197"/>
        <v>0.21861368121656105</v>
      </c>
      <c r="IR24" s="18">
        <f t="shared" si="198"/>
        <v>0.61889019633847553</v>
      </c>
      <c r="IS24" s="18">
        <f t="shared" si="199"/>
        <v>0.34384241747361638</v>
      </c>
      <c r="IT24" s="18">
        <f t="shared" si="63"/>
        <v>0.7964498875111875</v>
      </c>
      <c r="IU24" s="18">
        <f t="shared" si="64"/>
        <v>5.0576032233088528E-2</v>
      </c>
      <c r="IV24" s="18">
        <f t="shared" si="65"/>
        <v>4.4189481730948534E-2</v>
      </c>
      <c r="IW24" s="18">
        <f t="shared" si="66"/>
        <v>2.8061133379927014E-3</v>
      </c>
      <c r="IX24" s="18">
        <f t="shared" si="67"/>
        <v>3.5194707753791632E-2</v>
      </c>
      <c r="IY24" s="18">
        <f t="shared" si="68"/>
        <v>4.094691056183962E-2</v>
      </c>
      <c r="IZ24" s="2">
        <f t="shared" si="69"/>
        <v>0.92273688800568532</v>
      </c>
      <c r="JA24" s="2">
        <f t="shared" si="70"/>
        <v>0</v>
      </c>
      <c r="JB24" s="2">
        <f t="shared" si="71"/>
        <v>2.8707054658153607E-2</v>
      </c>
      <c r="JC24" s="2">
        <f t="shared" si="72"/>
        <v>7.9892659896668453E-2</v>
      </c>
      <c r="JD24" s="2">
        <f t="shared" si="73"/>
        <v>8.8810572687224667E-4</v>
      </c>
      <c r="JE24" s="2">
        <f t="shared" si="74"/>
        <v>0.84598703863598024</v>
      </c>
      <c r="JF24" s="2">
        <f t="shared" si="75"/>
        <v>4.9752663283247804E-3</v>
      </c>
      <c r="JG24" s="2">
        <f t="shared" si="76"/>
        <v>1.064878531242084E-3</v>
      </c>
      <c r="JH24" s="2">
        <f t="shared" si="77"/>
        <v>1.2739394454116949E-4</v>
      </c>
      <c r="JI24" s="2">
        <f t="shared" si="78"/>
        <v>2.276342746164099E-3</v>
      </c>
      <c r="JJ24" s="2">
        <f t="shared" si="200"/>
        <v>1.8866556284736318</v>
      </c>
      <c r="JL24" s="36">
        <f t="shared" si="201"/>
        <v>1.8454737760113706</v>
      </c>
      <c r="JM24" s="36">
        <f t="shared" si="201"/>
        <v>0</v>
      </c>
      <c r="JN24" s="36">
        <f t="shared" si="202"/>
        <v>8.6121163974460818E-2</v>
      </c>
      <c r="JO24" s="36">
        <f t="shared" si="79"/>
        <v>7.9892659896668453E-2</v>
      </c>
      <c r="JP24" s="36">
        <f t="shared" si="79"/>
        <v>8.8810572687224667E-4</v>
      </c>
      <c r="JQ24" s="36">
        <f t="shared" si="79"/>
        <v>0.84598703863598024</v>
      </c>
      <c r="JR24" s="36">
        <f t="shared" si="79"/>
        <v>4.9752663283247804E-3</v>
      </c>
      <c r="JS24" s="36">
        <f t="shared" si="79"/>
        <v>1.064878531242084E-3</v>
      </c>
      <c r="JT24" s="36">
        <f t="shared" si="79"/>
        <v>1.2739394454116949E-4</v>
      </c>
      <c r="JU24" s="36">
        <f t="shared" si="203"/>
        <v>6.8290282384922971E-3</v>
      </c>
      <c r="JV24" s="36">
        <f t="shared" si="204"/>
        <v>2.8713593112879523</v>
      </c>
      <c r="JW24" s="36">
        <f t="shared" si="205"/>
        <v>2.0896026409556843</v>
      </c>
      <c r="JY24" s="18">
        <f t="shared" si="80"/>
        <v>1.9281534380839096</v>
      </c>
      <c r="JZ24" s="18">
        <f t="shared" si="81"/>
        <v>0</v>
      </c>
      <c r="KA24" s="18">
        <f t="shared" si="206"/>
        <v>7.1846561916090401E-2</v>
      </c>
      <c r="KB24" s="18">
        <f t="shared" si="207"/>
        <v>4.8126112539383509E-2</v>
      </c>
      <c r="KC24" s="18">
        <f t="shared" si="82"/>
        <v>0.11997267445547391</v>
      </c>
      <c r="KD24" s="18">
        <f t="shared" si="83"/>
        <v>0.16694391311305268</v>
      </c>
      <c r="KE24" s="18">
        <f t="shared" si="84"/>
        <v>1.8557880723201142E-3</v>
      </c>
      <c r="KF24" s="18">
        <f t="shared" si="85"/>
        <v>1.7677767501480228</v>
      </c>
      <c r="KG24" s="18">
        <f t="shared" si="86"/>
        <v>1.0396329659125353E-2</v>
      </c>
      <c r="KH24" s="18">
        <f t="shared" si="87"/>
        <v>4.4503459823609379E-3</v>
      </c>
      <c r="KI24" s="18">
        <f t="shared" si="88"/>
        <v>5.3240544590997952E-4</v>
      </c>
      <c r="KJ24" s="18">
        <f t="shared" si="89"/>
        <v>9.5133036282096326E-3</v>
      </c>
      <c r="KK24" s="36">
        <f t="shared" si="208"/>
        <v>4.0095949485883855</v>
      </c>
      <c r="KL24" s="36">
        <f t="shared" si="209"/>
        <v>1.8657491730858199E-2</v>
      </c>
      <c r="KM24" s="36">
        <f t="shared" si="210"/>
        <v>2.8715963716274828E-2</v>
      </c>
      <c r="KN24" s="36">
        <f t="shared" si="211"/>
        <v>4.4503459823609379E-3</v>
      </c>
      <c r="KO24" s="36">
        <f t="shared" si="212"/>
        <v>0</v>
      </c>
      <c r="KP24" s="36">
        <f t="shared" si="213"/>
        <v>9.5133036282096326E-3</v>
      </c>
      <c r="KQ24" s="36">
        <f t="shared" si="214"/>
        <v>3.4162462928812941E-2</v>
      </c>
      <c r="KR24" s="36">
        <f t="shared" si="215"/>
        <v>1.0396329659125353E-2</v>
      </c>
      <c r="KS24" s="36">
        <f t="shared" si="216"/>
        <v>0.94600882937272857</v>
      </c>
      <c r="KT24" s="36">
        <f t="shared" si="217"/>
        <v>0.8635509395192752</v>
      </c>
      <c r="KU24" s="36">
        <f t="shared" si="218"/>
        <v>9.4901442417220355E-3</v>
      </c>
      <c r="KV24" s="53">
        <f t="shared" si="219"/>
        <v>0.77490813160288341</v>
      </c>
      <c r="KW24" s="36">
        <f t="shared" si="220"/>
        <v>1.0396329659125353E-2</v>
      </c>
      <c r="KX24" s="36">
        <f t="shared" si="221"/>
        <v>7.7391196483239708E-2</v>
      </c>
      <c r="KY24" s="36">
        <f t="shared" si="222"/>
        <v>0.78328979652809061</v>
      </c>
      <c r="KZ24" s="18">
        <f t="shared" si="223"/>
        <v>0.92260880351676033</v>
      </c>
      <c r="LA24" s="18">
        <f t="shared" si="224"/>
        <v>0.85221660460854165</v>
      </c>
      <c r="LB24" s="18">
        <f t="shared" si="225"/>
        <v>7.1486487493006984E-2</v>
      </c>
      <c r="LC24" s="18">
        <f t="shared" si="226"/>
        <v>0.90719896345398321</v>
      </c>
      <c r="LD24" s="18">
        <f t="shared" si="227"/>
        <v>7.609857283221029E-2</v>
      </c>
      <c r="LE24" s="54">
        <f t="shared" si="228"/>
        <v>0.77313002033914202</v>
      </c>
      <c r="LF24" s="36">
        <f t="shared" si="229"/>
        <v>1.0045312715712373</v>
      </c>
      <c r="LH24" s="2" t="str">
        <f t="shared" si="90"/>
        <v>21ABG04-1</v>
      </c>
      <c r="LI24" s="2">
        <f t="shared" si="230"/>
        <v>15</v>
      </c>
      <c r="LK24" s="2">
        <f t="shared" si="91"/>
        <v>0.12804210728342075</v>
      </c>
      <c r="LL24" s="2">
        <f t="shared" si="231"/>
        <v>1068.8445222167852</v>
      </c>
      <c r="LN24" s="2">
        <f t="shared" si="92"/>
        <v>884.66575688927185</v>
      </c>
      <c r="LO24" s="2">
        <f t="shared" si="93"/>
        <v>787.60194037576571</v>
      </c>
      <c r="LP24" s="2">
        <f t="shared" si="94"/>
        <v>1022.7398905742837</v>
      </c>
      <c r="LQ24" s="2">
        <f t="shared" si="95"/>
        <v>908.03908086114131</v>
      </c>
      <c r="LR24" s="2">
        <f t="shared" si="232"/>
        <v>4.5522366003008248E-2</v>
      </c>
      <c r="LS24" s="2">
        <f t="shared" si="233"/>
        <v>727.55426844173758</v>
      </c>
      <c r="LT24" s="2">
        <f t="shared" si="96"/>
        <v>801.36030549197051</v>
      </c>
      <c r="LV24" s="2">
        <f t="shared" si="234"/>
        <v>962.20493731451336</v>
      </c>
      <c r="LW24" s="2">
        <f t="shared" si="235"/>
        <v>693.79915253227261</v>
      </c>
      <c r="LY24" s="2">
        <f t="shared" si="97"/>
        <v>126.8051426086965</v>
      </c>
      <c r="LZ24" s="2">
        <f t="shared" si="98"/>
        <v>83.374708123119333</v>
      </c>
      <c r="MB24" s="2">
        <f t="shared" si="236"/>
        <v>25.89565</v>
      </c>
      <c r="MC24" s="2">
        <f t="shared" si="237"/>
        <v>31.143099999999997</v>
      </c>
      <c r="MD24" s="2">
        <f t="shared" si="238"/>
        <v>2.3649999999999984</v>
      </c>
      <c r="ME24" s="2">
        <f t="shared" si="99"/>
        <v>262.10973227237901</v>
      </c>
      <c r="MF24" s="2">
        <f t="shared" si="100"/>
        <v>884.3117489911466</v>
      </c>
      <c r="MH24" s="2">
        <f t="shared" si="239"/>
        <v>791.08437660080256</v>
      </c>
      <c r="MI24" s="2">
        <f t="shared" si="242"/>
        <v>994.8704565335255</v>
      </c>
      <c r="MK24" s="2">
        <f t="shared" si="240"/>
        <v>833.52462496456508</v>
      </c>
      <c r="MM24" s="2">
        <f t="shared" si="101"/>
        <v>15.200487031365597</v>
      </c>
      <c r="MN24" s="2">
        <f t="shared" si="241"/>
        <v>0.20048703136559709</v>
      </c>
      <c r="MO24" s="3">
        <f t="shared" si="102"/>
        <v>15</v>
      </c>
    </row>
    <row r="25" spans="1:353" ht="15" x14ac:dyDescent="0.25">
      <c r="A25" s="50">
        <v>1.5</v>
      </c>
      <c r="B25" s="72" t="s">
        <v>208</v>
      </c>
      <c r="C25" s="75" t="s">
        <v>213</v>
      </c>
      <c r="E25" s="69">
        <v>52.689</v>
      </c>
      <c r="F25" s="69">
        <v>7.1999999999999995E-2</v>
      </c>
      <c r="G25" s="69">
        <v>4.5</v>
      </c>
      <c r="H25" s="69">
        <v>2.4649999999999999</v>
      </c>
      <c r="I25" s="69">
        <v>6.0999999999999999E-2</v>
      </c>
      <c r="J25" s="69">
        <v>15.624000000000001</v>
      </c>
      <c r="K25" s="69">
        <v>21.495000000000001</v>
      </c>
      <c r="L25" s="69">
        <v>1.208</v>
      </c>
      <c r="M25" s="69">
        <v>8.0000000000000002E-3</v>
      </c>
      <c r="N25" s="69">
        <v>0.95399999999999996</v>
      </c>
      <c r="P25" s="69">
        <v>55.628999999999998</v>
      </c>
      <c r="Q25" s="69">
        <v>4.3999999999999997E-2</v>
      </c>
      <c r="R25" s="69">
        <v>2.8069999999999999</v>
      </c>
      <c r="S25" s="69">
        <v>5.5119999999999996</v>
      </c>
      <c r="T25" s="69">
        <v>0.158</v>
      </c>
      <c r="U25" s="69">
        <v>34.244999999999997</v>
      </c>
      <c r="V25" s="69">
        <v>0.29299999999999998</v>
      </c>
      <c r="W25" s="69">
        <v>4.0000000000000001E-3</v>
      </c>
      <c r="X25" s="69">
        <v>0</v>
      </c>
      <c r="Y25" s="69">
        <v>0.33900000000000002</v>
      </c>
      <c r="Z25" s="3"/>
      <c r="AA25" s="69">
        <v>40.024999999999999</v>
      </c>
      <c r="AB25" s="69">
        <v>0</v>
      </c>
      <c r="AC25" s="69">
        <v>0</v>
      </c>
      <c r="AD25" s="69">
        <v>8.468</v>
      </c>
      <c r="AE25" s="69">
        <v>0.16800000000000001</v>
      </c>
      <c r="AF25" s="69">
        <v>50.146000000000001</v>
      </c>
      <c r="AG25" s="69">
        <v>2.1000000000000001E-2</v>
      </c>
      <c r="AH25" s="69">
        <v>3.7999999999999999E-2</v>
      </c>
      <c r="AI25" s="69">
        <v>1.2E-2</v>
      </c>
      <c r="AJ25" s="69">
        <v>8.0000000000000002E-3</v>
      </c>
      <c r="AK25" s="3">
        <f t="shared" si="0"/>
        <v>8.6531976689875764E-2</v>
      </c>
      <c r="AL25" s="3">
        <f t="shared" si="1"/>
        <v>0.91346802331012422</v>
      </c>
      <c r="AM25" s="69">
        <v>0.02</v>
      </c>
      <c r="AN25" s="69">
        <v>1.7000000000000001E-2</v>
      </c>
      <c r="AO25" s="69">
        <v>48.165999999999997</v>
      </c>
      <c r="AP25" s="69">
        <v>13.888999999999999</v>
      </c>
      <c r="AQ25" s="69">
        <v>0.13700000000000001</v>
      </c>
      <c r="AR25" s="69">
        <v>18.829999999999998</v>
      </c>
      <c r="AS25" s="69">
        <v>0</v>
      </c>
      <c r="AT25" s="69">
        <v>3.7999999999999999E-2</v>
      </c>
      <c r="AU25" s="69">
        <v>6.0000000000000001E-3</v>
      </c>
      <c r="AV25" s="69">
        <v>18.471</v>
      </c>
      <c r="AW25" s="3"/>
      <c r="AX25" s="63">
        <f t="shared" si="2"/>
        <v>0.32437212012518635</v>
      </c>
      <c r="AY25" s="63">
        <f t="shared" ca="1" si="3"/>
        <v>0.34941151484981936</v>
      </c>
      <c r="AZ25" s="61"/>
      <c r="BA25" s="63">
        <f t="shared" si="103"/>
        <v>-0.215243520923174</v>
      </c>
      <c r="BB25" s="63">
        <f t="shared" ca="1" si="104"/>
        <v>-8.7716200318103787E-2</v>
      </c>
      <c r="BC25" s="3"/>
      <c r="BD25" s="64">
        <f t="shared" si="105"/>
        <v>-1.8065347568473114</v>
      </c>
      <c r="BE25" s="64">
        <f t="shared" ca="1" si="106"/>
        <v>-1.7429594708466085</v>
      </c>
      <c r="BF25" s="64">
        <f t="shared" si="4"/>
        <v>0.57138011252327159</v>
      </c>
      <c r="BG25" s="64">
        <f t="shared" ca="1" si="5"/>
        <v>0.6175912966787096</v>
      </c>
      <c r="BH25" s="3"/>
      <c r="BI25" s="64">
        <f t="shared" si="6"/>
        <v>-11.275768689170626</v>
      </c>
      <c r="BJ25" s="64">
        <f t="shared" ca="1" si="7"/>
        <v>-12.028931874336351</v>
      </c>
      <c r="BK25" s="61"/>
      <c r="BL25" s="61"/>
      <c r="BM25" s="64">
        <f t="shared" si="107"/>
        <v>-10.951396569045439</v>
      </c>
      <c r="BN25" s="64">
        <f t="shared" ca="1" si="108"/>
        <v>-11.679520359486531</v>
      </c>
      <c r="BO25" s="76"/>
      <c r="BP25" s="64">
        <f t="shared" si="109"/>
        <v>-11.4910122100938</v>
      </c>
      <c r="BQ25" s="64">
        <f t="shared" ca="1" si="110"/>
        <v>-12.116648074654455</v>
      </c>
      <c r="BR25" s="61"/>
      <c r="BS25" s="64">
        <f t="shared" si="8"/>
        <v>-10.704388576647354</v>
      </c>
      <c r="BT25" s="64">
        <f t="shared" ca="1" si="9"/>
        <v>-11.411340577657642</v>
      </c>
      <c r="BU25" s="3"/>
      <c r="BV25">
        <v>60.08</v>
      </c>
      <c r="BW25">
        <v>79.88</v>
      </c>
      <c r="BX25">
        <v>101.96</v>
      </c>
      <c r="BY25">
        <v>159.69</v>
      </c>
      <c r="BZ25">
        <v>71.849999999999994</v>
      </c>
      <c r="CA25">
        <v>70.94</v>
      </c>
      <c r="CB25">
        <v>40.299999999999997</v>
      </c>
      <c r="CC25">
        <v>151.99</v>
      </c>
      <c r="CD25" s="3"/>
      <c r="CE25" s="3">
        <f t="shared" si="10"/>
        <v>3.3288948069241014E-4</v>
      </c>
      <c r="CF25" s="3">
        <f t="shared" si="11"/>
        <v>2.1281922884326492E-4</v>
      </c>
      <c r="CG25" s="3">
        <f t="shared" si="12"/>
        <v>0.47240094154570422</v>
      </c>
      <c r="CH25" s="3">
        <f t="shared" si="13"/>
        <v>0.19330549756437021</v>
      </c>
      <c r="CI25" s="3">
        <f t="shared" si="14"/>
        <v>1.9312094727939105E-3</v>
      </c>
      <c r="CJ25" s="3">
        <f t="shared" si="15"/>
        <v>0.46724565756823822</v>
      </c>
      <c r="CK25" s="3">
        <f t="shared" si="16"/>
        <v>0.12152773208763734</v>
      </c>
      <c r="CL25" s="3"/>
      <c r="CM25" s="3">
        <f t="shared" si="111"/>
        <v>6.6577896138482028E-4</v>
      </c>
      <c r="CN25" s="3">
        <f t="shared" si="111"/>
        <v>4.2563845768652984E-4</v>
      </c>
      <c r="CO25" s="3">
        <f t="shared" si="112"/>
        <v>1.4172028246371127</v>
      </c>
      <c r="CP25" s="3">
        <f t="shared" si="113"/>
        <v>0.19330549756437021</v>
      </c>
      <c r="CQ25" s="3">
        <f t="shared" si="113"/>
        <v>1.9312094727939105E-3</v>
      </c>
      <c r="CR25" s="3">
        <f t="shared" si="113"/>
        <v>0.46724565756823822</v>
      </c>
      <c r="CS25" s="3">
        <f t="shared" si="114"/>
        <v>0.36458319626291202</v>
      </c>
      <c r="CT25" s="3">
        <f t="shared" si="115"/>
        <v>2.4453598029244983</v>
      </c>
      <c r="CU25">
        <v>32</v>
      </c>
      <c r="CV25" s="3">
        <f t="shared" si="116"/>
        <v>13.086008840797167</v>
      </c>
      <c r="CW25" s="3"/>
      <c r="CX25" s="3">
        <f t="shared" si="117"/>
        <v>8.7123893746985145E-3</v>
      </c>
      <c r="CY25" s="3">
        <f t="shared" si="118"/>
        <v>5.5699086202691999E-3</v>
      </c>
      <c r="CZ25" s="3">
        <f t="shared" si="119"/>
        <v>18.545528692403973</v>
      </c>
      <c r="DA25" s="3">
        <f t="shared" si="120"/>
        <v>2.5295974501020435</v>
      </c>
      <c r="DB25" s="3">
        <f t="shared" si="121"/>
        <v>2.5271824234412349E-2</v>
      </c>
      <c r="DC25" s="3">
        <f t="shared" si="122"/>
        <v>6.1143808057620506</v>
      </c>
      <c r="DD25" s="3">
        <f t="shared" si="123"/>
        <v>4.770938929502555</v>
      </c>
      <c r="DE25" s="3">
        <f t="shared" si="124"/>
        <v>32</v>
      </c>
      <c r="DF25" s="3"/>
      <c r="DG25" s="3">
        <f t="shared" si="125"/>
        <v>4.3561946873492572E-3</v>
      </c>
      <c r="DH25" s="3">
        <f t="shared" si="126"/>
        <v>2.7849543101345999E-3</v>
      </c>
      <c r="DI25" s="3">
        <f t="shared" si="127"/>
        <v>12.363685794935982</v>
      </c>
      <c r="DJ25" s="3">
        <f t="shared" si="128"/>
        <v>2.5295974501020435</v>
      </c>
      <c r="DK25" s="3">
        <f t="shared" si="129"/>
        <v>2.5271824234412349E-2</v>
      </c>
      <c r="DL25" s="3">
        <f t="shared" si="130"/>
        <v>6.1143808057620506</v>
      </c>
      <c r="DM25" s="3">
        <f t="shared" si="131"/>
        <v>3.1806259530017034</v>
      </c>
      <c r="DN25" s="3">
        <f t="shared" si="132"/>
        <v>24.220702977033675</v>
      </c>
      <c r="DO25" s="3">
        <f t="shared" si="133"/>
        <v>0.99088783767989941</v>
      </c>
      <c r="DP25" s="3"/>
      <c r="DQ25" s="3">
        <f t="shared" si="134"/>
        <v>4.3165003342601708E-3</v>
      </c>
      <c r="DR25" s="3">
        <f t="shared" si="135"/>
        <v>2.7595773544065896E-3</v>
      </c>
      <c r="DS25" s="3">
        <f t="shared" si="136"/>
        <v>12.251025883097803</v>
      </c>
      <c r="DT25" s="3">
        <f t="shared" si="137"/>
        <v>2.5065473475322011</v>
      </c>
      <c r="DU25" s="3">
        <f t="shared" si="138"/>
        <v>2.5041543269863333E-2</v>
      </c>
      <c r="DV25" s="3">
        <f t="shared" si="139"/>
        <v>6.0586655753730394</v>
      </c>
      <c r="DW25" s="3">
        <f t="shared" si="140"/>
        <v>3.1516435730384273</v>
      </c>
      <c r="DX25" s="3">
        <f t="shared" si="141"/>
        <v>24</v>
      </c>
      <c r="DY25" s="3"/>
      <c r="DZ25" s="3">
        <f t="shared" si="142"/>
        <v>0.29264273639119337</v>
      </c>
      <c r="EA25" s="3">
        <f t="shared" si="143"/>
        <v>0.2046167115391061</v>
      </c>
      <c r="EB25" s="3"/>
      <c r="EC25" s="3">
        <f t="shared" si="144"/>
        <v>1.9233689590457632</v>
      </c>
      <c r="ED25" s="3">
        <f t="shared" si="145"/>
        <v>0.58317838848643788</v>
      </c>
      <c r="EE25" s="3">
        <f t="shared" si="146"/>
        <v>0.76733797226667155</v>
      </c>
      <c r="EF25" s="3">
        <f t="shared" si="147"/>
        <v>0.23266202773332847</v>
      </c>
      <c r="EG25" s="3"/>
      <c r="EH25" s="3">
        <f t="shared" si="17"/>
        <v>0.02</v>
      </c>
      <c r="EI25" s="3">
        <f t="shared" si="18"/>
        <v>1.7000000000000001E-2</v>
      </c>
      <c r="EJ25" s="3">
        <f t="shared" si="19"/>
        <v>48.165999999999997</v>
      </c>
      <c r="EK25" s="3">
        <f t="shared" si="20"/>
        <v>3.5911024983130453</v>
      </c>
      <c r="EL25" s="3">
        <f t="shared" si="21"/>
        <v>10.6575570968118</v>
      </c>
      <c r="EM25" s="3">
        <f t="shared" si="22"/>
        <v>0.13700000000000001</v>
      </c>
      <c r="EN25" s="3">
        <f t="shared" si="23"/>
        <v>18.829999999999998</v>
      </c>
      <c r="EO25" s="3">
        <f t="shared" si="24"/>
        <v>18.471</v>
      </c>
      <c r="EP25" s="3">
        <f t="shared" si="148"/>
        <v>99.88965959512484</v>
      </c>
      <c r="EQ25" s="3"/>
      <c r="ER25" s="3">
        <f t="shared" si="149"/>
        <v>4.3165003342601708E-3</v>
      </c>
      <c r="ES25" s="3">
        <f t="shared" si="150"/>
        <v>2.7595773544065896E-3</v>
      </c>
      <c r="ET25" s="3">
        <f t="shared" si="151"/>
        <v>12.251025883097803</v>
      </c>
      <c r="EU25" s="3">
        <f t="shared" si="152"/>
        <v>0.58317838848643788</v>
      </c>
      <c r="EV25" s="3">
        <f t="shared" si="153"/>
        <v>1.9233689590457632</v>
      </c>
      <c r="EW25" s="3">
        <f t="shared" si="154"/>
        <v>2.5041543269863333E-2</v>
      </c>
      <c r="EX25" s="3">
        <f t="shared" si="155"/>
        <v>6.0586655753730394</v>
      </c>
      <c r="EY25" s="3">
        <f t="shared" si="156"/>
        <v>3.1516435730384273</v>
      </c>
      <c r="EZ25" s="3">
        <f t="shared" si="157"/>
        <v>24</v>
      </c>
      <c r="FA25" s="3"/>
      <c r="FB25" s="3">
        <f t="shared" si="158"/>
        <v>0.24096224474501221</v>
      </c>
      <c r="FC25" s="3">
        <f t="shared" si="159"/>
        <v>3.6480917005763183E-2</v>
      </c>
      <c r="FD25" s="3">
        <f t="shared" si="160"/>
        <v>0.766366976726781</v>
      </c>
      <c r="FE25" s="3"/>
      <c r="FF25" s="3"/>
      <c r="FG25" s="3">
        <f t="shared" si="161"/>
        <v>1.1512321444817523E-4</v>
      </c>
      <c r="FH25" s="3">
        <f t="shared" si="162"/>
        <v>0.51108459695752817</v>
      </c>
      <c r="FI25" s="3">
        <f t="shared" si="163"/>
        <v>2.432885984227191E-2</v>
      </c>
      <c r="FJ25" s="3">
        <f t="shared" si="164"/>
        <v>8.0238525215323542E-2</v>
      </c>
      <c r="FK25" s="3">
        <f t="shared" si="165"/>
        <v>0.25275358025013001</v>
      </c>
      <c r="FL25" s="3">
        <f t="shared" si="166"/>
        <v>0.1314793145202981</v>
      </c>
      <c r="FM25" s="3">
        <f t="shared" si="167"/>
        <v>2.996330244549485</v>
      </c>
      <c r="FN25" s="3">
        <f t="shared" si="168"/>
        <v>2.3872508759944015E-2</v>
      </c>
      <c r="FO25" s="3">
        <f t="shared" si="169"/>
        <v>8.0694876297651486E-2</v>
      </c>
      <c r="FP25" s="3"/>
      <c r="FQ25" s="3">
        <f t="shared" si="25"/>
        <v>5.3956254178252135E-4</v>
      </c>
      <c r="FR25" s="3">
        <f t="shared" si="26"/>
        <v>3.449471693008237E-4</v>
      </c>
      <c r="FS25" s="3">
        <f t="shared" si="27"/>
        <v>1.5313782353872254</v>
      </c>
      <c r="FT25" s="3">
        <f t="shared" si="28"/>
        <v>7.2897298560804735E-2</v>
      </c>
      <c r="FU25" s="3">
        <f t="shared" si="29"/>
        <v>0.2404211198807204</v>
      </c>
      <c r="FV25" s="3">
        <f t="shared" si="30"/>
        <v>3.1301929087329166E-3</v>
      </c>
      <c r="FW25" s="3">
        <f t="shared" si="31"/>
        <v>0.75733319692162993</v>
      </c>
      <c r="FX25" s="3">
        <f t="shared" si="32"/>
        <v>0.39395544662980342</v>
      </c>
      <c r="FZ25" s="44">
        <f t="shared" ca="1" si="170"/>
        <v>855.40017564947959</v>
      </c>
      <c r="GA25" s="44">
        <f t="shared" ca="1" si="33"/>
        <v>-8.5373953489936625</v>
      </c>
      <c r="GB25" s="68">
        <f t="shared" si="171"/>
        <v>0.91869048679347109</v>
      </c>
      <c r="GC25" s="28">
        <f t="shared" ca="1" si="34"/>
        <v>856.03931452376412</v>
      </c>
      <c r="GD25" s="28"/>
      <c r="GE25" s="28">
        <f t="shared" ca="1" si="35"/>
        <v>855.40017564947959</v>
      </c>
      <c r="GF25" s="28">
        <f t="shared" ca="1" si="36"/>
        <v>833.23576030508468</v>
      </c>
      <c r="GG25" s="28">
        <f t="shared" si="37"/>
        <v>16.36090007921559</v>
      </c>
      <c r="GH25" s="28">
        <f t="shared" ca="1" si="38"/>
        <v>-8.5373953489936625</v>
      </c>
      <c r="GI25" s="28">
        <f t="shared" si="172"/>
        <v>1019.5901306715085</v>
      </c>
      <c r="GJ25" s="28">
        <f t="shared" si="173"/>
        <v>898.53962193284781</v>
      </c>
      <c r="GK25" s="28">
        <f t="shared" ca="1" si="39"/>
        <v>705.20592487001534</v>
      </c>
      <c r="GL25" s="51">
        <f t="shared" si="40"/>
        <v>0.98019538852808807</v>
      </c>
      <c r="GM25" s="52"/>
      <c r="GN25" s="2">
        <f t="shared" si="41"/>
        <v>6.8835490238396177E-2</v>
      </c>
      <c r="GP25" s="2">
        <f t="shared" si="42"/>
        <v>0.87691793030791743</v>
      </c>
      <c r="GQ25" s="2">
        <f t="shared" si="43"/>
        <v>9.0136556883678768E-4</v>
      </c>
      <c r="GR25" s="2">
        <f t="shared" si="44"/>
        <v>4.4134522023126489E-2</v>
      </c>
      <c r="GS25" s="2">
        <f t="shared" si="45"/>
        <v>3.4309304293604133E-2</v>
      </c>
      <c r="GT25" s="2">
        <f t="shared" si="46"/>
        <v>8.5991189427312776E-4</v>
      </c>
      <c r="GU25" s="2">
        <f t="shared" si="47"/>
        <v>0.38764998362461667</v>
      </c>
      <c r="GV25" s="2">
        <f t="shared" si="48"/>
        <v>0.38330949723061342</v>
      </c>
      <c r="GW25" s="2">
        <f t="shared" si="49"/>
        <v>1.9490504026370262E-2</v>
      </c>
      <c r="GX25" s="2">
        <f t="shared" si="50"/>
        <v>8.4929296360779653E-5</v>
      </c>
      <c r="GY25" s="2">
        <f t="shared" si="51"/>
        <v>6.2763901151460999E-3</v>
      </c>
      <c r="GZ25" s="2">
        <f t="shared" si="174"/>
        <v>1.7539343383808652</v>
      </c>
      <c r="HB25" s="36">
        <f t="shared" si="175"/>
        <v>1.7538358606158349</v>
      </c>
      <c r="HC25" s="36">
        <f t="shared" si="175"/>
        <v>1.8027311376735754E-3</v>
      </c>
      <c r="HD25" s="36">
        <f t="shared" si="176"/>
        <v>0.13240356606937947</v>
      </c>
      <c r="HE25" s="36">
        <f t="shared" si="52"/>
        <v>3.4309304293604133E-2</v>
      </c>
      <c r="HF25" s="36">
        <f t="shared" si="52"/>
        <v>8.5991189427312776E-4</v>
      </c>
      <c r="HG25" s="36">
        <f t="shared" si="52"/>
        <v>0.38764998362461667</v>
      </c>
      <c r="HH25" s="36">
        <f t="shared" si="52"/>
        <v>0.38330949723061342</v>
      </c>
      <c r="HI25" s="36">
        <f t="shared" si="52"/>
        <v>1.9490504026370262E-2</v>
      </c>
      <c r="HJ25" s="36">
        <f t="shared" si="52"/>
        <v>8.4929296360779653E-5</v>
      </c>
      <c r="HK25" s="36">
        <f t="shared" si="177"/>
        <v>1.8829170345438299E-2</v>
      </c>
      <c r="HL25" s="36">
        <f t="shared" si="178"/>
        <v>2.7325754585341646</v>
      </c>
      <c r="HM25" s="36">
        <f t="shared" si="179"/>
        <v>2.1957307642726835</v>
      </c>
      <c r="HO25" s="18">
        <f t="shared" si="53"/>
        <v>1.9254756773194235</v>
      </c>
      <c r="HP25" s="18">
        <f t="shared" si="54"/>
        <v>1.9791561093510822E-3</v>
      </c>
      <c r="HQ25" s="18">
        <f t="shared" si="180"/>
        <v>7.4524322680576516E-2</v>
      </c>
      <c r="HR25" s="18">
        <f t="shared" si="181"/>
        <v>0.11929073286472169</v>
      </c>
      <c r="HS25" s="18">
        <f t="shared" si="55"/>
        <v>0.19381505554529821</v>
      </c>
      <c r="HT25" s="18">
        <f t="shared" si="56"/>
        <v>7.5333994938259471E-2</v>
      </c>
      <c r="HU25" s="18">
        <f t="shared" si="57"/>
        <v>1.8881350008195059E-3</v>
      </c>
      <c r="HV25" s="18">
        <f t="shared" si="58"/>
        <v>0.85117499481437287</v>
      </c>
      <c r="HW25" s="18">
        <f t="shared" si="59"/>
        <v>0.84164445530715293</v>
      </c>
      <c r="HX25" s="18">
        <f t="shared" si="60"/>
        <v>8.5591798603763578E-2</v>
      </c>
      <c r="HY25" s="18">
        <f t="shared" si="61"/>
        <v>3.7296373761479192E-4</v>
      </c>
      <c r="HZ25" s="18">
        <f t="shared" si="62"/>
        <v>2.7562525728806523E-2</v>
      </c>
      <c r="IA25" s="36">
        <f t="shared" si="182"/>
        <v>4.0048387571048627</v>
      </c>
      <c r="IB25" s="36">
        <f t="shared" si="183"/>
        <v>9.3045504721097246E-3</v>
      </c>
      <c r="IC25" s="36">
        <f t="shared" si="184"/>
        <v>1.4498732353541044E-2</v>
      </c>
      <c r="ID25" s="36">
        <f t="shared" si="185"/>
        <v>8.5591798603763578E-2</v>
      </c>
      <c r="IE25" s="36">
        <f t="shared" si="186"/>
        <v>3.3698934260958116E-2</v>
      </c>
      <c r="IF25" s="36">
        <f t="shared" si="187"/>
        <v>2.04126942098092E-2</v>
      </c>
      <c r="IG25" s="36">
        <f t="shared" si="188"/>
        <v>1.3781262864403261E-2</v>
      </c>
      <c r="IH25" s="36">
        <f t="shared" si="189"/>
        <v>0.7737515639719823</v>
      </c>
      <c r="II25" s="36">
        <f t="shared" si="190"/>
        <v>7.6378712890324996E-2</v>
      </c>
      <c r="IJ25" s="36">
        <f t="shared" si="191"/>
        <v>7.0025691393233863E-2</v>
      </c>
      <c r="IK25" s="36">
        <f t="shared" si="192"/>
        <v>0.70939252814506981</v>
      </c>
      <c r="IL25" s="36">
        <f t="shared" si="193"/>
        <v>1.0036149668012415</v>
      </c>
      <c r="IM25" s="36">
        <f t="shared" si="194"/>
        <v>0.7737515639719823</v>
      </c>
      <c r="IN25" s="36"/>
      <c r="IO25" s="2">
        <f t="shared" si="195"/>
        <v>0.92801011242603137</v>
      </c>
      <c r="IP25" s="36">
        <f t="shared" si="196"/>
        <v>6.602944446614975E-2</v>
      </c>
      <c r="IQ25" s="53">
        <f t="shared" si="197"/>
        <v>0.21486924406675706</v>
      </c>
      <c r="IR25" s="18">
        <f t="shared" si="198"/>
        <v>0.60649154532343685</v>
      </c>
      <c r="IS25" s="18">
        <f t="shared" si="199"/>
        <v>0.34125697220666684</v>
      </c>
      <c r="IT25" s="18">
        <f t="shared" si="63"/>
        <v>0.78125740959527834</v>
      </c>
      <c r="IU25" s="18">
        <f t="shared" si="64"/>
        <v>6.060562522973257E-2</v>
      </c>
      <c r="IV25" s="18">
        <f t="shared" si="65"/>
        <v>6.5773283814283531E-2</v>
      </c>
      <c r="IW25" s="18">
        <f t="shared" si="66"/>
        <v>5.102327273980448E-3</v>
      </c>
      <c r="IX25" s="18">
        <f t="shared" si="67"/>
        <v>5.1385865333322199E-2</v>
      </c>
      <c r="IY25" s="18">
        <f t="shared" si="68"/>
        <v>6.1266405999439326E-2</v>
      </c>
      <c r="IZ25" s="2">
        <f t="shared" si="69"/>
        <v>0.92584918189943133</v>
      </c>
      <c r="JA25" s="2">
        <f t="shared" si="70"/>
        <v>5.5083451428914799E-4</v>
      </c>
      <c r="JB25" s="2">
        <f t="shared" si="71"/>
        <v>2.7530134070870235E-2</v>
      </c>
      <c r="JC25" s="2">
        <f t="shared" si="72"/>
        <v>7.6719223231783346E-2</v>
      </c>
      <c r="JD25" s="2">
        <f t="shared" si="73"/>
        <v>2.2273127753303966E-3</v>
      </c>
      <c r="JE25" s="2">
        <f t="shared" si="74"/>
        <v>0.84965909429243447</v>
      </c>
      <c r="JF25" s="2">
        <f t="shared" si="75"/>
        <v>5.2249212695310411E-3</v>
      </c>
      <c r="JG25" s="2">
        <f t="shared" si="76"/>
        <v>6.453809280255054E-5</v>
      </c>
      <c r="JH25" s="2">
        <f t="shared" si="77"/>
        <v>0</v>
      </c>
      <c r="JI25" s="2">
        <f t="shared" si="78"/>
        <v>2.2302895692185832E-3</v>
      </c>
      <c r="JJ25" s="2">
        <f t="shared" si="200"/>
        <v>1.8900555297156911</v>
      </c>
      <c r="JL25" s="36">
        <f t="shared" si="201"/>
        <v>1.8516983637988627</v>
      </c>
      <c r="JM25" s="36">
        <f t="shared" si="201"/>
        <v>1.101669028578296E-3</v>
      </c>
      <c r="JN25" s="36">
        <f t="shared" si="202"/>
        <v>8.25904022126107E-2</v>
      </c>
      <c r="JO25" s="36">
        <f t="shared" si="79"/>
        <v>7.6719223231783346E-2</v>
      </c>
      <c r="JP25" s="36">
        <f t="shared" si="79"/>
        <v>2.2273127753303966E-3</v>
      </c>
      <c r="JQ25" s="36">
        <f t="shared" si="79"/>
        <v>0.84965909429243447</v>
      </c>
      <c r="JR25" s="36">
        <f t="shared" si="79"/>
        <v>5.2249212695310411E-3</v>
      </c>
      <c r="JS25" s="36">
        <f t="shared" si="79"/>
        <v>6.453809280255054E-5</v>
      </c>
      <c r="JT25" s="36">
        <f t="shared" si="79"/>
        <v>0</v>
      </c>
      <c r="JU25" s="36">
        <f t="shared" si="203"/>
        <v>6.6908687076557491E-3</v>
      </c>
      <c r="JV25" s="36">
        <f t="shared" si="204"/>
        <v>2.875976393409589</v>
      </c>
      <c r="JW25" s="36">
        <f t="shared" si="205"/>
        <v>2.0862480004179562</v>
      </c>
      <c r="JY25" s="18">
        <f t="shared" si="80"/>
        <v>1.9315510044262891</v>
      </c>
      <c r="JZ25" s="18">
        <f t="shared" si="81"/>
        <v>1.1491774039969311E-3</v>
      </c>
      <c r="KA25" s="18">
        <f t="shared" si="206"/>
        <v>6.8448995573710869E-2</v>
      </c>
      <c r="KB25" s="18">
        <f t="shared" si="207"/>
        <v>4.6420378739471677E-2</v>
      </c>
      <c r="KC25" s="18">
        <f t="shared" si="82"/>
        <v>0.11486937431318255</v>
      </c>
      <c r="KD25" s="18">
        <f t="shared" si="83"/>
        <v>0.16005532606092682</v>
      </c>
      <c r="KE25" s="18">
        <f t="shared" si="84"/>
        <v>4.6467268238384084E-3</v>
      </c>
      <c r="KF25" s="18">
        <f t="shared" si="85"/>
        <v>1.7725995865045232</v>
      </c>
      <c r="KG25" s="18">
        <f t="shared" si="86"/>
        <v>1.0900481550900384E-2</v>
      </c>
      <c r="KH25" s="18">
        <f t="shared" si="87"/>
        <v>2.6928493412021912E-4</v>
      </c>
      <c r="KI25" s="18">
        <f t="shared" si="88"/>
        <v>0</v>
      </c>
      <c r="KJ25" s="18">
        <f t="shared" si="89"/>
        <v>9.3058743082705883E-3</v>
      </c>
      <c r="KK25" s="36">
        <f t="shared" si="208"/>
        <v>4.0053468363260487</v>
      </c>
      <c r="KL25" s="36">
        <f t="shared" si="209"/>
        <v>1.0693672652094963E-2</v>
      </c>
      <c r="KM25" s="36">
        <f t="shared" si="210"/>
        <v>1.6019096106901998E-2</v>
      </c>
      <c r="KN25" s="36">
        <f t="shared" si="211"/>
        <v>2.6928493412021912E-4</v>
      </c>
      <c r="KO25" s="36">
        <f t="shared" si="212"/>
        <v>1.1491774039969311E-3</v>
      </c>
      <c r="KP25" s="36">
        <f t="shared" si="213"/>
        <v>9.3058743082705883E-3</v>
      </c>
      <c r="KQ25" s="36">
        <f t="shared" si="214"/>
        <v>3.6845219497080868E-2</v>
      </c>
      <c r="KR25" s="36">
        <f t="shared" si="215"/>
        <v>1.0900481550900384E-2</v>
      </c>
      <c r="KS25" s="36">
        <f t="shared" si="216"/>
        <v>0.94420338046865504</v>
      </c>
      <c r="KT25" s="36">
        <f t="shared" si="217"/>
        <v>0.86393078277811375</v>
      </c>
      <c r="KU25" s="36">
        <f t="shared" si="218"/>
        <v>9.973763866693108E-3</v>
      </c>
      <c r="KV25" s="53">
        <f t="shared" si="219"/>
        <v>0.78186475599365091</v>
      </c>
      <c r="KW25" s="36">
        <f t="shared" si="220"/>
        <v>1.0900481550900384E-2</v>
      </c>
      <c r="KX25" s="36">
        <f t="shared" si="221"/>
        <v>7.771314546154183E-2</v>
      </c>
      <c r="KY25" s="36">
        <f t="shared" si="222"/>
        <v>0.78790946185177568</v>
      </c>
      <c r="KZ25" s="18">
        <f t="shared" si="223"/>
        <v>0.92228685453845816</v>
      </c>
      <c r="LA25" s="18">
        <f t="shared" si="224"/>
        <v>0.8599687589728382</v>
      </c>
      <c r="LB25" s="18">
        <f t="shared" si="225"/>
        <v>7.246213792332766E-2</v>
      </c>
      <c r="LC25" s="18">
        <f t="shared" si="226"/>
        <v>0.90769951067480203</v>
      </c>
      <c r="LD25" s="18">
        <f t="shared" si="227"/>
        <v>7.6483996016338984E-2</v>
      </c>
      <c r="LE25" s="54">
        <f t="shared" si="228"/>
        <v>0.7805932217152618</v>
      </c>
      <c r="LF25" s="36">
        <f t="shared" si="229"/>
        <v>1.0026734181630241</v>
      </c>
      <c r="LH25" s="2" t="str">
        <f t="shared" si="90"/>
        <v>21ABG04-1</v>
      </c>
      <c r="LI25" s="2">
        <f t="shared" si="230"/>
        <v>15</v>
      </c>
      <c r="LK25" s="2">
        <f t="shared" si="91"/>
        <v>0.15339600633406086</v>
      </c>
      <c r="LL25" s="2">
        <f t="shared" si="231"/>
        <v>1120.8639192893879</v>
      </c>
      <c r="LN25" s="2">
        <f t="shared" si="92"/>
        <v>925.50002862322538</v>
      </c>
      <c r="LO25" s="2">
        <f t="shared" si="93"/>
        <v>819.83096243091984</v>
      </c>
      <c r="LP25" s="2">
        <f t="shared" si="94"/>
        <v>1035.9804322939744</v>
      </c>
      <c r="LQ25" s="2">
        <f t="shared" si="95"/>
        <v>923.91767047841597</v>
      </c>
      <c r="LR25" s="2">
        <f t="shared" si="232"/>
        <v>6.5829248709600371E-2</v>
      </c>
      <c r="LS25" s="2">
        <f t="shared" si="233"/>
        <v>809.07932337239288</v>
      </c>
      <c r="LT25" s="2">
        <f t="shared" si="96"/>
        <v>812.55290275030541</v>
      </c>
      <c r="LV25" s="2">
        <f t="shared" si="234"/>
        <v>1019.5901306715085</v>
      </c>
      <c r="LW25" s="2">
        <f t="shared" si="235"/>
        <v>684.00099212006307</v>
      </c>
      <c r="LY25" s="2">
        <f t="shared" si="97"/>
        <v>148.00821426112307</v>
      </c>
      <c r="LZ25" s="2">
        <f t="shared" si="98"/>
        <v>94.306481937398758</v>
      </c>
      <c r="MB25" s="2">
        <f t="shared" si="236"/>
        <v>25.89565</v>
      </c>
      <c r="MC25" s="2">
        <f t="shared" si="237"/>
        <v>31.143099999999997</v>
      </c>
      <c r="MD25" s="2">
        <f t="shared" si="238"/>
        <v>2.3649999999999984</v>
      </c>
      <c r="ME25" s="2">
        <f t="shared" si="99"/>
        <v>313.60502761506757</v>
      </c>
      <c r="MF25" s="2">
        <f t="shared" si="100"/>
        <v>896.13486890984939</v>
      </c>
      <c r="MH25" s="2">
        <f t="shared" si="239"/>
        <v>799.005834308114</v>
      </c>
      <c r="MI25" s="2">
        <f t="shared" si="242"/>
        <v>404.68746398688972</v>
      </c>
      <c r="MK25" s="2">
        <f t="shared" si="240"/>
        <v>898.53962193284781</v>
      </c>
      <c r="MM25" s="2">
        <f t="shared" si="101"/>
        <v>16.36090007921559</v>
      </c>
      <c r="MN25" s="2">
        <f t="shared" si="241"/>
        <v>1.3609000792155896</v>
      </c>
      <c r="MO25" s="3">
        <f t="shared" si="102"/>
        <v>15</v>
      </c>
    </row>
    <row r="26" spans="1:353" ht="15" x14ac:dyDescent="0.25">
      <c r="A26" s="50">
        <v>1.5</v>
      </c>
      <c r="B26" s="72" t="s">
        <v>209</v>
      </c>
      <c r="C26" s="3" t="s">
        <v>211</v>
      </c>
      <c r="E26" s="69">
        <v>51.93</v>
      </c>
      <c r="F26" s="69">
        <v>0.34</v>
      </c>
      <c r="G26" s="69">
        <v>5.64</v>
      </c>
      <c r="H26" s="69">
        <v>2.71</v>
      </c>
      <c r="I26" s="69">
        <v>0.14000000000000001</v>
      </c>
      <c r="J26" s="69">
        <v>15.41</v>
      </c>
      <c r="K26" s="69">
        <v>21.09</v>
      </c>
      <c r="L26" s="69">
        <v>1.53</v>
      </c>
      <c r="M26" s="69">
        <v>0.01</v>
      </c>
      <c r="N26" s="69">
        <v>0.84</v>
      </c>
      <c r="P26" s="69">
        <v>52.59</v>
      </c>
      <c r="Q26" s="69">
        <v>0.21</v>
      </c>
      <c r="R26" s="69">
        <v>5.08</v>
      </c>
      <c r="S26" s="69">
        <v>4.3</v>
      </c>
      <c r="T26" s="69">
        <v>0.09</v>
      </c>
      <c r="U26" s="69">
        <v>23.7</v>
      </c>
      <c r="V26" s="69">
        <v>10.59</v>
      </c>
      <c r="W26" s="69">
        <v>0.81</v>
      </c>
      <c r="X26" s="69">
        <v>0.01</v>
      </c>
      <c r="Y26" s="69">
        <v>0.69</v>
      </c>
      <c r="Z26" s="3"/>
      <c r="AA26" s="69">
        <v>41.02</v>
      </c>
      <c r="AB26" s="69">
        <v>0</v>
      </c>
      <c r="AC26" s="69">
        <v>0.02</v>
      </c>
      <c r="AD26" s="69">
        <v>9.43</v>
      </c>
      <c r="AE26" s="69">
        <v>0.14000000000000001</v>
      </c>
      <c r="AF26" s="69">
        <v>48.34</v>
      </c>
      <c r="AG26" s="69">
        <v>0.05</v>
      </c>
      <c r="AH26" s="69">
        <v>0</v>
      </c>
      <c r="AI26" s="69">
        <v>0</v>
      </c>
      <c r="AJ26" s="69">
        <v>0.02</v>
      </c>
      <c r="AK26" s="3">
        <f t="shared" si="0"/>
        <v>9.8637745379654418E-2</v>
      </c>
      <c r="AL26" s="3">
        <f t="shared" si="1"/>
        <v>0.90136225462034558</v>
      </c>
      <c r="AM26" s="69">
        <v>0.06</v>
      </c>
      <c r="AN26" s="69">
        <v>0.15</v>
      </c>
      <c r="AO26" s="69">
        <v>54.14</v>
      </c>
      <c r="AP26" s="69">
        <v>11.38</v>
      </c>
      <c r="AQ26" s="69">
        <v>0.08</v>
      </c>
      <c r="AR26" s="69">
        <v>19.32</v>
      </c>
      <c r="AS26" s="69">
        <v>0</v>
      </c>
      <c r="AT26" s="69">
        <v>0</v>
      </c>
      <c r="AU26" s="69">
        <v>0</v>
      </c>
      <c r="AV26" s="69">
        <v>14.53</v>
      </c>
      <c r="AW26" s="3"/>
      <c r="AX26" s="63">
        <f t="shared" si="2"/>
        <v>-3.8454850807818151</v>
      </c>
      <c r="AY26" s="63">
        <f t="shared" ca="1" si="3"/>
        <v>-3.8069543615558503</v>
      </c>
      <c r="AZ26" s="61"/>
      <c r="BA26" s="63">
        <f>4720/(GJ26+273.15)-0.05*A26*10000/(GJ26+273.15)-2.7*LN(AK26/(AK26+AL26))-0.91*LN(FO26/(FO26+FK26))-1.03*(LN(FO26/(FO26+FK26)))^2+1.91*LN(FN26/(FN26+FL26+FH26))+0.12*(LN(FN26/(FN26+FL26+FH26)))^2-4.4</f>
        <v>-2.7663900809442796</v>
      </c>
      <c r="BB26" s="63">
        <f ca="1">4720/(GC26+273.15)-0.05*A26*10000/(GC26+273.15)-2.7*LN(AK26/(AK26+AL26))-0.91*LN(FO26/(FO26+FK26))-1.03*(LN(FO26/(FO26+FK26)))^2+1.91*LN(FN26/(FN26+FL26+FH26))+0.12*(LN(FN26/(FN26+FL26+FH26)))^2-4.4</f>
        <v>-2.6368352886346833</v>
      </c>
      <c r="BC26" s="3"/>
      <c r="BD26" s="64">
        <f>LOG10(0.25*FU26*FT26*FT26)+1/(GJ26+273.15)*(406*FS26*FS26+653*FW26*FS26+299*FX26*FX26+199*FX26*FS26+346*FW26*FX26)</f>
        <v>-3.848558267260529</v>
      </c>
      <c r="BE26" s="64">
        <f ca="1">LOG10(0.25*FU26*FT26*FT26)+1/(GC26+273.15)*(406*FS26*FS26+653*FW26*FS26+299*FX26*FX26+199*FS26*FX26+346*FW26*FX26)</f>
        <v>-3.7771233320744129</v>
      </c>
      <c r="BF26" s="64">
        <f t="shared" si="4"/>
        <v>-4.7751904961095306</v>
      </c>
      <c r="BG26" s="64">
        <f t="shared" ca="1" si="5"/>
        <v>-4.7126683950692545</v>
      </c>
      <c r="BH26" s="3"/>
      <c r="BI26" s="64">
        <f t="shared" si="6"/>
        <v>-9.3019497190972746</v>
      </c>
      <c r="BJ26" s="64">
        <f t="shared" ca="1" si="7"/>
        <v>-10.06708694276368</v>
      </c>
      <c r="BK26" s="61"/>
      <c r="BL26" s="61"/>
      <c r="BM26" s="64">
        <f t="shared" si="107"/>
        <v>-13.14743479987909</v>
      </c>
      <c r="BN26" s="64">
        <f t="shared" ca="1" si="108"/>
        <v>-13.87404130431953</v>
      </c>
      <c r="BO26" s="76"/>
      <c r="BP26" s="64">
        <f t="shared" si="109"/>
        <v>-12.068339800041555</v>
      </c>
      <c r="BQ26" s="64">
        <f t="shared" ca="1" si="110"/>
        <v>-12.703922231398364</v>
      </c>
      <c r="BR26" s="61"/>
      <c r="BS26" s="64">
        <f t="shared" si="8"/>
        <v>-14.077140215206805</v>
      </c>
      <c r="BT26" s="64">
        <f t="shared" ca="1" si="9"/>
        <v>-14.779755337832935</v>
      </c>
      <c r="BU26" s="3"/>
      <c r="BV26">
        <v>60.08</v>
      </c>
      <c r="BW26">
        <v>79.88</v>
      </c>
      <c r="BX26">
        <v>101.96</v>
      </c>
      <c r="BY26">
        <v>159.69</v>
      </c>
      <c r="BZ26">
        <v>71.849999999999994</v>
      </c>
      <c r="CA26">
        <v>70.94</v>
      </c>
      <c r="CB26">
        <v>40.299999999999997</v>
      </c>
      <c r="CC26">
        <v>151.99</v>
      </c>
      <c r="CD26" s="3"/>
      <c r="CE26" s="3">
        <f t="shared" si="10"/>
        <v>9.9866844207723037E-4</v>
      </c>
      <c r="CF26" s="3">
        <f t="shared" si="11"/>
        <v>1.8778167250876315E-3</v>
      </c>
      <c r="CG26" s="3">
        <f t="shared" si="12"/>
        <v>0.53099254609650848</v>
      </c>
      <c r="CH26" s="3">
        <f t="shared" si="13"/>
        <v>0.1583855254001392</v>
      </c>
      <c r="CI26" s="3">
        <f t="shared" si="14"/>
        <v>1.1277135607555681E-3</v>
      </c>
      <c r="CJ26" s="3">
        <f t="shared" si="15"/>
        <v>0.47940446650124074</v>
      </c>
      <c r="CK26" s="3">
        <f t="shared" si="16"/>
        <v>9.5598394631225728E-2</v>
      </c>
      <c r="CL26" s="3"/>
      <c r="CM26" s="3">
        <f>CE26*2</f>
        <v>1.9973368841544607E-3</v>
      </c>
      <c r="CN26" s="3">
        <f>CF26*2</f>
        <v>3.7556334501752629E-3</v>
      </c>
      <c r="CO26" s="3">
        <f>CG26*3</f>
        <v>1.5929776382895255</v>
      </c>
      <c r="CP26" s="3">
        <f>CH26</f>
        <v>0.1583855254001392</v>
      </c>
      <c r="CQ26" s="3">
        <f>CI26</f>
        <v>1.1277135607555681E-3</v>
      </c>
      <c r="CR26" s="3">
        <f>CJ26</f>
        <v>0.47940446650124074</v>
      </c>
      <c r="CS26" s="3">
        <f>CK26*3</f>
        <v>0.2867951838936772</v>
      </c>
      <c r="CT26" s="3">
        <f>SUM(CM26:CS26)</f>
        <v>2.5244434979796679</v>
      </c>
      <c r="CU26">
        <v>32</v>
      </c>
      <c r="CV26" s="3">
        <f>CU26/CT26</f>
        <v>12.676061090537322</v>
      </c>
      <c r="CW26" s="3"/>
      <c r="CX26" s="3">
        <f>CM26*CV26</f>
        <v>2.5318364361925413E-2</v>
      </c>
      <c r="CY26" s="3">
        <f>CN26*CV26</f>
        <v>4.7606639048087089E-2</v>
      </c>
      <c r="CZ26" s="3">
        <f>CO26*CV26</f>
        <v>20.192681858817892</v>
      </c>
      <c r="DA26" s="3">
        <f>CP26*CV26</f>
        <v>2.0077045958290154</v>
      </c>
      <c r="DB26" s="3">
        <f>CQ26*CV26</f>
        <v>1.4294965988764953E-2</v>
      </c>
      <c r="DC26" s="3">
        <f>CR26*CV26</f>
        <v>6.0769603044461808</v>
      </c>
      <c r="DD26" s="3">
        <f>CS26*CV26</f>
        <v>3.6354332715081377</v>
      </c>
      <c r="DE26" s="3">
        <f>SUM(CX26:DD26)</f>
        <v>32</v>
      </c>
      <c r="DF26" s="3"/>
      <c r="DG26" s="3">
        <f>CX26/2</f>
        <v>1.2659182180962706E-2</v>
      </c>
      <c r="DH26" s="3">
        <f>CY26/2</f>
        <v>2.3803319524043545E-2</v>
      </c>
      <c r="DI26" s="3">
        <f>CZ26*(2/3)</f>
        <v>13.461787905878595</v>
      </c>
      <c r="DJ26" s="3">
        <f>DA26</f>
        <v>2.0077045958290154</v>
      </c>
      <c r="DK26" s="3">
        <f>DB26</f>
        <v>1.4294965988764953E-2</v>
      </c>
      <c r="DL26" s="3">
        <f>DC26</f>
        <v>6.0769603044461808</v>
      </c>
      <c r="DM26" s="3">
        <f>DD26*(2/3)</f>
        <v>2.4236221810054248</v>
      </c>
      <c r="DN26" s="3">
        <f>SUM(DG26:DM26)</f>
        <v>24.020832454852986</v>
      </c>
      <c r="DO26" s="3">
        <f>24/DN26</f>
        <v>0.99913273385124601</v>
      </c>
      <c r="DP26" s="3"/>
      <c r="DQ26" s="3">
        <f>DG26*DO26</f>
        <v>1.2648203300786249E-2</v>
      </c>
      <c r="DR26" s="3">
        <f>DH26*DO26</f>
        <v>2.3782675710792366E-2</v>
      </c>
      <c r="DS26" s="3">
        <f>DI26*DO26</f>
        <v>13.450112952926121</v>
      </c>
      <c r="DT26" s="3">
        <f>DJ26*DO26</f>
        <v>2.0059633815963549</v>
      </c>
      <c r="DU26" s="3">
        <f>DK26*DO26</f>
        <v>1.4282568448665309E-2</v>
      </c>
      <c r="DV26" s="3">
        <f>DL26*DO26</f>
        <v>6.071689962486813</v>
      </c>
      <c r="DW26" s="3">
        <f>DM26*DO26</f>
        <v>2.4215202555304693</v>
      </c>
      <c r="DX26" s="3">
        <f>SUM(DQ26:DW26)</f>
        <v>24.000000000000004</v>
      </c>
      <c r="DY26" s="3"/>
      <c r="DZ26" s="3">
        <f>DT26/(DT26+DV26)</f>
        <v>0.24833491809421496</v>
      </c>
      <c r="EA26" s="3">
        <f>DW26/(DS26+DW26)</f>
        <v>0.15256906606437046</v>
      </c>
      <c r="EB26" s="3"/>
      <c r="EC26" s="3">
        <f>DT26-ED26</f>
        <v>1.9504583480760997</v>
      </c>
      <c r="ED26" s="3">
        <f>(2*32)*(1-(24/DN26))</f>
        <v>5.5505033520255154E-2</v>
      </c>
      <c r="EE26" s="3">
        <f>EC26/(EC26+ED26)</f>
        <v>0.97232998666402171</v>
      </c>
      <c r="EF26" s="3">
        <f>ED26/(ED26+EC26)</f>
        <v>2.7670013335978242E-2</v>
      </c>
      <c r="EG26" s="3"/>
      <c r="EH26" s="3">
        <f t="shared" si="17"/>
        <v>0.06</v>
      </c>
      <c r="EI26" s="3">
        <f t="shared" si="18"/>
        <v>0.15</v>
      </c>
      <c r="EJ26" s="3">
        <f t="shared" si="19"/>
        <v>54.14</v>
      </c>
      <c r="EK26" s="3">
        <f t="shared" si="20"/>
        <v>0.34993142463470239</v>
      </c>
      <c r="EL26" s="3">
        <f t="shared" si="21"/>
        <v>11.065115248236568</v>
      </c>
      <c r="EM26" s="3">
        <f t="shared" si="22"/>
        <v>0.08</v>
      </c>
      <c r="EN26" s="3">
        <f t="shared" si="23"/>
        <v>19.32</v>
      </c>
      <c r="EO26" s="3">
        <f t="shared" si="24"/>
        <v>14.53</v>
      </c>
      <c r="EP26" s="3">
        <f>SUM(EH26:EO26)</f>
        <v>99.695046672871285</v>
      </c>
      <c r="EQ26" s="3"/>
      <c r="ER26" s="3">
        <f>DQ26</f>
        <v>1.2648203300786249E-2</v>
      </c>
      <c r="ES26" s="3">
        <f>DR26</f>
        <v>2.3782675710792366E-2</v>
      </c>
      <c r="ET26" s="3">
        <f>DS26</f>
        <v>13.450112952926121</v>
      </c>
      <c r="EU26" s="3">
        <f>IF(ED26&lt;0,0,ED26)</f>
        <v>5.5505033520255154E-2</v>
      </c>
      <c r="EV26" s="3">
        <f>IF(ED26&lt;0,DT26,EC26)</f>
        <v>1.9504583480760997</v>
      </c>
      <c r="EW26" s="3">
        <f>DU26</f>
        <v>1.4282568448665309E-2</v>
      </c>
      <c r="EX26" s="3">
        <f>DV26</f>
        <v>6.071689962486813</v>
      </c>
      <c r="EY26" s="3">
        <f>DW26</f>
        <v>2.4215202555304693</v>
      </c>
      <c r="EZ26" s="3">
        <f>SUM(ER26:EY26)</f>
        <v>24.000000000000004</v>
      </c>
      <c r="FA26" s="3"/>
      <c r="FB26" s="3">
        <f>EV26/(EV26+EX26)</f>
        <v>0.24313416712925826</v>
      </c>
      <c r="FC26" s="3">
        <f>EU26/(EU26+ET26+EY26)</f>
        <v>3.4849344984002589E-3</v>
      </c>
      <c r="FD26" s="3">
        <f>ET26/(EU26+ET26+EY26)</f>
        <v>0.84447769263894579</v>
      </c>
      <c r="FE26" s="3"/>
      <c r="FF26" s="3"/>
      <c r="FG26" s="3">
        <f>FR26/FM26</f>
        <v>9.9205802495936474E-4</v>
      </c>
      <c r="FH26" s="3">
        <f>FS26/FM26</f>
        <v>0.56105093698541197</v>
      </c>
      <c r="FI26" s="3">
        <f>FT26/FM26</f>
        <v>2.3153077727255059E-3</v>
      </c>
      <c r="FJ26" s="3">
        <f>FU26/FM26</f>
        <v>8.1360393594393135E-2</v>
      </c>
      <c r="FK26" s="3">
        <f>FW26/FM26</f>
        <v>0.25327128139820154</v>
      </c>
      <c r="FL26" s="3">
        <f>FX26/FM26</f>
        <v>0.10101002222430827</v>
      </c>
      <c r="FM26" s="3">
        <f>FR26+FS26+FT26+FU26+FW26+FX26</f>
        <v>2.9966336535313194</v>
      </c>
      <c r="FN26" s="3">
        <f>2/3-FH26-FL26-2*FG26</f>
        <v>2.6215914070276546E-3</v>
      </c>
      <c r="FO26" s="3">
        <f>1/3-FK26+FG26</f>
        <v>8.1054109960091131E-2</v>
      </c>
      <c r="FP26" s="3"/>
      <c r="FQ26" s="3">
        <f t="shared" si="25"/>
        <v>1.5810254125982811E-3</v>
      </c>
      <c r="FR26" s="3">
        <f t="shared" si="26"/>
        <v>2.9728344638490457E-3</v>
      </c>
      <c r="FS26" s="3">
        <f t="shared" si="27"/>
        <v>1.6812641191157651</v>
      </c>
      <c r="FT26" s="3">
        <f t="shared" si="28"/>
        <v>6.9381291900318942E-3</v>
      </c>
      <c r="FU26" s="3">
        <f t="shared" si="29"/>
        <v>0.24380729350951247</v>
      </c>
      <c r="FV26" s="3">
        <f t="shared" si="30"/>
        <v>1.7853210560831636E-3</v>
      </c>
      <c r="FW26" s="3">
        <f t="shared" si="31"/>
        <v>0.75896124531085163</v>
      </c>
      <c r="FX26" s="3">
        <f t="shared" si="32"/>
        <v>0.30269003194130867</v>
      </c>
      <c r="FZ26" s="44">
        <f ca="1">GE26</f>
        <v>1378.9494649722462</v>
      </c>
      <c r="GA26" s="44">
        <f t="shared" ca="1" si="33"/>
        <v>-19.731032684255474</v>
      </c>
      <c r="GB26" s="68">
        <f>GU26/(GU26+GS26)</f>
        <v>0.91020478118697368</v>
      </c>
      <c r="GC26" s="28">
        <f t="shared" ca="1" si="34"/>
        <v>973.86104039005465</v>
      </c>
      <c r="GD26" s="28"/>
      <c r="GE26" s="28">
        <f t="shared" ca="1" si="35"/>
        <v>1378.9494649722469</v>
      </c>
      <c r="GF26" s="28">
        <f t="shared" ca="1" si="36"/>
        <v>1028.9527921359888</v>
      </c>
      <c r="GG26" s="28">
        <f t="shared" si="37"/>
        <v>60.219656967119938</v>
      </c>
      <c r="GH26" s="28">
        <f t="shared" ca="1" si="38"/>
        <v>-19.731032684255531</v>
      </c>
      <c r="GI26" s="28">
        <f>LV26</f>
        <v>1126.8897472880772</v>
      </c>
      <c r="GJ26" s="28">
        <f>MK26</f>
        <v>1026.7599274072522</v>
      </c>
      <c r="GK26" s="28">
        <f t="shared" ca="1" si="39"/>
        <v>591.08175175041379</v>
      </c>
      <c r="GL26" s="51">
        <f t="shared" si="40"/>
        <v>0.96927395379019987</v>
      </c>
      <c r="GM26" s="52"/>
      <c r="GN26" s="2">
        <f t="shared" si="41"/>
        <v>2.308273992629692</v>
      </c>
      <c r="GP26" s="2">
        <f t="shared" si="42"/>
        <v>0.86428567862153671</v>
      </c>
      <c r="GQ26" s="2">
        <f t="shared" si="43"/>
        <v>4.2564485195070532E-3</v>
      </c>
      <c r="GR26" s="2">
        <f t="shared" si="44"/>
        <v>5.531526760231853E-2</v>
      </c>
      <c r="GS26" s="2">
        <f t="shared" si="45"/>
        <v>3.771935685016925E-2</v>
      </c>
      <c r="GT26" s="2">
        <f t="shared" si="46"/>
        <v>1.9735682819383262E-3</v>
      </c>
      <c r="GU26" s="2">
        <f t="shared" si="47"/>
        <v>0.38234038963487854</v>
      </c>
      <c r="GV26" s="2">
        <f t="shared" si="48"/>
        <v>0.37608733643143227</v>
      </c>
      <c r="GW26" s="2">
        <f t="shared" si="49"/>
        <v>2.4685820496975583E-2</v>
      </c>
      <c r="GX26" s="2">
        <f t="shared" si="50"/>
        <v>1.0616162045097456E-4</v>
      </c>
      <c r="GY26" s="2">
        <f t="shared" si="51"/>
        <v>5.5263812334619749E-3</v>
      </c>
      <c r="GZ26" s="2">
        <f>SUM(GP26:GY26)</f>
        <v>1.7522964092926692</v>
      </c>
      <c r="HB26" s="36">
        <f>GP26*2</f>
        <v>1.7285713572430734</v>
      </c>
      <c r="HC26" s="36">
        <f>GQ26*2</f>
        <v>8.5128970390141064E-3</v>
      </c>
      <c r="HD26" s="36">
        <f>GR26*3</f>
        <v>0.16594580280695559</v>
      </c>
      <c r="HE26" s="36">
        <f t="shared" si="52"/>
        <v>3.771935685016925E-2</v>
      </c>
      <c r="HF26" s="36">
        <f t="shared" si="52"/>
        <v>1.9735682819383262E-3</v>
      </c>
      <c r="HG26" s="36">
        <f t="shared" si="52"/>
        <v>0.38234038963487854</v>
      </c>
      <c r="HH26" s="36">
        <f t="shared" si="52"/>
        <v>0.37608733643143227</v>
      </c>
      <c r="HI26" s="36">
        <f t="shared" si="52"/>
        <v>2.4685820496975583E-2</v>
      </c>
      <c r="HJ26" s="36">
        <f t="shared" si="52"/>
        <v>1.0616162045097456E-4</v>
      </c>
      <c r="HK26" s="36">
        <f>GY26*3</f>
        <v>1.6579143700385924E-2</v>
      </c>
      <c r="HL26" s="36">
        <f>SUM(HB26:HK26)</f>
        <v>2.7425218341052737</v>
      </c>
      <c r="HM26" s="36">
        <f>6/HL26</f>
        <v>2.1877674501568563</v>
      </c>
      <c r="HO26" s="18">
        <f t="shared" si="53"/>
        <v>1.8908560753249275</v>
      </c>
      <c r="HP26" s="18">
        <f t="shared" si="54"/>
        <v>9.3121195242458713E-3</v>
      </c>
      <c r="HQ26" s="18">
        <f>2-HO26</f>
        <v>0.1091439246750725</v>
      </c>
      <c r="HR26" s="18">
        <f>IF(HS26-HQ26&lt;0,0,HS26-HQ26)</f>
        <v>0.13288995923906463</v>
      </c>
      <c r="HS26" s="18">
        <f t="shared" si="55"/>
        <v>0.24203388391413713</v>
      </c>
      <c r="HT26" s="18">
        <f t="shared" si="56"/>
        <v>8.2521181157651335E-2</v>
      </c>
      <c r="HU26" s="18">
        <f t="shared" si="57"/>
        <v>4.3177084478866591E-3</v>
      </c>
      <c r="HV26" s="18">
        <f t="shared" si="58"/>
        <v>0.83647185932347712</v>
      </c>
      <c r="HW26" s="18">
        <f t="shared" si="59"/>
        <v>0.82279163306087832</v>
      </c>
      <c r="HX26" s="18">
        <f t="shared" si="60"/>
        <v>0.10801366912739625</v>
      </c>
      <c r="HY26" s="18">
        <f t="shared" si="61"/>
        <v>4.6451387535709714E-4</v>
      </c>
      <c r="HZ26" s="18">
        <f t="shared" si="62"/>
        <v>2.4180873959451614E-2</v>
      </c>
      <c r="IA26" s="36">
        <f>HO26+HP26+HS26+HT26+HU26+HV26+HW26+HX26+HY26+HZ26</f>
        <v>4.0209635177154084</v>
      </c>
      <c r="IB26" s="36">
        <f>IF(HX26+HQ26-HR26-2*HP26-HZ26&gt;0,HX26+HQ26-HR26-2*HP26-HZ26,0)</f>
        <v>4.1462521555460756E-2</v>
      </c>
      <c r="IC26" s="36">
        <f>12-48/IA26</f>
        <v>6.2562669737383558E-2</v>
      </c>
      <c r="ID26" s="36">
        <f>IF(HX26&lt;HR26,HX26,HR26)</f>
        <v>0.10801366912739625</v>
      </c>
      <c r="IE26" s="36">
        <f>IF(HR26&gt;HX26,HR26-HX26,0)</f>
        <v>2.4876290111668378E-2</v>
      </c>
      <c r="IF26" s="36">
        <f>IF(HQ26&gt;IE26,(HQ26-IE26)/2,0)</f>
        <v>4.2133817281702061E-2</v>
      </c>
      <c r="IG26" s="36">
        <f>HZ26/2</f>
        <v>1.2090436979725807E-2</v>
      </c>
      <c r="IH26" s="36">
        <f>IF(HW26-IF26-IE26-IG26&gt;0,HW26-IF26-IE26-IG26,0)</f>
        <v>0.74369108868778211</v>
      </c>
      <c r="II26" s="36">
        <f>((HT26+HV26)-IH26)/2</f>
        <v>8.7650975896673144E-2</v>
      </c>
      <c r="IJ26" s="36">
        <f>II26*(HV26/(HV26+HU26+HT26))</f>
        <v>7.9407257919234059E-2</v>
      </c>
      <c r="IK26" s="36">
        <f>IM26*(HV26/(HV26+HU26+HT26))</f>
        <v>0.67374572259506516</v>
      </c>
      <c r="IL26" s="36">
        <f>SUM(ID26:II26)</f>
        <v>1.0184562780849478</v>
      </c>
      <c r="IM26" s="36">
        <f>HW26-IE26-IF26-IG26</f>
        <v>0.74369108868778211</v>
      </c>
      <c r="IN26" s="36"/>
      <c r="IO26" s="2">
        <f>HV26/(HV26+IP26)</f>
        <v>0.95321113201571905</v>
      </c>
      <c r="IP26" s="36">
        <f>HT26-IB26</f>
        <v>4.1058659602190579E-2</v>
      </c>
      <c r="IQ26" s="53">
        <f>((0.5*HV26/(0.5*HV26+0.5*(HT26-IB26)+HX26+HW26+HU26)))*(0.5*HV26/(0.5*HV26+0.5*(HT26-IB26)+HZ26+HR26+HP26))</f>
        <v>0.21039213869702059</v>
      </c>
      <c r="IR26" s="18">
        <f>HW26/(HW26+0.5*HV26+0.5*(HT26-IB26)+HU26+HX26)</f>
        <v>0.59887812638621063</v>
      </c>
      <c r="IS26" s="18">
        <f>(HV26/(HW26+HV26+HT26-IB26+HU26+HX26))*(HV26/(HT26+HS26+HP26+HZ26+HV26))</f>
        <v>0.32314279210703756</v>
      </c>
      <c r="IT26" s="18">
        <f t="shared" si="63"/>
        <v>0.7550905121946303</v>
      </c>
      <c r="IU26" s="18">
        <f t="shared" si="64"/>
        <v>3.7064013527146923E-2</v>
      </c>
      <c r="IV26" s="18">
        <f t="shared" si="65"/>
        <v>6.1841468473276512E-2</v>
      </c>
      <c r="IW26" s="18">
        <f t="shared" si="66"/>
        <v>3.035520890562251E-3</v>
      </c>
      <c r="IX26" s="18">
        <f t="shared" si="67"/>
        <v>4.6695906104354444E-2</v>
      </c>
      <c r="IY26" s="18">
        <f t="shared" si="68"/>
        <v>5.5853826563323439E-2</v>
      </c>
      <c r="IZ26" s="2">
        <f t="shared" si="69"/>
        <v>0.87527024530534603</v>
      </c>
      <c r="JA26" s="2">
        <f t="shared" si="70"/>
        <v>2.6289829091072974E-3</v>
      </c>
      <c r="JB26" s="2">
        <f t="shared" si="71"/>
        <v>4.9822971528329464E-2</v>
      </c>
      <c r="JC26" s="2">
        <f t="shared" si="72"/>
        <v>5.9849902013183673E-2</v>
      </c>
      <c r="JD26" s="2">
        <f t="shared" si="73"/>
        <v>1.2687224669603525E-3</v>
      </c>
      <c r="JE26" s="2">
        <f t="shared" si="74"/>
        <v>0.58802512877005986</v>
      </c>
      <c r="JF26" s="2">
        <f t="shared" si="75"/>
        <v>0.18884613052673627</v>
      </c>
      <c r="JG26" s="2">
        <f t="shared" si="76"/>
        <v>1.3068963792516486E-2</v>
      </c>
      <c r="JH26" s="2">
        <f t="shared" si="77"/>
        <v>1.0616162045097456E-4</v>
      </c>
      <c r="JI26" s="2">
        <f t="shared" si="78"/>
        <v>4.5395274417723364E-3</v>
      </c>
      <c r="JJ26" s="2">
        <f>SUM(IZ26:JI26)</f>
        <v>1.7834267363744627</v>
      </c>
      <c r="JL26" s="36">
        <f>IZ26*2</f>
        <v>1.7505404906106921</v>
      </c>
      <c r="JM26" s="36">
        <f>JA26*2</f>
        <v>5.2579658182145949E-3</v>
      </c>
      <c r="JN26" s="36">
        <f>JB26*3</f>
        <v>0.1494689145849884</v>
      </c>
      <c r="JO26" s="36">
        <f t="shared" si="79"/>
        <v>5.9849902013183673E-2</v>
      </c>
      <c r="JP26" s="36">
        <f t="shared" si="79"/>
        <v>1.2687224669603525E-3</v>
      </c>
      <c r="JQ26" s="36">
        <f t="shared" si="79"/>
        <v>0.58802512877005986</v>
      </c>
      <c r="JR26" s="36">
        <f t="shared" si="79"/>
        <v>0.18884613052673627</v>
      </c>
      <c r="JS26" s="36">
        <f t="shared" si="79"/>
        <v>1.3068963792516486E-2</v>
      </c>
      <c r="JT26" s="36">
        <f t="shared" si="79"/>
        <v>1.0616162045097456E-4</v>
      </c>
      <c r="JU26" s="36">
        <f>JI26*3</f>
        <v>1.361858232531701E-2</v>
      </c>
      <c r="JV26" s="36">
        <f>SUM(JL26:JU26)</f>
        <v>2.7700509625291199</v>
      </c>
      <c r="JW26" s="36">
        <f>6/JV26</f>
        <v>2.1660251313650427</v>
      </c>
      <c r="JY26" s="18">
        <f t="shared" si="80"/>
        <v>1.8958573480674252</v>
      </c>
      <c r="JZ26" s="18">
        <f t="shared" si="81"/>
        <v>5.6944430510555864E-3</v>
      </c>
      <c r="KA26" s="18">
        <f>2-JY26</f>
        <v>0.10414265193257477</v>
      </c>
      <c r="KB26" s="18">
        <f>IF(KC26-KA26&lt;0,0,KC26-KA26)</f>
        <v>0.11169296496671846</v>
      </c>
      <c r="KC26" s="18">
        <f t="shared" si="82"/>
        <v>0.21583561689929323</v>
      </c>
      <c r="KD26" s="18">
        <f t="shared" si="83"/>
        <v>0.12963639187029111</v>
      </c>
      <c r="KE26" s="18">
        <f t="shared" si="84"/>
        <v>2.7480847481635784E-3</v>
      </c>
      <c r="KF26" s="18">
        <f t="shared" si="85"/>
        <v>1.273677206790115</v>
      </c>
      <c r="KG26" s="18">
        <f t="shared" si="86"/>
        <v>0.40904546468195391</v>
      </c>
      <c r="KH26" s="18">
        <f t="shared" si="87"/>
        <v>5.6615408030981015E-2</v>
      </c>
      <c r="KI26" s="18">
        <f t="shared" si="88"/>
        <v>4.5989747576649599E-4</v>
      </c>
      <c r="KJ26" s="18">
        <f t="shared" si="89"/>
        <v>1.9665461046800281E-2</v>
      </c>
      <c r="KK26" s="36">
        <f>JY26+JZ26+KC26+KD26+KE26+KF26+KG26+KH26+KI26+KJ26</f>
        <v>4.0092353226618451</v>
      </c>
      <c r="KL26" s="36">
        <f>IF(KH26+KA26-KB26-2*JZ26-KJ26&gt;0,KH26+KA26-KB26-2*JZ26-KJ26,0)</f>
        <v>1.8010747847925883E-2</v>
      </c>
      <c r="KM26" s="36">
        <f>12-48/KK26</f>
        <v>2.764214694900069E-2</v>
      </c>
      <c r="KN26" s="36">
        <f>KH26</f>
        <v>5.6615408030981015E-2</v>
      </c>
      <c r="KO26" s="36">
        <f>JZ26</f>
        <v>5.6944430510555864E-3</v>
      </c>
      <c r="KP26" s="36">
        <f>KJ26</f>
        <v>1.9665461046800281E-2</v>
      </c>
      <c r="KQ26" s="36">
        <f>(KB26-KN26-KP26)</f>
        <v>3.5412095888937165E-2</v>
      </c>
      <c r="KR26" s="36">
        <f>KG26</f>
        <v>0.40904546468195391</v>
      </c>
      <c r="KS26" s="36">
        <f>((KD26+KF26+KE26)-KO26-KQ26-KR26)/2</f>
        <v>0.47795483989331156</v>
      </c>
      <c r="KT26" s="36">
        <f>KS26*(KF26/(KF26+KD26+KE26))</f>
        <v>0.43295411049917487</v>
      </c>
      <c r="KU26" s="36">
        <f>KR26*(KF26/(KF26+KD26+KE26))</f>
        <v>0.3705327376842309</v>
      </c>
      <c r="KV26" s="53">
        <f>((0.5*KF26/(0.5*(KD26-KL26)+0.5*KF26+KH26+KG26+KE26)))*(0.5*KF26/(0.5*KF26+0.5*(KD26-KL26)+JZ26+KB26+KJ26+KL26))</f>
        <v>0.41205393548906405</v>
      </c>
      <c r="KW26" s="36">
        <f>KG26/(KG26+LC26+LD26+KE26+KH26)</f>
        <v>0.40904546468195391</v>
      </c>
      <c r="KX26" s="36">
        <f>(KD26-KL26)/((KD26-KL26)+KF26)</f>
        <v>8.0578513179913519E-2</v>
      </c>
      <c r="KY26" s="36">
        <f>(KF26/(KG26+KF26-KL26+KD26+KE26+KH26))*(KF26/(KL26+KD26-KL26+KC26+JZ26+KJ26+KF26))</f>
        <v>0.53215757831165456</v>
      </c>
      <c r="KZ26" s="18">
        <f>KF26/(KF26+(KD26-KL26))</f>
        <v>0.9194214868200864</v>
      </c>
      <c r="LA26" s="18">
        <f>(1-KL26-KB26-JZ26-KJ26)*KZ26</f>
        <v>0.77685266560669519</v>
      </c>
      <c r="LB26" s="18">
        <f>(1-KL26-KB26-JZ26-KJ26)*(1-KZ26)</f>
        <v>6.8083717480804634E-2</v>
      </c>
      <c r="LC26" s="18">
        <f>(1-KG26-KH26-KE26)*KZ26</f>
        <v>0.48875622671135666</v>
      </c>
      <c r="LD26" s="18">
        <f>(1-KG26-KH26-KE26)*(1-KZ26)</f>
        <v>4.2834815827544892E-2</v>
      </c>
      <c r="LE26" s="54">
        <f>(LC26/(LC26+LD26+KG26+KH26+KE26))*(LA26/(KL26+JZ26+KB26+KJ26+LA26+LB26))</f>
        <v>0.37969157755258764</v>
      </c>
      <c r="LF26" s="36">
        <f>SUM(KN26:KS26)</f>
        <v>1.0043877125930396</v>
      </c>
      <c r="LH26" s="2" t="str">
        <f t="shared" si="90"/>
        <v>10ABG30</v>
      </c>
      <c r="LI26" s="2">
        <f>MO26</f>
        <v>15</v>
      </c>
      <c r="LK26" s="2">
        <f t="shared" si="91"/>
        <v>0.29546482656393686</v>
      </c>
      <c r="LL26" s="2">
        <f>1616.67+287.935*LN(LK26)+2.933*LI26</f>
        <v>1309.6130702713594</v>
      </c>
      <c r="LN26" s="2">
        <f t="shared" si="92"/>
        <v>891.1169814445467</v>
      </c>
      <c r="LO26" s="2">
        <f t="shared" si="93"/>
        <v>799.97100645518503</v>
      </c>
      <c r="LP26" s="2">
        <f t="shared" si="94"/>
        <v>1700.4347309400378</v>
      </c>
      <c r="LQ26" s="2">
        <f t="shared" si="95"/>
        <v>1599.9968075178722</v>
      </c>
      <c r="LR26" s="2">
        <f>IX26/LE26</f>
        <v>0.12298378174555905</v>
      </c>
      <c r="LS26" s="2">
        <f>-273.15+(4900/(1.807-LN(LR26)))</f>
        <v>982.39013875410831</v>
      </c>
      <c r="LT26" s="2">
        <f t="shared" si="96"/>
        <v>2197.7118875664914</v>
      </c>
      <c r="LV26" s="2">
        <f>-273.15+(-10202/(LN(IX26/LE26)-7.65*(1-KZ26)+3.88*(1-KZ26)^2-4.6))</f>
        <v>1126.8897472880772</v>
      </c>
      <c r="LW26" s="2">
        <f>-273.15+(3666/(0.8808-LN(KB26/(0.5*KF26))))</f>
        <v>1125.2526536229266</v>
      </c>
      <c r="LY26" s="2">
        <f t="shared" si="97"/>
        <v>-17.373428798520603</v>
      </c>
      <c r="LZ26" s="2">
        <f t="shared" si="98"/>
        <v>-11.907216776007342</v>
      </c>
      <c r="MB26" s="2">
        <f>26.23-0.02229*LI26</f>
        <v>25.89565</v>
      </c>
      <c r="MC26" s="2">
        <f>32.44-0.08646*LI26</f>
        <v>31.143099999999997</v>
      </c>
      <c r="MD26" s="2">
        <f>28.6-1.749*LI26</f>
        <v>2.3649999999999984</v>
      </c>
      <c r="ME26" s="2">
        <f t="shared" si="99"/>
        <v>432.40720456274153</v>
      </c>
      <c r="MF26" s="2">
        <f t="shared" si="100"/>
        <v>2316.0210391248879</v>
      </c>
      <c r="MH26" s="2">
        <f>-273.15+(6425+26.4*LI26)/(-LN(KG26)+1.843)</f>
        <v>2219.059362552222</v>
      </c>
      <c r="MI26" s="2">
        <f>-273.15+((35000+61.5*LI26)/((LN(KH26/HX26))^2+19.8))</f>
        <v>1503.6711019588452</v>
      </c>
      <c r="MK26" s="2">
        <f>-273.15+(7341/(3.355+2.44*(1-KZ26)-LN(IX26/LE26)))</f>
        <v>1026.7599274072522</v>
      </c>
      <c r="MM26" s="2">
        <f t="shared" si="101"/>
        <v>60.219656967119938</v>
      </c>
      <c r="MN26" s="2">
        <f>IF(MM26=0,0,MM26-LI26)</f>
        <v>45.219656967119938</v>
      </c>
      <c r="MO26" s="3">
        <f t="shared" si="102"/>
        <v>15</v>
      </c>
    </row>
    <row r="27" spans="1:353" ht="15" x14ac:dyDescent="0.25">
      <c r="A27" s="50">
        <v>1.5</v>
      </c>
      <c r="B27" s="72" t="s">
        <v>210</v>
      </c>
      <c r="C27" s="3" t="s">
        <v>211</v>
      </c>
      <c r="E27" s="69">
        <v>51.99</v>
      </c>
      <c r="F27" s="69">
        <v>0.49</v>
      </c>
      <c r="G27" s="69">
        <v>6.59</v>
      </c>
      <c r="H27" s="69">
        <v>2.2599999999999998</v>
      </c>
      <c r="I27" s="69">
        <v>0.06</v>
      </c>
      <c r="J27" s="69">
        <v>14.16</v>
      </c>
      <c r="K27" s="69">
        <v>21.21</v>
      </c>
      <c r="L27" s="69">
        <v>1.73</v>
      </c>
      <c r="M27" s="69">
        <v>0</v>
      </c>
      <c r="N27" s="69">
        <v>0.7</v>
      </c>
      <c r="P27" s="69">
        <v>55.01</v>
      </c>
      <c r="Q27" s="69">
        <v>0.13</v>
      </c>
      <c r="R27" s="69">
        <v>4.58</v>
      </c>
      <c r="S27" s="69">
        <v>6.21</v>
      </c>
      <c r="T27" s="69">
        <v>0.09</v>
      </c>
      <c r="U27" s="69">
        <v>32.520000000000003</v>
      </c>
      <c r="V27" s="69">
        <v>0.56000000000000005</v>
      </c>
      <c r="W27" s="69">
        <v>7.0000000000000007E-2</v>
      </c>
      <c r="X27" s="69">
        <v>0.01</v>
      </c>
      <c r="Y27" s="69">
        <v>0.39</v>
      </c>
      <c r="Z27" s="3"/>
      <c r="AA27" s="69">
        <v>40.92</v>
      </c>
      <c r="AB27" s="69">
        <v>0</v>
      </c>
      <c r="AC27" s="69">
        <v>0</v>
      </c>
      <c r="AD27" s="69">
        <v>9.6999999999999993</v>
      </c>
      <c r="AE27" s="69">
        <v>0.13</v>
      </c>
      <c r="AF27" s="69">
        <v>48.76</v>
      </c>
      <c r="AG27" s="69">
        <v>0.03</v>
      </c>
      <c r="AH27" s="69">
        <v>0</v>
      </c>
      <c r="AI27" s="69">
        <v>0.02</v>
      </c>
      <c r="AJ27" s="69">
        <v>0.01</v>
      </c>
      <c r="AK27" s="3">
        <f t="shared" si="0"/>
        <v>0.10039220012879868</v>
      </c>
      <c r="AL27" s="3">
        <f t="shared" si="1"/>
        <v>0.89960779987120132</v>
      </c>
      <c r="AM27" s="69">
        <v>0.03</v>
      </c>
      <c r="AN27" s="69">
        <v>0.03</v>
      </c>
      <c r="AO27" s="69">
        <v>57.31</v>
      </c>
      <c r="AP27" s="69">
        <v>11.01</v>
      </c>
      <c r="AQ27" s="69">
        <v>0.14000000000000001</v>
      </c>
      <c r="AR27" s="69">
        <v>19.88</v>
      </c>
      <c r="AS27" s="69">
        <v>0</v>
      </c>
      <c r="AT27" s="69">
        <v>0</v>
      </c>
      <c r="AU27" s="69">
        <v>0</v>
      </c>
      <c r="AV27" s="69">
        <v>10.73</v>
      </c>
      <c r="AW27" s="3"/>
      <c r="AX27" s="63">
        <f t="shared" si="2"/>
        <v>-2.3240762437050186</v>
      </c>
      <c r="AY27" s="63">
        <f t="shared" ca="1" si="3"/>
        <v>-2.2668645026905807</v>
      </c>
      <c r="AZ27" s="61"/>
      <c r="BA27" s="63">
        <f t="shared" ref="BA27" si="243">4720/(GJ27+273.15)-0.05*A27*10000/(GJ27+273.15)-2.7*LN(AK27/(AK27+AL27))-0.91*LN(FO27/(FO27+FK27))-1.03*(LN(FO27/(FO27+FK27)))^2+1.91*LN(FN27/(FN27+FL27+FH27))+0.12*(LN(FN27/(FN27+FL27+FH27)))^2-4.4</f>
        <v>-2.0312166490656494</v>
      </c>
      <c r="BB27" s="63">
        <f t="shared" ref="BB27" ca="1" si="244">4720/(GC27+273.15)-0.05*A27*10000/(GC27+273.15)-2.7*LN(AK27/(AK27+AL27))-0.91*LN(FO27/(FO27+FK27))-1.03*(LN(FO27/(FO27+FK27)))^2+1.91*LN(FN27/(FN27+FL27+FH27))+0.12*(LN(FN27/(FN27+FL27+FH27)))^2-4.4</f>
        <v>-1.8642844909584269</v>
      </c>
      <c r="BC27" s="3"/>
      <c r="BD27" s="64">
        <f t="shared" ref="BD27" si="245">LOG10(0.25*FU27*FT27*FT27)+1/(GJ27+273.15)*(406*FS27*FS27+653*FW27*FS27+299*FX27*FX27+199*FX27*FS27+346*FW27*FX27)</f>
        <v>-2.817411782952103</v>
      </c>
      <c r="BE27" s="64">
        <f t="shared" ref="BE27" ca="1" si="246">LOG10(0.25*FU27*FT27*FT27)+1/(GC27+273.15)*(406*FS27*FS27+653*FW27*FS27+299*FX27*FX27+199*FS27*FX27+346*FW27*FX27)</f>
        <v>-2.7207085837837881</v>
      </c>
      <c r="BF27" s="64">
        <f t="shared" si="4"/>
        <v>-1.8124403828586688</v>
      </c>
      <c r="BG27" s="64">
        <f t="shared" ca="1" si="5"/>
        <v>-1.722214490209943</v>
      </c>
      <c r="BH27" s="3"/>
      <c r="BI27" s="64">
        <f t="shared" si="6"/>
        <v>-12.640646136151748</v>
      </c>
      <c r="BJ27" s="64">
        <f t="shared" ca="1" si="7"/>
        <v>-13.626530222087965</v>
      </c>
      <c r="BK27" s="61"/>
      <c r="BL27" s="61"/>
      <c r="BM27" s="64">
        <f t="shared" si="107"/>
        <v>-14.964722379856767</v>
      </c>
      <c r="BN27" s="64">
        <f t="shared" ca="1" si="108"/>
        <v>-15.893394724778545</v>
      </c>
      <c r="BO27" s="76"/>
      <c r="BP27" s="64">
        <f t="shared" si="109"/>
        <v>-14.671862785217398</v>
      </c>
      <c r="BQ27" s="64">
        <f t="shared" ca="1" si="110"/>
        <v>-15.490814713046392</v>
      </c>
      <c r="BR27" s="61"/>
      <c r="BS27" s="64">
        <f t="shared" si="8"/>
        <v>-14.453086519010416</v>
      </c>
      <c r="BT27" s="64">
        <f t="shared" ca="1" si="9"/>
        <v>-15.348744712297908</v>
      </c>
      <c r="BU27" s="3"/>
      <c r="BV27">
        <v>60.08</v>
      </c>
      <c r="BW27">
        <v>79.88</v>
      </c>
      <c r="BX27">
        <v>101.96</v>
      </c>
      <c r="BY27">
        <v>159.69</v>
      </c>
      <c r="BZ27">
        <v>71.849999999999994</v>
      </c>
      <c r="CA27">
        <v>70.94</v>
      </c>
      <c r="CB27">
        <v>40.299999999999997</v>
      </c>
      <c r="CC27">
        <v>151.99</v>
      </c>
      <c r="CD27" s="3"/>
      <c r="CE27" s="3">
        <f t="shared" si="10"/>
        <v>4.9933422103861519E-4</v>
      </c>
      <c r="CF27" s="3">
        <f t="shared" si="11"/>
        <v>3.755633450175263E-4</v>
      </c>
      <c r="CG27" s="3">
        <f t="shared" si="12"/>
        <v>0.56208316987053752</v>
      </c>
      <c r="CH27" s="3">
        <f t="shared" si="13"/>
        <v>0.15323590814196242</v>
      </c>
      <c r="CI27" s="3">
        <f t="shared" si="14"/>
        <v>1.9734987313222443E-3</v>
      </c>
      <c r="CJ27" s="3">
        <f t="shared" si="15"/>
        <v>0.49330024813895784</v>
      </c>
      <c r="CK27" s="3">
        <f t="shared" si="16"/>
        <v>7.0596749786170143E-2</v>
      </c>
      <c r="CL27" s="3"/>
      <c r="CM27" s="3">
        <f t="shared" ref="CM27:CN27" si="247">CE27*2</f>
        <v>9.9866844207723037E-4</v>
      </c>
      <c r="CN27" s="3">
        <f t="shared" si="247"/>
        <v>7.5112669003505261E-4</v>
      </c>
      <c r="CO27" s="3">
        <f t="shared" ref="CO27" si="248">CG27*3</f>
        <v>1.6862495096116126</v>
      </c>
      <c r="CP27" s="3">
        <f t="shared" ref="CP27:CR27" si="249">CH27</f>
        <v>0.15323590814196242</v>
      </c>
      <c r="CQ27" s="3">
        <f t="shared" si="249"/>
        <v>1.9734987313222443E-3</v>
      </c>
      <c r="CR27" s="3">
        <f t="shared" si="249"/>
        <v>0.49330024813895784</v>
      </c>
      <c r="CS27" s="3">
        <f t="shared" ref="CS27" si="250">CK27*3</f>
        <v>0.21179024935851043</v>
      </c>
      <c r="CT27" s="3">
        <f t="shared" ref="CT27" si="251">SUM(CM27:CS27)</f>
        <v>2.5482992091144778</v>
      </c>
      <c r="CU27">
        <v>32</v>
      </c>
      <c r="CV27" s="3">
        <f t="shared" ref="CV27" si="252">CU27/CT27</f>
        <v>12.557395099266955</v>
      </c>
      <c r="CW27" s="3"/>
      <c r="CX27" s="3">
        <f t="shared" ref="CX27" si="253">CM27*CV27</f>
        <v>1.2540674200333177E-2</v>
      </c>
      <c r="CY27" s="3">
        <f t="shared" ref="CY27" si="254">CN27*CV27</f>
        <v>9.432194616374779E-3</v>
      </c>
      <c r="CZ27" s="3">
        <f t="shared" ref="CZ27" si="255">CO27*CV27</f>
        <v>21.174901328138169</v>
      </c>
      <c r="DA27" s="3">
        <f t="shared" ref="DA27" si="256">CP27*CV27</f>
        <v>1.9242438419336001</v>
      </c>
      <c r="DB27" s="3">
        <f t="shared" ref="DB27" si="257">CQ27*CV27</f>
        <v>2.4782003297115503E-2</v>
      </c>
      <c r="DC27" s="3">
        <f t="shared" ref="DC27" si="258">CR27*CV27</f>
        <v>6.1945661184473222</v>
      </c>
      <c r="DD27" s="3">
        <f t="shared" ref="DD27" si="259">CS27*CV27</f>
        <v>2.6595338393670853</v>
      </c>
      <c r="DE27" s="3">
        <f t="shared" ref="DE27" si="260">SUM(CX27:DD27)</f>
        <v>32</v>
      </c>
      <c r="DF27" s="3"/>
      <c r="DG27" s="3">
        <f t="shared" ref="DG27:DH27" si="261">CX27/2</f>
        <v>6.2703371001665885E-3</v>
      </c>
      <c r="DH27" s="3">
        <f t="shared" si="261"/>
        <v>4.7160973081873895E-3</v>
      </c>
      <c r="DI27" s="3">
        <f t="shared" ref="DI27" si="262">CZ27*(2/3)</f>
        <v>14.116600885425445</v>
      </c>
      <c r="DJ27" s="3">
        <f t="shared" ref="DJ27:DL27" si="263">DA27</f>
        <v>1.9242438419336001</v>
      </c>
      <c r="DK27" s="3">
        <f t="shared" si="263"/>
        <v>2.4782003297115503E-2</v>
      </c>
      <c r="DL27" s="3">
        <f t="shared" si="263"/>
        <v>6.1945661184473222</v>
      </c>
      <c r="DM27" s="3">
        <f t="shared" ref="DM27" si="264">DD27*(2/3)</f>
        <v>1.7730225595780569</v>
      </c>
      <c r="DN27" s="3">
        <f t="shared" ref="DN27" si="265">SUM(DG27:DM27)</f>
        <v>24.044201843089894</v>
      </c>
      <c r="DO27" s="3">
        <f t="shared" ref="DO27" si="266">24/DN27</f>
        <v>0.99816164232115701</v>
      </c>
      <c r="DP27" s="3"/>
      <c r="DQ27" s="3">
        <f t="shared" ref="DQ27" si="267">DG27*DO27</f>
        <v>6.2588099778095631E-3</v>
      </c>
      <c r="DR27" s="3">
        <f t="shared" ref="DR27" si="268">DH27*DO27</f>
        <v>4.7074274344867124E-3</v>
      </c>
      <c r="DS27" s="3">
        <f t="shared" ref="DS27" si="269">DI27*DO27</f>
        <v>14.090649523788562</v>
      </c>
      <c r="DT27" s="3">
        <f t="shared" ref="DT27" si="270">DJ27*DO27</f>
        <v>1.9207063934908151</v>
      </c>
      <c r="DU27" s="3">
        <f t="shared" ref="DU27" si="271">DK27*DO27</f>
        <v>2.4736445111057138E-2</v>
      </c>
      <c r="DV27" s="3">
        <f t="shared" ref="DV27" si="272">DL27*DO27</f>
        <v>6.1831782902563743</v>
      </c>
      <c r="DW27" s="3">
        <f t="shared" ref="DW27" si="273">DM27*DO27</f>
        <v>1.7697631099408948</v>
      </c>
      <c r="DX27" s="3">
        <f t="shared" ref="DX27" si="274">SUM(DQ27:DW27)</f>
        <v>24</v>
      </c>
      <c r="DY27" s="3"/>
      <c r="DZ27" s="3">
        <f t="shared" ref="DZ27" si="275">DT27/(DT27+DV27)</f>
        <v>0.23701057806793613</v>
      </c>
      <c r="EA27" s="3">
        <f t="shared" ref="EA27" si="276">DW27/(DS27+DW27)</f>
        <v>0.11158367381799626</v>
      </c>
      <c r="EB27" s="3"/>
      <c r="EC27" s="3">
        <f t="shared" ref="EC27" si="277">DT27-ED27</f>
        <v>1.8030515020448634</v>
      </c>
      <c r="ED27" s="3">
        <f t="shared" ref="ED27" si="278">(2*32)*(1-(24/DN27))</f>
        <v>0.11765489144595165</v>
      </c>
      <c r="EE27" s="3">
        <f t="shared" ref="EE27" si="279">EC27/(EC27+ED27)</f>
        <v>0.938743947620168</v>
      </c>
      <c r="EF27" s="3">
        <f t="shared" ref="EF27" si="280">ED27/(ED27+EC27)</f>
        <v>6.1256052379832032E-2</v>
      </c>
      <c r="EG27" s="3"/>
      <c r="EH27" s="3">
        <f t="shared" si="17"/>
        <v>0.03</v>
      </c>
      <c r="EI27" s="3">
        <f t="shared" si="18"/>
        <v>0.03</v>
      </c>
      <c r="EJ27" s="3">
        <f t="shared" si="19"/>
        <v>57.31</v>
      </c>
      <c r="EK27" s="3">
        <f t="shared" si="20"/>
        <v>0.74949309961687782</v>
      </c>
      <c r="EL27" s="3">
        <f t="shared" si="21"/>
        <v>10.335570863298049</v>
      </c>
      <c r="EM27" s="3">
        <f t="shared" si="22"/>
        <v>0.14000000000000001</v>
      </c>
      <c r="EN27" s="3">
        <f t="shared" si="23"/>
        <v>19.88</v>
      </c>
      <c r="EO27" s="3">
        <f t="shared" si="24"/>
        <v>10.73</v>
      </c>
      <c r="EP27" s="3">
        <f t="shared" ref="EP27" si="281">SUM(EH27:EO27)</f>
        <v>99.205063962914934</v>
      </c>
      <c r="EQ27" s="3"/>
      <c r="ER27" s="3">
        <f t="shared" ref="ER27:ET27" si="282">DQ27</f>
        <v>6.2588099778095631E-3</v>
      </c>
      <c r="ES27" s="3">
        <f t="shared" si="282"/>
        <v>4.7074274344867124E-3</v>
      </c>
      <c r="ET27" s="3">
        <f t="shared" si="282"/>
        <v>14.090649523788562</v>
      </c>
      <c r="EU27" s="3">
        <f t="shared" ref="EU27" si="283">IF(ED27&lt;0,0,ED27)</f>
        <v>0.11765489144595165</v>
      </c>
      <c r="EV27" s="3">
        <f t="shared" ref="EV27" si="284">IF(ED27&lt;0,DT27,EC27)</f>
        <v>1.8030515020448634</v>
      </c>
      <c r="EW27" s="3">
        <f t="shared" ref="EW27:EY27" si="285">DU27</f>
        <v>2.4736445111057138E-2</v>
      </c>
      <c r="EX27" s="3">
        <f t="shared" si="285"/>
        <v>6.1831782902563743</v>
      </c>
      <c r="EY27" s="3">
        <f t="shared" si="285"/>
        <v>1.7697631099408948</v>
      </c>
      <c r="EZ27" s="3">
        <f t="shared" ref="EZ27" si="286">SUM(ER27:EY27)</f>
        <v>24</v>
      </c>
      <c r="FA27" s="3"/>
      <c r="FB27" s="3">
        <f t="shared" ref="FB27" si="287">EV27/(EV27+EX27)</f>
        <v>0.22577005031623476</v>
      </c>
      <c r="FC27" s="3">
        <f t="shared" ref="FC27" si="288">EU27/(EU27+ET27+EY27)</f>
        <v>7.3635244850838132E-3</v>
      </c>
      <c r="FD27" s="3">
        <f t="shared" ref="FD27" si="289">ET27/(EU27+ET27+EY27)</f>
        <v>0.88187445081121429</v>
      </c>
      <c r="FE27" s="3"/>
      <c r="FF27" s="3"/>
      <c r="FG27" s="3">
        <f t="shared" ref="FG27" si="290">FR27/FM27</f>
        <v>1.9639644968930751E-4</v>
      </c>
      <c r="FH27" s="3">
        <f t="shared" ref="FH27" si="291">FS27/FM27</f>
        <v>0.58786961218238121</v>
      </c>
      <c r="FI27" s="3">
        <f t="shared" ref="FI27" si="292">FT27/FM27</f>
        <v>4.908626482329476E-3</v>
      </c>
      <c r="FJ27" s="3">
        <f t="shared" ref="FJ27" si="293">FU27/FM27</f>
        <v>7.5224295761703239E-2</v>
      </c>
      <c r="FK27" s="3">
        <f t="shared" ref="FK27" si="294">FW27/FM27</f>
        <v>0.25796558330479397</v>
      </c>
      <c r="FL27" s="3">
        <f t="shared" ref="FL27" si="295">FX27/FM27</f>
        <v>7.3835485819102847E-2</v>
      </c>
      <c r="FM27" s="3">
        <f t="shared" ref="FM27" si="296">FR27+FS27+FT27+FU27+FW27+FX27</f>
        <v>2.9961255931138915</v>
      </c>
      <c r="FN27" s="3">
        <f t="shared" ref="FN27" si="297">2/3-FH27-FL27-2*FG27</f>
        <v>4.5687757658039599E-3</v>
      </c>
      <c r="FO27" s="3">
        <f t="shared" ref="FO27" si="298">1/3-FK27+FG27</f>
        <v>7.556414647822865E-2</v>
      </c>
      <c r="FP27" s="3"/>
      <c r="FQ27" s="3">
        <f t="shared" si="25"/>
        <v>7.8235124722619538E-4</v>
      </c>
      <c r="FR27" s="3">
        <f t="shared" si="26"/>
        <v>5.8842842931083905E-4</v>
      </c>
      <c r="FS27" s="3">
        <f t="shared" si="27"/>
        <v>1.7613311904735702</v>
      </c>
      <c r="FT27" s="3">
        <f t="shared" si="28"/>
        <v>1.4706861430743956E-2</v>
      </c>
      <c r="FU27" s="3">
        <f t="shared" si="29"/>
        <v>0.22538143775560793</v>
      </c>
      <c r="FV27" s="3">
        <f t="shared" si="30"/>
        <v>3.0920556388821423E-3</v>
      </c>
      <c r="FW27" s="3">
        <f t="shared" si="31"/>
        <v>0.77289728628204679</v>
      </c>
      <c r="FX27" s="3">
        <f t="shared" si="32"/>
        <v>0.22122038874261185</v>
      </c>
      <c r="FZ27" s="44">
        <f t="shared" ref="FZ27" ca="1" si="299">GE27</f>
        <v>840.82554746509948</v>
      </c>
      <c r="GA27" s="44">
        <f t="shared" ca="1" si="33"/>
        <v>1.9153755518505911</v>
      </c>
      <c r="GB27" s="68">
        <f t="shared" ref="GB27" si="300">GU27/(GU27+GS27)</f>
        <v>0.91782277627094178</v>
      </c>
      <c r="GC27" s="28">
        <f t="shared" ca="1" si="34"/>
        <v>775.36545342100192</v>
      </c>
      <c r="GD27" s="28"/>
      <c r="GE27" s="28">
        <f t="shared" ca="1" si="35"/>
        <v>840.82554746509948</v>
      </c>
      <c r="GF27" s="28">
        <f t="shared" ca="1" si="36"/>
        <v>802.26174716050264</v>
      </c>
      <c r="GG27" s="28">
        <f t="shared" si="37"/>
        <v>10.866316241766754</v>
      </c>
      <c r="GH27" s="28">
        <f t="shared" ca="1" si="38"/>
        <v>1.9153755518505911</v>
      </c>
      <c r="GI27" s="28">
        <f t="shared" ref="GI27" si="301">LV27</f>
        <v>940.58784846680385</v>
      </c>
      <c r="GJ27" s="28">
        <f t="shared" ref="GJ27" si="302">MK27</f>
        <v>823.72491319132826</v>
      </c>
      <c r="GK27" s="28">
        <f t="shared" ca="1" si="39"/>
        <v>690.1662533091253</v>
      </c>
      <c r="GL27" s="51">
        <f t="shared" si="40"/>
        <v>0.83580337891317991</v>
      </c>
      <c r="GM27" s="52"/>
      <c r="GN27" s="2">
        <f t="shared" si="41"/>
        <v>0.12094557503418936</v>
      </c>
      <c r="GP27" s="2">
        <f t="shared" si="42"/>
        <v>0.8652842755927922</v>
      </c>
      <c r="GQ27" s="2">
        <f t="shared" si="43"/>
        <v>6.1342934545836943E-3</v>
      </c>
      <c r="GR27" s="2">
        <f t="shared" si="44"/>
        <v>6.4632555584978574E-2</v>
      </c>
      <c r="GS27" s="2">
        <f t="shared" si="45"/>
        <v>3.1455995011580258E-2</v>
      </c>
      <c r="GT27" s="2">
        <f t="shared" si="46"/>
        <v>8.458149779735683E-4</v>
      </c>
      <c r="GU27" s="2">
        <f t="shared" si="47"/>
        <v>0.35132640604995979</v>
      </c>
      <c r="GV27" s="2">
        <f t="shared" si="48"/>
        <v>0.37822723592748597</v>
      </c>
      <c r="GW27" s="2">
        <f t="shared" si="49"/>
        <v>2.7912725137103109E-2</v>
      </c>
      <c r="GX27" s="2">
        <f t="shared" si="50"/>
        <v>0</v>
      </c>
      <c r="GY27" s="2">
        <f t="shared" si="51"/>
        <v>4.6053176945516456E-3</v>
      </c>
      <c r="GZ27" s="2">
        <f t="shared" ref="GZ27" si="303">SUM(GP27:GY27)</f>
        <v>1.7304246194310091</v>
      </c>
      <c r="HB27" s="36">
        <f t="shared" ref="HB27:HC27" si="304">GP27*2</f>
        <v>1.7305685511855844</v>
      </c>
      <c r="HC27" s="36">
        <f t="shared" si="304"/>
        <v>1.2268586909167389E-2</v>
      </c>
      <c r="HD27" s="36">
        <f t="shared" ref="HD27" si="305">GR27*3</f>
        <v>0.19389766675493572</v>
      </c>
      <c r="HE27" s="36">
        <f t="shared" si="52"/>
        <v>3.1455995011580258E-2</v>
      </c>
      <c r="HF27" s="36">
        <f t="shared" si="52"/>
        <v>8.458149779735683E-4</v>
      </c>
      <c r="HG27" s="36">
        <f t="shared" si="52"/>
        <v>0.35132640604995979</v>
      </c>
      <c r="HH27" s="36">
        <f t="shared" si="52"/>
        <v>0.37822723592748597</v>
      </c>
      <c r="HI27" s="36">
        <f t="shared" si="52"/>
        <v>2.7912725137103109E-2</v>
      </c>
      <c r="HJ27" s="36">
        <f t="shared" si="52"/>
        <v>0</v>
      </c>
      <c r="HK27" s="36">
        <f t="shared" ref="HK27" si="306">GY27*3</f>
        <v>1.3815953083654936E-2</v>
      </c>
      <c r="HL27" s="36">
        <f t="shared" ref="HL27" si="307">SUM(HB27:HK27)</f>
        <v>2.7403189350374446</v>
      </c>
      <c r="HM27" s="36">
        <f t="shared" ref="HM27" si="308">6/HL27</f>
        <v>2.1895261618217496</v>
      </c>
      <c r="HO27" s="18">
        <f t="shared" si="53"/>
        <v>1.8945625588233994</v>
      </c>
      <c r="HP27" s="18">
        <f t="shared" si="54"/>
        <v>1.3431196003102918E-2</v>
      </c>
      <c r="HQ27" s="18">
        <f t="shared" ref="HQ27" si="309">2-HO27</f>
        <v>0.10543744117660059</v>
      </c>
      <c r="HR27" s="18">
        <f t="shared" ref="HR27" si="310">IF(HS27-HQ27&lt;0,0,HS27-HQ27)</f>
        <v>0.17759190154081744</v>
      </c>
      <c r="HS27" s="18">
        <f t="shared" si="55"/>
        <v>0.28302934271741803</v>
      </c>
      <c r="HT27" s="18">
        <f t="shared" si="56"/>
        <v>6.8873724023989419E-2</v>
      </c>
      <c r="HU27" s="18">
        <f t="shared" si="57"/>
        <v>1.8519340223338147E-3</v>
      </c>
      <c r="HV27" s="18">
        <f t="shared" si="58"/>
        <v>0.76923835738519797</v>
      </c>
      <c r="HW27" s="18">
        <f t="shared" si="59"/>
        <v>0.82813842817675776</v>
      </c>
      <c r="HX27" s="18">
        <f t="shared" si="60"/>
        <v>0.12223128387085368</v>
      </c>
      <c r="HY27" s="18">
        <f t="shared" si="61"/>
        <v>0</v>
      </c>
      <c r="HZ27" s="18">
        <f t="shared" si="62"/>
        <v>2.0166927151442908E-2</v>
      </c>
      <c r="IA27" s="36">
        <f t="shared" ref="IA27" si="311">HO27+HP27+HS27+HT27+HU27+HV27+HW27+HX27+HY27+HZ27</f>
        <v>4.0015237521744966</v>
      </c>
      <c r="IB27" s="36">
        <f t="shared" ref="IB27" si="312">IF(HX27+HQ27-HR27-2*HP27-HZ27&gt;0,HX27+HQ27-HR27-2*HP27-HZ27,0)</f>
        <v>3.0475043489880914E-3</v>
      </c>
      <c r="IC27" s="36">
        <f t="shared" ref="IC27" si="313">12-48/IA27</f>
        <v>4.5695158210730114E-3</v>
      </c>
      <c r="ID27" s="36">
        <f t="shared" ref="ID27" si="314">IF(HX27&lt;HR27,HX27,HR27)</f>
        <v>0.12223128387085368</v>
      </c>
      <c r="IE27" s="36">
        <f t="shared" ref="IE27" si="315">IF(HR27&gt;HX27,HR27-HX27,0)</f>
        <v>5.5360617669963766E-2</v>
      </c>
      <c r="IF27" s="36">
        <f t="shared" ref="IF27" si="316">IF(HQ27&gt;IE27,(HQ27-IE27)/2,0)</f>
        <v>2.5038411753318411E-2</v>
      </c>
      <c r="IG27" s="36">
        <f t="shared" ref="IG27" si="317">HZ27/2</f>
        <v>1.0083463575721454E-2</v>
      </c>
      <c r="IH27" s="36">
        <f t="shared" ref="IH27" si="318">IF(HW27-IF27-IE27-IG27&gt;0,HW27-IF27-IE27-IG27,0)</f>
        <v>0.73765593517775407</v>
      </c>
      <c r="II27" s="36">
        <f t="shared" ref="II27" si="319">((HT27+HV27)-IH27)/2</f>
        <v>5.0228073115716643E-2</v>
      </c>
      <c r="IJ27" s="36">
        <f t="shared" ref="IJ27" si="320">II27*(HV27/(HV27+HU27+HT27))</f>
        <v>4.5998828221597114E-2</v>
      </c>
      <c r="IK27" s="36">
        <f t="shared" ref="IK27" si="321">IM27*(HV27/(HV27+HU27+HT27))</f>
        <v>0.67554470128112065</v>
      </c>
      <c r="IL27" s="36">
        <f t="shared" ref="IL27" si="322">SUM(ID27:II27)</f>
        <v>1.0005977851633281</v>
      </c>
      <c r="IM27" s="36">
        <f t="shared" ref="IM27" si="323">HW27-IE27-IF27-IG27</f>
        <v>0.73765593517775407</v>
      </c>
      <c r="IN27" s="36"/>
      <c r="IO27" s="2">
        <f t="shared" ref="IO27" si="324">HV27/(HV27+IP27)</f>
        <v>0.92117230034264053</v>
      </c>
      <c r="IP27" s="36">
        <f t="shared" ref="IP27" si="325">HT27-IB27</f>
        <v>6.5826219675001324E-2</v>
      </c>
      <c r="IQ27" s="53">
        <f t="shared" ref="IQ27" si="326">((0.5*HV27/(0.5*HV27+0.5*(HT27-IB27)+HX27+HW27+HU27)))*(0.5*HV27/(0.5*HV27+0.5*(HT27-IB27)+HZ27+HR27+HP27))</f>
        <v>0.17177519176220446</v>
      </c>
      <c r="IR27" s="18">
        <f t="shared" ref="IR27" si="327">HW27/(HW27+0.5*HV27+0.5*(HT27-IB27)+HU27+HX27)</f>
        <v>0.60458919464142025</v>
      </c>
      <c r="IS27" s="18">
        <f t="shared" ref="IS27" si="328">(HV27/(HW27+HV27+HT27-IB27+HU27+HX27))*(HV27/(HT27+HS27+HP27+HZ27+HV27))</f>
        <v>0.28671057796998883</v>
      </c>
      <c r="IT27" s="18">
        <f t="shared" si="63"/>
        <v>0.72382262289313215</v>
      </c>
      <c r="IU27" s="18">
        <f t="shared" si="64"/>
        <v>6.1939848062516518E-2</v>
      </c>
      <c r="IV27" s="18">
        <f t="shared" si="65"/>
        <v>4.4012096196333374E-2</v>
      </c>
      <c r="IW27" s="18">
        <f t="shared" si="66"/>
        <v>3.7662577337213765E-3</v>
      </c>
      <c r="IX27" s="18">
        <f t="shared" si="67"/>
        <v>3.185695090785487E-2</v>
      </c>
      <c r="IY27" s="18">
        <f t="shared" si="68"/>
        <v>3.907324195489742E-2</v>
      </c>
      <c r="IZ27" s="2">
        <f t="shared" si="69"/>
        <v>0.91554698981264659</v>
      </c>
      <c r="JA27" s="2">
        <f t="shared" si="70"/>
        <v>1.6274656103997557E-3</v>
      </c>
      <c r="JB27" s="2">
        <f t="shared" si="71"/>
        <v>4.4919135747982071E-2</v>
      </c>
      <c r="JC27" s="2">
        <f t="shared" si="72"/>
        <v>8.6434393372528062E-2</v>
      </c>
      <c r="JD27" s="2">
        <f t="shared" si="73"/>
        <v>1.2687224669603525E-3</v>
      </c>
      <c r="JE27" s="2">
        <f t="shared" si="74"/>
        <v>0.80685979694524668</v>
      </c>
      <c r="JF27" s="2">
        <f t="shared" si="75"/>
        <v>9.9861976482504555E-3</v>
      </c>
      <c r="JG27" s="2">
        <f t="shared" si="76"/>
        <v>1.1294166240446346E-3</v>
      </c>
      <c r="JH27" s="2">
        <f t="shared" si="77"/>
        <v>1.0616162045097456E-4</v>
      </c>
      <c r="JI27" s="2">
        <f t="shared" si="78"/>
        <v>2.5658198583930602E-3</v>
      </c>
      <c r="JJ27" s="2">
        <f t="shared" ref="JJ27" si="329">SUM(IZ27:JI27)</f>
        <v>1.8704440997069025</v>
      </c>
      <c r="JL27" s="36">
        <f t="shared" ref="JL27:JM27" si="330">IZ27*2</f>
        <v>1.8310939796252932</v>
      </c>
      <c r="JM27" s="36">
        <f t="shared" si="330"/>
        <v>3.2549312207995115E-3</v>
      </c>
      <c r="JN27" s="36">
        <f t="shared" ref="JN27" si="331">JB27*3</f>
        <v>0.13475740724394622</v>
      </c>
      <c r="JO27" s="36">
        <f t="shared" si="79"/>
        <v>8.6434393372528062E-2</v>
      </c>
      <c r="JP27" s="36">
        <f t="shared" si="79"/>
        <v>1.2687224669603525E-3</v>
      </c>
      <c r="JQ27" s="36">
        <f t="shared" si="79"/>
        <v>0.80685979694524668</v>
      </c>
      <c r="JR27" s="36">
        <f t="shared" si="79"/>
        <v>9.9861976482504555E-3</v>
      </c>
      <c r="JS27" s="36">
        <f t="shared" si="79"/>
        <v>1.1294166240446346E-3</v>
      </c>
      <c r="JT27" s="36">
        <f t="shared" si="79"/>
        <v>1.0616162045097456E-4</v>
      </c>
      <c r="JU27" s="36">
        <f t="shared" ref="JU27" si="332">JI27*3</f>
        <v>7.6974595751791806E-3</v>
      </c>
      <c r="JV27" s="36">
        <f t="shared" ref="JV27" si="333">SUM(JL27:JU27)</f>
        <v>2.8825884663426993</v>
      </c>
      <c r="JW27" s="36">
        <f t="shared" ref="JW27" si="334">6/JV27</f>
        <v>2.0814625708998742</v>
      </c>
      <c r="JY27" s="18">
        <f t="shared" si="80"/>
        <v>1.9056767911950723</v>
      </c>
      <c r="JZ27" s="18">
        <f t="shared" si="81"/>
        <v>3.3875087534738085E-3</v>
      </c>
      <c r="KA27" s="18">
        <f t="shared" ref="KA27" si="335">2-JY27</f>
        <v>9.4323208804927727E-2</v>
      </c>
      <c r="KB27" s="18">
        <f t="shared" ref="KB27" si="336">IF(KC27-KA27&lt;0,0,KC27-KA27)</f>
        <v>9.2671790748262678E-2</v>
      </c>
      <c r="KC27" s="18">
        <f t="shared" si="82"/>
        <v>0.18699499955319041</v>
      </c>
      <c r="KD27" s="18">
        <f t="shared" si="83"/>
        <v>0.1799099546433533</v>
      </c>
      <c r="KE27" s="18">
        <f t="shared" si="84"/>
        <v>2.6407983278377259E-3</v>
      </c>
      <c r="KF27" s="18">
        <f t="shared" si="85"/>
        <v>1.6794484673054035</v>
      </c>
      <c r="KG27" s="18">
        <f t="shared" si="86"/>
        <v>2.0785896630441669E-2</v>
      </c>
      <c r="KH27" s="18">
        <f t="shared" si="87"/>
        <v>4.701676859802004E-3</v>
      </c>
      <c r="KI27" s="18">
        <f t="shared" si="88"/>
        <v>4.4194287886956433E-4</v>
      </c>
      <c r="KJ27" s="18">
        <f t="shared" si="89"/>
        <v>1.068131599783354E-2</v>
      </c>
      <c r="KK27" s="36">
        <f t="shared" ref="KK27" si="337">JY27+JZ27+KC27+KD27+KE27+KF27+KG27+KH27+KI27+KJ27</f>
        <v>3.9946693521452774</v>
      </c>
      <c r="KL27" s="36">
        <f t="shared" ref="KL27" si="338">IF(KH27+KA27-KB27-2*JZ27-KJ27&gt;0,KH27+KA27-KB27-2*JZ27-KJ27,0)</f>
        <v>0</v>
      </c>
      <c r="KM27" s="36">
        <f t="shared" ref="KM27" si="339">12-48/KK27</f>
        <v>-1.6013283858478999E-2</v>
      </c>
      <c r="KN27" s="36">
        <f t="shared" ref="KN27" si="340">KH27</f>
        <v>4.701676859802004E-3</v>
      </c>
      <c r="KO27" s="36">
        <f t="shared" ref="KO27" si="341">JZ27</f>
        <v>3.3875087534738085E-3</v>
      </c>
      <c r="KP27" s="36">
        <f t="shared" ref="KP27" si="342">KJ27</f>
        <v>1.068131599783354E-2</v>
      </c>
      <c r="KQ27" s="36">
        <f t="shared" ref="KQ27" si="343">(KB27-KN27-KP27)</f>
        <v>7.7288797890627134E-2</v>
      </c>
      <c r="KR27" s="36">
        <f t="shared" ref="KR27" si="344">KG27</f>
        <v>2.0785896630441669E-2</v>
      </c>
      <c r="KS27" s="36">
        <f t="shared" ref="KS27" si="345">((KD27+KF27+KE27)-KO27-KQ27-KR27)/2</f>
        <v>0.880268508501026</v>
      </c>
      <c r="KT27" s="36">
        <f t="shared" ref="KT27" si="346">KS27*(KF27/(KF27+KD27+KE27))</f>
        <v>0.79396681873994268</v>
      </c>
      <c r="KU27" s="36">
        <f t="shared" ref="KU27" si="347">KR27*(KF27/(KF27+KD27+KE27))</f>
        <v>1.8748043424195528E-2</v>
      </c>
      <c r="KV27" s="53">
        <f t="shared" ref="KV27" si="348">((0.5*KF27/(0.5*(KD27-KL27)+0.5*KF27+KH27+KG27+KE27)))*(0.5*KF27/(0.5*KF27+0.5*(KD27-KL27)+JZ27+KB27+KJ27+KL27))</f>
        <v>0.71032874564680382</v>
      </c>
      <c r="KW27" s="36">
        <f t="shared" ref="KW27" si="349">KG27/(KG27+LC27+LD27+KE27+KH27)</f>
        <v>2.0785896630441673E-2</v>
      </c>
      <c r="KX27" s="36">
        <f t="shared" ref="KX27" si="350">(KD27-KL27)/((KD27-KL27)+KF27)</f>
        <v>9.6759157631799264E-2</v>
      </c>
      <c r="KY27" s="36">
        <f t="shared" ref="KY27" si="351">(KF27/(KG27+KF27-KL27+KD27+KE27+KH27))*(KF27/(KL27+KD27-KL27+KC27+JZ27+KJ27+KF27))</f>
        <v>0.72525914352111409</v>
      </c>
      <c r="KZ27" s="18">
        <f t="shared" ref="KZ27" si="352">KF27/(KF27+(KD27-KL27))</f>
        <v>0.90324084236820068</v>
      </c>
      <c r="LA27" s="18">
        <f t="shared" ref="LA27" si="353">(1-KL27-KB27-JZ27-KJ27)*KZ27</f>
        <v>0.8068283589094688</v>
      </c>
      <c r="LB27" s="18">
        <f t="shared" ref="LB27" si="354">(1-KL27-KB27-JZ27-KJ27)*(1-KZ27)</f>
        <v>8.6431025590961136E-2</v>
      </c>
      <c r="LC27" s="18">
        <f t="shared" ref="LC27" si="355">(1-KG27-KH27-KE27)*KZ27</f>
        <v>0.87783414811279081</v>
      </c>
      <c r="LD27" s="18">
        <f t="shared" ref="LD27" si="356">(1-KG27-KH27-KE27)*(1-KZ27)</f>
        <v>9.403748006912771E-2</v>
      </c>
      <c r="LE27" s="54">
        <f t="shared" ref="LE27" si="357">(LC27/(LC27+LD27+KG27+KH27+KE27))*(LA27/(KL27+JZ27+KB27+KJ27+LA27+LB27))</f>
        <v>0.70826148511653464</v>
      </c>
      <c r="LF27" s="36">
        <f t="shared" ref="LF27" si="358">SUM(KN27:KS27)</f>
        <v>0.99711370463320415</v>
      </c>
      <c r="LH27" s="2" t="str">
        <f t="shared" si="90"/>
        <v>10ABG52</v>
      </c>
      <c r="LI27" s="2">
        <f t="shared" ref="LI27" si="359">MO27</f>
        <v>15</v>
      </c>
      <c r="LK27" s="2">
        <f t="shared" si="91"/>
        <v>0.16621300102443476</v>
      </c>
      <c r="LL27" s="2">
        <f t="shared" ref="LL27" si="360">1616.67+287.935*LN(LK27)+2.933*LI27</f>
        <v>1143.9699112967219</v>
      </c>
      <c r="LN27" s="2">
        <f t="shared" si="92"/>
        <v>764.97429995013124</v>
      </c>
      <c r="LO27" s="2">
        <f t="shared" si="93"/>
        <v>684.92072923123862</v>
      </c>
      <c r="LP27" s="2">
        <f t="shared" si="94"/>
        <v>1090.7198822230935</v>
      </c>
      <c r="LQ27" s="2">
        <f t="shared" si="95"/>
        <v>959.16208311771004</v>
      </c>
      <c r="LR27" s="2">
        <f t="shared" ref="LR27" si="361">IX27/LE27</f>
        <v>4.4979081281842186E-2</v>
      </c>
      <c r="LS27" s="2">
        <f t="shared" ref="LS27" si="362">-273.15+(4900/(1.807-LN(LR27)))</f>
        <v>725.10656371609377</v>
      </c>
      <c r="LT27" s="2">
        <f t="shared" si="96"/>
        <v>933.12891716585966</v>
      </c>
      <c r="LV27" s="2">
        <f t="shared" ref="LV27" si="363">-273.15+(-10202/(LN(IX27/LE27)-7.65*(1-KZ27)+3.88*(1-KZ27)^2-4.6))</f>
        <v>940.58784846680385</v>
      </c>
      <c r="LW27" s="2">
        <f t="shared" ref="LW27" si="364">-273.15+(3666/(0.8808-LN(KB27/(0.5*KF27))))</f>
        <v>915.25404528708407</v>
      </c>
      <c r="LY27" s="2">
        <f t="shared" si="97"/>
        <v>77.85183791601527</v>
      </c>
      <c r="LZ27" s="2">
        <f t="shared" si="98"/>
        <v>55.539736645664064</v>
      </c>
      <c r="MB27" s="2">
        <f t="shared" ref="MB27" si="365">26.23-0.02229*LI27</f>
        <v>25.89565</v>
      </c>
      <c r="MC27" s="2">
        <f t="shared" ref="MC27" si="366">32.44-0.08646*LI27</f>
        <v>31.143099999999997</v>
      </c>
      <c r="MD27" s="2">
        <f t="shared" ref="MD27" si="367">28.6-1.749*LI27</f>
        <v>2.3649999999999984</v>
      </c>
      <c r="ME27" s="2">
        <f t="shared" si="99"/>
        <v>243.63929598688537</v>
      </c>
      <c r="MF27" s="2">
        <f t="shared" si="100"/>
        <v>1020.4669159191402</v>
      </c>
      <c r="MH27" s="2">
        <f t="shared" ref="MH27" si="368">-273.15+(6425+26.4*LI27)/(-LN(KG27)+1.843)</f>
        <v>920.066686006042</v>
      </c>
      <c r="MI27" s="2">
        <f>-273.15+((35000+61.5*LI27)/((LN(KH27/HX27))^2+19.8))</f>
        <v>907.94641014088154</v>
      </c>
      <c r="MK27" s="2">
        <f t="shared" ref="MK27" si="369">-273.15+(7341/(3.355+2.44*(1-KZ27)-LN(IX27/LE27)))</f>
        <v>823.72491319132826</v>
      </c>
      <c r="MM27" s="2">
        <f t="shared" si="101"/>
        <v>10.866316241766754</v>
      </c>
      <c r="MN27" s="2">
        <f t="shared" ref="MN27" si="370">IF(MM27=0,0,MM27-LI27)</f>
        <v>-4.1336837582332464</v>
      </c>
      <c r="MO27" s="3">
        <f t="shared" si="102"/>
        <v>15</v>
      </c>
    </row>
    <row r="28" spans="1:353" ht="14.25" x14ac:dyDescent="0.2">
      <c r="GC28"/>
    </row>
    <row r="29" spans="1:353" ht="14.25" x14ac:dyDescent="0.2">
      <c r="GC29"/>
      <c r="IT29" s="18"/>
    </row>
    <row r="30" spans="1:353" ht="14.25" x14ac:dyDescent="0.2">
      <c r="GC30"/>
    </row>
    <row r="31" spans="1:353" ht="14.25" x14ac:dyDescent="0.2">
      <c r="GC31"/>
    </row>
  </sheetData>
  <mergeCells count="13">
    <mergeCell ref="AX7:BG7"/>
    <mergeCell ref="BS9:BT9"/>
    <mergeCell ref="BM9:BN9"/>
    <mergeCell ref="BI7:BT7"/>
    <mergeCell ref="BF9:BG9"/>
    <mergeCell ref="BD9:BE9"/>
    <mergeCell ref="BA9:BB9"/>
    <mergeCell ref="BP9:BQ9"/>
    <mergeCell ref="P9:S9"/>
    <mergeCell ref="E9:H9"/>
    <mergeCell ref="AA9:AD9"/>
    <mergeCell ref="AM9:AP9"/>
    <mergeCell ref="AX9:AY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捕虏体氧逸度计算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791257062@qq.com</cp:lastModifiedBy>
  <dcterms:created xsi:type="dcterms:W3CDTF">2015-06-05T18:19:34Z</dcterms:created>
  <dcterms:modified xsi:type="dcterms:W3CDTF">2024-05-14T07:43:31Z</dcterms:modified>
</cp:coreProperties>
</file>