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Files\A35\"/>
    </mc:Choice>
  </mc:AlternateContent>
  <xr:revisionPtr revIDLastSave="0" documentId="13_ncr:1_{F4DE6AC4-BF12-44CD-A8B0-98F8F11A7B5F}" xr6:coauthVersionLast="47" xr6:coauthVersionMax="47" xr10:uidLastSave="{00000000-0000-0000-0000-000000000000}"/>
  <bookViews>
    <workbookView xWindow="10272" yWindow="-96" windowWidth="11436" windowHeight="12000" activeTab="2" xr2:uid="{80E8E01B-A04B-4992-8B74-8F4DE158A446}"/>
  </bookViews>
  <sheets>
    <sheet name="36Ca" sheetId="1" r:id="rId1"/>
    <sheet name="35K" sheetId="2" r:id="rId2"/>
    <sheet name="35C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3" l="1"/>
  <c r="F42" i="3"/>
  <c r="J32" i="3"/>
  <c r="J31" i="3"/>
  <c r="F12" i="3"/>
  <c r="I12" i="3"/>
  <c r="I19" i="3"/>
  <c r="J18" i="3"/>
  <c r="I17" i="3"/>
  <c r="J7" i="3"/>
  <c r="J10" i="3"/>
  <c r="E33" i="3"/>
  <c r="F33" i="3" s="1"/>
  <c r="E31" i="3"/>
  <c r="F31" i="3" s="1"/>
  <c r="E32" i="3"/>
  <c r="F32" i="3" s="1"/>
  <c r="G36" i="3"/>
  <c r="F36" i="3"/>
  <c r="I40" i="3" s="1"/>
  <c r="G1" i="3"/>
  <c r="N10" i="3" s="1"/>
  <c r="F1" i="3"/>
  <c r="N12" i="3"/>
  <c r="N7" i="3"/>
  <c r="N8" i="3"/>
  <c r="N9" i="3"/>
  <c r="G17" i="3"/>
  <c r="H16" i="3"/>
  <c r="N16" i="3" s="1"/>
  <c r="F18" i="3"/>
  <c r="M18" i="3" s="1"/>
  <c r="O32" i="3"/>
  <c r="O33" i="3"/>
  <c r="U32" i="3"/>
  <c r="U33" i="3"/>
  <c r="O28" i="3"/>
  <c r="O29" i="3"/>
  <c r="U25" i="3"/>
  <c r="U26" i="3"/>
  <c r="O31" i="3"/>
  <c r="U31" i="3"/>
  <c r="O27" i="3"/>
  <c r="U24" i="3"/>
  <c r="E26" i="3"/>
  <c r="F26" i="3" s="1"/>
  <c r="E25" i="3"/>
  <c r="F25" i="3" s="1"/>
  <c r="E24" i="3"/>
  <c r="F24" i="3" s="1"/>
  <c r="J24" i="3" s="1"/>
  <c r="S24" i="3" s="1"/>
  <c r="E22" i="3"/>
  <c r="E23" i="3"/>
  <c r="F23" i="3" s="1"/>
  <c r="F22" i="3"/>
  <c r="E21" i="3"/>
  <c r="F21" i="3" s="1"/>
  <c r="E28" i="3"/>
  <c r="E29" i="3"/>
  <c r="E27" i="3"/>
  <c r="F27" i="3" s="1"/>
  <c r="G39" i="3"/>
  <c r="H39" i="3" s="1"/>
  <c r="N39" i="3" s="1"/>
  <c r="G19" i="3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N14" i="3" s="1"/>
  <c r="G15" i="3"/>
  <c r="H15" i="3" s="1"/>
  <c r="N15" i="3" s="1"/>
  <c r="G16" i="3"/>
  <c r="H17" i="3"/>
  <c r="N17" i="3" s="1"/>
  <c r="G18" i="3"/>
  <c r="H18" i="3" s="1"/>
  <c r="G7" i="3"/>
  <c r="H7" i="3" s="1"/>
  <c r="G6" i="3"/>
  <c r="H6" i="3" s="1"/>
  <c r="N6" i="3" s="1"/>
  <c r="E19" i="3"/>
  <c r="E7" i="3"/>
  <c r="F7" i="3" s="1"/>
  <c r="E8" i="3"/>
  <c r="F8" i="3" s="1"/>
  <c r="I8" i="3" s="1"/>
  <c r="E9" i="3"/>
  <c r="F9" i="3" s="1"/>
  <c r="E10" i="3"/>
  <c r="F10" i="3" s="1"/>
  <c r="E39" i="3"/>
  <c r="F39" i="3" s="1"/>
  <c r="I39" i="3" s="1"/>
  <c r="M39" i="3" s="1"/>
  <c r="E11" i="3"/>
  <c r="F11" i="3" s="1"/>
  <c r="E12" i="3"/>
  <c r="E13" i="3"/>
  <c r="F13" i="3" s="1"/>
  <c r="E14" i="3"/>
  <c r="F14" i="3" s="1"/>
  <c r="E15" i="3"/>
  <c r="F15" i="3" s="1"/>
  <c r="I15" i="3" s="1"/>
  <c r="E16" i="3"/>
  <c r="F16" i="3" s="1"/>
  <c r="E17" i="3"/>
  <c r="F17" i="3" s="1"/>
  <c r="E18" i="3"/>
  <c r="E6" i="3"/>
  <c r="E13" i="2"/>
  <c r="G15" i="2"/>
  <c r="G4" i="2"/>
  <c r="E30" i="2"/>
  <c r="F13" i="2"/>
  <c r="I5" i="2"/>
  <c r="I4" i="2"/>
  <c r="J5" i="2"/>
  <c r="J4" i="2"/>
  <c r="B2" i="2"/>
  <c r="I8" i="2"/>
  <c r="H4" i="2"/>
  <c r="J9" i="2"/>
  <c r="J10" i="2"/>
  <c r="J8" i="2"/>
  <c r="I10" i="2"/>
  <c r="I9" i="2"/>
  <c r="H8" i="2"/>
  <c r="G8" i="2"/>
  <c r="M16" i="1"/>
  <c r="I16" i="1"/>
  <c r="I15" i="1"/>
  <c r="M15" i="1"/>
  <c r="M17" i="1"/>
  <c r="M18" i="1"/>
  <c r="M19" i="1"/>
  <c r="M20" i="1"/>
  <c r="M21" i="1"/>
  <c r="M22" i="1"/>
  <c r="I17" i="1"/>
  <c r="I18" i="1"/>
  <c r="I21" i="1"/>
  <c r="I22" i="1"/>
  <c r="AA27" i="1"/>
  <c r="AA16" i="1"/>
  <c r="AA28" i="1"/>
  <c r="AA30" i="1"/>
  <c r="AA29" i="1"/>
  <c r="AA31" i="1"/>
  <c r="AA32" i="1"/>
  <c r="AA33" i="1"/>
  <c r="AA34" i="1"/>
  <c r="AA17" i="1"/>
  <c r="AA18" i="1"/>
  <c r="AA19" i="1"/>
  <c r="AA20" i="1"/>
  <c r="AA21" i="1"/>
  <c r="AA22" i="1"/>
  <c r="AA15" i="1"/>
  <c r="AG6" i="1"/>
  <c r="AG5" i="1"/>
  <c r="AF6" i="1"/>
  <c r="AF5" i="1"/>
  <c r="AE8" i="1"/>
  <c r="AE9" i="1"/>
  <c r="AE10" i="1"/>
  <c r="AE11" i="1"/>
  <c r="AE12" i="1"/>
  <c r="AE7" i="1"/>
  <c r="AE5" i="1"/>
  <c r="AD12" i="1"/>
  <c r="AD11" i="1"/>
  <c r="L5" i="1"/>
  <c r="L6" i="1"/>
  <c r="L7" i="1"/>
  <c r="L10" i="1"/>
  <c r="L11" i="1"/>
  <c r="L4" i="1"/>
  <c r="AD8" i="1"/>
  <c r="AD7" i="1"/>
  <c r="AD6" i="1"/>
  <c r="AD5" i="1"/>
  <c r="AE6" i="1"/>
  <c r="AE20" i="1"/>
  <c r="AG17" i="1"/>
  <c r="AF17" i="1"/>
  <c r="AC17" i="1"/>
  <c r="AB17" i="1"/>
  <c r="AG16" i="1"/>
  <c r="AF16" i="1"/>
  <c r="O16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K4" i="1"/>
  <c r="K5" i="1"/>
  <c r="K6" i="1"/>
  <c r="K7" i="1"/>
  <c r="K10" i="1"/>
  <c r="K11" i="1"/>
  <c r="K3" i="1"/>
  <c r="N20" i="1"/>
  <c r="M8" i="1"/>
  <c r="K33" i="3" l="1"/>
  <c r="J33" i="3"/>
  <c r="N18" i="3"/>
  <c r="N13" i="3"/>
  <c r="N11" i="3"/>
  <c r="M31" i="3"/>
  <c r="M32" i="3"/>
  <c r="L33" i="3"/>
  <c r="M33" i="3" s="1"/>
  <c r="M12" i="3"/>
  <c r="J27" i="3"/>
  <c r="M27" i="3" s="1"/>
  <c r="I9" i="3"/>
  <c r="M9" i="3" s="1"/>
  <c r="M10" i="3"/>
  <c r="I11" i="3"/>
  <c r="M11" i="3" s="1"/>
  <c r="I13" i="3"/>
  <c r="I14" i="3"/>
  <c r="I28" i="3"/>
  <c r="M15" i="3"/>
  <c r="I16" i="3"/>
  <c r="M16" i="3" s="1"/>
  <c r="M17" i="3"/>
  <c r="M19" i="3"/>
  <c r="P31" i="3"/>
  <c r="J21" i="3"/>
  <c r="P21" i="3" s="1"/>
  <c r="L31" i="3"/>
  <c r="P33" i="3" s="1"/>
  <c r="I22" i="3"/>
  <c r="P22" i="3" s="1"/>
  <c r="S31" i="3"/>
  <c r="K32" i="3"/>
  <c r="S32" i="3" s="1"/>
  <c r="L32" i="3"/>
  <c r="S33" i="3" s="1"/>
  <c r="I25" i="3"/>
  <c r="S25" i="3" s="1"/>
  <c r="I6" i="3"/>
  <c r="I26" i="3"/>
  <c r="S26" i="3" s="1"/>
  <c r="I23" i="3"/>
  <c r="P23" i="3" s="1"/>
  <c r="K31" i="3"/>
  <c r="P32" i="3" s="1"/>
  <c r="M8" i="3"/>
  <c r="H19" i="3"/>
  <c r="N19" i="3" s="1"/>
  <c r="M7" i="3"/>
  <c r="M14" i="3"/>
  <c r="M13" i="3"/>
  <c r="F6" i="3"/>
  <c r="F19" i="3"/>
  <c r="F29" i="3"/>
  <c r="F28" i="3"/>
  <c r="G14" i="2"/>
  <c r="B16" i="1"/>
  <c r="A16" i="1"/>
  <c r="K15" i="1"/>
  <c r="I4" i="1"/>
  <c r="AD16" i="1" s="1"/>
  <c r="V5" i="1"/>
  <c r="U5" i="1"/>
  <c r="V4" i="1"/>
  <c r="U4" i="1"/>
  <c r="Q4" i="1"/>
  <c r="R4" i="1"/>
  <c r="R5" i="1"/>
  <c r="Q5" i="1"/>
  <c r="N8" i="1"/>
  <c r="M14" i="1"/>
  <c r="M3" i="1" s="1"/>
  <c r="M9" i="1"/>
  <c r="AE21" i="1" s="1"/>
  <c r="M4" i="1"/>
  <c r="AE16" i="1" s="1"/>
  <c r="N15" i="1"/>
  <c r="N4" i="1" s="1"/>
  <c r="O15" i="1"/>
  <c r="O22" i="1"/>
  <c r="M5" i="1"/>
  <c r="AE17" i="1" s="1"/>
  <c r="N16" i="1"/>
  <c r="N5" i="1" s="1"/>
  <c r="M6" i="1"/>
  <c r="AE18" i="1" s="1"/>
  <c r="N17" i="1"/>
  <c r="N6" i="1" s="1"/>
  <c r="M7" i="1"/>
  <c r="AE19" i="1" s="1"/>
  <c r="N18" i="1"/>
  <c r="N7" i="1" s="1"/>
  <c r="N19" i="1"/>
  <c r="N9" i="1"/>
  <c r="M10" i="1"/>
  <c r="AE22" i="1" s="1"/>
  <c r="N21" i="1"/>
  <c r="N10" i="1" s="1"/>
  <c r="N22" i="1"/>
  <c r="N11" i="1" s="1"/>
  <c r="M11" i="1"/>
  <c r="AE23" i="1" s="1"/>
  <c r="I14" i="1"/>
  <c r="I3" i="1" s="1"/>
  <c r="J16" i="1"/>
  <c r="J5" i="1" s="1"/>
  <c r="J15" i="1"/>
  <c r="J4" i="1" s="1"/>
  <c r="J18" i="1"/>
  <c r="J7" i="1" s="1"/>
  <c r="J17" i="1"/>
  <c r="J6" i="1" s="1"/>
  <c r="J21" i="1"/>
  <c r="J10" i="1" s="1"/>
  <c r="J22" i="1"/>
  <c r="J11" i="1" s="1"/>
  <c r="I11" i="1"/>
  <c r="AD23" i="1" s="1"/>
  <c r="I10" i="1"/>
  <c r="AD22" i="1" s="1"/>
  <c r="I7" i="1"/>
  <c r="AD19" i="1" s="1"/>
  <c r="I6" i="1"/>
  <c r="AD18" i="1" s="1"/>
  <c r="I5" i="1"/>
  <c r="AD17" i="1" s="1"/>
  <c r="L22" i="1"/>
  <c r="K22" i="1"/>
  <c r="L21" i="1"/>
  <c r="K21" i="1"/>
  <c r="L18" i="1"/>
  <c r="K18" i="1"/>
  <c r="L17" i="1"/>
  <c r="K17" i="1"/>
  <c r="L15" i="1"/>
  <c r="P16" i="1"/>
  <c r="O17" i="1"/>
  <c r="P17" i="1"/>
  <c r="O18" i="1"/>
  <c r="P18" i="1"/>
  <c r="O19" i="1"/>
  <c r="P19" i="1"/>
  <c r="O20" i="1"/>
  <c r="P20" i="1"/>
  <c r="O21" i="1"/>
  <c r="P21" i="1"/>
  <c r="P22" i="1"/>
  <c r="P15" i="1"/>
  <c r="E27" i="1"/>
  <c r="I29" i="3" l="1"/>
  <c r="M29" i="3" s="1"/>
  <c r="M28" i="3"/>
  <c r="M6" i="3"/>
  <c r="A27" i="1"/>
</calcChain>
</file>

<file path=xl/sharedStrings.xml><?xml version="1.0" encoding="utf-8"?>
<sst xmlns="http://schemas.openxmlformats.org/spreadsheetml/2006/main" count="230" uniqueCount="118">
  <si>
    <t>Ip</t>
  </si>
  <si>
    <t>Sp</t>
  </si>
  <si>
    <t>Ex</t>
  </si>
  <si>
    <t>Ep(cm)</t>
  </si>
  <si>
    <t>Ep(lab)</t>
  </si>
  <si>
    <t>1997Tr05</t>
  </si>
  <si>
    <t>2001Lo11</t>
  </si>
  <si>
    <t>2015Su01</t>
  </si>
  <si>
    <t>2007Do17</t>
  </si>
  <si>
    <t>1981Ay01</t>
  </si>
  <si>
    <t>1995Ga16</t>
  </si>
  <si>
    <t>inputs</t>
  </si>
  <si>
    <t>red</t>
  </si>
  <si>
    <t>Average</t>
  </si>
  <si>
    <t>Ep</t>
  </si>
  <si>
    <t>Ip(rel)</t>
  </si>
  <si>
    <t>Ip(rel)tot</t>
  </si>
  <si>
    <t>Ip(abs)tot</t>
  </si>
  <si>
    <t>E(34Cl)</t>
  </si>
  <si>
    <t>8393(20)</t>
  </si>
  <si>
    <t>Ave</t>
  </si>
  <si>
    <t>E(35Ar)</t>
  </si>
  <si>
    <t>2021Wa16</t>
  </si>
  <si>
    <t>1980Ew02</t>
  </si>
  <si>
    <t>7518(11)</t>
  </si>
  <si>
    <t>Used by</t>
  </si>
  <si>
    <t>Batch</t>
  </si>
  <si>
    <t>Eₚ (keV)</t>
  </si>
  <si>
    <t>xᵢ (%)</t>
  </si>
  <si>
    <t>Decay mode</t>
  </si>
  <si>
    <t>1427(5)</t>
  </si>
  <si>
    <t>48.5(1.3)</t>
  </si>
  <si>
    <t>p₀</t>
  </si>
  <si>
    <t>8.4(6)</t>
  </si>
  <si>
    <t>p₁, p₂, p₃</t>
  </si>
  <si>
    <t>2727(13)</t>
  </si>
  <si>
    <t>6.0(5)</t>
  </si>
  <si>
    <t>p₁</t>
  </si>
  <si>
    <t>2.2(3)</t>
  </si>
  <si>
    <t>3592(25)</t>
  </si>
  <si>
    <t>3.0(3)</t>
  </si>
  <si>
    <t>3822(36)</t>
  </si>
  <si>
    <t>3.8(3)</t>
  </si>
  <si>
    <t>4041(71)</t>
  </si>
  <si>
    <t>2.9(3)</t>
  </si>
  <si>
    <t>4.2(3)</t>
  </si>
  <si>
    <t>2p₀</t>
  </si>
  <si>
    <t>4570(48)</t>
  </si>
  <si>
    <t>4754(38)</t>
  </si>
  <si>
    <t>4.2(4)</t>
  </si>
  <si>
    <t>5018(71)</t>
  </si>
  <si>
    <t>3.9(3)</t>
  </si>
  <si>
    <t>5294(48)</t>
  </si>
  <si>
    <t>0.72(18)</t>
  </si>
  <si>
    <t>5466(48)</t>
  </si>
  <si>
    <t>0.61(15)</t>
  </si>
  <si>
    <t>5616(37)</t>
  </si>
  <si>
    <t>1.43(17)</t>
  </si>
  <si>
    <t>5834(60)</t>
  </si>
  <si>
    <t>1.40(19)</t>
  </si>
  <si>
    <t>1.09(17)</t>
  </si>
  <si>
    <t>3.8(2)</t>
  </si>
  <si>
    <t>1.1(2)</t>
  </si>
  <si>
    <t>8802(89)</t>
  </si>
  <si>
    <t>0.41(6)</t>
  </si>
  <si>
    <t>1909–2647</t>
  </si>
  <si>
    <t>2947–3500</t>
  </si>
  <si>
    <t>5983–6649</t>
  </si>
  <si>
    <t>7131–7887</t>
  </si>
  <si>
    <t>Ecm</t>
  </si>
  <si>
    <t>Sp(35K)</t>
  </si>
  <si>
    <t>1st</t>
  </si>
  <si>
    <t>2nd</t>
  </si>
  <si>
    <t>3rd</t>
  </si>
  <si>
    <t>gs</t>
  </si>
  <si>
    <t>σEp</t>
  </si>
  <si>
    <t>σEcm</t>
  </si>
  <si>
    <t>1999TR04</t>
  </si>
  <si>
    <t>Ex(35K)</t>
  </si>
  <si>
    <t>4305(26)</t>
  </si>
  <si>
    <t>S2p(35K)</t>
  </si>
  <si>
    <t>1993AU07</t>
  </si>
  <si>
    <t>Min</t>
  </si>
  <si>
    <t>Max</t>
  </si>
  <si>
    <t>Mid</t>
  </si>
  <si>
    <t>2019ChZU</t>
  </si>
  <si>
    <t>L1</t>
  </si>
  <si>
    <t>L3</t>
  </si>
  <si>
    <t>L5</t>
  </si>
  <si>
    <t>L6</t>
  </si>
  <si>
    <t>L7</t>
  </si>
  <si>
    <t>L9</t>
  </si>
  <si>
    <t>L10</t>
  </si>
  <si>
    <t>L11</t>
  </si>
  <si>
    <t>L12</t>
  </si>
  <si>
    <t>L13</t>
  </si>
  <si>
    <t>L14</t>
  </si>
  <si>
    <t>L15</t>
  </si>
  <si>
    <t>L17</t>
  </si>
  <si>
    <t>L2</t>
  </si>
  <si>
    <t>L4</t>
  </si>
  <si>
    <t>L8</t>
  </si>
  <si>
    <t>L16</t>
  </si>
  <si>
    <t>L18</t>
  </si>
  <si>
    <t>P</t>
  </si>
  <si>
    <t>35K</t>
  </si>
  <si>
    <t>p1</t>
  </si>
  <si>
    <t>p2</t>
  </si>
  <si>
    <t>p3</t>
  </si>
  <si>
    <t>Used in 2025</t>
  </si>
  <si>
    <t>5.4(9)</t>
  </si>
  <si>
    <t>1.0(4)</t>
  </si>
  <si>
    <t>2.0(7)</t>
  </si>
  <si>
    <t>IAS</t>
  </si>
  <si>
    <t>1985Ay01</t>
  </si>
  <si>
    <t>2p₁</t>
  </si>
  <si>
    <t>6783(22)</t>
  </si>
  <si>
    <t>first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</si>
</sst>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2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99330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i/>
      <sz val="9"/>
      <color rgb="FFFF000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9" tint="-0.249977111117893"/>
      <name val="Arial"/>
      <family val="2"/>
    </font>
    <font>
      <sz val="10"/>
      <color rgb="FFC00000"/>
      <name val="Arial"/>
      <family val="2"/>
    </font>
    <font>
      <sz val="9"/>
      <color rgb="FFC00000"/>
      <name val="Arial"/>
      <family val="2"/>
    </font>
    <font>
      <sz val="9"/>
      <color theme="5" tint="-0.249977111117893"/>
      <name val="Arial"/>
      <family val="2"/>
    </font>
    <font>
      <sz val="9"/>
      <color rgb="FF0066FF"/>
      <name val="Arial"/>
      <family val="2"/>
    </font>
    <font>
      <sz val="9"/>
      <color rgb="FF00B050"/>
      <name val="Arial"/>
      <family val="2"/>
    </font>
    <font>
      <sz val="9"/>
      <color rgb="FF9933FF"/>
      <name val="Arial"/>
      <family val="2"/>
    </font>
    <font>
      <sz val="9"/>
      <color theme="9" tint="-0.499984740745262"/>
      <name val="Arial"/>
      <family val="2"/>
    </font>
    <font>
      <sz val="9"/>
      <color rgb="FF660033"/>
      <name val="Arial"/>
      <family val="2"/>
    </font>
    <font>
      <sz val="9"/>
      <color rgb="FFA50021"/>
      <name val="Arial"/>
      <family val="2"/>
    </font>
    <font>
      <b/>
      <sz val="9"/>
      <color rgb="FF0066FF"/>
      <name val="Arial"/>
      <family val="2"/>
    </font>
    <font>
      <sz val="9"/>
      <color rgb="FFFF0066"/>
      <name val="Arial"/>
      <family val="2"/>
    </font>
    <font>
      <b/>
      <sz val="9"/>
      <color theme="5" tint="-0.249977111117893"/>
      <name val="Arial"/>
      <family val="2"/>
    </font>
    <font>
      <b/>
      <sz val="9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65" fontId="13" fillId="0" borderId="0" xfId="1" applyNumberFormat="1" applyFont="1" applyAlignment="1">
      <alignment horizontal="center" vertical="center"/>
    </xf>
    <xf numFmtId="165" fontId="12" fillId="0" borderId="0" xfId="1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66"/>
      <color rgb="FFA50021"/>
      <color rgb="FF9933FF"/>
      <color rgb="FF660033"/>
      <color rgb="FF600000"/>
      <color rgb="FF0066FF"/>
      <color rgb="FF0000CC"/>
      <color rgb="FF993300"/>
      <color rgb="FFD9F1FF"/>
      <color rgb="FFFFD9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EC0C-CCF2-405C-89E2-FB3C4ADFF355}">
  <dimension ref="A1:AG47"/>
  <sheetViews>
    <sheetView topLeftCell="E1" zoomScaleNormal="100" workbookViewId="0">
      <selection activeCell="I22" sqref="I22"/>
    </sheetView>
  </sheetViews>
  <sheetFormatPr defaultRowHeight="11.4" x14ac:dyDescent="0.3"/>
  <cols>
    <col min="1" max="1" width="7.109375" style="1" bestFit="1" customWidth="1"/>
    <col min="2" max="2" width="3.21875" style="1" bestFit="1" customWidth="1"/>
    <col min="3" max="3" width="2.6640625" style="1" bestFit="1" customWidth="1"/>
    <col min="4" max="4" width="2.33203125" style="1" customWidth="1"/>
    <col min="5" max="5" width="7.6640625" style="1" bestFit="1" customWidth="1"/>
    <col min="6" max="6" width="3.21875" style="1" bestFit="1" customWidth="1"/>
    <col min="7" max="7" width="2.6640625" style="1" bestFit="1" customWidth="1"/>
    <col min="8" max="8" width="3" style="1" bestFit="1" customWidth="1"/>
    <col min="9" max="9" width="7.77734375" style="1" bestFit="1" customWidth="1"/>
    <col min="10" max="10" width="4.21875" style="1" customWidth="1"/>
    <col min="11" max="11" width="6.33203125" style="1" bestFit="1" customWidth="1"/>
    <col min="12" max="12" width="3.44140625" style="1" bestFit="1" customWidth="1"/>
    <col min="13" max="13" width="7.109375" style="1" bestFit="1" customWidth="1"/>
    <col min="14" max="14" width="3.44140625" style="1" bestFit="1" customWidth="1"/>
    <col min="15" max="15" width="5.109375" style="1" bestFit="1" customWidth="1"/>
    <col min="16" max="16" width="3.6640625" style="1" bestFit="1" customWidth="1"/>
    <col min="17" max="17" width="5.5546875" style="1" bestFit="1" customWidth="1"/>
    <col min="18" max="18" width="3.21875" style="1" bestFit="1" customWidth="1"/>
    <col min="19" max="19" width="5.109375" style="1" bestFit="1" customWidth="1"/>
    <col min="20" max="20" width="3.21875" style="1" bestFit="1" customWidth="1"/>
    <col min="21" max="21" width="5.44140625" style="1" bestFit="1" customWidth="1"/>
    <col min="22" max="22" width="3.21875" style="1" bestFit="1" customWidth="1"/>
    <col min="23" max="23" width="4.77734375" style="1" bestFit="1" customWidth="1"/>
    <col min="24" max="24" width="3.77734375" style="1" customWidth="1"/>
    <col min="25" max="25" width="7.6640625" style="1" bestFit="1" customWidth="1"/>
    <col min="26" max="26" width="4.33203125" style="1" bestFit="1" customWidth="1"/>
    <col min="27" max="27" width="7.77734375" style="1" bestFit="1" customWidth="1"/>
    <col min="28" max="28" width="17" style="1" bestFit="1" customWidth="1"/>
    <col min="29" max="29" width="18.6640625" style="1" bestFit="1" customWidth="1"/>
    <col min="30" max="30" width="16.6640625" style="1" bestFit="1" customWidth="1"/>
    <col min="31" max="31" width="17" style="1" bestFit="1" customWidth="1"/>
    <col min="32" max="32" width="17.33203125" style="1" bestFit="1" customWidth="1"/>
    <col min="33" max="33" width="16.21875" style="1" bestFit="1" customWidth="1"/>
    <col min="34" max="16384" width="8.88671875" style="1"/>
  </cols>
  <sheetData>
    <row r="1" spans="1:33" x14ac:dyDescent="0.3">
      <c r="A1" s="1" t="s">
        <v>9</v>
      </c>
      <c r="E1" s="1" t="s">
        <v>10</v>
      </c>
      <c r="I1" s="1" t="s">
        <v>5</v>
      </c>
      <c r="M1" s="1" t="s">
        <v>6</v>
      </c>
      <c r="Q1" s="1" t="s">
        <v>8</v>
      </c>
      <c r="U1" s="1" t="s">
        <v>7</v>
      </c>
      <c r="AA1" s="1" t="s">
        <v>13</v>
      </c>
      <c r="AD1" s="1" t="s">
        <v>0</v>
      </c>
    </row>
    <row r="2" spans="1:33" x14ac:dyDescent="0.3">
      <c r="A2" s="1" t="s">
        <v>4</v>
      </c>
      <c r="C2" s="1" t="s">
        <v>0</v>
      </c>
      <c r="E2" s="1" t="s">
        <v>4</v>
      </c>
      <c r="G2" s="1" t="s">
        <v>0</v>
      </c>
      <c r="I2" s="1" t="s">
        <v>4</v>
      </c>
      <c r="K2" s="1" t="s">
        <v>0</v>
      </c>
      <c r="M2" s="1" t="s">
        <v>4</v>
      </c>
      <c r="O2" s="1" t="s">
        <v>0</v>
      </c>
      <c r="Q2" s="1" t="s">
        <v>4</v>
      </c>
      <c r="S2" s="1" t="s">
        <v>0</v>
      </c>
      <c r="U2" s="1" t="s">
        <v>4</v>
      </c>
      <c r="W2" s="1" t="s">
        <v>0</v>
      </c>
      <c r="Y2" s="2" t="s">
        <v>1</v>
      </c>
      <c r="AA2" s="1" t="s">
        <v>4</v>
      </c>
    </row>
    <row r="3" spans="1:33" ht="12" x14ac:dyDescent="0.3">
      <c r="I3" s="3">
        <f>I14/36*35</f>
        <v>1397.0833333333333</v>
      </c>
      <c r="J3" s="4"/>
      <c r="K3" s="5">
        <f>K14</f>
        <v>1.2</v>
      </c>
      <c r="L3" s="4"/>
      <c r="M3" s="3">
        <f t="shared" ref="M3:N10" si="0">M14/36*35</f>
        <v>1400</v>
      </c>
      <c r="N3" s="4"/>
      <c r="Y3" s="6"/>
    </row>
    <row r="4" spans="1:33" x14ac:dyDescent="0.3">
      <c r="I4" s="3">
        <f>I15/36*35</f>
        <v>1676.1111111111111</v>
      </c>
      <c r="J4" s="3">
        <f t="shared" ref="J4:J7" si="1">J15/36*35</f>
        <v>39.094940233383809</v>
      </c>
      <c r="K4" s="5">
        <f t="shared" ref="K4:L11" si="2">K15</f>
        <v>11.3</v>
      </c>
      <c r="L4" s="1">
        <f>L15</f>
        <v>6</v>
      </c>
      <c r="M4" s="3">
        <f t="shared" si="0"/>
        <v>1645</v>
      </c>
      <c r="N4" s="3">
        <f t="shared" si="0"/>
        <v>20.964862579157607</v>
      </c>
      <c r="O4" s="1">
        <f t="shared" ref="O4:P4" si="3">O15</f>
        <v>9.3000000000000007</v>
      </c>
      <c r="P4" s="1">
        <f t="shared" si="3"/>
        <v>8</v>
      </c>
      <c r="Q4" s="3">
        <f t="shared" ref="Q4:R5" si="4">Q15/36*35</f>
        <v>1659.5833333333333</v>
      </c>
      <c r="R4" s="3">
        <f t="shared" si="4"/>
        <v>17.5</v>
      </c>
      <c r="S4" s="1">
        <v>7.3</v>
      </c>
      <c r="T4" s="1">
        <v>8</v>
      </c>
      <c r="U4" s="3">
        <f t="shared" ref="U4:V4" si="5">U15/36*35</f>
        <v>1623.6111111111111</v>
      </c>
      <c r="V4" s="3">
        <f t="shared" si="5"/>
        <v>22.361111111111111</v>
      </c>
      <c r="W4" s="1">
        <v>5.7</v>
      </c>
      <c r="X4" s="1">
        <v>16</v>
      </c>
      <c r="Y4" s="2">
        <v>1658.9</v>
      </c>
      <c r="Z4" s="2">
        <v>0.8</v>
      </c>
      <c r="AA4" s="1">
        <v>1648</v>
      </c>
    </row>
    <row r="5" spans="1:33" ht="12" x14ac:dyDescent="0.3">
      <c r="A5" s="7">
        <v>2519</v>
      </c>
      <c r="B5" s="7">
        <v>21</v>
      </c>
      <c r="E5" s="8">
        <v>2550.1999999999998</v>
      </c>
      <c r="F5" s="6">
        <v>22</v>
      </c>
      <c r="I5" s="9">
        <f t="shared" ref="I5:I7" si="6">I16/36*35</f>
        <v>2548.1944444444443</v>
      </c>
      <c r="J5" s="3">
        <f t="shared" si="1"/>
        <v>37.110372996651719</v>
      </c>
      <c r="K5" s="5">
        <f t="shared" si="2"/>
        <v>37.799999999999997</v>
      </c>
      <c r="L5" s="1">
        <f t="shared" si="2"/>
        <v>10</v>
      </c>
      <c r="M5" s="3">
        <f t="shared" si="0"/>
        <v>2551.1111111111109</v>
      </c>
      <c r="N5" s="3">
        <f t="shared" si="0"/>
        <v>20.964862579157607</v>
      </c>
      <c r="O5" s="1">
        <f t="shared" ref="O5:P5" si="7">O16</f>
        <v>37</v>
      </c>
      <c r="P5" s="1">
        <f t="shared" si="7"/>
        <v>1</v>
      </c>
      <c r="Q5" s="3">
        <f t="shared" si="4"/>
        <v>2537.5</v>
      </c>
      <c r="R5" s="3">
        <f t="shared" si="4"/>
        <v>17.5</v>
      </c>
      <c r="S5" s="1">
        <v>32.1</v>
      </c>
      <c r="T5" s="1">
        <v>42</v>
      </c>
      <c r="U5" s="3">
        <f t="shared" ref="U5:V5" si="8">U16/36*35</f>
        <v>2593.8888888888891</v>
      </c>
      <c r="V5" s="3">
        <f t="shared" si="8"/>
        <v>30.138888888888889</v>
      </c>
      <c r="W5" s="5">
        <v>34</v>
      </c>
      <c r="X5" s="1">
        <v>58</v>
      </c>
      <c r="AA5" s="1">
        <v>2549.9</v>
      </c>
      <c r="AD5" s="3" t="str">
        <f>TEXT(K4, "0.0")&amp;"("&amp;TEXT(L4, "0")&amp;") ("&amp;$I$1&amp;"), "</f>
        <v xml:space="preserve">11.3(6) (1997Tr05), </v>
      </c>
      <c r="AE5" s="3" t="str">
        <f>TEXT(O4, "0.0")&amp;"("&amp;TEXT(P4, "0")&amp;") ("&amp;$M$1&amp;"), "</f>
        <v xml:space="preserve">9.3(8) (2001Lo11), </v>
      </c>
      <c r="AF5" s="3" t="str">
        <f>TEXT(S4, "0.0")&amp;"("&amp;TEXT(T4, "0")&amp;") ("&amp;$Q$1&amp;"), "</f>
        <v xml:space="preserve">7.3(8) (2007Do17), </v>
      </c>
      <c r="AG5" s="3" t="str">
        <f>TEXT(W4, "0.0")&amp;"("&amp;TEXT(X4, "0")&amp;") ("&amp;$U$1&amp;")"</f>
        <v>5.7(16) (2015Su01)</v>
      </c>
    </row>
    <row r="6" spans="1:33" x14ac:dyDescent="0.3">
      <c r="I6" s="3">
        <f t="shared" si="6"/>
        <v>2713.4722222222222</v>
      </c>
      <c r="J6" s="3">
        <f t="shared" si="1"/>
        <v>31.126298376409682</v>
      </c>
      <c r="K6" s="5">
        <f t="shared" si="2"/>
        <v>1.7</v>
      </c>
      <c r="L6" s="1">
        <f t="shared" si="2"/>
        <v>2</v>
      </c>
      <c r="M6" s="3">
        <f t="shared" si="0"/>
        <v>2713.4722222222222</v>
      </c>
      <c r="N6" s="3">
        <f t="shared" si="0"/>
        <v>20.964862579157607</v>
      </c>
      <c r="O6" s="1">
        <f t="shared" ref="O6:P6" si="9">O17</f>
        <v>3.5</v>
      </c>
      <c r="P6" s="1">
        <f t="shared" si="9"/>
        <v>5</v>
      </c>
      <c r="AA6" s="1">
        <v>2713</v>
      </c>
      <c r="AB6" s="3"/>
      <c r="AC6" s="3"/>
      <c r="AD6" s="3" t="str">
        <f>TEXT(K5, "0.0")&amp;"("&amp;TEXT(L5, "0")&amp;") ("&amp;$I$1&amp;"), "</f>
        <v xml:space="preserve">37.8(10) (1997Tr05), </v>
      </c>
      <c r="AE6" s="3" t="str">
        <f>TEXT(O5, "0")&amp;"("&amp;TEXT(P5, "0")&amp;") ("&amp;$M$1&amp;"), "</f>
        <v xml:space="preserve">37(1) (2001Lo11), </v>
      </c>
      <c r="AF6" s="3" t="str">
        <f>TEXT(S5, "0.0")&amp;"("&amp;TEXT(T5, "0")&amp;") ("&amp;$Q$1&amp;"), "</f>
        <v xml:space="preserve">32.1(42) (2007Do17), </v>
      </c>
      <c r="AG6" s="3" t="str">
        <f>TEXT(W5, "0.0")&amp;"("&amp;TEXT(X5, "0")&amp;") ("&amp;$U$1&amp;")"</f>
        <v>34.0(58) (2015Su01)</v>
      </c>
    </row>
    <row r="7" spans="1:33" x14ac:dyDescent="0.3">
      <c r="I7" s="3">
        <f t="shared" si="6"/>
        <v>2937.0833333333335</v>
      </c>
      <c r="J7" s="3">
        <f t="shared" si="1"/>
        <v>35.121317521477522</v>
      </c>
      <c r="K7" s="5">
        <f t="shared" si="2"/>
        <v>1.4</v>
      </c>
      <c r="L7" s="1">
        <f t="shared" si="2"/>
        <v>2</v>
      </c>
      <c r="M7" s="3">
        <f t="shared" si="0"/>
        <v>2895.2777777777778</v>
      </c>
      <c r="N7" s="3">
        <f t="shared" si="0"/>
        <v>44.040700872412707</v>
      </c>
      <c r="O7" s="5">
        <f t="shared" ref="O7:P7" si="10">O18</f>
        <v>1</v>
      </c>
      <c r="P7" s="1">
        <f t="shared" si="10"/>
        <v>3</v>
      </c>
      <c r="AA7" s="1">
        <v>2921</v>
      </c>
      <c r="AD7" s="3" t="str">
        <f>TEXT(K6, "0.0")&amp;"("&amp;TEXT(L6, "0")&amp;") ("&amp;$I$1&amp;"), "</f>
        <v xml:space="preserve">1.7(2) (1997Tr05), </v>
      </c>
      <c r="AE7" s="3" t="str">
        <f>TEXT(O6, "0.0")&amp;"("&amp;TEXT(P6, "0")&amp;") ("&amp;$M$1&amp;"), "</f>
        <v xml:space="preserve">3.5(5) (2001Lo11), </v>
      </c>
    </row>
    <row r="8" spans="1:33" x14ac:dyDescent="0.3">
      <c r="I8" s="3"/>
      <c r="K8" s="5"/>
      <c r="M8" s="3">
        <f>M19/36*35</f>
        <v>3484.4444444444443</v>
      </c>
      <c r="N8" s="3">
        <f t="shared" si="0"/>
        <v>20.964862579157607</v>
      </c>
      <c r="O8" s="1">
        <f t="shared" ref="O8:P8" si="11">O19</f>
        <v>0.6</v>
      </c>
      <c r="P8" s="1">
        <f t="shared" si="11"/>
        <v>2</v>
      </c>
      <c r="AA8" s="1">
        <v>3484</v>
      </c>
      <c r="AD8" s="3" t="str">
        <f>TEXT(K7, "0.0")&amp;"("&amp;TEXT(L7, "0")&amp;") ("&amp;$I$1&amp;"), "</f>
        <v xml:space="preserve">1.4(2) (1997Tr05), </v>
      </c>
      <c r="AE8" s="3" t="str">
        <f t="shared" ref="AE8:AE12" si="12">TEXT(O7, "0.0")&amp;"("&amp;TEXT(P7, "0")&amp;") ("&amp;$M$1&amp;"), "</f>
        <v xml:space="preserve">1.0(3) (2001Lo11), </v>
      </c>
    </row>
    <row r="9" spans="1:33" x14ac:dyDescent="0.3">
      <c r="I9" s="3"/>
      <c r="K9" s="5"/>
      <c r="M9" s="3">
        <f t="shared" si="0"/>
        <v>3981.25</v>
      </c>
      <c r="N9" s="3">
        <f t="shared" si="0"/>
        <v>66.630922130423926</v>
      </c>
      <c r="O9" s="1">
        <f t="shared" ref="O9:P9" si="13">O20</f>
        <v>0.9</v>
      </c>
      <c r="P9" s="1">
        <f t="shared" si="13"/>
        <v>2</v>
      </c>
      <c r="AA9" s="13">
        <v>3980</v>
      </c>
      <c r="AD9" s="3"/>
      <c r="AE9" s="3" t="str">
        <f t="shared" si="12"/>
        <v xml:space="preserve">0.6(2) (2001Lo11), </v>
      </c>
    </row>
    <row r="10" spans="1:33" x14ac:dyDescent="0.3">
      <c r="I10" s="3">
        <f>I21/36*35</f>
        <v>4162.0833333333339</v>
      </c>
      <c r="J10" s="3">
        <f>J21/36*35</f>
        <v>45.027640687981048</v>
      </c>
      <c r="K10" s="5">
        <f t="shared" si="2"/>
        <v>2.7</v>
      </c>
      <c r="L10" s="1">
        <f t="shared" ref="L10:L11" si="14">L21</f>
        <v>4</v>
      </c>
      <c r="M10" s="3">
        <f t="shared" si="0"/>
        <v>4134.8611111111113</v>
      </c>
      <c r="N10" s="3">
        <f t="shared" si="0"/>
        <v>44.040700872412707</v>
      </c>
      <c r="O10" s="1">
        <f t="shared" ref="O10:P10" si="15">O21</f>
        <v>1.7</v>
      </c>
      <c r="P10" s="1">
        <f t="shared" si="15"/>
        <v>3</v>
      </c>
      <c r="AA10" s="13">
        <v>4150</v>
      </c>
      <c r="AD10" s="3"/>
      <c r="AE10" s="3" t="str">
        <f t="shared" si="12"/>
        <v xml:space="preserve">0.9(2) (2001Lo11), </v>
      </c>
    </row>
    <row r="11" spans="1:33" x14ac:dyDescent="0.3">
      <c r="I11" s="3">
        <f>I22/36*35</f>
        <v>4989.4444444444443</v>
      </c>
      <c r="J11" s="3">
        <f>J22/36*35</f>
        <v>68.588193428444939</v>
      </c>
      <c r="K11" s="5">
        <f t="shared" si="2"/>
        <v>0.7</v>
      </c>
      <c r="L11" s="1">
        <f t="shared" si="14"/>
        <v>2</v>
      </c>
      <c r="M11" s="3">
        <f>M22/36*35</f>
        <v>4982.6388888888887</v>
      </c>
      <c r="N11" s="3">
        <f>N22/36*35</f>
        <v>66.630922130423926</v>
      </c>
      <c r="O11" s="1">
        <f t="shared" ref="O11:P11" si="16">O22</f>
        <v>0.3</v>
      </c>
      <c r="P11" s="1">
        <f t="shared" si="16"/>
        <v>1</v>
      </c>
      <c r="AA11" s="13">
        <v>4990</v>
      </c>
      <c r="AD11" s="3" t="str">
        <f>TEXT(K10, "0.0")&amp;"("&amp;TEXT(L10, "0")&amp;") ("&amp;$I$1&amp;"), "</f>
        <v xml:space="preserve">2.7(4) (1997Tr05), </v>
      </c>
      <c r="AE11" s="3" t="str">
        <f t="shared" si="12"/>
        <v xml:space="preserve">1.7(3) (2001Lo11), </v>
      </c>
    </row>
    <row r="12" spans="1:33" x14ac:dyDescent="0.3">
      <c r="AD12" s="3" t="str">
        <f>TEXT(K11, "0.0")&amp;"("&amp;TEXT(L11, "0")&amp;") ("&amp;$I$1&amp;"), "</f>
        <v xml:space="preserve">0.7(2) (1997Tr05), </v>
      </c>
      <c r="AE12" s="3" t="str">
        <f t="shared" si="12"/>
        <v xml:space="preserve">0.3(1) (2001Lo11), </v>
      </c>
    </row>
    <row r="13" spans="1:33" x14ac:dyDescent="0.3">
      <c r="A13" s="1" t="s">
        <v>3</v>
      </c>
      <c r="E13" s="1" t="s">
        <v>3</v>
      </c>
      <c r="I13" s="1" t="s">
        <v>3</v>
      </c>
      <c r="M13" s="1" t="s">
        <v>3</v>
      </c>
      <c r="Q13" s="1" t="s">
        <v>3</v>
      </c>
      <c r="U13" s="1" t="s">
        <v>3</v>
      </c>
      <c r="AA13" s="1" t="s">
        <v>3</v>
      </c>
      <c r="AD13" s="1" t="s">
        <v>14</v>
      </c>
    </row>
    <row r="14" spans="1:33" ht="12" x14ac:dyDescent="0.3">
      <c r="I14" s="3">
        <f>I28-$I$25-1184</f>
        <v>1437</v>
      </c>
      <c r="J14" s="4"/>
      <c r="K14" s="5">
        <v>1.2</v>
      </c>
      <c r="L14" s="4"/>
      <c r="M14" s="3">
        <f>M28-$M$25-1184</f>
        <v>1440</v>
      </c>
      <c r="N14" s="4"/>
      <c r="O14" s="4"/>
      <c r="P14" s="4"/>
      <c r="Y14" s="6"/>
    </row>
    <row r="15" spans="1:33" x14ac:dyDescent="0.3">
      <c r="I15" s="3">
        <f>I27-$I$25</f>
        <v>1724</v>
      </c>
      <c r="J15" s="1">
        <f>SQRT(J27^2-$J$25^2)</f>
        <v>40.2119385257662</v>
      </c>
      <c r="K15" s="1">
        <f>K27</f>
        <v>11.3</v>
      </c>
      <c r="L15" s="1">
        <f>L27</f>
        <v>6</v>
      </c>
      <c r="M15" s="3">
        <f>M27-$M$25</f>
        <v>1692</v>
      </c>
      <c r="N15" s="1">
        <f>SQRT(N27^2-$N$25^2)</f>
        <v>21.563858652847824</v>
      </c>
      <c r="O15" s="1">
        <f t="shared" ref="O15:P22" si="17">O27</f>
        <v>9.3000000000000007</v>
      </c>
      <c r="P15" s="1">
        <f t="shared" si="17"/>
        <v>8</v>
      </c>
      <c r="Q15" s="6">
        <v>1707</v>
      </c>
      <c r="R15" s="6">
        <v>18</v>
      </c>
      <c r="S15" s="6">
        <v>7.3</v>
      </c>
      <c r="T15" s="6">
        <v>8</v>
      </c>
      <c r="U15" s="6">
        <v>1670</v>
      </c>
      <c r="V15" s="6">
        <v>23</v>
      </c>
      <c r="W15" s="6">
        <v>5.7</v>
      </c>
      <c r="X15" s="6">
        <v>16</v>
      </c>
      <c r="Y15" s="2">
        <v>1658.9</v>
      </c>
      <c r="Z15" s="2">
        <v>0.8</v>
      </c>
      <c r="AA15" s="3">
        <f>AA4/35*36</f>
        <v>1695.0857142857144</v>
      </c>
    </row>
    <row r="16" spans="1:33" ht="12" x14ac:dyDescent="0.3">
      <c r="A16" s="3">
        <f>A5/35*36</f>
        <v>2590.9714285714285</v>
      </c>
      <c r="B16" s="3">
        <f>B5/35*36</f>
        <v>21.599999999999998</v>
      </c>
      <c r="E16" s="8">
        <v>2623.6</v>
      </c>
      <c r="F16" s="7">
        <v>23</v>
      </c>
      <c r="I16" s="9">
        <f>I28-$I$25</f>
        <v>2621</v>
      </c>
      <c r="J16" s="4">
        <f>SQRT(J28^2-$J$25^2)</f>
        <v>38.17066936798463</v>
      </c>
      <c r="K16" s="10">
        <v>37.799999999999997</v>
      </c>
      <c r="L16" s="4">
        <v>10</v>
      </c>
      <c r="M16" s="9">
        <f>M28-$M$25</f>
        <v>2624</v>
      </c>
      <c r="N16" s="4">
        <f t="shared" ref="N16:N21" si="18">SQRT(N28^2-$N$25^2)</f>
        <v>21.563858652847824</v>
      </c>
      <c r="O16" s="4">
        <f>O28</f>
        <v>37</v>
      </c>
      <c r="P16" s="4">
        <f t="shared" si="17"/>
        <v>1</v>
      </c>
      <c r="Q16" s="6">
        <v>2610</v>
      </c>
      <c r="R16" s="6">
        <v>18</v>
      </c>
      <c r="S16" s="6">
        <v>32.1</v>
      </c>
      <c r="T16" s="6">
        <v>42</v>
      </c>
      <c r="U16" s="6">
        <v>2668</v>
      </c>
      <c r="V16" s="6">
        <v>31</v>
      </c>
      <c r="W16" s="8">
        <v>34</v>
      </c>
      <c r="X16" s="6">
        <v>58</v>
      </c>
      <c r="AA16" s="5">
        <f>AA5/35*36</f>
        <v>2622.7542857142862</v>
      </c>
      <c r="AD16" s="3" t="str">
        <f>TEXT(I4, "0")&amp;"("&amp;TEXT(J4, "0")&amp;") ("&amp;$I$1&amp;"), "</f>
        <v xml:space="preserve">1676(39) (1997Tr05), </v>
      </c>
      <c r="AE16" s="3" t="str">
        <f t="shared" ref="AE16:AE23" si="19">TEXT(M4, "0")&amp;"("&amp;TEXT(N4, "0")&amp;") ("&amp;$M$1&amp;"), "</f>
        <v xml:space="preserve">1645(21) (2001Lo11), </v>
      </c>
      <c r="AF16" s="3" t="str">
        <f>TEXT(Q4, "0")&amp;"("&amp;TEXT(R4, "0")&amp;") ("&amp;$Q$1&amp;"), "</f>
        <v xml:space="preserve">1660(18) (2007Do17), </v>
      </c>
      <c r="AG16" s="3" t="str">
        <f>TEXT(U4, "0")&amp;"("&amp;TEXT(V4, "0")&amp;") ("&amp;$U$1&amp;")"</f>
        <v>1624(22) (2015Su01)</v>
      </c>
    </row>
    <row r="17" spans="1:33" x14ac:dyDescent="0.3">
      <c r="I17" s="3">
        <f>I29-$I$25</f>
        <v>2791</v>
      </c>
      <c r="J17" s="1">
        <f>SQRT(J29^2-$J$25^2)</f>
        <v>32.015621187164243</v>
      </c>
      <c r="K17" s="1">
        <f>K29</f>
        <v>1.7</v>
      </c>
      <c r="L17" s="1">
        <f>L29</f>
        <v>2</v>
      </c>
      <c r="M17" s="3">
        <f t="shared" ref="M17:M21" si="20">M29-$M$25</f>
        <v>2791</v>
      </c>
      <c r="N17" s="1">
        <f t="shared" si="18"/>
        <v>21.563858652847824</v>
      </c>
      <c r="O17" s="1">
        <f t="shared" si="17"/>
        <v>3.5</v>
      </c>
      <c r="P17" s="1">
        <f t="shared" si="17"/>
        <v>5</v>
      </c>
      <c r="AA17" s="3">
        <f t="shared" ref="AA17:AA22" si="21">AA6/35*36</f>
        <v>2790.514285714286</v>
      </c>
      <c r="AB17" s="3" t="str">
        <f>TEXT(A5, "0")&amp;"("&amp;TEXT(B5, "0")&amp;") ("&amp;$A$1&amp;"), "</f>
        <v xml:space="preserve">2519(21) (1981Ay01), </v>
      </c>
      <c r="AC17" s="3" t="str">
        <f>TEXT(E5, "0.0")&amp;"("&amp;TEXT(F5, "0")&amp;") ("&amp;$E$1&amp;"), "</f>
        <v xml:space="preserve">2550.2(22) (1995Ga16), </v>
      </c>
      <c r="AD17" s="3" t="str">
        <f>TEXT(I5, "0")&amp;"("&amp;TEXT(J5, "0")&amp;") ("&amp;$I$1&amp;"), "</f>
        <v xml:space="preserve">2548(37) (1997Tr05), </v>
      </c>
      <c r="AE17" s="3" t="str">
        <f t="shared" si="19"/>
        <v xml:space="preserve">2551(21) (2001Lo11), </v>
      </c>
      <c r="AF17" s="3" t="str">
        <f>TEXT(Q5, "0")&amp;"("&amp;TEXT(R5, "0")&amp;") ("&amp;$Q$1&amp;"), "</f>
        <v xml:space="preserve">2538(18) (2007Do17), </v>
      </c>
      <c r="AG17" s="3" t="str">
        <f>TEXT(U5, "0")&amp;"("&amp;TEXT(V5, "0")&amp;") ("&amp;$U$1&amp;")"</f>
        <v>2594(30) (2015Su01)</v>
      </c>
    </row>
    <row r="18" spans="1:33" x14ac:dyDescent="0.3">
      <c r="I18" s="3">
        <f>I30-$I$25</f>
        <v>3021</v>
      </c>
      <c r="J18" s="3">
        <f>SQRT(J30^2-$J$25^2)</f>
        <v>36.124783736376884</v>
      </c>
      <c r="K18" s="1">
        <f>K30</f>
        <v>1.4</v>
      </c>
      <c r="L18" s="1">
        <f>L30</f>
        <v>2</v>
      </c>
      <c r="M18" s="3">
        <f t="shared" si="20"/>
        <v>2978</v>
      </c>
      <c r="N18" s="1">
        <f t="shared" si="18"/>
        <v>45.299006611624499</v>
      </c>
      <c r="O18" s="5">
        <f t="shared" si="17"/>
        <v>1</v>
      </c>
      <c r="P18" s="1">
        <f t="shared" si="17"/>
        <v>3</v>
      </c>
      <c r="AA18" s="3">
        <f t="shared" si="21"/>
        <v>3004.4571428571426</v>
      </c>
      <c r="AD18" s="3" t="str">
        <f>TEXT(I6, "0")&amp;"("&amp;TEXT(J6, "0")&amp;") ("&amp;$I$1&amp;"), "</f>
        <v xml:space="preserve">2713(31) (1997Tr05), </v>
      </c>
      <c r="AE18" s="3" t="str">
        <f t="shared" si="19"/>
        <v xml:space="preserve">2713(21) (2001Lo11), </v>
      </c>
    </row>
    <row r="19" spans="1:33" x14ac:dyDescent="0.3">
      <c r="I19" s="3"/>
      <c r="M19" s="3">
        <f>M31-$M$25</f>
        <v>3584</v>
      </c>
      <c r="N19" s="1">
        <f t="shared" si="18"/>
        <v>21.563858652847824</v>
      </c>
      <c r="O19" s="1">
        <f t="shared" si="17"/>
        <v>0.6</v>
      </c>
      <c r="P19" s="1">
        <f t="shared" si="17"/>
        <v>2</v>
      </c>
      <c r="AA19" s="3">
        <f t="shared" si="21"/>
        <v>3583.5428571428574</v>
      </c>
      <c r="AD19" s="3" t="str">
        <f>TEXT(I7, "0")&amp;"("&amp;TEXT(J7, "0")&amp;") ("&amp;$I$1&amp;"), "</f>
        <v xml:space="preserve">2937(35) (1997Tr05), </v>
      </c>
      <c r="AE19" s="3" t="str">
        <f t="shared" si="19"/>
        <v xml:space="preserve">2895(44) (2001Lo11), </v>
      </c>
    </row>
    <row r="20" spans="1:33" x14ac:dyDescent="0.3">
      <c r="I20" s="3"/>
      <c r="M20" s="3">
        <f>M32-$M$25</f>
        <v>4095</v>
      </c>
      <c r="N20" s="1">
        <f>SQRT(N32^2-$N$25^2)</f>
        <v>68.534662762721752</v>
      </c>
      <c r="O20" s="1">
        <f t="shared" si="17"/>
        <v>0.9</v>
      </c>
      <c r="P20" s="1">
        <f t="shared" si="17"/>
        <v>2</v>
      </c>
      <c r="AA20" s="3">
        <f t="shared" si="21"/>
        <v>4093.7142857142853</v>
      </c>
      <c r="AD20" s="3"/>
      <c r="AE20" s="3" t="str">
        <f t="shared" si="19"/>
        <v xml:space="preserve">3484(21) (2001Lo11), </v>
      </c>
    </row>
    <row r="21" spans="1:33" x14ac:dyDescent="0.3">
      <c r="I21" s="3">
        <f>I33-$I$25</f>
        <v>4281</v>
      </c>
      <c r="J21" s="1">
        <f>SQRT(J33^2-$J$25^2)</f>
        <v>46.314144707637645</v>
      </c>
      <c r="K21" s="1">
        <f>K33</f>
        <v>2.7</v>
      </c>
      <c r="L21" s="1">
        <f>L33</f>
        <v>4</v>
      </c>
      <c r="M21" s="3">
        <f t="shared" si="20"/>
        <v>4253</v>
      </c>
      <c r="N21" s="1">
        <f t="shared" si="18"/>
        <v>45.299006611624499</v>
      </c>
      <c r="O21" s="1">
        <f t="shared" si="17"/>
        <v>1.7</v>
      </c>
      <c r="P21" s="1">
        <f t="shared" si="17"/>
        <v>3</v>
      </c>
      <c r="AA21" s="3">
        <f t="shared" si="21"/>
        <v>4268.5714285714284</v>
      </c>
      <c r="AD21" s="3"/>
      <c r="AE21" s="3" t="str">
        <f t="shared" si="19"/>
        <v xml:space="preserve">3981(67) (2001Lo11), </v>
      </c>
    </row>
    <row r="22" spans="1:33" x14ac:dyDescent="0.3">
      <c r="I22" s="3">
        <f>I34-$I$25</f>
        <v>5132</v>
      </c>
      <c r="J22" s="1">
        <f>SQRT(J34^2-$J$25^2)</f>
        <v>70.547856097829083</v>
      </c>
      <c r="K22" s="1">
        <f>K34</f>
        <v>0.7</v>
      </c>
      <c r="L22" s="1">
        <f>L34</f>
        <v>2</v>
      </c>
      <c r="M22" s="3">
        <f>M34-$M$25</f>
        <v>5125</v>
      </c>
      <c r="N22" s="1">
        <f>SQRT(N34^2-$N$25^2)</f>
        <v>68.534662762721752</v>
      </c>
      <c r="O22" s="1">
        <f t="shared" si="17"/>
        <v>0.3</v>
      </c>
      <c r="P22" s="1">
        <f t="shared" si="17"/>
        <v>1</v>
      </c>
      <c r="AA22" s="3">
        <f t="shared" si="21"/>
        <v>5132.5714285714294</v>
      </c>
      <c r="AD22" s="3" t="str">
        <f>TEXT(I10, "0")&amp;"("&amp;TEXT(J10, "0")&amp;") ("&amp;$I$1&amp;"), "</f>
        <v xml:space="preserve">4162(45) (1997Tr05), </v>
      </c>
      <c r="AE22" s="3" t="str">
        <f t="shared" si="19"/>
        <v xml:space="preserve">4135(44) (2001Lo11), </v>
      </c>
    </row>
    <row r="23" spans="1:33" x14ac:dyDescent="0.3">
      <c r="K23" s="5"/>
      <c r="AA23" s="3"/>
      <c r="AD23" s="3" t="str">
        <f>TEXT(I11, "0")&amp;"("&amp;TEXT(J11, "0")&amp;") ("&amp;$I$1&amp;"), "</f>
        <v xml:space="preserve">4989(69) (1997Tr05), </v>
      </c>
      <c r="AE23" s="3" t="str">
        <f t="shared" si="19"/>
        <v xml:space="preserve">4983(67) (2001Lo11), </v>
      </c>
    </row>
    <row r="24" spans="1:33" x14ac:dyDescent="0.3">
      <c r="I24" s="2" t="s">
        <v>1</v>
      </c>
      <c r="J24" s="2"/>
      <c r="M24" s="2" t="s">
        <v>1</v>
      </c>
      <c r="N24" s="2"/>
      <c r="AA24" s="3"/>
    </row>
    <row r="25" spans="1:33" x14ac:dyDescent="0.3">
      <c r="I25" s="2">
        <v>1666</v>
      </c>
      <c r="J25" s="2">
        <v>8</v>
      </c>
      <c r="M25" s="2">
        <v>1666</v>
      </c>
      <c r="N25" s="2">
        <v>8</v>
      </c>
      <c r="AA25" s="3"/>
    </row>
    <row r="26" spans="1:33" x14ac:dyDescent="0.3">
      <c r="A26" s="1" t="s">
        <v>2</v>
      </c>
      <c r="E26" s="1" t="s">
        <v>2</v>
      </c>
      <c r="I26" s="6" t="s">
        <v>2</v>
      </c>
      <c r="J26" s="6"/>
      <c r="K26" s="6"/>
      <c r="L26" s="6"/>
      <c r="M26" s="6" t="s">
        <v>2</v>
      </c>
      <c r="N26" s="6"/>
      <c r="O26" s="6"/>
      <c r="P26" s="8"/>
      <c r="AA26" s="1" t="s">
        <v>2</v>
      </c>
    </row>
    <row r="27" spans="1:33" x14ac:dyDescent="0.3">
      <c r="A27" s="1">
        <f>M16+$Y$15</f>
        <v>4282.8999999999996</v>
      </c>
      <c r="E27" s="1">
        <f>Q15+$Y$15</f>
        <v>3365.9</v>
      </c>
      <c r="I27" s="6">
        <v>3390</v>
      </c>
      <c r="J27" s="6">
        <v>41</v>
      </c>
      <c r="K27" s="6">
        <v>11.3</v>
      </c>
      <c r="L27" s="6">
        <v>6</v>
      </c>
      <c r="M27" s="6">
        <v>3358</v>
      </c>
      <c r="N27" s="6">
        <v>23</v>
      </c>
      <c r="O27" s="6">
        <v>9.3000000000000007</v>
      </c>
      <c r="P27" s="6">
        <v>8</v>
      </c>
      <c r="AA27" s="3">
        <f t="shared" ref="AA27:AA34" si="22">AA15+$Y$4</f>
        <v>3353.9857142857145</v>
      </c>
    </row>
    <row r="28" spans="1:33" ht="12" x14ac:dyDescent="0.3">
      <c r="I28" s="11">
        <v>4287</v>
      </c>
      <c r="J28" s="11">
        <v>39</v>
      </c>
      <c r="K28" s="11">
        <v>39</v>
      </c>
      <c r="L28" s="11">
        <v>1</v>
      </c>
      <c r="M28" s="11">
        <v>4290</v>
      </c>
      <c r="N28" s="11">
        <v>23</v>
      </c>
      <c r="O28" s="11">
        <v>37</v>
      </c>
      <c r="P28" s="11">
        <v>1</v>
      </c>
      <c r="AA28" s="5">
        <f t="shared" si="22"/>
        <v>4281.6542857142867</v>
      </c>
    </row>
    <row r="29" spans="1:33" x14ac:dyDescent="0.3">
      <c r="I29" s="6">
        <v>4457</v>
      </c>
      <c r="J29" s="6">
        <v>33</v>
      </c>
      <c r="K29" s="6">
        <v>1.7</v>
      </c>
      <c r="L29" s="6">
        <v>2</v>
      </c>
      <c r="M29" s="6">
        <v>4457</v>
      </c>
      <c r="N29" s="6">
        <v>23</v>
      </c>
      <c r="O29" s="6">
        <v>3.5</v>
      </c>
      <c r="P29" s="6">
        <v>5</v>
      </c>
      <c r="AA29" s="3">
        <f t="shared" si="22"/>
        <v>4449.4142857142861</v>
      </c>
    </row>
    <row r="30" spans="1:33" x14ac:dyDescent="0.3">
      <c r="I30" s="6">
        <v>4687</v>
      </c>
      <c r="J30" s="6">
        <v>37</v>
      </c>
      <c r="K30" s="6">
        <v>1.4</v>
      </c>
      <c r="L30" s="6">
        <v>2</v>
      </c>
      <c r="M30" s="6">
        <v>4644</v>
      </c>
      <c r="N30" s="6">
        <v>46</v>
      </c>
      <c r="O30" s="8">
        <v>1</v>
      </c>
      <c r="P30" s="6">
        <v>3</v>
      </c>
      <c r="AA30" s="3">
        <f t="shared" si="22"/>
        <v>4663.3571428571431</v>
      </c>
    </row>
    <row r="31" spans="1:33" x14ac:dyDescent="0.3">
      <c r="I31" s="6"/>
      <c r="J31" s="6"/>
      <c r="K31" s="6"/>
      <c r="L31" s="6"/>
      <c r="M31" s="6">
        <v>5250</v>
      </c>
      <c r="N31" s="6">
        <v>23</v>
      </c>
      <c r="O31" s="6">
        <v>0.6</v>
      </c>
      <c r="P31" s="6">
        <v>2</v>
      </c>
      <c r="AA31" s="3">
        <f t="shared" si="22"/>
        <v>5242.442857142858</v>
      </c>
    </row>
    <row r="32" spans="1:33" x14ac:dyDescent="0.3">
      <c r="I32" s="6"/>
      <c r="J32" s="6"/>
      <c r="K32" s="6"/>
      <c r="L32" s="6"/>
      <c r="M32" s="6">
        <v>5761</v>
      </c>
      <c r="N32" s="6">
        <v>69</v>
      </c>
      <c r="O32" s="6">
        <v>0.9</v>
      </c>
      <c r="P32" s="6">
        <v>2</v>
      </c>
      <c r="AA32" s="3">
        <f t="shared" si="22"/>
        <v>5752.6142857142859</v>
      </c>
    </row>
    <row r="33" spans="1:27" x14ac:dyDescent="0.3">
      <c r="I33" s="6">
        <v>5947</v>
      </c>
      <c r="J33" s="6">
        <v>47</v>
      </c>
      <c r="K33" s="6">
        <v>2.7</v>
      </c>
      <c r="L33" s="6">
        <v>4</v>
      </c>
      <c r="M33" s="6">
        <v>5919</v>
      </c>
      <c r="N33" s="6">
        <v>46</v>
      </c>
      <c r="O33" s="6">
        <v>1.7</v>
      </c>
      <c r="P33" s="6">
        <v>3</v>
      </c>
      <c r="AA33" s="3">
        <f t="shared" si="22"/>
        <v>5927.471428571429</v>
      </c>
    </row>
    <row r="34" spans="1:27" x14ac:dyDescent="0.3">
      <c r="I34" s="6">
        <v>6798</v>
      </c>
      <c r="J34" s="6">
        <v>71</v>
      </c>
      <c r="K34" s="6">
        <v>0.7</v>
      </c>
      <c r="L34" s="6">
        <v>2</v>
      </c>
      <c r="M34" s="6">
        <v>6791</v>
      </c>
      <c r="N34" s="6">
        <v>69</v>
      </c>
      <c r="O34" s="6">
        <v>0.3</v>
      </c>
      <c r="P34" s="6">
        <v>1</v>
      </c>
      <c r="AA34" s="3">
        <f t="shared" si="22"/>
        <v>6791.471428571429</v>
      </c>
    </row>
    <row r="35" spans="1:27" x14ac:dyDescent="0.3">
      <c r="A35" s="12" t="s">
        <v>11</v>
      </c>
    </row>
    <row r="36" spans="1:27" x14ac:dyDescent="0.3">
      <c r="A36" s="12" t="s">
        <v>12</v>
      </c>
    </row>
    <row r="39" spans="1:27" x14ac:dyDescent="0.3">
      <c r="E39" s="14" t="s">
        <v>25</v>
      </c>
      <c r="F39" s="14"/>
      <c r="G39" s="14"/>
      <c r="H39" s="14"/>
      <c r="I39" s="14" t="s">
        <v>26</v>
      </c>
      <c r="J39" s="14"/>
      <c r="K39" s="14"/>
      <c r="L39" s="14"/>
      <c r="M39" s="14" t="s">
        <v>26</v>
      </c>
      <c r="N39" s="14"/>
    </row>
    <row r="40" spans="1:27" x14ac:dyDescent="0.3">
      <c r="E40" s="14"/>
      <c r="F40" s="14"/>
      <c r="G40" s="14"/>
      <c r="H40" s="14"/>
      <c r="I40" s="14">
        <v>3370</v>
      </c>
      <c r="J40" s="14">
        <v>29</v>
      </c>
      <c r="K40" s="14"/>
      <c r="L40" s="14"/>
      <c r="M40" s="14">
        <v>3358</v>
      </c>
      <c r="N40" s="14">
        <v>23</v>
      </c>
    </row>
    <row r="41" spans="1:27" x14ac:dyDescent="0.3">
      <c r="E41" s="14"/>
      <c r="F41" s="14"/>
      <c r="G41" s="14"/>
      <c r="H41" s="14"/>
      <c r="I41" s="14">
        <v>4286</v>
      </c>
      <c r="J41" s="14">
        <v>8</v>
      </c>
      <c r="K41" s="14"/>
      <c r="L41" s="14"/>
      <c r="M41" s="14">
        <v>4290</v>
      </c>
      <c r="N41" s="14">
        <v>23</v>
      </c>
    </row>
    <row r="42" spans="1:27" x14ac:dyDescent="0.3">
      <c r="E42" s="14"/>
      <c r="F42" s="14"/>
      <c r="G42" s="14"/>
      <c r="H42" s="14"/>
      <c r="I42" s="14">
        <v>4457</v>
      </c>
      <c r="J42" s="14">
        <v>33</v>
      </c>
      <c r="K42" s="14"/>
      <c r="L42" s="14"/>
      <c r="M42" s="14">
        <v>4457</v>
      </c>
      <c r="N42" s="14">
        <v>23</v>
      </c>
    </row>
    <row r="43" spans="1:27" x14ac:dyDescent="0.3">
      <c r="E43" s="14"/>
      <c r="F43" s="14"/>
      <c r="G43" s="14"/>
      <c r="H43" s="14"/>
      <c r="I43" s="14">
        <v>4687</v>
      </c>
      <c r="J43" s="14">
        <v>37</v>
      </c>
      <c r="K43" s="14"/>
      <c r="L43" s="14"/>
      <c r="M43" s="14">
        <v>4644</v>
      </c>
      <c r="N43" s="14">
        <v>46</v>
      </c>
    </row>
    <row r="44" spans="1:27" x14ac:dyDescent="0.3">
      <c r="E44" s="14"/>
      <c r="F44" s="14"/>
      <c r="G44" s="14"/>
      <c r="H44" s="14"/>
      <c r="I44" s="14"/>
      <c r="J44" s="14"/>
      <c r="K44" s="14"/>
      <c r="L44" s="14"/>
      <c r="M44" s="14">
        <v>5250</v>
      </c>
      <c r="N44" s="14">
        <v>23</v>
      </c>
    </row>
    <row r="45" spans="1:27" x14ac:dyDescent="0.3">
      <c r="E45" s="14"/>
      <c r="F45" s="14"/>
      <c r="G45" s="14"/>
      <c r="H45" s="14"/>
      <c r="I45" s="14"/>
      <c r="J45" s="14"/>
      <c r="K45" s="14"/>
      <c r="L45" s="14"/>
      <c r="M45" s="14">
        <v>5761</v>
      </c>
      <c r="N45" s="14">
        <v>69</v>
      </c>
    </row>
    <row r="46" spans="1:27" x14ac:dyDescent="0.3">
      <c r="E46" s="14"/>
      <c r="F46" s="14"/>
      <c r="G46" s="14"/>
      <c r="H46" s="14"/>
      <c r="I46" s="14">
        <v>5947</v>
      </c>
      <c r="J46" s="14">
        <v>47</v>
      </c>
      <c r="K46" s="14"/>
      <c r="L46" s="14"/>
      <c r="M46" s="14">
        <v>5919</v>
      </c>
      <c r="N46" s="14">
        <v>46</v>
      </c>
    </row>
    <row r="47" spans="1:27" x14ac:dyDescent="0.3">
      <c r="E47" s="14"/>
      <c r="F47" s="14"/>
      <c r="G47" s="14"/>
      <c r="H47" s="14"/>
      <c r="I47" s="14">
        <v>6798</v>
      </c>
      <c r="J47" s="14">
        <v>71</v>
      </c>
      <c r="K47" s="14"/>
      <c r="L47" s="14"/>
      <c r="M47" s="14">
        <v>6791</v>
      </c>
      <c r="N47" s="14">
        <v>69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5D98-27FE-4F56-B80A-6CBF87E329ED}">
  <dimension ref="A1:L30"/>
  <sheetViews>
    <sheetView workbookViewId="0">
      <selection activeCell="D2" sqref="D2"/>
    </sheetView>
  </sheetViews>
  <sheetFormatPr defaultRowHeight="11.4" x14ac:dyDescent="0.3"/>
  <cols>
    <col min="1" max="3" width="8.88671875" style="16"/>
    <col min="4" max="4" width="10.44140625" style="16" bestFit="1" customWidth="1"/>
    <col min="5" max="16384" width="8.88671875" style="16"/>
  </cols>
  <sheetData>
    <row r="1" spans="1:12" x14ac:dyDescent="0.3">
      <c r="A1" s="16" t="s">
        <v>18</v>
      </c>
      <c r="B1" s="16" t="s">
        <v>3</v>
      </c>
      <c r="E1" s="16" t="s">
        <v>15</v>
      </c>
      <c r="I1" s="16" t="s">
        <v>21</v>
      </c>
      <c r="K1" s="16" t="s">
        <v>20</v>
      </c>
    </row>
    <row r="2" spans="1:12" x14ac:dyDescent="0.3">
      <c r="A2" s="20">
        <v>665.56</v>
      </c>
      <c r="B2" s="21">
        <f>I2-A16-A2</f>
        <v>965.24000000000024</v>
      </c>
      <c r="C2" s="20">
        <v>11</v>
      </c>
      <c r="D2" s="16" t="s">
        <v>85</v>
      </c>
      <c r="I2" s="20">
        <v>7527</v>
      </c>
      <c r="J2" s="20">
        <v>11</v>
      </c>
      <c r="K2" s="20" t="s">
        <v>24</v>
      </c>
    </row>
    <row r="3" spans="1:12" x14ac:dyDescent="0.3">
      <c r="B3" s="16">
        <v>1320</v>
      </c>
      <c r="C3" s="16">
        <v>20</v>
      </c>
      <c r="D3" s="16" t="s">
        <v>23</v>
      </c>
      <c r="E3" s="16">
        <v>16</v>
      </c>
      <c r="F3" s="16">
        <v>3</v>
      </c>
    </row>
    <row r="4" spans="1:12" x14ac:dyDescent="0.3">
      <c r="A4" s="20">
        <v>146.36000000000001</v>
      </c>
      <c r="B4" s="20">
        <v>1467</v>
      </c>
      <c r="C4" s="20">
        <v>20</v>
      </c>
      <c r="D4" s="16" t="s">
        <v>23</v>
      </c>
      <c r="E4" s="20">
        <v>100</v>
      </c>
      <c r="F4" s="20">
        <v>8</v>
      </c>
      <c r="G4" s="20">
        <f>E4+E5</f>
        <v>141</v>
      </c>
      <c r="H4" s="20">
        <f>SQRT(SUMSQ(F4+F5+F6))</f>
        <v>19</v>
      </c>
      <c r="I4" s="21">
        <f>B4+A4+$A$16</f>
        <v>7509.5599999999995</v>
      </c>
      <c r="J4" s="21">
        <f>C4</f>
        <v>20</v>
      </c>
      <c r="K4" s="20">
        <v>7504</v>
      </c>
      <c r="L4" s="20">
        <v>20</v>
      </c>
    </row>
    <row r="5" spans="1:12" x14ac:dyDescent="0.3">
      <c r="A5" s="20">
        <v>0</v>
      </c>
      <c r="B5" s="20">
        <v>1601</v>
      </c>
      <c r="C5" s="20">
        <v>20</v>
      </c>
      <c r="D5" s="16" t="s">
        <v>23</v>
      </c>
      <c r="E5" s="20">
        <v>41</v>
      </c>
      <c r="F5" s="20">
        <v>5</v>
      </c>
      <c r="G5" s="20"/>
      <c r="H5" s="20"/>
      <c r="I5" s="21">
        <f>B5+A5+$A$16</f>
        <v>7497.2</v>
      </c>
      <c r="J5" s="21">
        <f t="shared" ref="J5" si="0">C5</f>
        <v>20</v>
      </c>
      <c r="K5" s="20"/>
      <c r="L5" s="20"/>
    </row>
    <row r="6" spans="1:12" x14ac:dyDescent="0.3">
      <c r="B6" s="16">
        <v>1755</v>
      </c>
      <c r="C6" s="16">
        <v>20</v>
      </c>
      <c r="D6" s="16" t="s">
        <v>23</v>
      </c>
      <c r="E6" s="16">
        <v>42</v>
      </c>
      <c r="F6" s="16">
        <v>6</v>
      </c>
    </row>
    <row r="7" spans="1:12" x14ac:dyDescent="0.3">
      <c r="B7" s="16">
        <v>1930</v>
      </c>
      <c r="C7" s="16">
        <v>20</v>
      </c>
      <c r="D7" s="16" t="s">
        <v>23</v>
      </c>
      <c r="E7" s="16">
        <v>24</v>
      </c>
      <c r="F7" s="16">
        <v>4</v>
      </c>
      <c r="K7" s="16" t="s">
        <v>20</v>
      </c>
    </row>
    <row r="8" spans="1:12" x14ac:dyDescent="0.3">
      <c r="A8" s="22">
        <v>461</v>
      </c>
      <c r="B8" s="23">
        <v>2038</v>
      </c>
      <c r="C8" s="23">
        <v>20</v>
      </c>
      <c r="D8" s="16" t="s">
        <v>23</v>
      </c>
      <c r="E8" s="23">
        <v>17</v>
      </c>
      <c r="F8" s="23">
        <v>3</v>
      </c>
      <c r="G8" s="23">
        <f>E8+E9+E10</f>
        <v>59</v>
      </c>
      <c r="H8" s="23">
        <f>SQRT(SUMSQ(F8+F9+F10))</f>
        <v>11</v>
      </c>
      <c r="I8" s="24">
        <f>B8+A8+$A$16</f>
        <v>8395.2000000000007</v>
      </c>
      <c r="J8" s="24">
        <f>C8</f>
        <v>20</v>
      </c>
      <c r="K8" s="23" t="s">
        <v>19</v>
      </c>
    </row>
    <row r="9" spans="1:12" x14ac:dyDescent="0.3">
      <c r="A9" s="23">
        <v>146.36000000000001</v>
      </c>
      <c r="B9" s="23">
        <v>2349</v>
      </c>
      <c r="C9" s="23">
        <v>20</v>
      </c>
      <c r="D9" s="16" t="s">
        <v>23</v>
      </c>
      <c r="E9" s="23">
        <v>23</v>
      </c>
      <c r="F9" s="23">
        <v>4</v>
      </c>
      <c r="G9" s="23"/>
      <c r="H9" s="23"/>
      <c r="I9" s="24">
        <f>B9+A9+$A$16</f>
        <v>8391.56</v>
      </c>
      <c r="J9" s="24">
        <f t="shared" ref="J9:J10" si="1">C9</f>
        <v>20</v>
      </c>
      <c r="K9" s="23"/>
    </row>
    <row r="10" spans="1:12" x14ac:dyDescent="0.3">
      <c r="A10" s="23">
        <v>0</v>
      </c>
      <c r="B10" s="23">
        <v>2496</v>
      </c>
      <c r="C10" s="23">
        <v>20</v>
      </c>
      <c r="D10" s="16" t="s">
        <v>23</v>
      </c>
      <c r="E10" s="23">
        <v>19</v>
      </c>
      <c r="F10" s="23">
        <v>4</v>
      </c>
      <c r="G10" s="23"/>
      <c r="H10" s="23"/>
      <c r="I10" s="24">
        <f>B10+A10+$A$16</f>
        <v>8392.2000000000007</v>
      </c>
      <c r="J10" s="24">
        <f t="shared" si="1"/>
        <v>20</v>
      </c>
      <c r="K10" s="23"/>
    </row>
    <row r="11" spans="1:12" x14ac:dyDescent="0.3">
      <c r="B11" s="16">
        <v>2651</v>
      </c>
      <c r="C11" s="16">
        <v>20</v>
      </c>
      <c r="D11" s="16" t="s">
        <v>23</v>
      </c>
      <c r="E11" s="16">
        <v>10</v>
      </c>
      <c r="F11" s="16">
        <v>3</v>
      </c>
    </row>
    <row r="12" spans="1:12" x14ac:dyDescent="0.3">
      <c r="B12" s="16">
        <v>2890</v>
      </c>
      <c r="C12" s="16">
        <v>20</v>
      </c>
      <c r="D12" s="16" t="s">
        <v>23</v>
      </c>
      <c r="E12" s="16">
        <v>5.7</v>
      </c>
      <c r="F12" s="16">
        <v>1.8</v>
      </c>
    </row>
    <row r="13" spans="1:12" x14ac:dyDescent="0.3">
      <c r="D13" s="16" t="s">
        <v>16</v>
      </c>
      <c r="E13" s="16">
        <f>SUM(E3:E12)</f>
        <v>297.7</v>
      </c>
      <c r="F13" s="17">
        <f>SQRT(SUMSQ(F3:F12))</f>
        <v>14.25622670975739</v>
      </c>
    </row>
    <row r="14" spans="1:12" x14ac:dyDescent="0.3">
      <c r="D14" s="16" t="s">
        <v>17</v>
      </c>
      <c r="E14" s="25">
        <v>3.7000000000000002E-3</v>
      </c>
      <c r="F14" s="25">
        <v>1.5E-3</v>
      </c>
      <c r="G14" s="26">
        <f>G8/$E$13*$E$14</f>
        <v>7.3328854551561978E-4</v>
      </c>
      <c r="H14" s="26">
        <v>1.7899999999999999E-4</v>
      </c>
    </row>
    <row r="15" spans="1:12" x14ac:dyDescent="0.3">
      <c r="A15" s="16" t="s">
        <v>1</v>
      </c>
      <c r="G15" s="27">
        <f>(G4)/$E$13*$E$14</f>
        <v>1.7524353375881761E-3</v>
      </c>
      <c r="H15" s="27">
        <v>2.9799999999999998E-4</v>
      </c>
    </row>
    <row r="16" spans="1:12" x14ac:dyDescent="0.3">
      <c r="A16" s="16">
        <v>5896.2</v>
      </c>
      <c r="B16" s="16">
        <v>0.7</v>
      </c>
    </row>
    <row r="17" spans="1:6" x14ac:dyDescent="0.3">
      <c r="A17" s="16" t="s">
        <v>22</v>
      </c>
    </row>
    <row r="20" spans="1:6" x14ac:dyDescent="0.3">
      <c r="E20" s="16">
        <v>5.4</v>
      </c>
      <c r="F20" s="16">
        <v>10</v>
      </c>
    </row>
    <row r="21" spans="1:6" x14ac:dyDescent="0.3">
      <c r="E21" s="16">
        <v>33.6</v>
      </c>
      <c r="F21" s="16">
        <v>27</v>
      </c>
    </row>
    <row r="22" spans="1:6" x14ac:dyDescent="0.3">
      <c r="E22" s="16">
        <v>13.8</v>
      </c>
      <c r="F22" s="16">
        <v>17</v>
      </c>
    </row>
    <row r="23" spans="1:6" x14ac:dyDescent="0.3">
      <c r="E23" s="16">
        <v>14.1</v>
      </c>
      <c r="F23" s="16">
        <v>20</v>
      </c>
    </row>
    <row r="24" spans="1:6" x14ac:dyDescent="0.3">
      <c r="E24" s="16">
        <v>8.1</v>
      </c>
      <c r="F24" s="16">
        <v>14</v>
      </c>
    </row>
    <row r="25" spans="1:6" x14ac:dyDescent="0.3">
      <c r="E25" s="16">
        <v>5.7</v>
      </c>
      <c r="F25" s="16">
        <v>10</v>
      </c>
    </row>
    <row r="26" spans="1:6" x14ac:dyDescent="0.3">
      <c r="E26" s="16">
        <v>7.7</v>
      </c>
      <c r="F26" s="16">
        <v>13</v>
      </c>
    </row>
    <row r="27" spans="1:6" x14ac:dyDescent="0.3">
      <c r="E27" s="16">
        <v>6.4</v>
      </c>
      <c r="F27" s="16">
        <v>13</v>
      </c>
    </row>
    <row r="28" spans="1:6" x14ac:dyDescent="0.3">
      <c r="E28" s="16">
        <v>3.4</v>
      </c>
      <c r="F28" s="16">
        <v>10</v>
      </c>
    </row>
    <row r="29" spans="1:6" x14ac:dyDescent="0.3">
      <c r="E29" s="16">
        <v>1.9</v>
      </c>
      <c r="F29" s="16">
        <v>6</v>
      </c>
    </row>
    <row r="30" spans="1:6" x14ac:dyDescent="0.3">
      <c r="E30" s="16">
        <f>SUM(E20:E29)</f>
        <v>100.10000000000001</v>
      </c>
    </row>
  </sheetData>
  <phoneticPr fontId="7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5003-67F5-4A2F-AC32-71311414C574}">
  <dimension ref="A1:U42"/>
  <sheetViews>
    <sheetView tabSelected="1" topLeftCell="A19" workbookViewId="0">
      <selection activeCell="I42" sqref="I42"/>
    </sheetView>
  </sheetViews>
  <sheetFormatPr defaultColWidth="5.5546875" defaultRowHeight="11.4" x14ac:dyDescent="0.3"/>
  <cols>
    <col min="1" max="1" width="2.5546875" style="16" bestFit="1" customWidth="1"/>
    <col min="2" max="2" width="8.77734375" style="16" bestFit="1" customWidth="1"/>
    <col min="3" max="3" width="7.21875" style="16" bestFit="1" customWidth="1"/>
    <col min="4" max="4" width="10" style="16" bestFit="1" customWidth="1"/>
    <col min="5" max="5" width="7.6640625" style="16" bestFit="1" customWidth="1"/>
    <col min="6" max="6" width="6.6640625" style="16" customWidth="1"/>
    <col min="7" max="7" width="5" style="16" bestFit="1" customWidth="1"/>
    <col min="8" max="8" width="5.21875" style="16" bestFit="1" customWidth="1"/>
    <col min="9" max="9" width="4.33203125" style="16" bestFit="1" customWidth="1"/>
    <col min="10" max="10" width="6.109375" style="16" bestFit="1" customWidth="1"/>
    <col min="11" max="11" width="5.6640625" style="16" bestFit="1" customWidth="1"/>
    <col min="12" max="12" width="4.33203125" style="16" bestFit="1" customWidth="1"/>
    <col min="13" max="13" width="6.6640625" style="16" bestFit="1" customWidth="1"/>
    <col min="14" max="15" width="3.6640625" style="16" bestFit="1" customWidth="1"/>
    <col min="16" max="16384" width="5.5546875" style="16"/>
  </cols>
  <sheetData>
    <row r="1" spans="1:15" ht="12" x14ac:dyDescent="0.3">
      <c r="D1" s="16" t="s">
        <v>109</v>
      </c>
      <c r="E1" s="16" t="s">
        <v>70</v>
      </c>
      <c r="F1" s="36">
        <f>F2</f>
        <v>83.6</v>
      </c>
      <c r="G1" s="36">
        <f>G2</f>
        <v>0.5</v>
      </c>
    </row>
    <row r="2" spans="1:15" x14ac:dyDescent="0.3">
      <c r="D2" s="33" t="s">
        <v>22</v>
      </c>
      <c r="E2" s="33" t="s">
        <v>70</v>
      </c>
      <c r="F2" s="33">
        <v>83.6</v>
      </c>
      <c r="G2" s="33">
        <v>0.5</v>
      </c>
    </row>
    <row r="3" spans="1:15" x14ac:dyDescent="0.3">
      <c r="D3" s="33" t="s">
        <v>81</v>
      </c>
      <c r="E3" s="33" t="s">
        <v>70</v>
      </c>
      <c r="F3" s="33">
        <v>78</v>
      </c>
      <c r="G3" s="33">
        <v>20</v>
      </c>
      <c r="J3" s="16">
        <v>0.3</v>
      </c>
      <c r="K3" s="16">
        <v>0.5</v>
      </c>
      <c r="L3" s="16">
        <v>3</v>
      </c>
    </row>
    <row r="4" spans="1:15" x14ac:dyDescent="0.3">
      <c r="B4" s="16" t="s">
        <v>77</v>
      </c>
      <c r="I4" s="16" t="s">
        <v>74</v>
      </c>
      <c r="J4" s="16" t="s">
        <v>71</v>
      </c>
      <c r="K4" s="16" t="s">
        <v>72</v>
      </c>
      <c r="L4" s="16" t="s">
        <v>73</v>
      </c>
    </row>
    <row r="5" spans="1:15" x14ac:dyDescent="0.3">
      <c r="A5" s="16" t="s">
        <v>104</v>
      </c>
      <c r="B5" s="16" t="s">
        <v>27</v>
      </c>
      <c r="C5" s="16" t="s">
        <v>28</v>
      </c>
      <c r="D5" s="16" t="s">
        <v>29</v>
      </c>
      <c r="E5" s="16" t="s">
        <v>14</v>
      </c>
      <c r="F5" s="16" t="s">
        <v>69</v>
      </c>
      <c r="G5" s="16" t="s">
        <v>75</v>
      </c>
      <c r="H5" s="16" t="s">
        <v>76</v>
      </c>
      <c r="J5" s="16">
        <v>2091.1</v>
      </c>
      <c r="K5" s="17">
        <v>3287.7</v>
      </c>
      <c r="L5" s="16">
        <v>3873</v>
      </c>
      <c r="M5" s="16" t="s">
        <v>78</v>
      </c>
      <c r="O5" s="16" t="s">
        <v>105</v>
      </c>
    </row>
    <row r="6" spans="1:15" ht="13.2" x14ac:dyDescent="0.3">
      <c r="A6" s="16">
        <v>1</v>
      </c>
      <c r="B6" s="18" t="s">
        <v>30</v>
      </c>
      <c r="C6" s="18" t="s">
        <v>31</v>
      </c>
      <c r="D6" s="15" t="s">
        <v>32</v>
      </c>
      <c r="E6" s="16" t="str">
        <f t="shared" ref="E6:E17" si="0">LEFT(B6,4)</f>
        <v>1427</v>
      </c>
      <c r="F6" s="16">
        <f>E6/34*35</f>
        <v>1468.9705882352941</v>
      </c>
      <c r="G6" s="16" t="str">
        <f>MID(B6,6,1)</f>
        <v>5</v>
      </c>
      <c r="H6" s="19">
        <f>G6/34*35</f>
        <v>5.1470588235294121</v>
      </c>
      <c r="I6" s="19">
        <f>$F6+$F$1</f>
        <v>1552.5705882352941</v>
      </c>
      <c r="M6" s="19">
        <f>MAX(I6:L6)</f>
        <v>1552.5705882352941</v>
      </c>
      <c r="N6" s="19">
        <f>SQRT($H6^2+G$1^2)</f>
        <v>5.1712875121068231</v>
      </c>
      <c r="O6" s="16" t="s">
        <v>86</v>
      </c>
    </row>
    <row r="7" spans="1:15" ht="13.2" x14ac:dyDescent="0.3">
      <c r="A7" s="16">
        <v>3</v>
      </c>
      <c r="B7" s="18" t="s">
        <v>35</v>
      </c>
      <c r="C7" s="18" t="s">
        <v>36</v>
      </c>
      <c r="D7" s="15" t="s">
        <v>37</v>
      </c>
      <c r="E7" s="16" t="str">
        <f t="shared" si="0"/>
        <v>2727</v>
      </c>
      <c r="F7" s="16">
        <f t="shared" ref="F7:F17" si="1">E7/34*35</f>
        <v>2807.205882352941</v>
      </c>
      <c r="G7" s="16" t="str">
        <f>MID(B7,6,2)</f>
        <v>13</v>
      </c>
      <c r="H7" s="19">
        <f t="shared" ref="H7:H18" si="2">G7/34*35</f>
        <v>13.382352941176469</v>
      </c>
      <c r="I7" s="19"/>
      <c r="J7" s="19">
        <f>$F7+$F$1+J$5</f>
        <v>4981.9058823529413</v>
      </c>
      <c r="K7" s="19"/>
      <c r="L7" s="19"/>
      <c r="M7" s="30">
        <f t="shared" ref="M7:M19" si="3">MAX(I7:L7)</f>
        <v>4981.9058823529413</v>
      </c>
      <c r="N7" s="30">
        <f t="shared" ref="N7:N19" si="4">SQRT($H7^2+G$1^2)</f>
        <v>13.39169034297816</v>
      </c>
      <c r="O7" s="31" t="s">
        <v>89</v>
      </c>
    </row>
    <row r="8" spans="1:15" ht="13.2" x14ac:dyDescent="0.3">
      <c r="A8" s="16">
        <v>5</v>
      </c>
      <c r="B8" s="18" t="s">
        <v>39</v>
      </c>
      <c r="C8" s="18" t="s">
        <v>40</v>
      </c>
      <c r="D8" s="15" t="s">
        <v>32</v>
      </c>
      <c r="E8" s="16" t="str">
        <f t="shared" si="0"/>
        <v>3592</v>
      </c>
      <c r="F8" s="16">
        <f t="shared" si="1"/>
        <v>3697.6470588235293</v>
      </c>
      <c r="G8" s="16" t="str">
        <f t="shared" ref="G8:G18" si="5">MID(B8,6,2)</f>
        <v>25</v>
      </c>
      <c r="H8" s="19">
        <f t="shared" si="2"/>
        <v>25.735294117647062</v>
      </c>
      <c r="I8" s="19">
        <f>$F8+$F$1</f>
        <v>3781.2470588235292</v>
      </c>
      <c r="J8" s="19"/>
      <c r="K8" s="19"/>
      <c r="L8" s="19"/>
      <c r="M8" s="19">
        <f t="shared" si="3"/>
        <v>3781.2470588235292</v>
      </c>
      <c r="N8" s="19">
        <f t="shared" si="4"/>
        <v>25.740150802235007</v>
      </c>
      <c r="O8" s="16" t="s">
        <v>99</v>
      </c>
    </row>
    <row r="9" spans="1:15" ht="13.2" x14ac:dyDescent="0.3">
      <c r="A9" s="16">
        <v>6</v>
      </c>
      <c r="B9" s="18" t="s">
        <v>41</v>
      </c>
      <c r="C9" s="18" t="s">
        <v>42</v>
      </c>
      <c r="D9" s="15" t="s">
        <v>32</v>
      </c>
      <c r="E9" s="16" t="str">
        <f t="shared" si="0"/>
        <v>3822</v>
      </c>
      <c r="F9" s="16">
        <f t="shared" si="1"/>
        <v>3934.411764705882</v>
      </c>
      <c r="G9" s="16" t="str">
        <f t="shared" si="5"/>
        <v>36</v>
      </c>
      <c r="H9" s="19">
        <f t="shared" si="2"/>
        <v>37.058823529411768</v>
      </c>
      <c r="I9" s="19">
        <f>$F9+$F$1</f>
        <v>4018.0117647058819</v>
      </c>
      <c r="J9" s="19"/>
      <c r="K9" s="19"/>
      <c r="L9" s="19"/>
      <c r="M9" s="19">
        <f t="shared" si="3"/>
        <v>4018.0117647058819</v>
      </c>
      <c r="N9" s="19">
        <f t="shared" si="4"/>
        <v>37.062196391796363</v>
      </c>
      <c r="O9" s="16" t="s">
        <v>87</v>
      </c>
    </row>
    <row r="10" spans="1:15" ht="13.2" x14ac:dyDescent="0.3">
      <c r="A10" s="16">
        <v>7</v>
      </c>
      <c r="B10" s="18" t="s">
        <v>43</v>
      </c>
      <c r="C10" s="18" t="s">
        <v>44</v>
      </c>
      <c r="D10" s="15" t="s">
        <v>37</v>
      </c>
      <c r="E10" s="16" t="str">
        <f t="shared" si="0"/>
        <v>4041</v>
      </c>
      <c r="F10" s="16">
        <f t="shared" si="1"/>
        <v>4159.8529411764712</v>
      </c>
      <c r="G10" s="16" t="str">
        <f t="shared" si="5"/>
        <v>71</v>
      </c>
      <c r="H10" s="19">
        <f t="shared" si="2"/>
        <v>73.088235294117652</v>
      </c>
      <c r="I10" s="19"/>
      <c r="J10" s="19">
        <f>$F10+$F$1+J$5</f>
        <v>6334.552941176471</v>
      </c>
      <c r="K10" s="19"/>
      <c r="L10" s="19"/>
      <c r="M10" s="19">
        <f t="shared" si="3"/>
        <v>6334.552941176471</v>
      </c>
      <c r="N10" s="19">
        <f t="shared" si="4"/>
        <v>73.089945535677515</v>
      </c>
      <c r="O10" s="16" t="s">
        <v>97</v>
      </c>
    </row>
    <row r="11" spans="1:15" ht="13.2" x14ac:dyDescent="0.3">
      <c r="A11" s="16">
        <v>9</v>
      </c>
      <c r="B11" s="18" t="s">
        <v>47</v>
      </c>
      <c r="C11" s="18" t="s">
        <v>44</v>
      </c>
      <c r="D11" s="15" t="s">
        <v>32</v>
      </c>
      <c r="E11" s="16" t="str">
        <f t="shared" si="0"/>
        <v>4570</v>
      </c>
      <c r="F11" s="16">
        <f t="shared" si="1"/>
        <v>4704.411764705882</v>
      </c>
      <c r="G11" s="16" t="str">
        <f t="shared" si="5"/>
        <v>48</v>
      </c>
      <c r="H11" s="19">
        <f t="shared" si="2"/>
        <v>49.411764705882355</v>
      </c>
      <c r="I11" s="19">
        <f t="shared" ref="I11:I16" si="6">$F11+$F$1</f>
        <v>4788.0117647058823</v>
      </c>
      <c r="J11" s="19"/>
      <c r="K11" s="19"/>
      <c r="L11" s="19"/>
      <c r="M11" s="19">
        <f t="shared" si="3"/>
        <v>4788.0117647058823</v>
      </c>
      <c r="N11" s="19">
        <f t="shared" si="4"/>
        <v>49.414294403031612</v>
      </c>
      <c r="O11" s="16" t="s">
        <v>88</v>
      </c>
    </row>
    <row r="12" spans="1:15" ht="13.2" x14ac:dyDescent="0.3">
      <c r="A12" s="16">
        <v>10</v>
      </c>
      <c r="B12" s="18" t="s">
        <v>48</v>
      </c>
      <c r="C12" s="18" t="s">
        <v>49</v>
      </c>
      <c r="D12" s="15" t="s">
        <v>32</v>
      </c>
      <c r="E12" s="16" t="str">
        <f t="shared" si="0"/>
        <v>4754</v>
      </c>
      <c r="F12" s="16">
        <f>E12/34*35</f>
        <v>4893.823529411764</v>
      </c>
      <c r="G12" s="16" t="str">
        <f t="shared" si="5"/>
        <v>38</v>
      </c>
      <c r="H12" s="19">
        <f t="shared" si="2"/>
        <v>39.117647058823529</v>
      </c>
      <c r="I12" s="19">
        <f>$F12+$F$1</f>
        <v>4977.4235294117643</v>
      </c>
      <c r="J12" s="19"/>
      <c r="K12" s="19"/>
      <c r="L12" s="19"/>
      <c r="M12" s="30">
        <f t="shared" si="3"/>
        <v>4977.4235294117643</v>
      </c>
      <c r="N12" s="30">
        <f>SQRT($H12^2+G$1^2)</f>
        <v>39.120842417037558</v>
      </c>
      <c r="O12" s="31" t="s">
        <v>89</v>
      </c>
    </row>
    <row r="13" spans="1:15" ht="13.2" x14ac:dyDescent="0.3">
      <c r="A13" s="16">
        <v>11</v>
      </c>
      <c r="B13" s="18" t="s">
        <v>50</v>
      </c>
      <c r="C13" s="18" t="s">
        <v>51</v>
      </c>
      <c r="D13" s="15" t="s">
        <v>32</v>
      </c>
      <c r="E13" s="16" t="str">
        <f t="shared" si="0"/>
        <v>5018</v>
      </c>
      <c r="F13" s="16">
        <f t="shared" si="1"/>
        <v>5165.588235294118</v>
      </c>
      <c r="G13" s="16" t="str">
        <f t="shared" si="5"/>
        <v>71</v>
      </c>
      <c r="H13" s="19">
        <f t="shared" si="2"/>
        <v>73.088235294117652</v>
      </c>
      <c r="I13" s="19">
        <f t="shared" si="6"/>
        <v>5249.1882352941184</v>
      </c>
      <c r="J13" s="19"/>
      <c r="K13" s="19"/>
      <c r="L13" s="19"/>
      <c r="M13" s="19">
        <f t="shared" si="3"/>
        <v>5249.1882352941184</v>
      </c>
      <c r="N13" s="19">
        <f t="shared" si="4"/>
        <v>73.089945535677515</v>
      </c>
      <c r="O13" s="16" t="s">
        <v>90</v>
      </c>
    </row>
    <row r="14" spans="1:15" ht="13.2" x14ac:dyDescent="0.3">
      <c r="A14" s="16">
        <v>12</v>
      </c>
      <c r="B14" s="18" t="s">
        <v>52</v>
      </c>
      <c r="C14" s="18" t="s">
        <v>53</v>
      </c>
      <c r="D14" s="15" t="s">
        <v>32</v>
      </c>
      <c r="E14" s="16" t="str">
        <f t="shared" si="0"/>
        <v>5294</v>
      </c>
      <c r="F14" s="16">
        <f t="shared" si="1"/>
        <v>5449.7058823529414</v>
      </c>
      <c r="G14" s="16" t="str">
        <f t="shared" si="5"/>
        <v>48</v>
      </c>
      <c r="H14" s="19">
        <f t="shared" si="2"/>
        <v>49.411764705882355</v>
      </c>
      <c r="I14" s="19">
        <f t="shared" si="6"/>
        <v>5533.3058823529418</v>
      </c>
      <c r="J14" s="19"/>
      <c r="K14" s="19"/>
      <c r="L14" s="19"/>
      <c r="M14" s="19">
        <f t="shared" si="3"/>
        <v>5533.3058823529418</v>
      </c>
      <c r="N14" s="19">
        <f t="shared" si="4"/>
        <v>49.414294403031612</v>
      </c>
      <c r="O14" s="16" t="s">
        <v>91</v>
      </c>
    </row>
    <row r="15" spans="1:15" ht="13.2" x14ac:dyDescent="0.3">
      <c r="A15" s="16">
        <v>13</v>
      </c>
      <c r="B15" s="18" t="s">
        <v>54</v>
      </c>
      <c r="C15" s="18" t="s">
        <v>55</v>
      </c>
      <c r="D15" s="15" t="s">
        <v>32</v>
      </c>
      <c r="E15" s="16" t="str">
        <f t="shared" si="0"/>
        <v>5466</v>
      </c>
      <c r="F15" s="16">
        <f t="shared" si="1"/>
        <v>5626.7647058823522</v>
      </c>
      <c r="G15" s="16" t="str">
        <f t="shared" si="5"/>
        <v>48</v>
      </c>
      <c r="H15" s="19">
        <f t="shared" si="2"/>
        <v>49.411764705882355</v>
      </c>
      <c r="I15" s="19">
        <f t="shared" si="6"/>
        <v>5710.3647058823526</v>
      </c>
      <c r="J15" s="19"/>
      <c r="K15" s="19"/>
      <c r="L15" s="19"/>
      <c r="M15" s="19">
        <f t="shared" si="3"/>
        <v>5710.3647058823526</v>
      </c>
      <c r="N15" s="19">
        <f t="shared" si="4"/>
        <v>49.414294403031612</v>
      </c>
      <c r="O15" s="16" t="s">
        <v>92</v>
      </c>
    </row>
    <row r="16" spans="1:15" ht="13.2" x14ac:dyDescent="0.3">
      <c r="A16" s="16">
        <v>14</v>
      </c>
      <c r="B16" s="18" t="s">
        <v>56</v>
      </c>
      <c r="C16" s="18" t="s">
        <v>57</v>
      </c>
      <c r="D16" s="15" t="s">
        <v>32</v>
      </c>
      <c r="E16" s="16" t="str">
        <f t="shared" si="0"/>
        <v>5616</v>
      </c>
      <c r="F16" s="16">
        <f t="shared" si="1"/>
        <v>5781.176470588236</v>
      </c>
      <c r="G16" s="16" t="str">
        <f t="shared" si="5"/>
        <v>37</v>
      </c>
      <c r="H16" s="19">
        <f>G16/34*35</f>
        <v>38.088235294117645</v>
      </c>
      <c r="I16" s="19">
        <f t="shared" si="6"/>
        <v>5864.7764705882364</v>
      </c>
      <c r="J16" s="19"/>
      <c r="K16" s="19"/>
      <c r="L16" s="19"/>
      <c r="M16" s="19">
        <f t="shared" si="3"/>
        <v>5864.7764705882364</v>
      </c>
      <c r="N16" s="19">
        <f t="shared" si="4"/>
        <v>38.09151700602208</v>
      </c>
      <c r="O16" s="16" t="s">
        <v>94</v>
      </c>
    </row>
    <row r="17" spans="1:21" ht="13.2" x14ac:dyDescent="0.3">
      <c r="A17" s="16">
        <v>15</v>
      </c>
      <c r="B17" s="18" t="s">
        <v>58</v>
      </c>
      <c r="C17" s="18" t="s">
        <v>59</v>
      </c>
      <c r="D17" s="15" t="s">
        <v>32</v>
      </c>
      <c r="E17" s="16" t="str">
        <f t="shared" si="0"/>
        <v>5834</v>
      </c>
      <c r="F17" s="16">
        <f t="shared" si="1"/>
        <v>6005.588235294118</v>
      </c>
      <c r="G17" s="16" t="str">
        <f>MID(B17,6,2)</f>
        <v>60</v>
      </c>
      <c r="H17" s="19">
        <f t="shared" si="2"/>
        <v>61.764705882352942</v>
      </c>
      <c r="I17" s="19">
        <f>$F17+$F$1</f>
        <v>6089.1882352941184</v>
      </c>
      <c r="J17" s="19"/>
      <c r="K17" s="19"/>
      <c r="L17" s="19"/>
      <c r="M17" s="19">
        <f t="shared" si="3"/>
        <v>6089.1882352941184</v>
      </c>
      <c r="N17" s="19">
        <f t="shared" si="4"/>
        <v>61.766729658721317</v>
      </c>
      <c r="O17" s="16" t="s">
        <v>95</v>
      </c>
    </row>
    <row r="18" spans="1:21" ht="13.2" x14ac:dyDescent="0.3">
      <c r="A18" s="16">
        <v>17</v>
      </c>
      <c r="B18" s="18" t="s">
        <v>116</v>
      </c>
      <c r="C18" s="18" t="s">
        <v>61</v>
      </c>
      <c r="D18" s="15" t="s">
        <v>37</v>
      </c>
      <c r="E18" s="16" t="str">
        <f t="shared" ref="E18" si="7">LEFT(B18,4)</f>
        <v>6783</v>
      </c>
      <c r="F18" s="16">
        <f>E18/34*35</f>
        <v>6982.5</v>
      </c>
      <c r="G18" s="16" t="str">
        <f t="shared" si="5"/>
        <v>22</v>
      </c>
      <c r="H18" s="19">
        <f t="shared" si="2"/>
        <v>22.647058823529413</v>
      </c>
      <c r="I18" s="19"/>
      <c r="J18" s="19">
        <f>$F18+$F$1+J$5</f>
        <v>9157.2000000000007</v>
      </c>
      <c r="M18" s="38">
        <f>MAX(I18:L18)</f>
        <v>9157.2000000000007</v>
      </c>
      <c r="N18" s="38">
        <f t="shared" si="4"/>
        <v>22.652577631616261</v>
      </c>
      <c r="O18" s="39" t="s">
        <v>103</v>
      </c>
      <c r="P18" s="39" t="s">
        <v>113</v>
      </c>
    </row>
    <row r="19" spans="1:21" ht="13.2" x14ac:dyDescent="0.3">
      <c r="A19" s="16">
        <v>19</v>
      </c>
      <c r="B19" s="18" t="s">
        <v>63</v>
      </c>
      <c r="C19" s="18" t="s">
        <v>64</v>
      </c>
      <c r="D19" s="15" t="s">
        <v>32</v>
      </c>
      <c r="E19" s="16" t="str">
        <f>LEFT(B19,4)</f>
        <v>8802</v>
      </c>
      <c r="F19" s="16">
        <f>E19/34*35</f>
        <v>9060.8823529411766</v>
      </c>
      <c r="G19" s="16" t="str">
        <f>MID(B19,6,2)</f>
        <v>89</v>
      </c>
      <c r="H19" s="19">
        <f>G19/34*35</f>
        <v>91.617647058823536</v>
      </c>
      <c r="I19" s="19">
        <f>$F19+$F$1</f>
        <v>9144.4823529411769</v>
      </c>
      <c r="M19" s="38">
        <f t="shared" si="3"/>
        <v>9144.4823529411769</v>
      </c>
      <c r="N19" s="38">
        <f t="shared" si="4"/>
        <v>91.61901141463575</v>
      </c>
      <c r="O19" s="39" t="s">
        <v>103</v>
      </c>
      <c r="P19" s="39" t="s">
        <v>113</v>
      </c>
    </row>
    <row r="20" spans="1:21" x14ac:dyDescent="0.3">
      <c r="B20" s="18"/>
      <c r="C20" s="18"/>
      <c r="H20" s="19"/>
      <c r="I20" s="19"/>
      <c r="M20" s="19"/>
      <c r="N20" s="19"/>
    </row>
    <row r="21" spans="1:21" ht="13.2" x14ac:dyDescent="0.3">
      <c r="A21" s="16">
        <v>4</v>
      </c>
      <c r="B21" s="18" t="s">
        <v>66</v>
      </c>
      <c r="C21" s="18" t="s">
        <v>38</v>
      </c>
      <c r="D21" s="15" t="s">
        <v>37</v>
      </c>
      <c r="E21" s="19" t="str">
        <f>LEFT(B21,4)</f>
        <v>2947</v>
      </c>
      <c r="F21" s="16">
        <f>E21/34*35</f>
        <v>3033.6764705882351</v>
      </c>
      <c r="G21" s="19"/>
      <c r="I21" s="19"/>
      <c r="J21" s="19">
        <f>$F21+$F$1+J$5</f>
        <v>5208.376470588235</v>
      </c>
      <c r="P21" s="24">
        <f>MAX(I21:L21)</f>
        <v>5208.376470588235</v>
      </c>
      <c r="Q21" s="23" t="s">
        <v>82</v>
      </c>
      <c r="R21" s="16" t="s">
        <v>101</v>
      </c>
    </row>
    <row r="22" spans="1:21" ht="13.2" x14ac:dyDescent="0.3">
      <c r="A22" s="16">
        <v>16</v>
      </c>
      <c r="B22" s="18" t="s">
        <v>67</v>
      </c>
      <c r="C22" s="18" t="s">
        <v>60</v>
      </c>
      <c r="D22" s="15" t="s">
        <v>32</v>
      </c>
      <c r="E22" s="19" t="str">
        <f>LEFT(B22,4)</f>
        <v>5983</v>
      </c>
      <c r="F22" s="16">
        <f>E22/34*35</f>
        <v>6158.9705882352937</v>
      </c>
      <c r="G22" s="19"/>
      <c r="I22" s="19">
        <f>$F22+$F$1</f>
        <v>6242.5705882352941</v>
      </c>
      <c r="J22" s="19"/>
      <c r="P22" s="21">
        <f>MAX(I22:L22)</f>
        <v>6242.5705882352941</v>
      </c>
      <c r="Q22" s="20" t="s">
        <v>82</v>
      </c>
      <c r="R22" s="16" t="s">
        <v>102</v>
      </c>
    </row>
    <row r="23" spans="1:21" ht="13.2" x14ac:dyDescent="0.3">
      <c r="A23" s="16">
        <v>18</v>
      </c>
      <c r="B23" s="18" t="s">
        <v>68</v>
      </c>
      <c r="C23" s="18" t="s">
        <v>62</v>
      </c>
      <c r="D23" s="15" t="s">
        <v>32</v>
      </c>
      <c r="E23" s="19" t="str">
        <f>LEFT(B23,4)</f>
        <v>7131</v>
      </c>
      <c r="F23" s="16">
        <f>E23/34*35</f>
        <v>7340.7352941176478</v>
      </c>
      <c r="G23" s="19"/>
      <c r="I23" s="19">
        <f>$F23+$F$1</f>
        <v>7424.3352941176481</v>
      </c>
      <c r="J23" s="19"/>
      <c r="P23" s="28">
        <f>MAX(I23:L23)</f>
        <v>7424.3352941176481</v>
      </c>
      <c r="Q23" s="29" t="s">
        <v>82</v>
      </c>
      <c r="R23" s="16" t="s">
        <v>98</v>
      </c>
    </row>
    <row r="24" spans="1:21" ht="13.2" x14ac:dyDescent="0.3">
      <c r="A24" s="16">
        <v>4</v>
      </c>
      <c r="B24" s="18" t="s">
        <v>66</v>
      </c>
      <c r="C24" s="18" t="s">
        <v>38</v>
      </c>
      <c r="D24" s="15" t="s">
        <v>37</v>
      </c>
      <c r="E24" s="19" t="str">
        <f>RIGHT(B24,4)</f>
        <v>3500</v>
      </c>
      <c r="F24" s="16">
        <f>E24/34*35</f>
        <v>3602.9411764705883</v>
      </c>
      <c r="J24" s="19">
        <f>$F24+$F$1+J$5</f>
        <v>5777.6411764705881</v>
      </c>
      <c r="S24" s="24">
        <f>MAX(I24:L24)</f>
        <v>5777.6411764705881</v>
      </c>
      <c r="T24" s="24" t="s">
        <v>83</v>
      </c>
      <c r="U24" s="16" t="str">
        <f>R21</f>
        <v>L8</v>
      </c>
    </row>
    <row r="25" spans="1:21" ht="13.2" x14ac:dyDescent="0.3">
      <c r="A25" s="16">
        <v>16</v>
      </c>
      <c r="B25" s="18" t="s">
        <v>67</v>
      </c>
      <c r="C25" s="18" t="s">
        <v>60</v>
      </c>
      <c r="D25" s="15" t="s">
        <v>32</v>
      </c>
      <c r="E25" s="19" t="str">
        <f t="shared" ref="E25" si="8">RIGHT(B25,4)</f>
        <v>6649</v>
      </c>
      <c r="F25" s="16">
        <f t="shared" ref="F25:F26" si="9">E25/34*35</f>
        <v>6844.5588235294117</v>
      </c>
      <c r="I25" s="19">
        <f>$F25+$F$1</f>
        <v>6928.1588235294121</v>
      </c>
      <c r="S25" s="21">
        <f>MAX(I25:L25)</f>
        <v>6928.1588235294121</v>
      </c>
      <c r="T25" s="21" t="s">
        <v>83</v>
      </c>
      <c r="U25" s="16" t="str">
        <f>R22</f>
        <v>L16</v>
      </c>
    </row>
    <row r="26" spans="1:21" ht="13.2" x14ac:dyDescent="0.3">
      <c r="A26" s="16">
        <v>18</v>
      </c>
      <c r="B26" s="18" t="s">
        <v>68</v>
      </c>
      <c r="C26" s="18" t="s">
        <v>62</v>
      </c>
      <c r="D26" s="15" t="s">
        <v>32</v>
      </c>
      <c r="E26" s="19" t="str">
        <f>RIGHT(B26,4)</f>
        <v>7887</v>
      </c>
      <c r="F26" s="16">
        <f t="shared" si="9"/>
        <v>8118.9705882352937</v>
      </c>
      <c r="I26" s="19">
        <f>$F26+$F$1</f>
        <v>8202.5705882352941</v>
      </c>
      <c r="S26" s="28">
        <f>MAX(I26:L26)</f>
        <v>8202.5705882352941</v>
      </c>
      <c r="T26" s="28" t="s">
        <v>83</v>
      </c>
      <c r="U26" s="16" t="str">
        <f>R23</f>
        <v>L17</v>
      </c>
    </row>
    <row r="27" spans="1:21" ht="13.2" x14ac:dyDescent="0.3">
      <c r="A27" s="16">
        <v>4</v>
      </c>
      <c r="B27" s="18" t="s">
        <v>66</v>
      </c>
      <c r="C27" s="18" t="s">
        <v>38</v>
      </c>
      <c r="D27" s="15" t="s">
        <v>37</v>
      </c>
      <c r="E27" s="42">
        <f>(LEFT(B21,4)+RIGHT(B21,4))/2</f>
        <v>3223.5</v>
      </c>
      <c r="F27" s="16">
        <f>E27/34*35</f>
        <v>3318.3088235294117</v>
      </c>
      <c r="G27" s="19"/>
      <c r="I27" s="19"/>
      <c r="J27" s="19">
        <f>$F27+$F$1+J$5</f>
        <v>5493.0088235294115</v>
      </c>
      <c r="M27" s="37">
        <f>MAX(I27:L27)</f>
        <v>5493.0088235294115</v>
      </c>
      <c r="N27" s="37" t="s">
        <v>84</v>
      </c>
      <c r="O27" s="36" t="str">
        <f>R21</f>
        <v>L8</v>
      </c>
    </row>
    <row r="28" spans="1:21" ht="13.2" x14ac:dyDescent="0.3">
      <c r="A28" s="16">
        <v>16</v>
      </c>
      <c r="B28" s="18" t="s">
        <v>67</v>
      </c>
      <c r="C28" s="18" t="s">
        <v>60</v>
      </c>
      <c r="D28" s="15" t="s">
        <v>32</v>
      </c>
      <c r="E28" s="36">
        <f>(LEFT(B22,4)+RIGHT(B22,4))/2</f>
        <v>6316</v>
      </c>
      <c r="F28" s="16">
        <f>E28/34*35</f>
        <v>6501.7647058823522</v>
      </c>
      <c r="G28" s="19"/>
      <c r="I28" s="19">
        <f>$F28+$F$1</f>
        <v>6585.3647058823526</v>
      </c>
      <c r="J28" s="19"/>
      <c r="M28" s="40">
        <f>MAX(I28:L28)</f>
        <v>6585.3647058823526</v>
      </c>
      <c r="N28" s="40" t="s">
        <v>84</v>
      </c>
      <c r="O28" s="36" t="str">
        <f>R22</f>
        <v>L16</v>
      </c>
    </row>
    <row r="29" spans="1:21" ht="13.2" x14ac:dyDescent="0.3">
      <c r="A29" s="16">
        <v>18</v>
      </c>
      <c r="B29" s="18" t="s">
        <v>68</v>
      </c>
      <c r="C29" s="18" t="s">
        <v>62</v>
      </c>
      <c r="D29" s="15" t="s">
        <v>32</v>
      </c>
      <c r="E29" s="36">
        <f>(LEFT(B23,4)+RIGHT(B23,4))/2</f>
        <v>7509</v>
      </c>
      <c r="F29" s="16">
        <f>E29/34*35</f>
        <v>7729.8529411764703</v>
      </c>
      <c r="G29" s="19"/>
      <c r="I29" s="19">
        <f>$F29+$F$1</f>
        <v>7813.4529411764706</v>
      </c>
      <c r="J29" s="19"/>
      <c r="M29" s="41">
        <f>MAX(I29:L29)</f>
        <v>7813.4529411764706</v>
      </c>
      <c r="N29" s="41" t="s">
        <v>84</v>
      </c>
      <c r="O29" s="36" t="str">
        <f>R23</f>
        <v>L17</v>
      </c>
    </row>
    <row r="30" spans="1:21" ht="12" x14ac:dyDescent="0.3">
      <c r="M30" s="36"/>
      <c r="N30" s="36"/>
      <c r="O30" s="36"/>
    </row>
    <row r="31" spans="1:21" ht="13.2" x14ac:dyDescent="0.3">
      <c r="A31" s="16">
        <v>2</v>
      </c>
      <c r="B31" s="18" t="s">
        <v>65</v>
      </c>
      <c r="C31" s="18" t="s">
        <v>33</v>
      </c>
      <c r="D31" s="15" t="s">
        <v>34</v>
      </c>
      <c r="E31" s="16" t="str">
        <f>LEFT(B31,4)</f>
        <v>1909</v>
      </c>
      <c r="F31" s="16">
        <f>E31/34*35</f>
        <v>1965.1470588235295</v>
      </c>
      <c r="G31" s="34" t="s">
        <v>110</v>
      </c>
      <c r="H31" s="16" t="s">
        <v>106</v>
      </c>
      <c r="I31" s="16" t="s">
        <v>82</v>
      </c>
      <c r="J31" s="19">
        <f>$F31+$F$1+J$5</f>
        <v>4139.8470588235296</v>
      </c>
      <c r="K31" s="19">
        <f t="shared" ref="J31:L33" si="10">$F31+$F$1+K$5</f>
        <v>5336.447058823529</v>
      </c>
      <c r="L31" s="19">
        <f t="shared" si="10"/>
        <v>5921.7470588235301</v>
      </c>
      <c r="M31" s="37">
        <f>J33</f>
        <v>4519.7</v>
      </c>
      <c r="N31" s="37" t="s">
        <v>84</v>
      </c>
      <c r="O31" s="36" t="str">
        <f>R31</f>
        <v>L4</v>
      </c>
      <c r="P31" s="24">
        <f>J31</f>
        <v>4139.8470588235296</v>
      </c>
      <c r="Q31" s="23" t="s">
        <v>82</v>
      </c>
      <c r="R31" s="16" t="s">
        <v>100</v>
      </c>
      <c r="S31" s="24">
        <f>J32</f>
        <v>4899.552941176471</v>
      </c>
      <c r="T31" s="24" t="s">
        <v>83</v>
      </c>
      <c r="U31" s="16" t="str">
        <f>R31</f>
        <v>L4</v>
      </c>
    </row>
    <row r="32" spans="1:21" ht="13.2" x14ac:dyDescent="0.3">
      <c r="A32" s="16">
        <v>2</v>
      </c>
      <c r="B32" s="18" t="s">
        <v>65</v>
      </c>
      <c r="C32" s="18" t="s">
        <v>33</v>
      </c>
      <c r="D32" s="15" t="s">
        <v>34</v>
      </c>
      <c r="E32" s="19" t="str">
        <f>RIGHT(B32,4)</f>
        <v>2647</v>
      </c>
      <c r="F32" s="16">
        <f>E32/34*35</f>
        <v>2724.8529411764707</v>
      </c>
      <c r="G32" s="35" t="s">
        <v>111</v>
      </c>
      <c r="H32" s="16" t="s">
        <v>107</v>
      </c>
      <c r="I32" s="19" t="s">
        <v>83</v>
      </c>
      <c r="J32" s="19">
        <f>$F32+$F$1+J$5</f>
        <v>4899.552941176471</v>
      </c>
      <c r="K32" s="19">
        <f t="shared" si="10"/>
        <v>6096.1529411764704</v>
      </c>
      <c r="L32" s="19">
        <f t="shared" si="10"/>
        <v>6681.4529411764706</v>
      </c>
      <c r="M32" s="40">
        <f>K33</f>
        <v>5716.2999999999993</v>
      </c>
      <c r="N32" s="40" t="s">
        <v>84</v>
      </c>
      <c r="O32" s="36" t="str">
        <f>R32</f>
        <v>L11</v>
      </c>
      <c r="P32" s="21">
        <f>K31</f>
        <v>5336.447058823529</v>
      </c>
      <c r="Q32" s="20" t="s">
        <v>82</v>
      </c>
      <c r="R32" s="16" t="s">
        <v>93</v>
      </c>
      <c r="S32" s="21">
        <f>K32</f>
        <v>6096.1529411764704</v>
      </c>
      <c r="T32" s="21" t="s">
        <v>83</v>
      </c>
      <c r="U32" s="16" t="str">
        <f>R32</f>
        <v>L11</v>
      </c>
    </row>
    <row r="33" spans="1:21" ht="13.2" x14ac:dyDescent="0.3">
      <c r="A33" s="16">
        <v>2</v>
      </c>
      <c r="B33" s="18" t="s">
        <v>65</v>
      </c>
      <c r="C33" s="18" t="s">
        <v>33</v>
      </c>
      <c r="D33" s="15" t="s">
        <v>34</v>
      </c>
      <c r="E33" s="36">
        <f>(LEFT(B33,4)+RIGHT(B33,4))/2</f>
        <v>2278</v>
      </c>
      <c r="F33" s="16">
        <f>E33/34*35</f>
        <v>2345</v>
      </c>
      <c r="G33" s="35" t="s">
        <v>112</v>
      </c>
      <c r="H33" s="16" t="s">
        <v>108</v>
      </c>
      <c r="I33" s="16" t="s">
        <v>84</v>
      </c>
      <c r="J33" s="19">
        <f t="shared" si="10"/>
        <v>4519.7</v>
      </c>
      <c r="K33" s="19">
        <f t="shared" si="10"/>
        <v>5716.2999999999993</v>
      </c>
      <c r="L33" s="19">
        <f t="shared" si="10"/>
        <v>6301.6</v>
      </c>
      <c r="M33" s="41">
        <f>L33</f>
        <v>6301.6</v>
      </c>
      <c r="N33" s="41" t="s">
        <v>84</v>
      </c>
      <c r="O33" s="36" t="str">
        <f>R33</f>
        <v>L14</v>
      </c>
      <c r="P33" s="28">
        <f>L31</f>
        <v>5921.7470588235301</v>
      </c>
      <c r="Q33" s="29" t="s">
        <v>82</v>
      </c>
      <c r="R33" s="16" t="s">
        <v>96</v>
      </c>
      <c r="S33" s="28">
        <f>L32</f>
        <v>6681.4529411764706</v>
      </c>
      <c r="T33" s="28" t="s">
        <v>83</v>
      </c>
      <c r="U33" s="16" t="str">
        <f>R33</f>
        <v>L14</v>
      </c>
    </row>
    <row r="36" spans="1:21" ht="12" x14ac:dyDescent="0.3">
      <c r="D36" s="16" t="s">
        <v>109</v>
      </c>
      <c r="E36" s="16" t="s">
        <v>80</v>
      </c>
      <c r="F36" s="36">
        <f>F37</f>
        <v>4747.5</v>
      </c>
      <c r="G36" s="36">
        <f>G37</f>
        <v>0.6</v>
      </c>
    </row>
    <row r="37" spans="1:21" x14ac:dyDescent="0.3">
      <c r="D37" s="32" t="s">
        <v>22</v>
      </c>
      <c r="E37" s="32" t="s">
        <v>80</v>
      </c>
      <c r="F37" s="32">
        <v>4747.5</v>
      </c>
      <c r="G37" s="32">
        <v>0.6</v>
      </c>
    </row>
    <row r="38" spans="1:21" x14ac:dyDescent="0.3">
      <c r="D38" s="32" t="s">
        <v>81</v>
      </c>
      <c r="E38" s="32" t="s">
        <v>80</v>
      </c>
      <c r="F38" s="32">
        <v>4742</v>
      </c>
      <c r="G38" s="32">
        <v>20</v>
      </c>
    </row>
    <row r="39" spans="1:21" ht="13.2" x14ac:dyDescent="0.3">
      <c r="A39" s="16">
        <v>8</v>
      </c>
      <c r="B39" s="18" t="s">
        <v>79</v>
      </c>
      <c r="C39" s="18" t="s">
        <v>45</v>
      </c>
      <c r="D39" s="15" t="s">
        <v>46</v>
      </c>
      <c r="E39" s="16" t="str">
        <f>LEFT(B39,4)</f>
        <v>4305</v>
      </c>
      <c r="F39" s="16">
        <f>E39/34*35</f>
        <v>4431.6176470588234</v>
      </c>
      <c r="G39" s="16" t="str">
        <f>MID(B39,6,2)</f>
        <v>26</v>
      </c>
      <c r="H39" s="19">
        <f>G39/34*35</f>
        <v>26.764705882352938</v>
      </c>
      <c r="I39" s="19">
        <f>$F39+$F$36+7</f>
        <v>9186.1176470588234</v>
      </c>
      <c r="M39" s="38">
        <f>MAX(I39:L39)</f>
        <v>9186.1176470588234</v>
      </c>
      <c r="N39" s="38">
        <f>SQRT($H39^2+G$36^2)</f>
        <v>26.771430312347114</v>
      </c>
      <c r="O39" s="39" t="s">
        <v>103</v>
      </c>
      <c r="P39" s="39" t="s">
        <v>113</v>
      </c>
    </row>
    <row r="40" spans="1:21" ht="13.2" x14ac:dyDescent="0.3">
      <c r="B40" s="16" t="s">
        <v>114</v>
      </c>
      <c r="D40" s="15" t="s">
        <v>46</v>
      </c>
      <c r="E40" s="16">
        <v>4089</v>
      </c>
      <c r="F40" s="16">
        <v>4311</v>
      </c>
      <c r="G40" s="16">
        <v>30</v>
      </c>
      <c r="H40" s="19">
        <v>40</v>
      </c>
      <c r="I40" s="19">
        <f>$F40+$F$36</f>
        <v>9058.5</v>
      </c>
    </row>
    <row r="41" spans="1:21" ht="13.2" x14ac:dyDescent="0.3">
      <c r="B41" s="16" t="s">
        <v>114</v>
      </c>
      <c r="D41" s="15" t="s">
        <v>115</v>
      </c>
      <c r="E41" s="16">
        <v>3287</v>
      </c>
      <c r="G41" s="16">
        <v>30</v>
      </c>
    </row>
    <row r="42" spans="1:21" x14ac:dyDescent="0.3">
      <c r="B42" s="16" t="s">
        <v>114</v>
      </c>
      <c r="D42" s="16" t="s">
        <v>117</v>
      </c>
      <c r="E42" s="16">
        <v>2213</v>
      </c>
      <c r="F42" s="16">
        <f>E42/34*35</f>
        <v>2278.088235294118</v>
      </c>
      <c r="I42" s="19">
        <f>$F42+$F$1</f>
        <v>2361.6882352941179</v>
      </c>
    </row>
  </sheetData>
  <phoneticPr fontId="7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36Ca</vt:lpstr>
      <vt:lpstr>35K</vt:lpstr>
      <vt:lpstr>35Ca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2025-04-08T01:50:29Z</dcterms:created>
  <dcterms:modified xsi:type="dcterms:W3CDTF">2025-05-05T23:32:20Z</dcterms:modified>
</cp:coreProperties>
</file>