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\Downloads\"/>
    </mc:Choice>
  </mc:AlternateContent>
  <xr:revisionPtr revIDLastSave="0" documentId="13_ncr:1_{5163FC82-4EDE-4D5C-941B-47EBEFDA88A0}" xr6:coauthVersionLast="47" xr6:coauthVersionMax="47" xr10:uidLastSave="{00000000-0000-0000-0000-000000000000}"/>
  <bookViews>
    <workbookView xWindow="-108" yWindow="-108" windowWidth="23256" windowHeight="12720" tabRatio="598" firstSheet="8" activeTab="12" xr2:uid="{00000000-000D-0000-FFFF-FFFF00000000}"/>
  </bookViews>
  <sheets>
    <sheet name="677keVLevel" sheetId="1" r:id="rId1"/>
    <sheet name="709keVLevel" sheetId="2" r:id="rId2"/>
    <sheet name="1454keVLevel" sheetId="6" r:id="rId3"/>
    <sheet name="1973keVLevel" sheetId="11" r:id="rId4"/>
    <sheet name="2539keVLevel" sheetId="16" r:id="rId5"/>
    <sheet name="AllLevelsFitStats" sheetId="21" r:id="rId6"/>
    <sheet name="GetSeGAEfficiency" sheetId="18" r:id="rId7"/>
    <sheet name="EfficiencyCorrections" sheetId="23" r:id="rId8"/>
    <sheet name="ContaminantEffects" sheetId="24" r:id="rId9"/>
    <sheet name="FinalEnergyCalibration" sheetId="20" r:id="rId10"/>
    <sheet name="FinalizeBetaFeedings" sheetId="25" r:id="rId11"/>
    <sheet name="TableI" sheetId="27" r:id="rId12"/>
    <sheet name="Log(ft)Values" sheetId="26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26" l="1"/>
  <c r="P24" i="26"/>
  <c r="P3" i="26"/>
  <c r="P4" i="26"/>
  <c r="P5" i="26"/>
  <c r="P6" i="26"/>
  <c r="P7" i="26"/>
  <c r="P8" i="26"/>
  <c r="P9" i="26"/>
  <c r="P10" i="26"/>
  <c r="P11" i="26"/>
  <c r="P12" i="26"/>
  <c r="P13" i="26"/>
  <c r="P14" i="26"/>
  <c r="P15" i="26"/>
  <c r="P16" i="26"/>
  <c r="P17" i="26"/>
  <c r="P18" i="26"/>
  <c r="P19" i="26"/>
  <c r="P20" i="26"/>
  <c r="P21" i="26"/>
  <c r="P22" i="26"/>
  <c r="P23" i="26"/>
  <c r="P2" i="26"/>
  <c r="O3" i="26"/>
  <c r="O4" i="26"/>
  <c r="O5" i="26"/>
  <c r="O6" i="26"/>
  <c r="O7" i="26"/>
  <c r="O8" i="26"/>
  <c r="O9" i="26"/>
  <c r="O10" i="26"/>
  <c r="O11" i="26"/>
  <c r="O12" i="26"/>
  <c r="O13" i="26"/>
  <c r="O14" i="26"/>
  <c r="O15" i="26"/>
  <c r="O16" i="26"/>
  <c r="O17" i="26"/>
  <c r="O18" i="26"/>
  <c r="O19" i="26"/>
  <c r="O20" i="26"/>
  <c r="O21" i="26"/>
  <c r="O22" i="26"/>
  <c r="O23" i="26"/>
  <c r="O24" i="26"/>
  <c r="J2" i="26"/>
  <c r="K2" i="26"/>
  <c r="U3" i="25"/>
  <c r="T32" i="25"/>
  <c r="U32" i="25"/>
  <c r="T30" i="25"/>
  <c r="U30" i="25"/>
  <c r="U29" i="25"/>
  <c r="U20" i="25"/>
  <c r="U17" i="25"/>
  <c r="T15" i="25"/>
  <c r="U15" i="25"/>
  <c r="T13" i="25"/>
  <c r="U13" i="25"/>
  <c r="U12" i="25"/>
  <c r="U11" i="25"/>
  <c r="T9" i="25"/>
  <c r="U9" i="25"/>
  <c r="U8" i="25"/>
  <c r="U7" i="25"/>
  <c r="T3" i="25"/>
  <c r="S3" i="25"/>
  <c r="R3" i="25"/>
  <c r="R2" i="25"/>
  <c r="Q2" i="25"/>
  <c r="P2" i="25"/>
  <c r="S48" i="24"/>
  <c r="S47" i="24"/>
  <c r="R48" i="24"/>
  <c r="R47" i="24"/>
  <c r="S45" i="24"/>
  <c r="R45" i="24"/>
  <c r="S44" i="24"/>
  <c r="R44" i="24"/>
  <c r="S36" i="24"/>
  <c r="S37" i="24"/>
  <c r="S38" i="24"/>
  <c r="S39" i="24"/>
  <c r="S40" i="24"/>
  <c r="S41" i="24"/>
  <c r="S42" i="24"/>
  <c r="S43" i="24"/>
  <c r="R36" i="24"/>
  <c r="R37" i="24"/>
  <c r="R38" i="24"/>
  <c r="R39" i="24"/>
  <c r="R40" i="24"/>
  <c r="R41" i="24"/>
  <c r="R42" i="24"/>
  <c r="R43" i="24"/>
  <c r="S35" i="24"/>
  <c r="R35" i="24"/>
  <c r="S34" i="24"/>
  <c r="R34" i="24"/>
  <c r="R33" i="24"/>
  <c r="S33" i="24"/>
  <c r="S32" i="24"/>
  <c r="R32" i="24"/>
  <c r="S25" i="24"/>
  <c r="S26" i="24"/>
  <c r="S27" i="24"/>
  <c r="S28" i="24"/>
  <c r="S29" i="24"/>
  <c r="S30" i="24"/>
  <c r="S24" i="24"/>
  <c r="R25" i="24"/>
  <c r="R26" i="24"/>
  <c r="R27" i="24"/>
  <c r="R28" i="24"/>
  <c r="R29" i="24"/>
  <c r="R30" i="24"/>
  <c r="R24" i="24"/>
  <c r="S18" i="24"/>
  <c r="S19" i="24"/>
  <c r="S20" i="24"/>
  <c r="S21" i="24"/>
  <c r="S22" i="24"/>
  <c r="R18" i="24"/>
  <c r="R19" i="24"/>
  <c r="R20" i="24"/>
  <c r="R21" i="24"/>
  <c r="R22" i="24"/>
  <c r="S17" i="24"/>
  <c r="R17" i="24"/>
  <c r="S15" i="24"/>
  <c r="R15" i="24"/>
  <c r="S14" i="24"/>
  <c r="R14" i="24"/>
  <c r="K68" i="24"/>
  <c r="I68" i="24"/>
  <c r="J68" i="24"/>
  <c r="C68" i="24"/>
  <c r="G68" i="24" s="1"/>
  <c r="C63" i="24"/>
  <c r="E63" i="24"/>
  <c r="J70" i="24"/>
  <c r="J69" i="24"/>
  <c r="I70" i="24"/>
  <c r="I69" i="24"/>
  <c r="H68" i="24"/>
  <c r="H70" i="24"/>
  <c r="P32" i="25"/>
  <c r="R32" i="25" s="1"/>
  <c r="P31" i="25"/>
  <c r="Q31" i="25" s="1"/>
  <c r="S2" i="25"/>
  <c r="W39" i="23"/>
  <c r="L67" i="23"/>
  <c r="H69" i="24"/>
  <c r="P55" i="24"/>
  <c r="O55" i="24"/>
  <c r="O64" i="24" s="1"/>
  <c r="P64" i="24" s="1"/>
  <c r="B58" i="24"/>
  <c r="I135" i="24"/>
  <c r="I139" i="24"/>
  <c r="I138" i="24"/>
  <c r="I136" i="24"/>
  <c r="I137" i="24"/>
  <c r="I140" i="24"/>
  <c r="I141" i="24"/>
  <c r="I134" i="24"/>
  <c r="C138" i="24"/>
  <c r="C135" i="24"/>
  <c r="C126" i="24"/>
  <c r="C127" i="24"/>
  <c r="C124" i="24"/>
  <c r="C131" i="24"/>
  <c r="C130" i="24"/>
  <c r="C129" i="24"/>
  <c r="C128" i="24"/>
  <c r="C125" i="24"/>
  <c r="C119" i="24"/>
  <c r="C120" i="24"/>
  <c r="C118" i="24"/>
  <c r="C117" i="24"/>
  <c r="C114" i="24"/>
  <c r="C110" i="24"/>
  <c r="C109" i="24"/>
  <c r="C108" i="24"/>
  <c r="C107" i="24"/>
  <c r="C106" i="24"/>
  <c r="C103" i="24"/>
  <c r="C102" i="24"/>
  <c r="C101" i="24"/>
  <c r="C100" i="24"/>
  <c r="C99" i="24"/>
  <c r="C95" i="24"/>
  <c r="C94" i="24"/>
  <c r="C93" i="24"/>
  <c r="C92" i="24"/>
  <c r="C91" i="24"/>
  <c r="AB23" i="23"/>
  <c r="AA28" i="23"/>
  <c r="AB27" i="23"/>
  <c r="AB34" i="23"/>
  <c r="AB26" i="23"/>
  <c r="AB22" i="23"/>
  <c r="E75" i="24"/>
  <c r="D75" i="24"/>
  <c r="C75" i="24"/>
  <c r="C76" i="24"/>
  <c r="D76" i="24" s="1"/>
  <c r="E76" i="24" s="1"/>
  <c r="C77" i="24"/>
  <c r="D77" i="24" s="1"/>
  <c r="E77" i="24" s="1"/>
  <c r="C78" i="24"/>
  <c r="D78" i="24" s="1"/>
  <c r="E78" i="24" s="1"/>
  <c r="C79" i="24"/>
  <c r="D79" i="24" s="1"/>
  <c r="E79" i="24" s="1"/>
  <c r="C80" i="24"/>
  <c r="D80" i="24" s="1"/>
  <c r="E80" i="24" s="1"/>
  <c r="C81" i="24"/>
  <c r="D81" i="24" s="1"/>
  <c r="E81" i="24" s="1"/>
  <c r="C82" i="24"/>
  <c r="D82" i="24" s="1"/>
  <c r="E82" i="24" s="1"/>
  <c r="C83" i="24"/>
  <c r="D83" i="24" s="1"/>
  <c r="E83" i="24" s="1"/>
  <c r="C84" i="24"/>
  <c r="D84" i="24" s="1"/>
  <c r="E84" i="24" s="1"/>
  <c r="C85" i="24"/>
  <c r="D85" i="24" s="1"/>
  <c r="E85" i="24" s="1"/>
  <c r="C86" i="24"/>
  <c r="D86" i="24" s="1"/>
  <c r="E86" i="24" s="1"/>
  <c r="C87" i="24"/>
  <c r="D87" i="24" s="1"/>
  <c r="E87" i="24" s="1"/>
  <c r="C88" i="24"/>
  <c r="D88" i="24" s="1"/>
  <c r="E88" i="24" s="1"/>
  <c r="L53" i="23"/>
  <c r="L39" i="23"/>
  <c r="L41" i="23"/>
  <c r="L44" i="23"/>
  <c r="L47" i="23"/>
  <c r="L56" i="23"/>
  <c r="L61" i="23"/>
  <c r="L65" i="23"/>
  <c r="L68" i="23"/>
  <c r="P4" i="25"/>
  <c r="Q4" i="25" s="1"/>
  <c r="L69" i="23"/>
  <c r="L66" i="23"/>
  <c r="L64" i="23"/>
  <c r="L63" i="23"/>
  <c r="L62" i="23"/>
  <c r="L60" i="23"/>
  <c r="L59" i="23"/>
  <c r="L58" i="23"/>
  <c r="L57" i="23"/>
  <c r="L55" i="23"/>
  <c r="L54" i="23"/>
  <c r="L51" i="23"/>
  <c r="L50" i="23"/>
  <c r="L49" i="23"/>
  <c r="L46" i="23"/>
  <c r="L45" i="23"/>
  <c r="L43" i="23"/>
  <c r="L40" i="23"/>
  <c r="L48" i="23"/>
  <c r="R55" i="23"/>
  <c r="Q32" i="20"/>
  <c r="P32" i="20"/>
  <c r="W48" i="23"/>
  <c r="V48" i="23"/>
  <c r="U48" i="23"/>
  <c r="U47" i="23"/>
  <c r="T48" i="23"/>
  <c r="T47" i="23"/>
  <c r="S48" i="23"/>
  <c r="R48" i="23"/>
  <c r="R47" i="23"/>
  <c r="O48" i="23"/>
  <c r="N48" i="23"/>
  <c r="M48" i="23"/>
  <c r="M47" i="23"/>
  <c r="J48" i="23"/>
  <c r="H48" i="23"/>
  <c r="AC34" i="23"/>
  <c r="AB33" i="23"/>
  <c r="O34" i="23"/>
  <c r="N34" i="23"/>
  <c r="N33" i="23"/>
  <c r="I34" i="23"/>
  <c r="H34" i="23"/>
  <c r="M36" i="20"/>
  <c r="M35" i="20"/>
  <c r="H36" i="20"/>
  <c r="I36" i="20"/>
  <c r="J36" i="20"/>
  <c r="N36" i="20" s="1"/>
  <c r="B53" i="24"/>
  <c r="D63" i="24"/>
  <c r="B55" i="24"/>
  <c r="B54" i="24"/>
  <c r="I41" i="23"/>
  <c r="I44" i="23"/>
  <c r="I47" i="23"/>
  <c r="T2" i="25" l="1"/>
  <c r="S32" i="25"/>
  <c r="B68" i="24"/>
  <c r="B63" i="24"/>
  <c r="B56" i="24" s="1"/>
  <c r="C56" i="24" s="1"/>
  <c r="O65" i="24"/>
  <c r="O66" i="24"/>
  <c r="P66" i="24" s="1"/>
  <c r="Q32" i="25"/>
  <c r="O63" i="24"/>
  <c r="P63" i="24" s="1"/>
  <c r="O62" i="24"/>
  <c r="D69" i="24" s="1"/>
  <c r="F68" i="24"/>
  <c r="L68" i="24" s="1"/>
  <c r="R31" i="25"/>
  <c r="D70" i="24" l="1"/>
  <c r="P65" i="24"/>
  <c r="E70" i="24" s="1"/>
  <c r="P62" i="24"/>
  <c r="E69" i="24" s="1"/>
  <c r="B59" i="24"/>
  <c r="C59" i="24" s="1"/>
  <c r="B62" i="24"/>
  <c r="C62" i="24" s="1"/>
  <c r="B61" i="24"/>
  <c r="C61" i="24" s="1"/>
  <c r="B57" i="24"/>
  <c r="C57" i="24" s="1"/>
  <c r="C69" i="24" s="1"/>
  <c r="B60" i="24"/>
  <c r="C60" i="24" s="1"/>
  <c r="G69" i="24" l="1"/>
  <c r="C70" i="24"/>
  <c r="G70" i="24" s="1"/>
  <c r="B70" i="24"/>
  <c r="F70" i="24" s="1"/>
  <c r="B69" i="24"/>
  <c r="F69" i="24" s="1"/>
  <c r="K69" i="24" s="1"/>
  <c r="L69" i="24" s="1"/>
  <c r="K70" i="24" l="1"/>
  <c r="L70" i="24" s="1"/>
  <c r="K55" i="1" l="1"/>
  <c r="L3" i="24"/>
  <c r="M3" i="24" s="1"/>
  <c r="N3" i="24" s="1"/>
  <c r="R6" i="24"/>
  <c r="R5" i="24"/>
  <c r="R4" i="24"/>
  <c r="R3" i="24"/>
  <c r="T3" i="24" l="1"/>
  <c r="C16" i="24"/>
  <c r="P17" i="25"/>
  <c r="T29" i="25"/>
  <c r="S29" i="25"/>
  <c r="P30" i="25"/>
  <c r="S30" i="25" s="1"/>
  <c r="P28" i="25"/>
  <c r="Q28" i="25" l="1"/>
  <c r="T28" i="25" s="1"/>
  <c r="R28" i="25"/>
  <c r="U28" i="25" s="1"/>
  <c r="Q30" i="25"/>
  <c r="R30" i="25"/>
  <c r="S17" i="25"/>
  <c r="Q17" i="25"/>
  <c r="R17" i="25"/>
  <c r="U2" i="25"/>
  <c r="S28" i="25"/>
  <c r="M17" i="20" l="1"/>
  <c r="S3" i="24"/>
  <c r="U3" i="24" s="1"/>
  <c r="L4" i="24"/>
  <c r="L5" i="24"/>
  <c r="M5" i="24" s="1"/>
  <c r="N5" i="24" s="1"/>
  <c r="Z32" i="23"/>
  <c r="K76" i="23"/>
  <c r="R69" i="23"/>
  <c r="R66" i="23"/>
  <c r="R63" i="23"/>
  <c r="R64" i="23"/>
  <c r="R62" i="23"/>
  <c r="R58" i="23"/>
  <c r="R59" i="23"/>
  <c r="R60" i="23"/>
  <c r="R57" i="23"/>
  <c r="R52" i="23"/>
  <c r="R53" i="23"/>
  <c r="R54" i="23"/>
  <c r="R51" i="23"/>
  <c r="R50" i="23"/>
  <c r="R49" i="23"/>
  <c r="R46" i="23"/>
  <c r="S46" i="23" s="1"/>
  <c r="R45" i="23"/>
  <c r="R43" i="23"/>
  <c r="L42" i="23"/>
  <c r="R42" i="23" s="1"/>
  <c r="R40" i="23"/>
  <c r="R39" i="23"/>
  <c r="M40" i="23"/>
  <c r="N40" i="23" s="1"/>
  <c r="M42" i="23"/>
  <c r="N42" i="23" s="1"/>
  <c r="M43" i="23"/>
  <c r="M45" i="23"/>
  <c r="N45" i="23" s="1"/>
  <c r="M46" i="23"/>
  <c r="M49" i="23"/>
  <c r="N49" i="23" s="1"/>
  <c r="M57" i="23"/>
  <c r="M58" i="23"/>
  <c r="N58" i="23" s="1"/>
  <c r="M59" i="23"/>
  <c r="N59" i="23" s="1"/>
  <c r="M60" i="23"/>
  <c r="N60" i="23" s="1"/>
  <c r="M62" i="23"/>
  <c r="M63" i="23"/>
  <c r="M64" i="23"/>
  <c r="N64" i="23" s="1"/>
  <c r="M67" i="23"/>
  <c r="M39" i="23"/>
  <c r="N39" i="23" s="1"/>
  <c r="I66" i="23"/>
  <c r="K66" i="23" s="1"/>
  <c r="M66" i="23" s="1"/>
  <c r="N66" i="23" s="1"/>
  <c r="I56" i="23"/>
  <c r="R56" i="23" s="1"/>
  <c r="I65" i="23"/>
  <c r="R65" i="23" s="1"/>
  <c r="K75" i="23"/>
  <c r="I69" i="23"/>
  <c r="K69" i="23" s="1"/>
  <c r="M69" i="23" s="1"/>
  <c r="N69" i="23" s="1"/>
  <c r="I68" i="23"/>
  <c r="P93" i="23"/>
  <c r="P94" i="23" s="1"/>
  <c r="N141" i="23"/>
  <c r="P104" i="23"/>
  <c r="P105" i="23" s="1"/>
  <c r="J68" i="23" s="1"/>
  <c r="M68" i="23" s="1"/>
  <c r="I55" i="23"/>
  <c r="K55" i="23" s="1"/>
  <c r="M55" i="23" s="1"/>
  <c r="N55" i="23" s="1"/>
  <c r="I61" i="23"/>
  <c r="R61" i="23" s="1"/>
  <c r="J101" i="23"/>
  <c r="J102" i="23" s="1"/>
  <c r="J65" i="23" s="1"/>
  <c r="M65" i="23" s="1"/>
  <c r="N65" i="23" s="1"/>
  <c r="J97" i="23"/>
  <c r="J98" i="23" s="1"/>
  <c r="J61" i="23" s="1"/>
  <c r="M61" i="23" s="1"/>
  <c r="N61" i="23" s="1"/>
  <c r="J92" i="23"/>
  <c r="J93" i="23" s="1"/>
  <c r="J56" i="23" s="1"/>
  <c r="M56" i="23" s="1"/>
  <c r="N56" i="23" s="1"/>
  <c r="I54" i="23"/>
  <c r="K54" i="23" s="1"/>
  <c r="M54" i="23" s="1"/>
  <c r="I50" i="23"/>
  <c r="K50" i="23" s="1"/>
  <c r="M50" i="23" s="1"/>
  <c r="U39" i="23"/>
  <c r="R44" i="23"/>
  <c r="R41" i="23"/>
  <c r="D69" i="23"/>
  <c r="D70" i="23" s="1"/>
  <c r="J47" i="23" s="1"/>
  <c r="D66" i="23"/>
  <c r="D67" i="23" s="1"/>
  <c r="J44" i="23" s="1"/>
  <c r="M44" i="23" s="1"/>
  <c r="D63" i="23"/>
  <c r="D64" i="23" s="1"/>
  <c r="J41" i="23" s="1"/>
  <c r="M41" i="23" s="1"/>
  <c r="Z30" i="23"/>
  <c r="Z31" i="23"/>
  <c r="Z29" i="23"/>
  <c r="Z24" i="23"/>
  <c r="Z25" i="23"/>
  <c r="Z26" i="23"/>
  <c r="Z27" i="23"/>
  <c r="Z28" i="23"/>
  <c r="T25" i="23"/>
  <c r="U25" i="23" s="1"/>
  <c r="T26" i="23"/>
  <c r="U26" i="23" s="1"/>
  <c r="T27" i="23"/>
  <c r="U27" i="23" s="1"/>
  <c r="T28" i="23"/>
  <c r="U28" i="23" s="1"/>
  <c r="T29" i="23"/>
  <c r="U29" i="23" s="1"/>
  <c r="T30" i="23"/>
  <c r="U30" i="23" s="1"/>
  <c r="T31" i="23"/>
  <c r="U31" i="23" s="1"/>
  <c r="T32" i="23"/>
  <c r="U32" i="23" s="1"/>
  <c r="T24" i="23"/>
  <c r="U24" i="23" s="1"/>
  <c r="L31" i="23"/>
  <c r="N31" i="23" s="1"/>
  <c r="L32" i="23"/>
  <c r="N32" i="23" s="1"/>
  <c r="AB32" i="23" s="1"/>
  <c r="L30" i="23"/>
  <c r="N30" i="23" s="1"/>
  <c r="L25" i="23"/>
  <c r="N25" i="23" s="1"/>
  <c r="L26" i="23"/>
  <c r="N26" i="23" s="1"/>
  <c r="L27" i="23"/>
  <c r="N27" i="23" s="1"/>
  <c r="L28" i="23"/>
  <c r="N28" i="23" s="1"/>
  <c r="L29" i="23"/>
  <c r="N29" i="23" s="1"/>
  <c r="AB29" i="23" s="1"/>
  <c r="L24" i="23"/>
  <c r="N24" i="23" s="1"/>
  <c r="L18" i="23"/>
  <c r="N18" i="23" s="1"/>
  <c r="AB18" i="23" s="1"/>
  <c r="L19" i="23"/>
  <c r="N19" i="23" s="1"/>
  <c r="AB19" i="23" s="1"/>
  <c r="L20" i="23"/>
  <c r="N20" i="23" s="1"/>
  <c r="AB20" i="23" s="1"/>
  <c r="L21" i="23"/>
  <c r="N21" i="23" s="1"/>
  <c r="AB21" i="23" s="1"/>
  <c r="L22" i="23"/>
  <c r="N22" i="23" s="1"/>
  <c r="L23" i="23"/>
  <c r="N23" i="23" s="1"/>
  <c r="L17" i="23"/>
  <c r="N17" i="23" s="1"/>
  <c r="AB17" i="23" s="1"/>
  <c r="L14" i="23"/>
  <c r="N14" i="23" s="1"/>
  <c r="AB14" i="23" s="1"/>
  <c r="L15" i="23"/>
  <c r="N15" i="23" s="1"/>
  <c r="AB15" i="23" s="1"/>
  <c r="L16" i="23"/>
  <c r="N16" i="23" s="1"/>
  <c r="AB16" i="23" s="1"/>
  <c r="L13" i="23"/>
  <c r="N13" i="23" s="1"/>
  <c r="AB13" i="23" s="1"/>
  <c r="I33" i="23"/>
  <c r="S24" i="23"/>
  <c r="S25" i="23"/>
  <c r="S26" i="23"/>
  <c r="S27" i="23"/>
  <c r="S28" i="23"/>
  <c r="S29" i="23"/>
  <c r="AZ7" i="21"/>
  <c r="H14" i="23"/>
  <c r="I14" i="23" s="1"/>
  <c r="H15" i="23"/>
  <c r="I15" i="23" s="1"/>
  <c r="H16" i="23"/>
  <c r="I16" i="23" s="1"/>
  <c r="H17" i="23"/>
  <c r="I17" i="23" s="1"/>
  <c r="H18" i="23"/>
  <c r="I18" i="23" s="1"/>
  <c r="H19" i="23"/>
  <c r="I19" i="23" s="1"/>
  <c r="H20" i="23"/>
  <c r="I20" i="23" s="1"/>
  <c r="H21" i="23"/>
  <c r="I21" i="23" s="1"/>
  <c r="H22" i="23"/>
  <c r="I22" i="23" s="1"/>
  <c r="H23" i="23"/>
  <c r="I23" i="23" s="1"/>
  <c r="H24" i="23"/>
  <c r="I24" i="23" s="1"/>
  <c r="H25" i="23"/>
  <c r="I25" i="23" s="1"/>
  <c r="H26" i="23"/>
  <c r="I26" i="23" s="1"/>
  <c r="H27" i="23"/>
  <c r="I27" i="23" s="1"/>
  <c r="H28" i="23"/>
  <c r="I28" i="23" s="1"/>
  <c r="H29" i="23"/>
  <c r="I29" i="23" s="1"/>
  <c r="H30" i="23"/>
  <c r="I30" i="23" s="1"/>
  <c r="H31" i="23"/>
  <c r="I31" i="23" s="1"/>
  <c r="H32" i="23"/>
  <c r="I32" i="23" s="1"/>
  <c r="H13" i="23"/>
  <c r="I13" i="23" s="1"/>
  <c r="E14" i="16"/>
  <c r="D9" i="23"/>
  <c r="E9" i="23" s="1"/>
  <c r="D8" i="23"/>
  <c r="E8" i="23" s="1"/>
  <c r="D7" i="23"/>
  <c r="E7" i="23" s="1"/>
  <c r="D6" i="23"/>
  <c r="E6" i="23" s="1"/>
  <c r="B6" i="23"/>
  <c r="D5" i="23"/>
  <c r="E5" i="23" s="1"/>
  <c r="B5" i="23"/>
  <c r="D4" i="23"/>
  <c r="E4" i="23" s="1"/>
  <c r="B4" i="23"/>
  <c r="D3" i="23"/>
  <c r="E3" i="23" s="1"/>
  <c r="B3" i="23"/>
  <c r="D2" i="23"/>
  <c r="E2" i="23" s="1"/>
  <c r="B2" i="23"/>
  <c r="L195" i="18"/>
  <c r="L196" i="18"/>
  <c r="L197" i="18"/>
  <c r="L198" i="18"/>
  <c r="L199" i="18"/>
  <c r="L200" i="18"/>
  <c r="L201" i="18"/>
  <c r="L194" i="18"/>
  <c r="K195" i="18"/>
  <c r="K196" i="18"/>
  <c r="K197" i="18"/>
  <c r="K198" i="18"/>
  <c r="K199" i="18"/>
  <c r="K200" i="18"/>
  <c r="K201" i="18"/>
  <c r="K194" i="18"/>
  <c r="H194" i="18"/>
  <c r="Q36" i="21"/>
  <c r="R36" i="21" s="1"/>
  <c r="N36" i="21"/>
  <c r="Q34" i="21"/>
  <c r="R34" i="21" s="1"/>
  <c r="N34" i="21"/>
  <c r="Q32" i="21"/>
  <c r="R32" i="21" s="1"/>
  <c r="N32" i="21"/>
  <c r="Q30" i="21"/>
  <c r="R30" i="21" s="1"/>
  <c r="N30" i="21"/>
  <c r="Q24" i="21"/>
  <c r="R24" i="21" s="1"/>
  <c r="N24" i="21"/>
  <c r="Q22" i="21"/>
  <c r="R22" i="21" s="1"/>
  <c r="N22" i="21"/>
  <c r="C21" i="21"/>
  <c r="D21" i="21" s="1"/>
  <c r="Q20" i="21"/>
  <c r="R20" i="21" s="1"/>
  <c r="N20" i="21"/>
  <c r="C19" i="21"/>
  <c r="D19" i="21" s="1"/>
  <c r="BC18" i="21"/>
  <c r="BD18" i="21" s="1"/>
  <c r="Y18" i="21"/>
  <c r="Z18" i="21" s="1"/>
  <c r="Q18" i="21"/>
  <c r="R18" i="21" s="1"/>
  <c r="AJ17" i="21"/>
  <c r="AI17" i="21"/>
  <c r="C17" i="21"/>
  <c r="D17" i="21" s="1"/>
  <c r="BC16" i="21"/>
  <c r="BD16" i="21" s="1"/>
  <c r="AJ16" i="21"/>
  <c r="AI16" i="21"/>
  <c r="Z16" i="21"/>
  <c r="Y16" i="21"/>
  <c r="Q16" i="21"/>
  <c r="R17" i="21" s="1"/>
  <c r="AJ15" i="21"/>
  <c r="AI15" i="21"/>
  <c r="C15" i="21"/>
  <c r="D15" i="21" s="1"/>
  <c r="BD14" i="21"/>
  <c r="BC14" i="21"/>
  <c r="Y14" i="21"/>
  <c r="Z14" i="21" s="1"/>
  <c r="Q14" i="21"/>
  <c r="R15" i="21" s="1"/>
  <c r="G14" i="21"/>
  <c r="F14" i="21"/>
  <c r="BD12" i="21"/>
  <c r="BC12" i="21"/>
  <c r="AR12" i="21"/>
  <c r="AS12" i="21" s="1"/>
  <c r="AJ12" i="21"/>
  <c r="AK12" i="21" s="1"/>
  <c r="Y12" i="21"/>
  <c r="Z12" i="21" s="1"/>
  <c r="Q12" i="21"/>
  <c r="R12" i="21" s="1"/>
  <c r="F12" i="21"/>
  <c r="G12" i="21" s="1"/>
  <c r="BC10" i="21"/>
  <c r="BD10" i="21" s="1"/>
  <c r="AR10" i="21"/>
  <c r="AS10" i="21" s="1"/>
  <c r="AJ10" i="21"/>
  <c r="AK10" i="21" s="1"/>
  <c r="Y10" i="21"/>
  <c r="Z10" i="21" s="1"/>
  <c r="Q10" i="21"/>
  <c r="R10" i="21" s="1"/>
  <c r="F10" i="21"/>
  <c r="G10" i="21" s="1"/>
  <c r="BC8" i="21"/>
  <c r="BD8" i="21" s="1"/>
  <c r="AR8" i="21"/>
  <c r="AS8" i="21" s="1"/>
  <c r="AJ8" i="21"/>
  <c r="AK8" i="21" s="1"/>
  <c r="Y8" i="21"/>
  <c r="Z8" i="21" s="1"/>
  <c r="Q8" i="21"/>
  <c r="R8" i="21" s="1"/>
  <c r="F8" i="21"/>
  <c r="G8" i="21" s="1"/>
  <c r="AQ7" i="21"/>
  <c r="AG7" i="21" s="1"/>
  <c r="AG8" i="21" s="1"/>
  <c r="AI7" i="21"/>
  <c r="AF7" i="21"/>
  <c r="X7" i="21"/>
  <c r="BB7" i="21" s="1"/>
  <c r="AY2" i="21"/>
  <c r="AY15" i="21" s="1"/>
  <c r="AQ2" i="21"/>
  <c r="AQ9" i="21" s="1"/>
  <c r="AF2" i="21"/>
  <c r="AF11" i="21" s="1"/>
  <c r="X2" i="21"/>
  <c r="X11" i="21" s="1"/>
  <c r="M2" i="21"/>
  <c r="M19" i="21" s="1"/>
  <c r="E2" i="21"/>
  <c r="E9" i="21" s="1"/>
  <c r="J35" i="20"/>
  <c r="N35" i="20" s="1"/>
  <c r="I35" i="20"/>
  <c r="H35" i="20"/>
  <c r="M34" i="20"/>
  <c r="J34" i="20"/>
  <c r="N34" i="20" s="1"/>
  <c r="I34" i="20"/>
  <c r="H34" i="20"/>
  <c r="M33" i="20"/>
  <c r="J33" i="20"/>
  <c r="N33" i="20" s="1"/>
  <c r="I33" i="20"/>
  <c r="H33" i="20"/>
  <c r="R31" i="20"/>
  <c r="M32" i="20"/>
  <c r="J32" i="20"/>
  <c r="N32" i="20" s="1"/>
  <c r="I32" i="20"/>
  <c r="H32" i="20"/>
  <c r="R30" i="20"/>
  <c r="M31" i="20"/>
  <c r="J31" i="20"/>
  <c r="N31" i="20" s="1"/>
  <c r="I31" i="20"/>
  <c r="H31" i="20"/>
  <c r="M30" i="20"/>
  <c r="J30" i="20"/>
  <c r="N30" i="20" s="1"/>
  <c r="I30" i="20"/>
  <c r="H30" i="20"/>
  <c r="M29" i="20"/>
  <c r="P6" i="20" s="1"/>
  <c r="J29" i="20"/>
  <c r="N29" i="20" s="1"/>
  <c r="Q6" i="20" s="1"/>
  <c r="R6" i="20" s="1"/>
  <c r="I29" i="20"/>
  <c r="H29" i="20"/>
  <c r="M28" i="20"/>
  <c r="J28" i="20"/>
  <c r="N28" i="20" s="1"/>
  <c r="I28" i="20"/>
  <c r="H28" i="20"/>
  <c r="M27" i="20"/>
  <c r="J27" i="20"/>
  <c r="N27" i="20" s="1"/>
  <c r="I27" i="20"/>
  <c r="H27" i="20"/>
  <c r="M26" i="20"/>
  <c r="J26" i="20"/>
  <c r="N26" i="20" s="1"/>
  <c r="I26" i="20"/>
  <c r="H26" i="20"/>
  <c r="M25" i="20"/>
  <c r="J25" i="20"/>
  <c r="N25" i="20" s="1"/>
  <c r="I25" i="20"/>
  <c r="H25" i="20"/>
  <c r="M24" i="20"/>
  <c r="J24" i="20"/>
  <c r="N24" i="20" s="1"/>
  <c r="I24" i="20"/>
  <c r="H24" i="20"/>
  <c r="M23" i="20"/>
  <c r="J23" i="20"/>
  <c r="N23" i="20" s="1"/>
  <c r="I23" i="20"/>
  <c r="H23" i="20"/>
  <c r="M22" i="20"/>
  <c r="J22" i="20"/>
  <c r="N22" i="20" s="1"/>
  <c r="I22" i="20"/>
  <c r="H22" i="20"/>
  <c r="M21" i="20"/>
  <c r="J21" i="20"/>
  <c r="N21" i="20" s="1"/>
  <c r="I21" i="20"/>
  <c r="H21" i="20"/>
  <c r="M20" i="20"/>
  <c r="J20" i="20"/>
  <c r="N20" i="20" s="1"/>
  <c r="I20" i="20"/>
  <c r="H20" i="20"/>
  <c r="R19" i="20"/>
  <c r="M19" i="20"/>
  <c r="P5" i="20" s="1"/>
  <c r="J19" i="20"/>
  <c r="N19" i="20" s="1"/>
  <c r="Q5" i="20" s="1"/>
  <c r="R5" i="20" s="1"/>
  <c r="I19" i="20"/>
  <c r="H19" i="20"/>
  <c r="R18" i="20"/>
  <c r="M18" i="20"/>
  <c r="J18" i="20"/>
  <c r="N18" i="20" s="1"/>
  <c r="I18" i="20"/>
  <c r="H18" i="20"/>
  <c r="J17" i="20"/>
  <c r="N17" i="20" s="1"/>
  <c r="I17" i="20"/>
  <c r="H17" i="20"/>
  <c r="R16" i="20"/>
  <c r="M16" i="20"/>
  <c r="J16" i="20"/>
  <c r="N16" i="20" s="1"/>
  <c r="I16" i="20"/>
  <c r="H16" i="20"/>
  <c r="R15" i="20"/>
  <c r="M15" i="20"/>
  <c r="J15" i="20"/>
  <c r="N15" i="20" s="1"/>
  <c r="I15" i="20"/>
  <c r="H15" i="20"/>
  <c r="R14" i="20"/>
  <c r="M14" i="20"/>
  <c r="J14" i="20"/>
  <c r="N14" i="20" s="1"/>
  <c r="I14" i="20"/>
  <c r="H14" i="20"/>
  <c r="R13" i="20"/>
  <c r="M13" i="20"/>
  <c r="J13" i="20"/>
  <c r="N13" i="20" s="1"/>
  <c r="I13" i="20"/>
  <c r="H13" i="20"/>
  <c r="M12" i="20"/>
  <c r="J12" i="20"/>
  <c r="N12" i="20" s="1"/>
  <c r="I12" i="20"/>
  <c r="H12" i="20"/>
  <c r="M11" i="20"/>
  <c r="J11" i="20"/>
  <c r="N11" i="20" s="1"/>
  <c r="I11" i="20"/>
  <c r="H11" i="20"/>
  <c r="R10" i="20"/>
  <c r="M10" i="20"/>
  <c r="J10" i="20"/>
  <c r="N10" i="20" s="1"/>
  <c r="I10" i="20"/>
  <c r="H10" i="20"/>
  <c r="R9" i="20"/>
  <c r="M9" i="20"/>
  <c r="J9" i="20"/>
  <c r="N9" i="20" s="1"/>
  <c r="I9" i="20"/>
  <c r="H9" i="20"/>
  <c r="Y8" i="20"/>
  <c r="X8" i="20"/>
  <c r="M8" i="20"/>
  <c r="J8" i="20"/>
  <c r="N8" i="20" s="1"/>
  <c r="I8" i="20"/>
  <c r="H8" i="20"/>
  <c r="Y7" i="20"/>
  <c r="X7" i="20"/>
  <c r="M7" i="20"/>
  <c r="J7" i="20"/>
  <c r="N7" i="20" s="1"/>
  <c r="I7" i="20"/>
  <c r="H7" i="20"/>
  <c r="V6" i="20"/>
  <c r="M6" i="20"/>
  <c r="J6" i="20"/>
  <c r="N6" i="20" s="1"/>
  <c r="I6" i="20"/>
  <c r="H6" i="20"/>
  <c r="V5" i="20"/>
  <c r="M5" i="20"/>
  <c r="P8" i="20" s="1"/>
  <c r="J5" i="20"/>
  <c r="W8" i="20" s="1"/>
  <c r="I5" i="20"/>
  <c r="H5" i="20"/>
  <c r="R4" i="20"/>
  <c r="M4" i="20"/>
  <c r="P7" i="20" s="1"/>
  <c r="J4" i="20"/>
  <c r="N4" i="20" s="1"/>
  <c r="Q7" i="20" s="1"/>
  <c r="I4" i="20"/>
  <c r="H4" i="20"/>
  <c r="Y3" i="20"/>
  <c r="X3" i="20"/>
  <c r="V3" i="20"/>
  <c r="M3" i="20"/>
  <c r="P3" i="20" s="1"/>
  <c r="J3" i="20"/>
  <c r="W3" i="20" s="1"/>
  <c r="I3" i="20"/>
  <c r="H3" i="20"/>
  <c r="Y2" i="20"/>
  <c r="X2" i="20"/>
  <c r="V2" i="20"/>
  <c r="M2" i="20"/>
  <c r="P2" i="20" s="1"/>
  <c r="J2" i="20"/>
  <c r="N2" i="20" s="1"/>
  <c r="Q2" i="20" s="1"/>
  <c r="I2" i="20"/>
  <c r="H2" i="20"/>
  <c r="B24" i="16"/>
  <c r="B23" i="16"/>
  <c r="G199" i="18"/>
  <c r="G198" i="18"/>
  <c r="G197" i="18"/>
  <c r="G196" i="18"/>
  <c r="G195" i="18"/>
  <c r="G194" i="18"/>
  <c r="I175" i="18"/>
  <c r="G173" i="18"/>
  <c r="H175" i="18"/>
  <c r="H199" i="18"/>
  <c r="H198" i="18"/>
  <c r="H197" i="18"/>
  <c r="H196" i="18"/>
  <c r="H195" i="18"/>
  <c r="H178" i="18"/>
  <c r="I178" i="18" s="1"/>
  <c r="H177" i="18"/>
  <c r="I177" i="18" s="1"/>
  <c r="G176" i="18"/>
  <c r="H174" i="18"/>
  <c r="I174" i="18" s="1"/>
  <c r="M166" i="18"/>
  <c r="M164" i="18"/>
  <c r="M161" i="18"/>
  <c r="O161" i="18" s="1"/>
  <c r="P161" i="18" s="1"/>
  <c r="M162" i="18"/>
  <c r="O162" i="18" s="1"/>
  <c r="P162" i="18" s="1"/>
  <c r="M160" i="18"/>
  <c r="O160" i="18" s="1"/>
  <c r="M159" i="18"/>
  <c r="O159" i="18" s="1"/>
  <c r="M152" i="18"/>
  <c r="O152" i="18" s="1"/>
  <c r="M147" i="18"/>
  <c r="O147" i="18" s="1"/>
  <c r="M148" i="18"/>
  <c r="O148" i="18" s="1"/>
  <c r="M149" i="18"/>
  <c r="O149" i="18" s="1"/>
  <c r="M150" i="18"/>
  <c r="O150" i="18" s="1"/>
  <c r="N166" i="18"/>
  <c r="O166" i="18"/>
  <c r="P166" i="18" s="1"/>
  <c r="J166" i="18"/>
  <c r="L165" i="18"/>
  <c r="N165" i="18" s="1"/>
  <c r="K165" i="18"/>
  <c r="M165" i="18" s="1"/>
  <c r="J165" i="18"/>
  <c r="N164" i="18"/>
  <c r="O164" i="18"/>
  <c r="J164" i="18"/>
  <c r="N162" i="18"/>
  <c r="J162" i="18"/>
  <c r="N161" i="18"/>
  <c r="J161" i="18"/>
  <c r="N160" i="18"/>
  <c r="J160" i="18"/>
  <c r="N159" i="18"/>
  <c r="J159" i="18"/>
  <c r="L158" i="18"/>
  <c r="N158" i="18" s="1"/>
  <c r="K158" i="18"/>
  <c r="J158" i="18"/>
  <c r="L154" i="18"/>
  <c r="N154" i="18" s="1"/>
  <c r="K154" i="18"/>
  <c r="J154" i="18"/>
  <c r="L153" i="18"/>
  <c r="N153" i="18" s="1"/>
  <c r="K153" i="18"/>
  <c r="M153" i="18" s="1"/>
  <c r="O153" i="18" s="1"/>
  <c r="J153" i="18"/>
  <c r="N152" i="18"/>
  <c r="J152" i="18"/>
  <c r="N150" i="18"/>
  <c r="J150" i="18"/>
  <c r="N149" i="18"/>
  <c r="J149" i="18"/>
  <c r="N148" i="18"/>
  <c r="J148" i="18"/>
  <c r="N147" i="18"/>
  <c r="J147" i="18"/>
  <c r="L146" i="18"/>
  <c r="N146" i="18" s="1"/>
  <c r="K146" i="18"/>
  <c r="M146" i="18" s="1"/>
  <c r="J146" i="18"/>
  <c r="F112" i="18"/>
  <c r="I111" i="18"/>
  <c r="J111" i="18" s="1"/>
  <c r="F111" i="18"/>
  <c r="J106" i="18"/>
  <c r="I106" i="18"/>
  <c r="M105" i="18"/>
  <c r="O103" i="18"/>
  <c r="R103" i="18" s="1"/>
  <c r="M103" i="18"/>
  <c r="P103" i="18" s="1"/>
  <c r="O102" i="18"/>
  <c r="R102" i="18" s="1"/>
  <c r="M102" i="18"/>
  <c r="P102" i="18" s="1"/>
  <c r="P101" i="18"/>
  <c r="O101" i="18"/>
  <c r="R101" i="18" s="1"/>
  <c r="S101" i="18" s="1"/>
  <c r="M101" i="18"/>
  <c r="N101" i="18" s="1"/>
  <c r="O100" i="18"/>
  <c r="M100" i="18"/>
  <c r="P100" i="18" s="1"/>
  <c r="O99" i="18"/>
  <c r="R99" i="18" s="1"/>
  <c r="M99" i="18"/>
  <c r="P99" i="18" s="1"/>
  <c r="O98" i="18"/>
  <c r="R98" i="18" s="1"/>
  <c r="M98" i="18"/>
  <c r="P98" i="18" s="1"/>
  <c r="O97" i="18"/>
  <c r="M97" i="18"/>
  <c r="P97" i="18" s="1"/>
  <c r="P96" i="18"/>
  <c r="O96" i="18"/>
  <c r="R96" i="18" s="1"/>
  <c r="S96" i="18" s="1"/>
  <c r="M96" i="18"/>
  <c r="N96" i="18" s="1"/>
  <c r="O95" i="18"/>
  <c r="R95" i="18" s="1"/>
  <c r="M95" i="18"/>
  <c r="P95" i="18" s="1"/>
  <c r="O94" i="18"/>
  <c r="M94" i="18"/>
  <c r="P94" i="18" s="1"/>
  <c r="O93" i="18"/>
  <c r="R93" i="18" s="1"/>
  <c r="S93" i="18" s="1"/>
  <c r="M93" i="18"/>
  <c r="N93" i="18" s="1"/>
  <c r="O92" i="18"/>
  <c r="R92" i="18" s="1"/>
  <c r="M92" i="18"/>
  <c r="P92" i="18" s="1"/>
  <c r="O91" i="18"/>
  <c r="M91" i="18"/>
  <c r="P91" i="18" s="1"/>
  <c r="O90" i="18"/>
  <c r="R90" i="18" s="1"/>
  <c r="M90" i="18"/>
  <c r="N90" i="18" s="1"/>
  <c r="O89" i="18"/>
  <c r="R89" i="18" s="1"/>
  <c r="M89" i="18"/>
  <c r="N89" i="18" s="1"/>
  <c r="O88" i="18"/>
  <c r="R88" i="18" s="1"/>
  <c r="M88" i="18"/>
  <c r="P88" i="18" s="1"/>
  <c r="O87" i="18"/>
  <c r="R87" i="18" s="1"/>
  <c r="M87" i="18"/>
  <c r="P87" i="18" s="1"/>
  <c r="F76" i="18"/>
  <c r="I75" i="18"/>
  <c r="J75" i="18" s="1"/>
  <c r="F75" i="18"/>
  <c r="F67" i="18"/>
  <c r="I66" i="18"/>
  <c r="J66" i="18" s="1"/>
  <c r="F66" i="18"/>
  <c r="O60" i="18"/>
  <c r="Q60" i="18" s="1"/>
  <c r="M60" i="18"/>
  <c r="N60" i="18" s="1"/>
  <c r="O59" i="18"/>
  <c r="M59" i="18"/>
  <c r="N59" i="18" s="1"/>
  <c r="K59" i="18"/>
  <c r="O58" i="18"/>
  <c r="M58" i="18"/>
  <c r="N58" i="18" s="1"/>
  <c r="R58" i="18" s="1"/>
  <c r="K58" i="18"/>
  <c r="Q57" i="18"/>
  <c r="O57" i="18"/>
  <c r="M57" i="18"/>
  <c r="N57" i="18" s="1"/>
  <c r="K57" i="18"/>
  <c r="O56" i="18"/>
  <c r="M56" i="18"/>
  <c r="N56" i="18" s="1"/>
  <c r="K56" i="18"/>
  <c r="O55" i="18"/>
  <c r="M55" i="18"/>
  <c r="N55" i="18" s="1"/>
  <c r="K55" i="18"/>
  <c r="O54" i="18"/>
  <c r="Q54" i="18" s="1"/>
  <c r="M54" i="18"/>
  <c r="N54" i="18" s="1"/>
  <c r="O53" i="18"/>
  <c r="Q53" i="18" s="1"/>
  <c r="R53" i="18" s="1"/>
  <c r="M53" i="18"/>
  <c r="N53" i="18" s="1"/>
  <c r="K53" i="18"/>
  <c r="O52" i="18"/>
  <c r="M52" i="18"/>
  <c r="N52" i="18" s="1"/>
  <c r="K52" i="18"/>
  <c r="O51" i="18"/>
  <c r="Q51" i="18" s="1"/>
  <c r="M51" i="18"/>
  <c r="N51" i="18" s="1"/>
  <c r="K51" i="18"/>
  <c r="O50" i="18"/>
  <c r="Q50" i="18" s="1"/>
  <c r="M50" i="18"/>
  <c r="N50" i="18" s="1"/>
  <c r="K50" i="18"/>
  <c r="O49" i="18"/>
  <c r="M49" i="18"/>
  <c r="N49" i="18" s="1"/>
  <c r="K49" i="18"/>
  <c r="O48" i="18"/>
  <c r="Q48" i="18" s="1"/>
  <c r="M48" i="18"/>
  <c r="N48" i="18" s="1"/>
  <c r="O47" i="18"/>
  <c r="Q47" i="18" s="1"/>
  <c r="M47" i="18"/>
  <c r="N47" i="18" s="1"/>
  <c r="K47" i="18"/>
  <c r="O46" i="18"/>
  <c r="Q46" i="18" s="1"/>
  <c r="M46" i="18"/>
  <c r="N46" i="18" s="1"/>
  <c r="K46" i="18"/>
  <c r="O45" i="18"/>
  <c r="Q45" i="18" s="1"/>
  <c r="M45" i="18"/>
  <c r="N45" i="18" s="1"/>
  <c r="K45" i="18"/>
  <c r="O44" i="18"/>
  <c r="U49" i="18" s="1"/>
  <c r="M44" i="18"/>
  <c r="N44" i="18" s="1"/>
  <c r="K44" i="18"/>
  <c r="F32" i="18"/>
  <c r="I31" i="18"/>
  <c r="J31" i="18" s="1"/>
  <c r="F31" i="18"/>
  <c r="F23" i="18"/>
  <c r="I22" i="18"/>
  <c r="J22" i="18" s="1"/>
  <c r="F22" i="18"/>
  <c r="M16" i="18"/>
  <c r="K16" i="18"/>
  <c r="D16" i="18"/>
  <c r="N16" i="18" s="1"/>
  <c r="C16" i="18"/>
  <c r="O16" i="18" s="1"/>
  <c r="O15" i="18"/>
  <c r="Q15" i="18" s="1"/>
  <c r="M15" i="18"/>
  <c r="N15" i="18" s="1"/>
  <c r="K15" i="18"/>
  <c r="O14" i="18"/>
  <c r="Q14" i="18" s="1"/>
  <c r="M14" i="18"/>
  <c r="N14" i="18" s="1"/>
  <c r="K14" i="18"/>
  <c r="O13" i="18"/>
  <c r="Q13" i="18" s="1"/>
  <c r="M13" i="18"/>
  <c r="N13" i="18" s="1"/>
  <c r="K13" i="18"/>
  <c r="O12" i="18"/>
  <c r="Q12" i="18" s="1"/>
  <c r="M12" i="18"/>
  <c r="N12" i="18" s="1"/>
  <c r="O11" i="18"/>
  <c r="Q11" i="18" s="1"/>
  <c r="R11" i="18" s="1"/>
  <c r="M11" i="18"/>
  <c r="N11" i="18" s="1"/>
  <c r="K11" i="18"/>
  <c r="O10" i="18"/>
  <c r="Q10" i="18" s="1"/>
  <c r="M10" i="18"/>
  <c r="N10" i="18" s="1"/>
  <c r="K10" i="18"/>
  <c r="O9" i="18"/>
  <c r="Q9" i="18" s="1"/>
  <c r="M9" i="18"/>
  <c r="N9" i="18" s="1"/>
  <c r="K9" i="18"/>
  <c r="O8" i="18"/>
  <c r="Q8" i="18" s="1"/>
  <c r="M8" i="18"/>
  <c r="N8" i="18" s="1"/>
  <c r="K8" i="18"/>
  <c r="O7" i="18"/>
  <c r="Q7" i="18" s="1"/>
  <c r="M7" i="18"/>
  <c r="N7" i="18" s="1"/>
  <c r="O6" i="18"/>
  <c r="Q6" i="18" s="1"/>
  <c r="M6" i="18"/>
  <c r="N6" i="18" s="1"/>
  <c r="K6" i="18"/>
  <c r="O5" i="18"/>
  <c r="Q5" i="18" s="1"/>
  <c r="M5" i="18"/>
  <c r="N5" i="18" s="1"/>
  <c r="K5" i="18"/>
  <c r="O4" i="18"/>
  <c r="Q4" i="18" s="1"/>
  <c r="M4" i="18"/>
  <c r="N4" i="18" s="1"/>
  <c r="R4" i="18" s="1"/>
  <c r="K4" i="18"/>
  <c r="O3" i="18"/>
  <c r="U10" i="18" s="1"/>
  <c r="M3" i="18"/>
  <c r="N3" i="18" s="1"/>
  <c r="K3" i="18"/>
  <c r="G117" i="6"/>
  <c r="H116" i="6"/>
  <c r="G116" i="6"/>
  <c r="G114" i="6"/>
  <c r="H113" i="6"/>
  <c r="G113" i="6"/>
  <c r="C23" i="24" l="1"/>
  <c r="M4" i="24"/>
  <c r="N4" i="24" s="1"/>
  <c r="N46" i="23"/>
  <c r="U54" i="23"/>
  <c r="N62" i="23"/>
  <c r="U40" i="23"/>
  <c r="T57" i="23"/>
  <c r="AB30" i="23"/>
  <c r="R68" i="23"/>
  <c r="T68" i="23" s="1"/>
  <c r="S59" i="23"/>
  <c r="S9" i="20"/>
  <c r="S15" i="20"/>
  <c r="W2" i="20"/>
  <c r="W6" i="20"/>
  <c r="S30" i="20"/>
  <c r="N5" i="20"/>
  <c r="Q8" i="20" s="1"/>
  <c r="T5" i="24"/>
  <c r="C31" i="24"/>
  <c r="W5" i="20"/>
  <c r="W7" i="20"/>
  <c r="S13" i="20"/>
  <c r="S18" i="20"/>
  <c r="N3" i="20"/>
  <c r="Q3" i="20" s="1"/>
  <c r="R3" i="20" s="1"/>
  <c r="S3" i="20" s="1"/>
  <c r="T4" i="24"/>
  <c r="U4" i="24" s="1"/>
  <c r="T60" i="23"/>
  <c r="T45" i="23"/>
  <c r="T65" i="23"/>
  <c r="S62" i="23"/>
  <c r="T59" i="23"/>
  <c r="N50" i="23"/>
  <c r="I75" i="23"/>
  <c r="N57" i="23"/>
  <c r="T46" i="23"/>
  <c r="T40" i="23"/>
  <c r="N54" i="23"/>
  <c r="T49" i="23"/>
  <c r="T56" i="23"/>
  <c r="N43" i="23"/>
  <c r="U53" i="23"/>
  <c r="N68" i="23"/>
  <c r="N63" i="23"/>
  <c r="T39" i="23"/>
  <c r="S39" i="23"/>
  <c r="U41" i="23"/>
  <c r="S41" i="23"/>
  <c r="T41" i="23"/>
  <c r="T44" i="23"/>
  <c r="U44" i="23"/>
  <c r="S44" i="23"/>
  <c r="U42" i="23"/>
  <c r="S42" i="23"/>
  <c r="T42" i="23"/>
  <c r="U50" i="23"/>
  <c r="S47" i="23"/>
  <c r="T43" i="23"/>
  <c r="U43" i="23"/>
  <c r="S43" i="23"/>
  <c r="T58" i="23"/>
  <c r="U58" i="23"/>
  <c r="S58" i="23"/>
  <c r="N41" i="23"/>
  <c r="T61" i="23"/>
  <c r="U61" i="23"/>
  <c r="S61" i="23"/>
  <c r="U65" i="23"/>
  <c r="S64" i="23"/>
  <c r="T64" i="23"/>
  <c r="U64" i="23"/>
  <c r="N44" i="23"/>
  <c r="S50" i="23"/>
  <c r="S63" i="23"/>
  <c r="T63" i="23"/>
  <c r="U63" i="23"/>
  <c r="N47" i="23"/>
  <c r="U51" i="23"/>
  <c r="U66" i="23"/>
  <c r="U55" i="23"/>
  <c r="S55" i="23"/>
  <c r="T55" i="23"/>
  <c r="T69" i="23"/>
  <c r="U69" i="23"/>
  <c r="S69" i="23"/>
  <c r="S49" i="23"/>
  <c r="U52" i="23"/>
  <c r="S60" i="23"/>
  <c r="T66" i="23"/>
  <c r="T54" i="23"/>
  <c r="S45" i="23"/>
  <c r="U49" i="23"/>
  <c r="S57" i="23"/>
  <c r="U60" i="23"/>
  <c r="U62" i="23"/>
  <c r="S68" i="23"/>
  <c r="S56" i="23"/>
  <c r="T62" i="23"/>
  <c r="T50" i="23"/>
  <c r="U59" i="23"/>
  <c r="U46" i="23"/>
  <c r="U45" i="23"/>
  <c r="S66" i="23"/>
  <c r="S54" i="23"/>
  <c r="U57" i="23"/>
  <c r="S65" i="23"/>
  <c r="S40" i="23"/>
  <c r="V40" i="23" s="1"/>
  <c r="U68" i="23"/>
  <c r="U56" i="23"/>
  <c r="R67" i="23"/>
  <c r="I77" i="23"/>
  <c r="I53" i="23" s="1"/>
  <c r="K53" i="23" s="1"/>
  <c r="M53" i="23" s="1"/>
  <c r="I76" i="23"/>
  <c r="I52" i="23" s="1"/>
  <c r="K52" i="23" s="1"/>
  <c r="M52" i="23" s="1"/>
  <c r="N52" i="23" s="1"/>
  <c r="I51" i="23"/>
  <c r="AB25" i="23"/>
  <c r="AA29" i="23"/>
  <c r="AB28" i="23"/>
  <c r="AB24" i="23"/>
  <c r="AA27" i="23"/>
  <c r="AA31" i="23"/>
  <c r="AB31" i="23"/>
  <c r="AA30" i="23"/>
  <c r="O32" i="23"/>
  <c r="O22" i="23"/>
  <c r="AC22" i="23" s="1"/>
  <c r="O24" i="23"/>
  <c r="O21" i="23"/>
  <c r="AC21" i="23" s="1"/>
  <c r="O31" i="23"/>
  <c r="O33" i="23"/>
  <c r="AC33" i="23" s="1"/>
  <c r="O23" i="23"/>
  <c r="AC23" i="23" s="1"/>
  <c r="O20" i="23"/>
  <c r="AC20" i="23" s="1"/>
  <c r="O19" i="23"/>
  <c r="AC19" i="23" s="1"/>
  <c r="O18" i="23"/>
  <c r="AC18" i="23" s="1"/>
  <c r="AA26" i="23"/>
  <c r="O13" i="23"/>
  <c r="AC13" i="23" s="1"/>
  <c r="O29" i="23"/>
  <c r="AA25" i="23"/>
  <c r="O16" i="23"/>
  <c r="AC16" i="23" s="1"/>
  <c r="O28" i="23"/>
  <c r="AA24" i="23"/>
  <c r="O15" i="23"/>
  <c r="AC15" i="23" s="1"/>
  <c r="O27" i="23"/>
  <c r="O14" i="23"/>
  <c r="AC14" i="23" s="1"/>
  <c r="O26" i="23"/>
  <c r="AA32" i="23"/>
  <c r="O17" i="23"/>
  <c r="AC17" i="23" s="1"/>
  <c r="O25" i="23"/>
  <c r="O30" i="23"/>
  <c r="M35" i="21"/>
  <c r="X17" i="21"/>
  <c r="BB17" i="21" s="1"/>
  <c r="AI8" i="21"/>
  <c r="AH7" i="21"/>
  <c r="AH8" i="21" s="1"/>
  <c r="M29" i="21"/>
  <c r="BB11" i="21"/>
  <c r="BA11" i="21"/>
  <c r="AZ11" i="21"/>
  <c r="AI9" i="21"/>
  <c r="P15" i="21"/>
  <c r="AH9" i="21"/>
  <c r="O15" i="21"/>
  <c r="AG9" i="21"/>
  <c r="N15" i="21"/>
  <c r="M9" i="21"/>
  <c r="AQ11" i="21"/>
  <c r="W38" i="21" s="1"/>
  <c r="M13" i="21"/>
  <c r="AY7" i="21"/>
  <c r="X9" i="21"/>
  <c r="AY11" i="21"/>
  <c r="N13" i="21"/>
  <c r="M15" i="21"/>
  <c r="AY17" i="21"/>
  <c r="AF9" i="21"/>
  <c r="O13" i="21"/>
  <c r="AZ17" i="21"/>
  <c r="M21" i="21"/>
  <c r="M31" i="21"/>
  <c r="BA7" i="21"/>
  <c r="P13" i="21"/>
  <c r="R14" i="21"/>
  <c r="BA17" i="21"/>
  <c r="X13" i="21"/>
  <c r="E7" i="21"/>
  <c r="E11" i="21"/>
  <c r="AY13" i="21"/>
  <c r="R16" i="21"/>
  <c r="M17" i="21"/>
  <c r="M7" i="21"/>
  <c r="M11" i="21"/>
  <c r="X15" i="21"/>
  <c r="M23" i="21"/>
  <c r="M33" i="21"/>
  <c r="E13" i="21"/>
  <c r="AY9" i="21"/>
  <c r="R19" i="21"/>
  <c r="S99" i="18"/>
  <c r="R8" i="18"/>
  <c r="N95" i="18"/>
  <c r="P90" i="18"/>
  <c r="N88" i="18"/>
  <c r="P147" i="18"/>
  <c r="V90" i="18"/>
  <c r="P164" i="18"/>
  <c r="P152" i="18"/>
  <c r="S98" i="18"/>
  <c r="R47" i="18"/>
  <c r="U60" i="18"/>
  <c r="U50" i="18"/>
  <c r="U48" i="18"/>
  <c r="M154" i="18"/>
  <c r="O154" i="18" s="1"/>
  <c r="P154" i="18" s="1"/>
  <c r="V103" i="18"/>
  <c r="O165" i="18"/>
  <c r="P165" i="18" s="1"/>
  <c r="V102" i="18"/>
  <c r="M158" i="18"/>
  <c r="O158" i="18" s="1"/>
  <c r="P158" i="18" s="1"/>
  <c r="V91" i="18"/>
  <c r="O146" i="18"/>
  <c r="P146" i="18" s="1"/>
  <c r="R51" i="18"/>
  <c r="U59" i="18"/>
  <c r="U47" i="18"/>
  <c r="V101" i="18"/>
  <c r="V89" i="18"/>
  <c r="Q44" i="18"/>
  <c r="R44" i="18" s="1"/>
  <c r="R48" i="18"/>
  <c r="U58" i="18"/>
  <c r="U46" i="18"/>
  <c r="N100" i="18"/>
  <c r="V100" i="18"/>
  <c r="P159" i="18"/>
  <c r="U57" i="18"/>
  <c r="P89" i="18"/>
  <c r="S89" i="18" s="1"/>
  <c r="V99" i="18"/>
  <c r="W99" i="18" s="1"/>
  <c r="S103" i="18"/>
  <c r="U56" i="18"/>
  <c r="V98" i="18"/>
  <c r="P148" i="18"/>
  <c r="R45" i="18"/>
  <c r="U55" i="18"/>
  <c r="V97" i="18"/>
  <c r="P160" i="18"/>
  <c r="R60" i="18"/>
  <c r="U44" i="18"/>
  <c r="U54" i="18"/>
  <c r="V96" i="18"/>
  <c r="W96" i="18" s="1"/>
  <c r="R54" i="18"/>
  <c r="U53" i="18"/>
  <c r="N87" i="18"/>
  <c r="S90" i="18"/>
  <c r="N94" i="18"/>
  <c r="V95" i="18"/>
  <c r="P149" i="18"/>
  <c r="S92" i="18"/>
  <c r="R6" i="18"/>
  <c r="R46" i="18"/>
  <c r="U3" i="18"/>
  <c r="U52" i="18"/>
  <c r="V87" i="18"/>
  <c r="V94" i="18"/>
  <c r="R57" i="18"/>
  <c r="U61" i="18"/>
  <c r="V61" i="18" s="1"/>
  <c r="U4" i="18"/>
  <c r="U51" i="18"/>
  <c r="S95" i="18"/>
  <c r="N98" i="18"/>
  <c r="V88" i="18"/>
  <c r="V93" i="18"/>
  <c r="W93" i="18" s="1"/>
  <c r="R7" i="18"/>
  <c r="R50" i="18"/>
  <c r="U45" i="18"/>
  <c r="S88" i="18"/>
  <c r="V92" i="18"/>
  <c r="P150" i="18"/>
  <c r="P153" i="18"/>
  <c r="S87" i="18"/>
  <c r="S102" i="18"/>
  <c r="R97" i="18"/>
  <c r="S97" i="18" s="1"/>
  <c r="R100" i="18"/>
  <c r="S100" i="18" s="1"/>
  <c r="R94" i="18"/>
  <c r="S94" i="18" s="1"/>
  <c r="N99" i="18"/>
  <c r="N102" i="18"/>
  <c r="R91" i="18"/>
  <c r="S91" i="18" s="1"/>
  <c r="N92" i="18"/>
  <c r="Q56" i="18"/>
  <c r="R56" i="18" s="1"/>
  <c r="Q59" i="18"/>
  <c r="R59" i="18" s="1"/>
  <c r="Q55" i="18"/>
  <c r="R55" i="18" s="1"/>
  <c r="Q58" i="18"/>
  <c r="Q49" i="18"/>
  <c r="R49" i="18" s="1"/>
  <c r="Q52" i="18"/>
  <c r="R52" i="18" s="1"/>
  <c r="R5" i="18"/>
  <c r="R14" i="18"/>
  <c r="U17" i="18"/>
  <c r="V17" i="18" s="1"/>
  <c r="R13" i="18"/>
  <c r="R12" i="18"/>
  <c r="R15" i="18"/>
  <c r="R10" i="18"/>
  <c r="R9" i="18"/>
  <c r="Q16" i="18"/>
  <c r="R16" i="18" s="1"/>
  <c r="U16" i="18"/>
  <c r="U12" i="18"/>
  <c r="U15" i="18"/>
  <c r="Q3" i="18"/>
  <c r="R3" i="18" s="1"/>
  <c r="U9" i="18"/>
  <c r="U6" i="18"/>
  <c r="U8" i="18"/>
  <c r="U11" i="18"/>
  <c r="U5" i="18"/>
  <c r="U13" i="18"/>
  <c r="U14" i="18"/>
  <c r="U7" i="18"/>
  <c r="T6" i="24" l="1"/>
  <c r="U5" i="24"/>
  <c r="W40" i="23"/>
  <c r="V54" i="23"/>
  <c r="W54" i="23"/>
  <c r="V39" i="23"/>
  <c r="V45" i="23"/>
  <c r="W45" i="23"/>
  <c r="V61" i="23"/>
  <c r="W61" i="23"/>
  <c r="W66" i="23"/>
  <c r="V66" i="23"/>
  <c r="V46" i="23"/>
  <c r="W46" i="23"/>
  <c r="V59" i="23"/>
  <c r="W59" i="23"/>
  <c r="V63" i="23"/>
  <c r="W63" i="23"/>
  <c r="W42" i="23"/>
  <c r="V42" i="23"/>
  <c r="V58" i="23"/>
  <c r="W58" i="23"/>
  <c r="W56" i="23"/>
  <c r="V56" i="23"/>
  <c r="V44" i="23"/>
  <c r="W44" i="23"/>
  <c r="W68" i="23"/>
  <c r="V68" i="23"/>
  <c r="V69" i="23"/>
  <c r="W69" i="23"/>
  <c r="V62" i="23"/>
  <c r="W62" i="23"/>
  <c r="W64" i="23"/>
  <c r="V64" i="23"/>
  <c r="W43" i="23"/>
  <c r="V43" i="23"/>
  <c r="V60" i="23"/>
  <c r="W60" i="23"/>
  <c r="V57" i="23"/>
  <c r="W57" i="23"/>
  <c r="W41" i="23"/>
  <c r="V41" i="23"/>
  <c r="V47" i="23"/>
  <c r="W47" i="23"/>
  <c r="V49" i="23"/>
  <c r="W49" i="23"/>
  <c r="W55" i="23"/>
  <c r="V55" i="23"/>
  <c r="W65" i="23"/>
  <c r="V65" i="23"/>
  <c r="V50" i="23"/>
  <c r="W50" i="23"/>
  <c r="T52" i="23"/>
  <c r="W52" i="23" s="1"/>
  <c r="N67" i="23"/>
  <c r="K51" i="23"/>
  <c r="M51" i="23" s="1"/>
  <c r="N53" i="23"/>
  <c r="T53" i="23"/>
  <c r="W53" i="23" s="1"/>
  <c r="U67" i="23"/>
  <c r="S67" i="23"/>
  <c r="T67" i="23"/>
  <c r="S52" i="23"/>
  <c r="V52" i="23" s="1"/>
  <c r="S53" i="23"/>
  <c r="V53" i="23" s="1"/>
  <c r="AC29" i="23"/>
  <c r="AC27" i="23"/>
  <c r="AC30" i="23"/>
  <c r="AC31" i="23"/>
  <c r="AC25" i="23"/>
  <c r="AC26" i="23"/>
  <c r="AC28" i="23"/>
  <c r="AC24" i="23"/>
  <c r="AC32" i="23"/>
  <c r="BA9" i="21"/>
  <c r="AZ9" i="21"/>
  <c r="BB9" i="21"/>
  <c r="BB10" i="21" s="1"/>
  <c r="N14" i="21"/>
  <c r="P14" i="21"/>
  <c r="O14" i="21"/>
  <c r="Y39" i="21"/>
  <c r="BB14" i="21"/>
  <c r="BA14" i="21"/>
  <c r="AZ14" i="21"/>
  <c r="AI10" i="21"/>
  <c r="AH10" i="21"/>
  <c r="Y38" i="21"/>
  <c r="AG10" i="21"/>
  <c r="BB8" i="21"/>
  <c r="BA8" i="21"/>
  <c r="AZ8" i="21"/>
  <c r="P18" i="21"/>
  <c r="O18" i="21"/>
  <c r="N18" i="21"/>
  <c r="Y40" i="21"/>
  <c r="W37" i="21"/>
  <c r="BB18" i="21"/>
  <c r="BA18" i="21"/>
  <c r="AZ18" i="21"/>
  <c r="BA10" i="21"/>
  <c r="AZ10" i="21"/>
  <c r="BB13" i="21"/>
  <c r="BA13" i="21"/>
  <c r="W39" i="21"/>
  <c r="AZ13" i="21"/>
  <c r="P16" i="21"/>
  <c r="O16" i="21"/>
  <c r="N16" i="21"/>
  <c r="AG11" i="21"/>
  <c r="AG12" i="21" s="1"/>
  <c r="P17" i="21"/>
  <c r="O17" i="21"/>
  <c r="N17" i="21"/>
  <c r="AI11" i="21"/>
  <c r="AI12" i="21" s="1"/>
  <c r="AH11" i="21"/>
  <c r="AH12" i="21" s="1"/>
  <c r="Y37" i="21"/>
  <c r="AZ15" i="21"/>
  <c r="AZ16" i="21" s="1"/>
  <c r="BA15" i="21"/>
  <c r="BA16" i="21" s="1"/>
  <c r="BB15" i="21"/>
  <c r="BB16" i="21" s="1"/>
  <c r="BB12" i="21"/>
  <c r="BA12" i="21"/>
  <c r="AZ12" i="21"/>
  <c r="V49" i="18"/>
  <c r="W101" i="18"/>
  <c r="V52" i="18"/>
  <c r="V54" i="18"/>
  <c r="V47" i="18"/>
  <c r="V57" i="18"/>
  <c r="V59" i="18"/>
  <c r="W88" i="18"/>
  <c r="W91" i="18"/>
  <c r="V51" i="18"/>
  <c r="W97" i="18"/>
  <c r="W100" i="18"/>
  <c r="W103" i="18"/>
  <c r="V4" i="18"/>
  <c r="V46" i="18"/>
  <c r="W90" i="18"/>
  <c r="V55" i="18"/>
  <c r="W92" i="18"/>
  <c r="V58" i="18"/>
  <c r="W102" i="18"/>
  <c r="V60" i="18"/>
  <c r="W98" i="18"/>
  <c r="V48" i="18"/>
  <c r="W95" i="18"/>
  <c r="V45" i="18"/>
  <c r="W94" i="18"/>
  <c r="V53" i="18"/>
  <c r="V56" i="18"/>
  <c r="V50" i="18"/>
  <c r="W89" i="18"/>
  <c r="V10" i="18"/>
  <c r="V6" i="18"/>
  <c r="V12" i="18"/>
  <c r="V13" i="18"/>
  <c r="V7" i="18"/>
  <c r="V5" i="18"/>
  <c r="V15" i="18"/>
  <c r="V14" i="18"/>
  <c r="V8" i="18"/>
  <c r="V9" i="18"/>
  <c r="V16" i="18"/>
  <c r="V11" i="18"/>
  <c r="V6" i="24" l="1"/>
  <c r="D46" i="24" s="1"/>
  <c r="U6" i="24"/>
  <c r="W67" i="23"/>
  <c r="V67" i="23"/>
  <c r="N51" i="23"/>
  <c r="S51" i="23"/>
  <c r="V51" i="23" s="1"/>
  <c r="T51" i="23"/>
  <c r="W51" i="23" s="1"/>
  <c r="Y41" i="21"/>
  <c r="M88" i="6"/>
  <c r="L88" i="6"/>
  <c r="N88" i="6" s="1"/>
  <c r="N87" i="6"/>
  <c r="M87" i="6"/>
  <c r="L87" i="6"/>
  <c r="G87" i="6"/>
  <c r="M86" i="6"/>
  <c r="L86" i="6"/>
  <c r="N86" i="6" s="1"/>
  <c r="G86" i="6"/>
  <c r="N85" i="6"/>
  <c r="M85" i="6"/>
  <c r="L85" i="6"/>
  <c r="G85" i="6"/>
  <c r="N84" i="6"/>
  <c r="M84" i="6"/>
  <c r="L84" i="6"/>
  <c r="G84" i="6"/>
  <c r="M83" i="6"/>
  <c r="L83" i="6"/>
  <c r="N83" i="6" s="1"/>
  <c r="G83" i="6"/>
  <c r="G82" i="6"/>
  <c r="G78" i="6"/>
  <c r="H77" i="6"/>
  <c r="G77" i="6"/>
  <c r="G75" i="6"/>
  <c r="H74" i="6"/>
  <c r="G74" i="6"/>
  <c r="M49" i="6"/>
  <c r="L49" i="6"/>
  <c r="N49" i="6" s="1"/>
  <c r="M48" i="6"/>
  <c r="L48" i="6"/>
  <c r="N48" i="6" s="1"/>
  <c r="G48" i="6"/>
  <c r="N47" i="6"/>
  <c r="M47" i="6"/>
  <c r="L47" i="6"/>
  <c r="G47" i="6"/>
  <c r="N46" i="6"/>
  <c r="M46" i="6"/>
  <c r="L46" i="6"/>
  <c r="G46" i="6"/>
  <c r="M45" i="6"/>
  <c r="L45" i="6"/>
  <c r="N45" i="6" s="1"/>
  <c r="G45" i="6"/>
  <c r="N44" i="6"/>
  <c r="M44" i="6"/>
  <c r="L44" i="6"/>
  <c r="G44" i="6"/>
  <c r="G43" i="6"/>
  <c r="G39" i="6"/>
  <c r="H38" i="6"/>
  <c r="G38" i="6"/>
  <c r="G36" i="6"/>
  <c r="H35" i="6"/>
  <c r="G35" i="6"/>
  <c r="M113" i="2"/>
  <c r="L113" i="2"/>
  <c r="N113" i="2" s="1"/>
  <c r="M112" i="2"/>
  <c r="L112" i="2"/>
  <c r="N112" i="2" s="1"/>
  <c r="M111" i="2"/>
  <c r="L111" i="2"/>
  <c r="N111" i="2" s="1"/>
  <c r="M110" i="2"/>
  <c r="L110" i="2"/>
  <c r="N110" i="2" s="1"/>
  <c r="M109" i="2"/>
  <c r="L109" i="2"/>
  <c r="N109" i="2" s="1"/>
  <c r="N108" i="2"/>
  <c r="M108" i="2"/>
  <c r="L108" i="2"/>
  <c r="M99" i="2"/>
  <c r="L99" i="2"/>
  <c r="N99" i="2" s="1"/>
  <c r="M98" i="2"/>
  <c r="L98" i="2"/>
  <c r="N98" i="2" s="1"/>
  <c r="M97" i="2"/>
  <c r="L97" i="2"/>
  <c r="N97" i="2" s="1"/>
  <c r="N96" i="2"/>
  <c r="M96" i="2"/>
  <c r="L96" i="2"/>
  <c r="M95" i="2"/>
  <c r="L95" i="2"/>
  <c r="N95" i="2" s="1"/>
  <c r="H87" i="2"/>
  <c r="G87" i="2"/>
  <c r="H86" i="2"/>
  <c r="G86" i="2"/>
  <c r="H85" i="2"/>
  <c r="G85" i="2"/>
  <c r="H84" i="2"/>
  <c r="G84" i="2"/>
  <c r="N83" i="2"/>
  <c r="M83" i="2"/>
  <c r="L83" i="2"/>
  <c r="H83" i="2"/>
  <c r="G83" i="2"/>
  <c r="N82" i="2"/>
  <c r="M82" i="2"/>
  <c r="L82" i="2"/>
  <c r="H82" i="2"/>
  <c r="G82" i="2"/>
  <c r="N81" i="2"/>
  <c r="M81" i="2"/>
  <c r="L81" i="2"/>
  <c r="H81" i="2"/>
  <c r="G81" i="2"/>
  <c r="M80" i="2"/>
  <c r="L80" i="2"/>
  <c r="N80" i="2" s="1"/>
  <c r="H80" i="2"/>
  <c r="G80" i="2"/>
  <c r="M79" i="2"/>
  <c r="L79" i="2"/>
  <c r="N79" i="2" s="1"/>
  <c r="H79" i="2"/>
  <c r="G79" i="2"/>
  <c r="M78" i="2"/>
  <c r="L78" i="2"/>
  <c r="N78" i="2" s="1"/>
  <c r="H78" i="2"/>
  <c r="G78" i="2"/>
  <c r="H77" i="2"/>
  <c r="G77" i="2"/>
  <c r="G72" i="2"/>
  <c r="H71" i="2"/>
  <c r="G71" i="2"/>
  <c r="G69" i="2"/>
  <c r="H68" i="2"/>
  <c r="G68" i="2"/>
  <c r="G55" i="2"/>
  <c r="G54" i="2"/>
  <c r="G53" i="2"/>
  <c r="G52" i="2"/>
  <c r="G51" i="2"/>
  <c r="G50" i="2"/>
  <c r="G49" i="2"/>
  <c r="G48" i="2"/>
  <c r="G47" i="2"/>
  <c r="G46" i="2"/>
  <c r="G41" i="2"/>
  <c r="H40" i="2"/>
  <c r="G40" i="2"/>
  <c r="G38" i="2"/>
  <c r="H37" i="2"/>
  <c r="G37" i="2"/>
  <c r="G65" i="1"/>
  <c r="H64" i="1"/>
  <c r="I64" i="1" s="1"/>
  <c r="G64" i="1"/>
  <c r="G62" i="1"/>
  <c r="H61" i="1"/>
  <c r="I61" i="1" s="1"/>
  <c r="G61" i="1"/>
  <c r="L57" i="1"/>
  <c r="K57" i="1"/>
  <c r="M57" i="1" s="1"/>
  <c r="I57" i="1"/>
  <c r="G57" i="1"/>
  <c r="L56" i="1"/>
  <c r="K56" i="1"/>
  <c r="M56" i="1" s="1"/>
  <c r="I56" i="1"/>
  <c r="G56" i="1"/>
  <c r="L55" i="1"/>
  <c r="M55" i="1"/>
  <c r="I55" i="1"/>
  <c r="G55" i="1"/>
  <c r="I54" i="1"/>
  <c r="G54" i="1"/>
  <c r="G53" i="1"/>
  <c r="G52" i="1"/>
  <c r="G51" i="1"/>
  <c r="G47" i="1"/>
  <c r="G46" i="1"/>
  <c r="G45" i="1"/>
  <c r="G44" i="1"/>
  <c r="G43" i="1"/>
  <c r="G42" i="1"/>
  <c r="E13" i="16"/>
  <c r="D14" i="16"/>
  <c r="D13" i="16"/>
  <c r="I13" i="1"/>
  <c r="D27" i="1"/>
  <c r="M20" i="11" l="1"/>
  <c r="M19" i="11"/>
  <c r="M21" i="11" l="1"/>
  <c r="L20" i="11"/>
  <c r="N20" i="11" s="1"/>
  <c r="L21" i="11"/>
  <c r="N21" i="11" s="1"/>
  <c r="L19" i="11"/>
  <c r="N19" i="11" s="1"/>
  <c r="H20" i="11"/>
  <c r="H21" i="11"/>
  <c r="H19" i="11"/>
  <c r="G20" i="11"/>
  <c r="G21" i="11"/>
  <c r="G19" i="11"/>
  <c r="G15" i="11"/>
  <c r="H14" i="11"/>
  <c r="G14" i="11"/>
  <c r="G12" i="11"/>
  <c r="H11" i="11"/>
  <c r="G11" i="11"/>
  <c r="G7" i="11"/>
  <c r="H6" i="11"/>
  <c r="G6" i="11"/>
  <c r="G4" i="11"/>
  <c r="H3" i="11"/>
  <c r="G3" i="11"/>
  <c r="M11" i="6"/>
  <c r="M12" i="6"/>
  <c r="M13" i="6"/>
  <c r="M14" i="6"/>
  <c r="M15" i="6"/>
  <c r="M10" i="6"/>
  <c r="G10" i="6"/>
  <c r="G11" i="6"/>
  <c r="G12" i="6"/>
  <c r="G13" i="6"/>
  <c r="G14" i="6"/>
  <c r="G9" i="6"/>
  <c r="L15" i="6"/>
  <c r="N15" i="6" s="1"/>
  <c r="L11" i="6"/>
  <c r="N11" i="6" s="1"/>
  <c r="L12" i="6"/>
  <c r="N12" i="6" s="1"/>
  <c r="L13" i="6"/>
  <c r="N13" i="6" s="1"/>
  <c r="L14" i="6"/>
  <c r="N14" i="6" s="1"/>
  <c r="L10" i="6"/>
  <c r="N10" i="6" s="1"/>
  <c r="G3" i="6" l="1"/>
  <c r="H2" i="6"/>
  <c r="G2" i="6"/>
  <c r="G19" i="2"/>
  <c r="H18" i="2"/>
  <c r="G18" i="2"/>
  <c r="G16" i="2"/>
  <c r="H15" i="2"/>
  <c r="G15" i="2"/>
  <c r="H24" i="1"/>
  <c r="G25" i="1"/>
  <c r="G24" i="1"/>
  <c r="I24" i="1" l="1"/>
  <c r="I18" i="2"/>
  <c r="I15" i="2"/>
  <c r="I16" i="1"/>
  <c r="I15" i="1"/>
  <c r="L3" i="2" l="1"/>
  <c r="L4" i="2"/>
  <c r="L5" i="2"/>
  <c r="L6" i="2"/>
  <c r="L7" i="2"/>
  <c r="L8" i="2"/>
  <c r="L9" i="2"/>
  <c r="L10" i="2"/>
  <c r="L11" i="2"/>
  <c r="L4" i="1"/>
  <c r="J8" i="2"/>
  <c r="M8" i="2" s="1"/>
  <c r="J9" i="2"/>
  <c r="M9" i="2" s="1"/>
  <c r="J10" i="2"/>
  <c r="M10" i="2" s="1"/>
  <c r="J11" i="2"/>
  <c r="M11" i="2" s="1"/>
  <c r="J7" i="2"/>
  <c r="M7" i="2" s="1"/>
  <c r="J4" i="2"/>
  <c r="M4" i="2" s="1"/>
  <c r="J5" i="2"/>
  <c r="M5" i="2" s="1"/>
  <c r="J6" i="2"/>
  <c r="M6" i="2" s="1"/>
  <c r="J3" i="2"/>
  <c r="M3" i="2" s="1"/>
  <c r="J4" i="1"/>
  <c r="M4" i="1" s="1"/>
  <c r="G24" i="2"/>
  <c r="G33" i="2"/>
  <c r="G32" i="2"/>
  <c r="G31" i="2"/>
  <c r="G30" i="2"/>
  <c r="G29" i="2"/>
  <c r="G28" i="2"/>
  <c r="G27" i="2"/>
  <c r="G26" i="2"/>
  <c r="G25" i="2"/>
  <c r="M5" i="1"/>
  <c r="L5" i="1"/>
  <c r="L6" i="1"/>
  <c r="L7" i="1"/>
  <c r="L8" i="1"/>
  <c r="L9" i="1"/>
  <c r="J5" i="1"/>
  <c r="J6" i="1"/>
  <c r="M6" i="1" s="1"/>
  <c r="J7" i="1"/>
  <c r="M7" i="1" s="1"/>
  <c r="J8" i="1"/>
  <c r="M8" i="1" s="1"/>
  <c r="J9" i="1"/>
  <c r="M9" i="1" s="1"/>
  <c r="H33" i="1"/>
  <c r="H34" i="1"/>
  <c r="H35" i="1"/>
  <c r="H36" i="1"/>
  <c r="H37" i="1"/>
  <c r="H32" i="1"/>
  <c r="G37" i="1"/>
  <c r="G36" i="1"/>
  <c r="G35" i="1"/>
  <c r="G34" i="1"/>
  <c r="G33" i="1"/>
  <c r="G32" i="1"/>
  <c r="C27" i="1"/>
  <c r="C28" i="1"/>
  <c r="I14" i="1"/>
  <c r="I17" i="1"/>
  <c r="I18" i="1"/>
  <c r="G18" i="1"/>
  <c r="G17" i="1"/>
  <c r="G16" i="1"/>
  <c r="G15" i="1"/>
  <c r="G14" i="1"/>
  <c r="G13" i="1"/>
  <c r="G9" i="1"/>
  <c r="G8" i="1"/>
  <c r="G7" i="1"/>
  <c r="G5" i="1"/>
  <c r="G6" i="1"/>
  <c r="G4" i="1"/>
  <c r="E27" i="1" l="1"/>
  <c r="J17" i="1"/>
  <c r="J18" i="1"/>
  <c r="J14" i="1"/>
  <c r="J15" i="1"/>
  <c r="J16" i="1"/>
  <c r="J13" i="1"/>
  <c r="P10" i="25" l="1"/>
  <c r="P7" i="25"/>
  <c r="P16" i="25"/>
  <c r="P27" i="25"/>
  <c r="S27" i="25" s="1"/>
  <c r="P15" i="25"/>
  <c r="P3" i="25"/>
  <c r="P26" i="25"/>
  <c r="S26" i="25" s="1"/>
  <c r="P14" i="25"/>
  <c r="P25" i="25"/>
  <c r="P13" i="25"/>
  <c r="P24" i="25"/>
  <c r="Q24" i="25" s="1"/>
  <c r="P12" i="25"/>
  <c r="P23" i="25"/>
  <c r="P11" i="25"/>
  <c r="P22" i="25"/>
  <c r="P21" i="25"/>
  <c r="P9" i="25"/>
  <c r="P20" i="25"/>
  <c r="P8" i="25"/>
  <c r="P19" i="25"/>
  <c r="P18" i="25"/>
  <c r="P6" i="25"/>
  <c r="P5" i="25"/>
  <c r="Q5" i="25" l="1"/>
  <c r="R5" i="25"/>
  <c r="Q13" i="25"/>
  <c r="R13" i="25"/>
  <c r="R12" i="25"/>
  <c r="Q12" i="25"/>
  <c r="T12" i="25" s="1"/>
  <c r="Q15" i="25"/>
  <c r="R15" i="25"/>
  <c r="R6" i="25"/>
  <c r="Q6" i="25"/>
  <c r="Q14" i="25"/>
  <c r="R14" i="25"/>
  <c r="Q26" i="25"/>
  <c r="T26" i="25" s="1"/>
  <c r="R26" i="25"/>
  <c r="U26" i="25" s="1"/>
  <c r="R21" i="25"/>
  <c r="U21" i="25" s="1"/>
  <c r="Q21" i="25"/>
  <c r="T21" i="25" s="1"/>
  <c r="R24" i="25"/>
  <c r="U24" i="25" s="1"/>
  <c r="T24" i="25"/>
  <c r="R19" i="25"/>
  <c r="Q19" i="25"/>
  <c r="Q3" i="25"/>
  <c r="R22" i="25"/>
  <c r="U22" i="25" s="1"/>
  <c r="Q22" i="25"/>
  <c r="T22" i="25" s="1"/>
  <c r="Q16" i="25"/>
  <c r="R16" i="25"/>
  <c r="R18" i="25"/>
  <c r="Q18" i="25"/>
  <c r="R8" i="25"/>
  <c r="Q8" i="25"/>
  <c r="T8" i="25" s="1"/>
  <c r="R9" i="25"/>
  <c r="Q9" i="25"/>
  <c r="R11" i="25"/>
  <c r="Q11" i="25"/>
  <c r="T11" i="25" s="1"/>
  <c r="R7" i="25"/>
  <c r="Q7" i="25"/>
  <c r="T7" i="25" s="1"/>
  <c r="R4" i="25"/>
  <c r="Q25" i="25"/>
  <c r="T25" i="25" s="1"/>
  <c r="R25" i="25"/>
  <c r="U25" i="25" s="1"/>
  <c r="R20" i="25"/>
  <c r="Q20" i="25"/>
  <c r="T20" i="25" s="1"/>
  <c r="R23" i="25"/>
  <c r="U23" i="25" s="1"/>
  <c r="Q23" i="25"/>
  <c r="T23" i="25" s="1"/>
  <c r="R10" i="25"/>
  <c r="Q10" i="25"/>
  <c r="S8" i="25"/>
  <c r="S13" i="25"/>
  <c r="S15" i="25"/>
  <c r="S11" i="25"/>
  <c r="S7" i="25"/>
  <c r="S18" i="25"/>
  <c r="S20" i="25"/>
  <c r="S21" i="25"/>
  <c r="T17" i="25"/>
  <c r="S25" i="25"/>
  <c r="S9" i="25"/>
  <c r="S22" i="25"/>
  <c r="S23" i="25"/>
  <c r="S12" i="25"/>
  <c r="S24" i="25"/>
  <c r="U18" i="25" l="1"/>
  <c r="T18" i="25"/>
  <c r="R27" i="25"/>
  <c r="U27" i="25" s="1"/>
  <c r="Q27" i="25"/>
  <c r="T27" i="25" s="1"/>
</calcChain>
</file>

<file path=xl/sharedStrings.xml><?xml version="1.0" encoding="utf-8"?>
<sst xmlns="http://schemas.openxmlformats.org/spreadsheetml/2006/main" count="1723" uniqueCount="476">
  <si>
    <t>Peak 1</t>
  </si>
  <si>
    <t>Peak 2</t>
  </si>
  <si>
    <t>Peak 3</t>
  </si>
  <si>
    <t>Peak 4</t>
  </si>
  <si>
    <t>Min energy</t>
  </si>
  <si>
    <t>Max energy</t>
  </si>
  <si>
    <t>Min bin</t>
  </si>
  <si>
    <t>Max bin</t>
  </si>
  <si>
    <t>Integral</t>
  </si>
  <si>
    <t>Error</t>
  </si>
  <si>
    <t>Peak 5</t>
  </si>
  <si>
    <t>Peak 6</t>
  </si>
  <si>
    <t>673 - 681 keV photopeak gate; 1-keV binning</t>
  </si>
  <si>
    <t>750 - 763 keV background gate; 1-keV binning</t>
  </si>
  <si>
    <t>Net counts</t>
  </si>
  <si>
    <t>Statistical error</t>
  </si>
  <si>
    <t>Comments:</t>
  </si>
  <si>
    <t xml:space="preserve">The ratio of counts in the 1-MeV peak is 1.28, but the ratio of beta-gated background counts is 1.01. Which scaling to use in background subtraction? </t>
  </si>
  <si>
    <t>Scaling factor</t>
  </si>
  <si>
    <t>Counts</t>
  </si>
  <si>
    <t>Photopeak (gammas)</t>
  </si>
  <si>
    <t>Background (gammas)</t>
  </si>
  <si>
    <t>Background (protons)</t>
  </si>
  <si>
    <t>1-MeV peak (protons)</t>
  </si>
  <si>
    <t>Background-subtracted spectrum; 1-keV binning</t>
  </si>
  <si>
    <t>Mean</t>
  </si>
  <si>
    <t>Mean error</t>
  </si>
  <si>
    <t>Lambda:</t>
  </si>
  <si>
    <t>Lambda error:</t>
  </si>
  <si>
    <t>Mu</t>
  </si>
  <si>
    <t>Mu error</t>
  </si>
  <si>
    <t>Possible 31S excitation energy</t>
  </si>
  <si>
    <t>Upper limit</t>
  </si>
  <si>
    <t>Lower limit</t>
  </si>
  <si>
    <t>Background-subtracted spectrum; 10-keV binning</t>
  </si>
  <si>
    <t>Peak 7</t>
  </si>
  <si>
    <t>Peak 8</t>
  </si>
  <si>
    <t>Peak 9</t>
  </si>
  <si>
    <t>Peak 0</t>
  </si>
  <si>
    <t>NNDC values</t>
  </si>
  <si>
    <t>730 - 761 keV background gate; 5-keV binning after BG subtraction</t>
  </si>
  <si>
    <t>Background</t>
  </si>
  <si>
    <t>Fit area parameters</t>
  </si>
  <si>
    <t>Upper Limit</t>
  </si>
  <si>
    <t>NNDC levels</t>
  </si>
  <si>
    <t>Low bin</t>
  </si>
  <si>
    <t>High bin</t>
  </si>
  <si>
    <t>Photopeak</t>
  </si>
  <si>
    <t>Gamma region</t>
  </si>
  <si>
    <t>Photopeak-gated protons</t>
  </si>
  <si>
    <t>Background gammas</t>
  </si>
  <si>
    <t>Photopeak gammas</t>
  </si>
  <si>
    <t>Background-gated protons</t>
  </si>
  <si>
    <t>*Using the gbCoincidences spectrum for normalization/scaling factor.</t>
  </si>
  <si>
    <t>*Using 1-MeV proton peak for normalization/scaling factor.</t>
  </si>
  <si>
    <t>704 - 715 keV photopeak gate; 770 - 785 keV background gate (gbCoincidences)</t>
  </si>
  <si>
    <t>Clearly over-subtracting in the 1 MeV region. We can try sampling over a smaller proton energy region.</t>
  </si>
  <si>
    <t>Peak 10</t>
  </si>
  <si>
    <t>Scaled area</t>
  </si>
  <si>
    <t>Lambda</t>
  </si>
  <si>
    <t>Possible 31S excitation energies</t>
  </si>
  <si>
    <t>8426(4)</t>
  </si>
  <si>
    <t>8382(10)</t>
  </si>
  <si>
    <t>8562(8)</t>
  </si>
  <si>
    <t>8702(17)</t>
  </si>
  <si>
    <t>8813(15)</t>
  </si>
  <si>
    <t>8969(20)</t>
  </si>
  <si>
    <t>9332(30)</t>
  </si>
  <si>
    <t>7699(3)</t>
  </si>
  <si>
    <t>7774(3)</t>
  </si>
  <si>
    <t>7932(3)</t>
  </si>
  <si>
    <t>7973(3)</t>
  </si>
  <si>
    <t>8071(3)</t>
  </si>
  <si>
    <t>8178(3)</t>
  </si>
  <si>
    <t>7744(3)</t>
  </si>
  <si>
    <t>7907(3)</t>
  </si>
  <si>
    <t>7945(3)</t>
  </si>
  <si>
    <t>8045(3)</t>
  </si>
  <si>
    <t>8131(3)</t>
  </si>
  <si>
    <t>*Using same numbers as in low-energy resonance normalization procedure. Scaling factor = 1 done by eye.</t>
  </si>
  <si>
    <t>8789(6)</t>
  </si>
  <si>
    <t>9226(25)</t>
  </si>
  <si>
    <t>Integrating over the 901 - 1014 keV region to maximize counts due to oversubtraction of background above 1 MeV.</t>
  </si>
  <si>
    <t>1454-keV gamma-gated, background-subtracted spectrum; 1-keV binning</t>
  </si>
  <si>
    <t>1264-keV gamma gate</t>
  </si>
  <si>
    <t>9423(7)</t>
  </si>
  <si>
    <t>*Integrating over a larger energy region since no smaller peaks present near 1-MeV normalization peak, and limited statistics for these higher excited sates.</t>
  </si>
  <si>
    <t>*Combining statistics from both the 1264-keV gamma-gated protons and 1973-keV</t>
  </si>
  <si>
    <t>Efficiency</t>
  </si>
  <si>
    <t>Efficiency corrected counts</t>
  </si>
  <si>
    <t>Intensity</t>
  </si>
  <si>
    <t>Gamma energy</t>
  </si>
  <si>
    <t>1973-keV gamma gate</t>
  </si>
  <si>
    <t>b</t>
  </si>
  <si>
    <t>m</t>
  </si>
  <si>
    <t>mu</t>
  </si>
  <si>
    <t>sigma</t>
  </si>
  <si>
    <t>lambda</t>
  </si>
  <si>
    <t>Fix m, mu, lambda</t>
  </si>
  <si>
    <t>Fix m, mu, sigma</t>
  </si>
  <si>
    <t>area</t>
  </si>
  <si>
    <t>Fix m, sigma, lambda</t>
  </si>
  <si>
    <t>Peak position</t>
  </si>
  <si>
    <t>2539-keV gamma-gated protons</t>
  </si>
  <si>
    <t>Level 5 background-subtracted</t>
  </si>
  <si>
    <t>Energy</t>
  </si>
  <si>
    <t>dE</t>
  </si>
  <si>
    <t>Number of counts</t>
  </si>
  <si>
    <t>Integrate hBG1subLevel5 700-770 keV</t>
  </si>
  <si>
    <t>Fit m=0, mu=725, lambda=0.8179</t>
  </si>
  <si>
    <t>FIt m=0, mu=745, lambda=0.8179</t>
  </si>
  <si>
    <t>Area</t>
  </si>
  <si>
    <t>dArea</t>
  </si>
  <si>
    <t>dCounts</t>
  </si>
  <si>
    <t>Final values</t>
  </si>
  <si>
    <t>dE_p</t>
  </si>
  <si>
    <t>Gamma energies</t>
  </si>
  <si>
    <t>2539 keV</t>
  </si>
  <si>
    <t>1830 keV</t>
  </si>
  <si>
    <t>Gamma energy [keV]</t>
  </si>
  <si>
    <t>SeGA efficiency</t>
  </si>
  <si>
    <t>Efficiency error</t>
  </si>
  <si>
    <t>Binning [keV]</t>
  </si>
  <si>
    <t>Proton energy [keV]</t>
  </si>
  <si>
    <t>h6 fit area</t>
  </si>
  <si>
    <t>Fit area error</t>
  </si>
  <si>
    <t>Comments</t>
  </si>
  <si>
    <t>Final 30P Level Energy [keV]</t>
  </si>
  <si>
    <t>Level energy error [keV]</t>
  </si>
  <si>
    <t>Think this level energy is wrong.</t>
  </si>
  <si>
    <t>Maybe these aren't real peaks?</t>
  </si>
  <si>
    <t>Eγ (keV)</t>
  </si>
  <si>
    <t>dEγ (keV)</t>
  </si>
  <si>
    <t>Area 1</t>
  </si>
  <si>
    <t>Area 1 error</t>
  </si>
  <si>
    <t>Mu 1</t>
  </si>
  <si>
    <t>Mu 1 error</t>
  </si>
  <si>
    <t xml:space="preserve">Area 2 </t>
  </si>
  <si>
    <t>Area 2 error</t>
  </si>
  <si>
    <t>Mu 2</t>
  </si>
  <si>
    <t>Mu 2 error</t>
  </si>
  <si>
    <t>Sigma</t>
  </si>
  <si>
    <t>Sigma error</t>
  </si>
  <si>
    <r>
      <t>χ</t>
    </r>
    <r>
      <rPr>
        <b/>
        <vertAlign val="superscript"/>
        <sz val="11"/>
        <color rgb="FF000000"/>
        <rFont val="Calibri"/>
        <family val="2"/>
      </rPr>
      <t>2</t>
    </r>
    <r>
      <rPr>
        <b/>
        <sz val="11"/>
        <color rgb="FF000000"/>
        <rFont val="Calibri"/>
        <family val="2"/>
      </rPr>
      <t>/ndf</t>
    </r>
  </si>
  <si>
    <t>Inflated areal error</t>
  </si>
  <si>
    <t>Chosen integral</t>
  </si>
  <si>
    <t>Alt integral</t>
  </si>
  <si>
    <t>Systematic uncertainty</t>
  </si>
  <si>
    <t>Total uncertainty</t>
  </si>
  <si>
    <t>My intensities</t>
  </si>
  <si>
    <t>My intensity errors</t>
  </si>
  <si>
    <t>Relative efficiency</t>
  </si>
  <si>
    <t>Rel. eff. Error</t>
  </si>
  <si>
    <t>Fit after rebinning histogram by 5. Free sigma</t>
  </si>
  <si>
    <t>Efficiency (%)</t>
  </si>
  <si>
    <t>1.2-MeV proton-gated gammas</t>
  </si>
  <si>
    <t>Statistical fit error</t>
  </si>
  <si>
    <t>Systematic error</t>
  </si>
  <si>
    <t>Intensity uncertainty</t>
  </si>
  <si>
    <t>Get Relative Detection Efficiency of SeGA as a Function of Gamma-Ray Energy; Fix sigma as a function of energy and lambda as constant</t>
  </si>
  <si>
    <t>Same procedure but including 16 data points</t>
  </si>
  <si>
    <t>Inflated sigma error</t>
  </si>
  <si>
    <t>Chosen Integral</t>
  </si>
  <si>
    <t>Alt Integral</t>
  </si>
  <si>
    <t>Rebin by 5</t>
  </si>
  <si>
    <t>Now let sigma be a free parameter… (18 data points total)</t>
  </si>
  <si>
    <t>Coincidence gamma</t>
  </si>
  <si>
    <t>proton-gamma coincidence fit</t>
  </si>
  <si>
    <t>pgCoincidences Fit Area</t>
  </si>
  <si>
    <t>Statistical Fit Error</t>
  </si>
  <si>
    <t>Photopeak Range</t>
  </si>
  <si>
    <t>Photopeak Histogram Integral</t>
  </si>
  <si>
    <t>Background Gate Range</t>
  </si>
  <si>
    <t>Background Histogram Integral</t>
  </si>
  <si>
    <t>Scaling Factor</t>
  </si>
  <si>
    <t>BG-sub Fit Integral</t>
  </si>
  <si>
    <t>Self-coincidence corrections</t>
  </si>
  <si>
    <t>Corrected stats error</t>
  </si>
  <si>
    <t>Absolute Efficiency</t>
  </si>
  <si>
    <t>Statistical Efficiency Error</t>
  </si>
  <si>
    <t>twoGammaPeakEMGLinearBCKFit; fix lambda=0.9733</t>
  </si>
  <si>
    <t>978 - 994 keV</t>
  </si>
  <si>
    <t>1070 - 1200 keV</t>
  </si>
  <si>
    <t>twoGammaPeakEMGQuadBCKFit; fix lambda=0.9733</t>
  </si>
  <si>
    <t>1818 - 1838 keV</t>
  </si>
  <si>
    <t>1880 - 1960 keV</t>
  </si>
  <si>
    <t>fourGammaPeakLinearBCKFit</t>
  </si>
  <si>
    <t>2020 - 2045 keV</t>
  </si>
  <si>
    <t>2060 - 2170 keV</t>
  </si>
  <si>
    <t>twoGammaPeakEMGLinearBCKFit</t>
  </si>
  <si>
    <t>2946 - 2966 keV</t>
  </si>
  <si>
    <t>3330 - 3410 keV</t>
  </si>
  <si>
    <t>oneGammaPeakLinearBCKFit</t>
  </si>
  <si>
    <t>5015 - 5050 keV</t>
  </si>
  <si>
    <t>5300 - 5700 keV</t>
  </si>
  <si>
    <t>Self-coincidence/intensity corrections</t>
  </si>
  <si>
    <t>oneGammaPeakEMGLinearBCKFit</t>
  </si>
  <si>
    <t>1040 - 1060 keV</t>
  </si>
  <si>
    <t>twoGammaPeakQuadBCKFit; fix lambda=0.9733</t>
  </si>
  <si>
    <t>1842 - 1862 keV</t>
  </si>
  <si>
    <t>2470 - 2495 keV</t>
  </si>
  <si>
    <t>2500 - 2550 keV</t>
  </si>
  <si>
    <t>Determining Absolute Detection Efficiencies for 1248-keV and 2234-keV gamma rays: Random Coincidences</t>
  </si>
  <si>
    <t>Polynomial BG Fit Integral</t>
  </si>
  <si>
    <t>Determining Absolute Detection Efficiencies for 1248-keV and 2234-keV gamma rays: Real Coincidences</t>
  </si>
  <si>
    <t>Scale background to counts under photopeak (real)</t>
  </si>
  <si>
    <t>Scale background all counts in photopeak gate (random)</t>
  </si>
  <si>
    <t>Best data point</t>
  </si>
  <si>
    <t>Calibration gamma energy [keV]</t>
  </si>
  <si>
    <t>Coincidence gamma energy [keV]</t>
  </si>
  <si>
    <t xml:space="preserve">Maximum relative variation </t>
  </si>
  <si>
    <t>Total error</t>
  </si>
  <si>
    <t>Sanity check: Rough 2D histogram integral and (real coincidence) background subtraction</t>
  </si>
  <si>
    <t>16-pt model</t>
  </si>
  <si>
    <t>Total variation</t>
  </si>
  <si>
    <t>Uncertainty</t>
  </si>
  <si>
    <t>gbCoincidences</t>
  </si>
  <si>
    <t>Original</t>
  </si>
  <si>
    <t>Comparing All Gamma-Ray Efficiency Models</t>
  </si>
  <si>
    <t>Evaluating absolute efficiencies of 30P gamma rays (N=18)</t>
  </si>
  <si>
    <t>Using relative intensity of 746-keV gamma ray as another calibration point (N=19)</t>
  </si>
  <si>
    <t>Using relative intensity of 746-keV gamma ray as another calibration point (N=16)</t>
  </si>
  <si>
    <t>Evaluating absolute efficiencies of 30P gamma rays (N=15)</t>
  </si>
  <si>
    <t>15-pt model</t>
  </si>
  <si>
    <t>18-pt model</t>
  </si>
  <si>
    <t>19-pt model</t>
  </si>
  <si>
    <t>18-pt model (free sigma)</t>
  </si>
  <si>
    <t>Error between models</t>
  </si>
  <si>
    <t>Fit uncertainty</t>
  </si>
  <si>
    <t>Proton energy [MeV]</t>
  </si>
  <si>
    <t>Binning</t>
  </si>
  <si>
    <t>Total counts</t>
  </si>
  <si>
    <t>Figure 1</t>
  </si>
  <si>
    <t>Fixing as much as possible below 1.2 MeV. 1.2-MeV peak position and area are free parameters.</t>
  </si>
  <si>
    <t>Fixed</t>
  </si>
  <si>
    <t>Releasing 1.1-MeV peak position and area parameters.</t>
  </si>
  <si>
    <t>Figure 2</t>
  </si>
  <si>
    <t>Ep(c.m.) [keV]</t>
  </si>
  <si>
    <t>PD efficiency</t>
  </si>
  <si>
    <t>Fixing 1.1-MeV peak position, but keeping area free.</t>
  </si>
  <si>
    <t>Figure 3</t>
  </si>
  <si>
    <t>Fixing position of the 1.3-MeV peak position, but keeping area free.</t>
  </si>
  <si>
    <t>Figure 4</t>
  </si>
  <si>
    <t>Mode of fit [a.u.]</t>
  </si>
  <si>
    <t>Statistical error [a.u]</t>
  </si>
  <si>
    <t>Systematic uncertainty [a.u.]</t>
  </si>
  <si>
    <t>Calibrated energy:</t>
  </si>
  <si>
    <t>Band error</t>
  </si>
  <si>
    <t>Covariance error</t>
  </si>
  <si>
    <t>Inflated error</t>
  </si>
  <si>
    <t>Summed band error</t>
  </si>
  <si>
    <t>Summed covariance error</t>
  </si>
  <si>
    <t>Summed both error</t>
  </si>
  <si>
    <t>Expected energy level</t>
  </si>
  <si>
    <t>Expected level error</t>
  </si>
  <si>
    <t>Calculated 31S Ex</t>
  </si>
  <si>
    <t>Calculated dEx</t>
  </si>
  <si>
    <t>Error weights</t>
  </si>
  <si>
    <t>Weighted average</t>
  </si>
  <si>
    <t>Adopted 31S Ex</t>
  </si>
  <si>
    <t>Adopted 31S dEx</t>
  </si>
  <si>
    <t>Calibrated Ep</t>
  </si>
  <si>
    <t>Calibrated dEp</t>
  </si>
  <si>
    <t>NNDC 30P</t>
  </si>
  <si>
    <t>30P dEx</t>
  </si>
  <si>
    <t>Adopted Ep</t>
  </si>
  <si>
    <t>Adopted dEp</t>
  </si>
  <si>
    <t>Efficiency at 677.01 keV:</t>
  </si>
  <si>
    <t>Efficiency at 708.7 keV:</t>
  </si>
  <si>
    <t>Efficiency at 1454.23 keV:</t>
  </si>
  <si>
    <t>Efficiency at 1264.57 keV:</t>
  </si>
  <si>
    <t>Efficiency at 1973.27 keV:</t>
  </si>
  <si>
    <t>Efficiency at 745.53 keV:</t>
  </si>
  <si>
    <t>Old:</t>
  </si>
  <si>
    <t>offset</t>
  </si>
  <si>
    <t>Expected number of counts</t>
  </si>
  <si>
    <t>slope</t>
  </si>
  <si>
    <t>Eff-corrected counts</t>
  </si>
  <si>
    <t>Maximum/Mean</t>
  </si>
  <si>
    <t>31S level:</t>
  </si>
  <si>
    <t>Known level</t>
  </si>
  <si>
    <t xml:space="preserve">Previous </t>
  </si>
  <si>
    <t>Ray et al.</t>
  </si>
  <si>
    <t>Theoretical</t>
  </si>
  <si>
    <t>Previous</t>
  </si>
  <si>
    <t>Present</t>
  </si>
  <si>
    <t>1.2-MeV protons</t>
  </si>
  <si>
    <t>1.3-MeV protons</t>
  </si>
  <si>
    <t>1.4-MeV protons</t>
  </si>
  <si>
    <t>677-keV gamma-gated</t>
  </si>
  <si>
    <t>709-keV gamma-gated</t>
  </si>
  <si>
    <t>1454-keV gamma-gated (constant BG)</t>
  </si>
  <si>
    <t>1265-keV gamma-gated</t>
  </si>
  <si>
    <t>1973-keV gamma-gated</t>
  </si>
  <si>
    <t>Search window</t>
  </si>
  <si>
    <t>Maximum</t>
  </si>
  <si>
    <t>σ(μ)</t>
  </si>
  <si>
    <t>Background Subtraction Model #1; Linear background &amp; Free Lambda</t>
  </si>
  <si>
    <t>Background Subtraction Model #1; Constant Background &amp; Free Sigma</t>
  </si>
  <si>
    <t>Systematic fit error</t>
  </si>
  <si>
    <t>Total fit uncertainty</t>
  </si>
  <si>
    <t>Adopted Uncertainty</t>
  </si>
  <si>
    <t>Convert from %</t>
  </si>
  <si>
    <t>Constant background; fixed lambda (λ=0.0786)</t>
  </si>
  <si>
    <t>Linear background; free lambda (Free λ)</t>
  </si>
  <si>
    <t>Eff-corrected error</t>
  </si>
  <si>
    <t>Fit1 integral</t>
  </si>
  <si>
    <t>Fit1 stats error</t>
  </si>
  <si>
    <t>Fit2 integral</t>
  </si>
  <si>
    <t>Fit2 stats error</t>
  </si>
  <si>
    <t>Calibrated proton energy [keV]</t>
  </si>
  <si>
    <t>Gamma-corrected counts</t>
  </si>
  <si>
    <t>Figure 5</t>
  </si>
  <si>
    <t xml:space="preserve">Fixing positions of all 5 peaks.  Let  areas be free parameters. Linear background </t>
  </si>
  <si>
    <t>Figure 6</t>
  </si>
  <si>
    <t>Fixing only the position of the 1.3-MeV proton peak.</t>
  </si>
  <si>
    <t>Figure 7</t>
  </si>
  <si>
    <t>Fixing the position of the 1.3- and 1.4-MeV proton peaks.</t>
  </si>
  <si>
    <t>Figure 8</t>
  </si>
  <si>
    <t>Fixing position and area of all 1.2-MeV peaks. Let parameters for other peaks be free.</t>
  </si>
  <si>
    <t>Singles fit counts</t>
  </si>
  <si>
    <t>Fit singles spectrum (1.1-1.4 MeV)</t>
  </si>
  <si>
    <t>Fit singles sprectrum (&lt;1.4 MeV)</t>
  </si>
  <si>
    <t>Fixing positions and integrals of all coincidence peaks. Free lambda</t>
  </si>
  <si>
    <t>Figure 9</t>
  </si>
  <si>
    <t>Fixing positions and integrals of all coincidence peaks. Fixed lambda</t>
  </si>
  <si>
    <t>Fit singles sepctrum (1.5-2.0 MeV)</t>
  </si>
  <si>
    <t>Figure 10</t>
  </si>
  <si>
    <t>Fixing the position and intensity of the 2494-keV peak only because we see it in the coincidence spectrum, and it's not reported by Saastamoinen/Batchelder.</t>
  </si>
  <si>
    <t>Figure 11</t>
  </si>
  <si>
    <t>Assming the 2146-keV peak is only from coincidence events. Fix its position and intensity. Also fixing lambda</t>
  </si>
  <si>
    <t>Figure 12</t>
  </si>
  <si>
    <t>5-peak fit. Only fixing the position of the 2494-keV peak. Maybe the 2362-keV peak is real?</t>
  </si>
  <si>
    <t>2146-keV peak:</t>
  </si>
  <si>
    <t>Max:</t>
  </si>
  <si>
    <t>Fit singles sepctrum (&gt;2.0 MeV)</t>
  </si>
  <si>
    <t>Total 1.2-MeV gamma-corrected counts</t>
  </si>
  <si>
    <t>Difference between singles fit</t>
  </si>
  <si>
    <t>Expected contribution to singles fit</t>
  </si>
  <si>
    <t>Fit method error</t>
  </si>
  <si>
    <t>Relative fit uncertainty</t>
  </si>
  <si>
    <t>Proton-eff-corrected counts</t>
  </si>
  <si>
    <t>Upper proton eff error</t>
  </si>
  <si>
    <t>Lower proton eff error</t>
  </si>
  <si>
    <t>Lower error proton counts</t>
  </si>
  <si>
    <t>Upper error proton counts</t>
  </si>
  <si>
    <t>I_p(rel) %</t>
  </si>
  <si>
    <t>dIp_lower(rel) %</t>
  </si>
  <si>
    <t>dIp_upper(rel) %</t>
  </si>
  <si>
    <t>I_p(abs)%</t>
  </si>
  <si>
    <t>Histogram integral</t>
  </si>
  <si>
    <t>Histogram error</t>
  </si>
  <si>
    <t>Fit counts</t>
  </si>
  <si>
    <t>SeGA effciency</t>
  </si>
  <si>
    <t>SeGA error</t>
  </si>
  <si>
    <t>PD error</t>
  </si>
  <si>
    <t>Contaminant</t>
  </si>
  <si>
    <t>29S</t>
  </si>
  <si>
    <t>31Ar</t>
  </si>
  <si>
    <t>Expected p_0 in singles</t>
  </si>
  <si>
    <t>32Ar</t>
  </si>
  <si>
    <t>I_p(abs) %</t>
  </si>
  <si>
    <t>dIp_lower(abs) %</t>
  </si>
  <si>
    <t>dIp_upper(abs) %</t>
  </si>
  <si>
    <t>I_beta(abs) %</t>
  </si>
  <si>
    <t>I_beta_lower(abs) %</t>
  </si>
  <si>
    <t>I_beta_upper(abs) %</t>
  </si>
  <si>
    <t>Gamma-decay contribution...</t>
  </si>
  <si>
    <t>31S level energy [keV]</t>
  </si>
  <si>
    <t>dEx</t>
  </si>
  <si>
    <t>dI_beta-(abs)%</t>
  </si>
  <si>
    <t>dI_beta+(abs)%</t>
  </si>
  <si>
    <t>*Estimating number of p_0 counts in the singles spectrum based on efficiencies and reported relative proton intensities from Batchelder.</t>
  </si>
  <si>
    <t>*No evidence of 1554-keV protons in coincidence with 2211-keV gammas from 31Ar beta-delayed proton decay</t>
  </si>
  <si>
    <t>*No evidence of 1257-keV protons in coincidence with 1249-keV gammas from 31Ar beta-delayed proton decay</t>
  </si>
  <si>
    <t>Proton detector efficiency</t>
  </si>
  <si>
    <t>Proton energies [keV]</t>
  </si>
  <si>
    <t>*Values used for final energy calibration and should be adopted for E_p(c.m.) in final table.</t>
  </si>
  <si>
    <t>Verified as good</t>
  </si>
  <si>
    <t>Needs to be updated in table</t>
  </si>
  <si>
    <t>E_p(c.m.) [keV]</t>
  </si>
  <si>
    <t>Singles Counts</t>
  </si>
  <si>
    <t>I_p(abs) [%]</t>
  </si>
  <si>
    <t>Observed 29S counts</t>
  </si>
  <si>
    <t>Without contaminants</t>
  </si>
  <si>
    <t>With contaminants uncertainty</t>
  </si>
  <si>
    <t>Nucleus</t>
  </si>
  <si>
    <t>E_p</t>
  </si>
  <si>
    <t>31Cl</t>
  </si>
  <si>
    <t>Input area</t>
  </si>
  <si>
    <t>Output area</t>
  </si>
  <si>
    <t>Fixed lambda=0.03175</t>
  </si>
  <si>
    <t>Free lambda=0.107</t>
  </si>
  <si>
    <t>Fixed peaks (mu)</t>
  </si>
  <si>
    <t>Area error</t>
  </si>
  <si>
    <t>Free lambda=0.1147</t>
  </si>
  <si>
    <t>Free lambda=0.1013</t>
  </si>
  <si>
    <t>Ouput mu</t>
  </si>
  <si>
    <t>Energy region</t>
  </si>
  <si>
    <t>700 - 1400 keV</t>
  </si>
  <si>
    <t>1500 - 2000 keV</t>
  </si>
  <si>
    <t>&gt; 2000 keV</t>
  </si>
  <si>
    <t>29S estimated counts</t>
  </si>
  <si>
    <t>31Cl estimated counts</t>
  </si>
  <si>
    <t>Total missing counts</t>
  </si>
  <si>
    <t>31Cl observed</t>
  </si>
  <si>
    <t>700 keV - 1400 keV</t>
  </si>
  <si>
    <t>1500 keV - 2000 keV</t>
  </si>
  <si>
    <t>dI_p</t>
  </si>
  <si>
    <t>31Cl protons</t>
  </si>
  <si>
    <t>29S protons</t>
  </si>
  <si>
    <t>31Cl lower error</t>
  </si>
  <si>
    <t>31Cl upper error</t>
  </si>
  <si>
    <t>Relative contamination error</t>
  </si>
  <si>
    <t>Contamination uncertainties</t>
  </si>
  <si>
    <t>6388(4)</t>
  </si>
  <si>
    <t>6936(2)</t>
  </si>
  <si>
    <t>7037(2)</t>
  </si>
  <si>
    <t>7157.5(11)</t>
  </si>
  <si>
    <t>7703(3)</t>
  </si>
  <si>
    <t>7797(12)</t>
  </si>
  <si>
    <t>7887(3)</t>
  </si>
  <si>
    <t>7905(8)</t>
  </si>
  <si>
    <t>8017(3)</t>
  </si>
  <si>
    <t>8024(2)</t>
  </si>
  <si>
    <t>8275(4)</t>
  </si>
  <si>
    <t>8418(3)</t>
  </si>
  <si>
    <t>8557(2)</t>
  </si>
  <si>
    <t>8669(8)</t>
  </si>
  <si>
    <t>8708(7)</t>
  </si>
  <si>
    <t>8813(2)</t>
  </si>
  <si>
    <t>8950(5)</t>
  </si>
  <si>
    <t>8964(2)</t>
  </si>
  <si>
    <t>9238(3)</t>
  </si>
  <si>
    <t>9328(5)</t>
  </si>
  <si>
    <t>9405(4)</t>
  </si>
  <si>
    <t>9421(8)</t>
  </si>
  <si>
    <t>9730(10)</t>
  </si>
  <si>
    <t>present</t>
  </si>
  <si>
    <t>[38]</t>
  </si>
  <si>
    <t>---</t>
  </si>
  <si>
    <t>J^(pi)</t>
  </si>
  <si>
    <t>I_beta</t>
  </si>
  <si>
    <t>3.38(18)</t>
  </si>
  <si>
    <t>0.087(14)</t>
  </si>
  <si>
    <t>0.20(3)</t>
  </si>
  <si>
    <t>0.14(3)</t>
  </si>
  <si>
    <t>1.31(2)</t>
  </si>
  <si>
    <t>0.0027(8)</t>
  </si>
  <si>
    <t>0.09(2)</t>
  </si>
  <si>
    <t>&lt;0.0005()</t>
  </si>
  <si>
    <t>0.038(_(-0.009)^(+0.010))</t>
  </si>
  <si>
    <t>0.0038(_(-0.0012)^(+0.0013))</t>
  </si>
  <si>
    <t>&lt;0.007()</t>
  </si>
  <si>
    <t>0.015(3)</t>
  </si>
  <si>
    <t>&lt;0.0019()</t>
  </si>
  <si>
    <t>0.0028((-0.0009),(+0.0010))</t>
  </si>
  <si>
    <t>0.020(6)</t>
  </si>
  <si>
    <t>0.010(8)</t>
  </si>
  <si>
    <t>0.009(2)</t>
  </si>
  <si>
    <t>0.016(4)</t>
  </si>
  <si>
    <t>0.017((-0.008),(+0.007))</t>
  </si>
  <si>
    <t>0.0033((-0.0009),(+0.0011))</t>
  </si>
  <si>
    <t>0.004(2)</t>
  </si>
  <si>
    <t>Log(ft) central</t>
  </si>
  <si>
    <t>central - lower</t>
  </si>
  <si>
    <t>upper - central</t>
  </si>
  <si>
    <t>Log(ft) lower</t>
  </si>
  <si>
    <t>Log(ft) upper</t>
  </si>
  <si>
    <t>B(GT)</t>
  </si>
  <si>
    <t>B(GT) upper</t>
  </si>
  <si>
    <t>B(GT) lower</t>
  </si>
  <si>
    <t xml:space="preserve"> 1/2+, 3/2+, 5/2+ </t>
  </si>
  <si>
    <t xml:space="preserve"> 1/2, 3/2, 5/2 </t>
  </si>
  <si>
    <t xml:space="preserve"> (1/2+, 3/2+, 5/2+) </t>
  </si>
  <si>
    <t>Jπ purely based on log(ft)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</si>
</sst>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"/>
    <numFmt numFmtId="166" formatCode="0.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000000"/>
      <name val="Calibri"/>
      <family val="2"/>
    </font>
    <font>
      <b/>
      <vertAlign val="superscript"/>
      <sz val="11"/>
      <color rgb="FF000000"/>
      <name val="Calibri"/>
      <family val="2"/>
    </font>
    <font>
      <sz val="11"/>
      <color rgb="FF0000CC"/>
      <name val="Times New Roman"/>
      <family val="1"/>
    </font>
    <font>
      <sz val="11"/>
      <color theme="1"/>
      <name val="Times New Roman"/>
      <family val="1"/>
    </font>
    <font>
      <sz val="11"/>
      <color rgb="FF006600"/>
      <name val="Times New Roman"/>
      <family val="1"/>
    </font>
    <font>
      <sz val="11"/>
      <color rgb="FFC00000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4" borderId="0" applyNumberFormat="0" applyBorder="0" applyAlignment="0" applyProtection="0"/>
  </cellStyleXfs>
  <cellXfs count="18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7" xfId="0" applyBorder="1" applyAlignment="1">
      <alignment horizontal="center"/>
    </xf>
    <xf numFmtId="0" fontId="0" fillId="10" borderId="0" xfId="0" applyFill="1"/>
    <xf numFmtId="0" fontId="2" fillId="2" borderId="2" xfId="1" applyBorder="1"/>
    <xf numFmtId="0" fontId="2" fillId="2" borderId="0" xfId="1" applyBorder="1"/>
    <xf numFmtId="0" fontId="3" fillId="3" borderId="0" xfId="2" applyBorder="1"/>
    <xf numFmtId="0" fontId="2" fillId="2" borderId="7" xfId="1" applyBorder="1"/>
    <xf numFmtId="0" fontId="3" fillId="3" borderId="2" xfId="2" applyBorder="1"/>
    <xf numFmtId="0" fontId="2" fillId="2" borderId="4" xfId="1" applyBorder="1"/>
    <xf numFmtId="0" fontId="3" fillId="3" borderId="4" xfId="2" applyBorder="1"/>
    <xf numFmtId="0" fontId="2" fillId="2" borderId="0" xfId="1"/>
    <xf numFmtId="0" fontId="4" fillId="4" borderId="0" xfId="3"/>
    <xf numFmtId="0" fontId="7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1" fillId="6" borderId="0" xfId="5"/>
    <xf numFmtId="0" fontId="3" fillId="3" borderId="0" xfId="2"/>
    <xf numFmtId="0" fontId="0" fillId="0" borderId="9" xfId="0" applyBorder="1"/>
    <xf numFmtId="0" fontId="0" fillId="0" borderId="10" xfId="0" applyBorder="1"/>
    <xf numFmtId="0" fontId="2" fillId="2" borderId="10" xfId="1" applyBorder="1"/>
    <xf numFmtId="0" fontId="3" fillId="3" borderId="10" xfId="2" applyBorder="1"/>
    <xf numFmtId="0" fontId="0" fillId="0" borderId="11" xfId="0" applyBorder="1"/>
    <xf numFmtId="0" fontId="5" fillId="0" borderId="0" xfId="0" applyFont="1" applyAlignment="1">
      <alignment horizontal="center"/>
    </xf>
    <xf numFmtId="0" fontId="5" fillId="0" borderId="0" xfId="0" applyFont="1"/>
    <xf numFmtId="0" fontId="3" fillId="3" borderId="0" xfId="2" applyAlignment="1">
      <alignment horizontal="right"/>
    </xf>
    <xf numFmtId="0" fontId="3" fillId="3" borderId="0" xfId="2" applyAlignment="1">
      <alignment horizontal="left"/>
    </xf>
    <xf numFmtId="0" fontId="3" fillId="3" borderId="0" xfId="2" applyAlignment="1">
      <alignment horizontal="center"/>
    </xf>
    <xf numFmtId="0" fontId="0" fillId="0" borderId="0" xfId="0" applyAlignment="1">
      <alignment vertical="center"/>
    </xf>
    <xf numFmtId="0" fontId="1" fillId="0" borderId="0" xfId="2" applyFont="1" applyFill="1"/>
    <xf numFmtId="0" fontId="3" fillId="3" borderId="3" xfId="2" applyBorder="1"/>
    <xf numFmtId="0" fontId="3" fillId="3" borderId="5" xfId="2" applyBorder="1"/>
    <xf numFmtId="0" fontId="7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6" fillId="4" borderId="9" xfId="9" applyBorder="1"/>
    <xf numFmtId="0" fontId="6" fillId="4" borderId="0" xfId="9"/>
    <xf numFmtId="0" fontId="6" fillId="4" borderId="4" xfId="9" applyBorder="1"/>
    <xf numFmtId="0" fontId="6" fillId="4" borderId="0" xfId="9" applyBorder="1" applyAlignment="1"/>
    <xf numFmtId="0" fontId="6" fillId="4" borderId="5" xfId="9" applyBorder="1" applyAlignment="1"/>
    <xf numFmtId="0" fontId="2" fillId="2" borderId="5" xfId="1" applyBorder="1"/>
    <xf numFmtId="0" fontId="3" fillId="3" borderId="6" xfId="2" applyBorder="1"/>
    <xf numFmtId="0" fontId="3" fillId="3" borderId="7" xfId="2" applyBorder="1" applyAlignment="1"/>
    <xf numFmtId="0" fontId="3" fillId="3" borderId="8" xfId="2" applyBorder="1" applyAlignment="1"/>
    <xf numFmtId="0" fontId="6" fillId="4" borderId="10" xfId="9" applyBorder="1" applyAlignment="1"/>
    <xf numFmtId="0" fontId="6" fillId="4" borderId="11" xfId="9" applyBorder="1" applyAlignment="1"/>
    <xf numFmtId="0" fontId="0" fillId="11" borderId="1" xfId="0" applyFill="1" applyBorder="1"/>
    <xf numFmtId="0" fontId="0" fillId="11" borderId="2" xfId="0" applyFill="1" applyBorder="1"/>
    <xf numFmtId="0" fontId="0" fillId="11" borderId="0" xfId="0" applyFill="1"/>
    <xf numFmtId="0" fontId="0" fillId="11" borderId="4" xfId="0" applyFill="1" applyBorder="1"/>
    <xf numFmtId="0" fontId="0" fillId="12" borderId="0" xfId="0" applyFill="1"/>
    <xf numFmtId="0" fontId="0" fillId="11" borderId="7" xfId="0" applyFill="1" applyBorder="1"/>
    <xf numFmtId="0" fontId="0" fillId="13" borderId="2" xfId="0" applyFill="1" applyBorder="1"/>
    <xf numFmtId="0" fontId="0" fillId="14" borderId="2" xfId="0" applyFill="1" applyBorder="1"/>
    <xf numFmtId="0" fontId="0" fillId="14" borderId="0" xfId="0" applyFill="1"/>
    <xf numFmtId="0" fontId="0" fillId="15" borderId="2" xfId="0" applyFill="1" applyBorder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1" fillId="7" borderId="0" xfId="6"/>
    <xf numFmtId="0" fontId="2" fillId="0" borderId="2" xfId="1" applyFill="1" applyBorder="1"/>
    <xf numFmtId="0" fontId="2" fillId="0" borderId="0" xfId="1" applyFill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1" xfId="1" applyFill="1" applyBorder="1"/>
    <xf numFmtId="0" fontId="2" fillId="0" borderId="4" xfId="1" applyFill="1" applyBorder="1"/>
    <xf numFmtId="0" fontId="3" fillId="0" borderId="0" xfId="2" applyFill="1" applyBorder="1"/>
    <xf numFmtId="0" fontId="3" fillId="0" borderId="7" xfId="2" applyFill="1" applyBorder="1"/>
    <xf numFmtId="0" fontId="2" fillId="0" borderId="7" xfId="1" applyFill="1" applyBorder="1"/>
    <xf numFmtId="0" fontId="3" fillId="0" borderId="2" xfId="2" applyFill="1" applyBorder="1"/>
    <xf numFmtId="0" fontId="6" fillId="4" borderId="7" xfId="9" applyBorder="1"/>
    <xf numFmtId="0" fontId="6" fillId="0" borderId="0" xfId="9" applyFill="1" applyBorder="1"/>
    <xf numFmtId="0" fontId="6" fillId="0" borderId="2" xfId="9" applyFill="1" applyBorder="1"/>
    <xf numFmtId="0" fontId="6" fillId="0" borderId="4" xfId="9" applyFill="1" applyBorder="1"/>
    <xf numFmtId="0" fontId="6" fillId="0" borderId="7" xfId="9" applyFill="1" applyBorder="1"/>
    <xf numFmtId="0" fontId="6" fillId="0" borderId="1" xfId="9" applyFill="1" applyBorder="1"/>
    <xf numFmtId="0" fontId="2" fillId="11" borderId="2" xfId="1" applyFill="1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vertical="top" wrapText="1"/>
    </xf>
    <xf numFmtId="0" fontId="6" fillId="4" borderId="0" xfId="9" applyBorder="1" applyAlignment="1">
      <alignment horizontal="center"/>
    </xf>
    <xf numFmtId="0" fontId="3" fillId="3" borderId="0" xfId="2" applyBorder="1" applyAlignment="1">
      <alignment horizontal="center"/>
    </xf>
    <xf numFmtId="0" fontId="3" fillId="3" borderId="0" xfId="2" applyBorder="1" applyAlignment="1"/>
    <xf numFmtId="0" fontId="0" fillId="0" borderId="5" xfId="0" applyBorder="1" applyAlignment="1">
      <alignment horizontal="left" vertical="top"/>
    </xf>
    <xf numFmtId="0" fontId="1" fillId="8" borderId="0" xfId="7" applyBorder="1" applyAlignment="1">
      <alignment horizontal="center"/>
    </xf>
    <xf numFmtId="0" fontId="1" fillId="9" borderId="0" xfId="8" applyBorder="1" applyAlignment="1">
      <alignment horizontal="center"/>
    </xf>
    <xf numFmtId="0" fontId="2" fillId="2" borderId="0" xfId="1" applyBorder="1" applyAlignment="1">
      <alignment horizontal="center"/>
    </xf>
    <xf numFmtId="0" fontId="1" fillId="5" borderId="4" xfId="4" applyBorder="1"/>
    <xf numFmtId="0" fontId="1" fillId="5" borderId="0" xfId="4" applyBorder="1" applyAlignment="1">
      <alignment horizontal="center"/>
    </xf>
    <xf numFmtId="0" fontId="1" fillId="8" borderId="4" xfId="7" applyBorder="1"/>
    <xf numFmtId="0" fontId="1" fillId="9" borderId="4" xfId="8" applyBorder="1"/>
    <xf numFmtId="0" fontId="1" fillId="7" borderId="4" xfId="6" applyBorder="1"/>
    <xf numFmtId="0" fontId="1" fillId="7" borderId="0" xfId="6" applyBorder="1" applyAlignment="1">
      <alignment horizontal="center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right" vertical="top"/>
    </xf>
    <xf numFmtId="0" fontId="0" fillId="0" borderId="0" xfId="0" applyAlignment="1">
      <alignment horizontal="right" vertical="top" wrapText="1"/>
    </xf>
    <xf numFmtId="0" fontId="3" fillId="3" borderId="0" xfId="2" applyAlignment="1">
      <alignment horizontal="right" vertical="top"/>
    </xf>
    <xf numFmtId="0" fontId="3" fillId="3" borderId="0" xfId="2" applyBorder="1" applyAlignment="1">
      <alignment horizontal="right" vertical="top"/>
    </xf>
    <xf numFmtId="0" fontId="1" fillId="0" borderId="4" xfId="2" applyFont="1" applyFill="1" applyBorder="1"/>
    <xf numFmtId="0" fontId="1" fillId="0" borderId="0" xfId="2" applyFont="1" applyFill="1" applyBorder="1" applyAlignment="1">
      <alignment horizontal="center"/>
    </xf>
    <xf numFmtId="0" fontId="1" fillId="0" borderId="5" xfId="2" applyFont="1" applyFill="1" applyBorder="1" applyAlignment="1">
      <alignment horizontal="left" vertical="top"/>
    </xf>
    <xf numFmtId="0" fontId="1" fillId="0" borderId="0" xfId="2" applyFont="1" applyFill="1" applyAlignment="1">
      <alignment horizontal="right" vertical="top"/>
    </xf>
    <xf numFmtId="0" fontId="0" fillId="15" borderId="0" xfId="0" applyFill="1"/>
    <xf numFmtId="0" fontId="0" fillId="13" borderId="0" xfId="0" applyFill="1"/>
    <xf numFmtId="0" fontId="0" fillId="19" borderId="0" xfId="0" applyFill="1"/>
    <xf numFmtId="0" fontId="0" fillId="20" borderId="0" xfId="0" applyFill="1"/>
    <xf numFmtId="0" fontId="0" fillId="12" borderId="2" xfId="0" applyFill="1" applyBorder="1"/>
    <xf numFmtId="0" fontId="0" fillId="21" borderId="7" xfId="0" applyFill="1" applyBorder="1"/>
    <xf numFmtId="0" fontId="0" fillId="0" borderId="0" xfId="0" applyAlignment="1">
      <alignment horizontal="center"/>
    </xf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0" fontId="4" fillId="4" borderId="1" xfId="3" applyBorder="1"/>
    <xf numFmtId="0" fontId="4" fillId="4" borderId="2" xfId="3" applyBorder="1"/>
    <xf numFmtId="0" fontId="0" fillId="0" borderId="0" xfId="0" applyAlignment="1"/>
    <xf numFmtId="0" fontId="0" fillId="0" borderId="0" xfId="0" applyFill="1"/>
    <xf numFmtId="0" fontId="0" fillId="0" borderId="2" xfId="0" applyFill="1" applyBorder="1"/>
    <xf numFmtId="0" fontId="1" fillId="0" borderId="0" xfId="3" applyFont="1" applyFill="1"/>
    <xf numFmtId="0" fontId="0" fillId="0" borderId="10" xfId="0" applyFill="1" applyBorder="1"/>
    <xf numFmtId="0" fontId="0" fillId="0" borderId="0" xfId="0" quotePrefix="1"/>
    <xf numFmtId="0" fontId="0" fillId="0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6" fontId="9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2" fillId="2" borderId="0" xfId="1" applyBorder="1" applyAlignment="1">
      <alignment horizontal="center"/>
    </xf>
    <xf numFmtId="0" fontId="6" fillId="4" borderId="0" xfId="9" applyBorder="1" applyAlignment="1">
      <alignment horizontal="center"/>
    </xf>
    <xf numFmtId="0" fontId="3" fillId="3" borderId="0" xfId="2" applyBorder="1" applyAlignment="1">
      <alignment horizontal="center"/>
    </xf>
    <xf numFmtId="0" fontId="1" fillId="5" borderId="0" xfId="4" applyBorder="1" applyAlignment="1">
      <alignment horizontal="center"/>
    </xf>
    <xf numFmtId="0" fontId="1" fillId="8" borderId="0" xfId="7" applyBorder="1" applyAlignment="1">
      <alignment horizontal="center"/>
    </xf>
    <xf numFmtId="0" fontId="1" fillId="9" borderId="0" xfId="8" applyBorder="1" applyAlignment="1">
      <alignment horizontal="center"/>
    </xf>
    <xf numFmtId="0" fontId="1" fillId="7" borderId="0" xfId="6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center"/>
    </xf>
    <xf numFmtId="0" fontId="1" fillId="0" borderId="0" xfId="2" applyFont="1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2" borderId="0" xfId="1" applyAlignment="1">
      <alignment horizontal="center"/>
    </xf>
    <xf numFmtId="0" fontId="6" fillId="4" borderId="0" xfId="9" applyAlignment="1">
      <alignment horizontal="center"/>
    </xf>
    <xf numFmtId="0" fontId="2" fillId="2" borderId="2" xfId="1" applyBorder="1" applyAlignment="1">
      <alignment horizontal="center" vertical="center"/>
    </xf>
    <xf numFmtId="0" fontId="2" fillId="2" borderId="0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6" fillId="4" borderId="2" xfId="9" applyBorder="1" applyAlignment="1">
      <alignment horizontal="center" vertical="center"/>
    </xf>
    <xf numFmtId="0" fontId="6" fillId="4" borderId="7" xfId="9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0" borderId="0" xfId="0" applyNumberFormat="1" applyFont="1" applyFill="1" applyAlignment="1">
      <alignment horizontal="left" vertical="center"/>
    </xf>
  </cellXfs>
  <cellStyles count="10">
    <cellStyle name="20% - Accent1" xfId="4" builtinId="30"/>
    <cellStyle name="40% - Accent1" xfId="5" builtinId="31"/>
    <cellStyle name="40% - Accent2" xfId="6" builtinId="35"/>
    <cellStyle name="40% - Accent3" xfId="7" builtinId="39"/>
    <cellStyle name="40% - Accent5" xfId="8" builtinId="47"/>
    <cellStyle name="Bad" xfId="2" builtinId="27"/>
    <cellStyle name="Good" xfId="1" builtinId="26"/>
    <cellStyle name="Neutral" xfId="3" builtinId="28"/>
    <cellStyle name="Neutral 2" xfId="9" xr:uid="{76B080A6-3EBE-447B-9B3F-C221E3062505}"/>
    <cellStyle name="Normal" xfId="0" builtinId="0"/>
  </cellStyles>
  <dxfs count="0"/>
  <tableStyles count="0" defaultTableStyle="TableStyleMedium2" defaultPivotStyle="PivotStyleLight16"/>
  <colors>
    <mruColors>
      <color rgb="FF006600"/>
      <color rgb="FF0000CC"/>
      <color rgb="FFFF9999"/>
      <color rgb="FFFF00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4"/>
              <c:pt idx="0">
                <c:v>1248.4000000000001</c:v>
              </c:pt>
              <c:pt idx="1">
                <c:v>1827.93</c:v>
              </c:pt>
              <c:pt idx="2">
                <c:v>2035.24</c:v>
              </c:pt>
              <c:pt idx="3">
                <c:v>1049.6600000000001</c:v>
              </c:pt>
              <c:pt idx="4">
                <c:v>1852.19</c:v>
              </c:pt>
              <c:pt idx="5">
                <c:v>4519.28</c:v>
              </c:pt>
              <c:pt idx="6">
                <c:v>4717.34</c:v>
              </c:pt>
              <c:pt idx="7">
                <c:v>2483.6</c:v>
              </c:pt>
              <c:pt idx="8">
                <c:v>5155.7</c:v>
              </c:pt>
              <c:pt idx="9">
                <c:v>6254.3</c:v>
              </c:pt>
              <c:pt idx="10">
                <c:v>6278.4</c:v>
              </c:pt>
              <c:pt idx="11">
                <c:v>5030.1000000000004</c:v>
              </c:pt>
              <c:pt idx="12">
                <c:v>6389.5</c:v>
              </c:pt>
              <c:pt idx="13">
                <c:v>7049.2</c:v>
              </c:pt>
            </c:numLit>
          </c:xVal>
          <c:yVal>
            <c:numLit>
              <c:formatCode>General</c:formatCode>
              <c:ptCount val="14"/>
              <c:pt idx="0">
                <c:v>1</c:v>
              </c:pt>
              <c:pt idx="1">
                <c:v>0.72709073639349531</c:v>
              </c:pt>
              <c:pt idx="2">
                <c:v>0.71171603781429649</c:v>
              </c:pt>
              <c:pt idx="3">
                <c:v>1.0071014497315935</c:v>
              </c:pt>
              <c:pt idx="4">
                <c:v>0.71649773850514487</c:v>
              </c:pt>
              <c:pt idx="5">
                <c:v>0.29745561791526448</c:v>
              </c:pt>
              <c:pt idx="6">
                <c:v>0.37167225843632379</c:v>
              </c:pt>
              <c:pt idx="7">
                <c:v>0.57690761065320373</c:v>
              </c:pt>
              <c:pt idx="8">
                <c:v>0.3447261495760221</c:v>
              </c:pt>
              <c:pt idx="9">
                <c:v>0.32702207188336746</c:v>
              </c:pt>
              <c:pt idx="10">
                <c:v>0.28165736744621772</c:v>
              </c:pt>
              <c:pt idx="11">
                <c:v>0.34265373135053329</c:v>
              </c:pt>
              <c:pt idx="12">
                <c:v>0.30777719562209521</c:v>
              </c:pt>
              <c:pt idx="13">
                <c:v>0.17567628335886826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8C1E-48F0-B3DF-9AD046FB8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303583"/>
        <c:axId val="1533299423"/>
      </c:scatterChart>
      <c:valAx>
        <c:axId val="153330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 energy [keV]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99423"/>
        <c:crosses val="autoZero"/>
        <c:crossBetween val="midCat"/>
      </c:valAx>
      <c:valAx>
        <c:axId val="15332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SeGA efficiency [a.u.]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0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17"/>
              <c:pt idx="0">
                <c:v>1248.4000000000001</c:v>
              </c:pt>
              <c:pt idx="1">
                <c:v>1827.93</c:v>
              </c:pt>
              <c:pt idx="2">
                <c:v>2035.24</c:v>
              </c:pt>
              <c:pt idx="3">
                <c:v>1049.6600000000001</c:v>
              </c:pt>
              <c:pt idx="4">
                <c:v>1852.19</c:v>
              </c:pt>
              <c:pt idx="5">
                <c:v>2959.09</c:v>
              </c:pt>
              <c:pt idx="6">
                <c:v>4519.28</c:v>
              </c:pt>
              <c:pt idx="7">
                <c:v>4717.34</c:v>
              </c:pt>
              <c:pt idx="8">
                <c:v>2483.6</c:v>
              </c:pt>
              <c:pt idx="9">
                <c:v>5155.7</c:v>
              </c:pt>
              <c:pt idx="10">
                <c:v>6254.3</c:v>
              </c:pt>
              <c:pt idx="11">
                <c:v>6278.4</c:v>
              </c:pt>
              <c:pt idx="12">
                <c:v>5030.1000000000004</c:v>
              </c:pt>
              <c:pt idx="13">
                <c:v>6389.5</c:v>
              </c:pt>
              <c:pt idx="14">
                <c:v>7049.2</c:v>
              </c:pt>
              <c:pt idx="15">
                <c:v>3283.57</c:v>
              </c:pt>
              <c:pt idx="16">
                <c:v>3313.56</c:v>
              </c:pt>
            </c:numLit>
          </c:xVal>
          <c:yVal>
            <c:numLit>
              <c:formatCode>General</c:formatCode>
              <c:ptCount val="17"/>
              <c:pt idx="0">
                <c:v>1</c:v>
              </c:pt>
              <c:pt idx="1">
                <c:v>0.72709073639349531</c:v>
              </c:pt>
              <c:pt idx="2">
                <c:v>0.71171603781429649</c:v>
              </c:pt>
              <c:pt idx="3">
                <c:v>1.0071014497315935</c:v>
              </c:pt>
              <c:pt idx="4">
                <c:v>0.71649773850514487</c:v>
              </c:pt>
              <c:pt idx="5">
                <c:v>0.53572644259896907</c:v>
              </c:pt>
              <c:pt idx="6">
                <c:v>0.29745561791526448</c:v>
              </c:pt>
              <c:pt idx="7">
                <c:v>0.37167225843632379</c:v>
              </c:pt>
              <c:pt idx="8">
                <c:v>0.57690761065320373</c:v>
              </c:pt>
              <c:pt idx="9">
                <c:v>0.3447261495760221</c:v>
              </c:pt>
              <c:pt idx="10">
                <c:v>0.32702207188336746</c:v>
              </c:pt>
              <c:pt idx="11">
                <c:v>0.28165736744621772</c:v>
              </c:pt>
              <c:pt idx="12">
                <c:v>0.34265373135053329</c:v>
              </c:pt>
              <c:pt idx="13">
                <c:v>0.30777719562209521</c:v>
              </c:pt>
              <c:pt idx="14">
                <c:v>0.15065978113275424</c:v>
              </c:pt>
              <c:pt idx="15">
                <c:v>0.44877441781782124</c:v>
              </c:pt>
              <c:pt idx="16">
                <c:v>0.47402630789068922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089D-4319-9AE8-6C109FFCEC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3303583"/>
        <c:axId val="1533299423"/>
      </c:scatterChart>
      <c:valAx>
        <c:axId val="1533303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Gamma energy [keV]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299423"/>
        <c:crosses val="autoZero"/>
        <c:crossBetween val="midCat"/>
      </c:valAx>
      <c:valAx>
        <c:axId val="1533299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SeGA efficiency [a.u.]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33035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3" Type="http://schemas.openxmlformats.org/officeDocument/2006/relationships/image" Target="../media/image22.png"/><Relationship Id="rId7" Type="http://schemas.openxmlformats.org/officeDocument/2006/relationships/image" Target="../media/image26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3.PNG"/><Relationship Id="rId13" Type="http://schemas.openxmlformats.org/officeDocument/2006/relationships/image" Target="../media/image38.PNG"/><Relationship Id="rId18" Type="http://schemas.openxmlformats.org/officeDocument/2006/relationships/image" Target="../media/image43.png"/><Relationship Id="rId3" Type="http://schemas.openxmlformats.org/officeDocument/2006/relationships/chart" Target="../charts/chart2.xml"/><Relationship Id="rId21" Type="http://schemas.openxmlformats.org/officeDocument/2006/relationships/image" Target="../media/image46.png"/><Relationship Id="rId7" Type="http://schemas.openxmlformats.org/officeDocument/2006/relationships/image" Target="../media/image32.png"/><Relationship Id="rId12" Type="http://schemas.openxmlformats.org/officeDocument/2006/relationships/image" Target="../media/image37.PNG"/><Relationship Id="rId17" Type="http://schemas.openxmlformats.org/officeDocument/2006/relationships/image" Target="../media/image42.png"/><Relationship Id="rId2" Type="http://schemas.openxmlformats.org/officeDocument/2006/relationships/chart" Target="../charts/chart1.xml"/><Relationship Id="rId16" Type="http://schemas.openxmlformats.org/officeDocument/2006/relationships/image" Target="../media/image41.png"/><Relationship Id="rId20" Type="http://schemas.openxmlformats.org/officeDocument/2006/relationships/image" Target="../media/image45.png"/><Relationship Id="rId1" Type="http://schemas.openxmlformats.org/officeDocument/2006/relationships/image" Target="../media/image28.PNG"/><Relationship Id="rId6" Type="http://schemas.openxmlformats.org/officeDocument/2006/relationships/image" Target="../media/image31.png"/><Relationship Id="rId11" Type="http://schemas.openxmlformats.org/officeDocument/2006/relationships/image" Target="../media/image36.PNG"/><Relationship Id="rId5" Type="http://schemas.openxmlformats.org/officeDocument/2006/relationships/image" Target="../media/image30.png"/><Relationship Id="rId15" Type="http://schemas.openxmlformats.org/officeDocument/2006/relationships/image" Target="../media/image40.PNG"/><Relationship Id="rId10" Type="http://schemas.openxmlformats.org/officeDocument/2006/relationships/image" Target="../media/image35.PNG"/><Relationship Id="rId19" Type="http://schemas.openxmlformats.org/officeDocument/2006/relationships/image" Target="../media/image44.png"/><Relationship Id="rId4" Type="http://schemas.openxmlformats.org/officeDocument/2006/relationships/image" Target="../media/image29.png"/><Relationship Id="rId9" Type="http://schemas.openxmlformats.org/officeDocument/2006/relationships/image" Target="../media/image34.PNG"/><Relationship Id="rId14" Type="http://schemas.openxmlformats.org/officeDocument/2006/relationships/image" Target="../media/image39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png"/><Relationship Id="rId13" Type="http://schemas.openxmlformats.org/officeDocument/2006/relationships/image" Target="../media/image59.png"/><Relationship Id="rId3" Type="http://schemas.openxmlformats.org/officeDocument/2006/relationships/image" Target="../media/image49.png"/><Relationship Id="rId7" Type="http://schemas.openxmlformats.org/officeDocument/2006/relationships/image" Target="../media/image53.png"/><Relationship Id="rId12" Type="http://schemas.openxmlformats.org/officeDocument/2006/relationships/image" Target="../media/image58.png"/><Relationship Id="rId2" Type="http://schemas.openxmlformats.org/officeDocument/2006/relationships/image" Target="../media/image48.png"/><Relationship Id="rId1" Type="http://schemas.openxmlformats.org/officeDocument/2006/relationships/image" Target="../media/image47.png"/><Relationship Id="rId6" Type="http://schemas.openxmlformats.org/officeDocument/2006/relationships/image" Target="../media/image52.png"/><Relationship Id="rId11" Type="http://schemas.openxmlformats.org/officeDocument/2006/relationships/image" Target="../media/image57.png"/><Relationship Id="rId5" Type="http://schemas.openxmlformats.org/officeDocument/2006/relationships/image" Target="../media/image51.png"/><Relationship Id="rId15" Type="http://schemas.openxmlformats.org/officeDocument/2006/relationships/image" Target="../media/image61.png"/><Relationship Id="rId10" Type="http://schemas.openxmlformats.org/officeDocument/2006/relationships/image" Target="../media/image56.png"/><Relationship Id="rId4" Type="http://schemas.openxmlformats.org/officeDocument/2006/relationships/image" Target="../media/image50.png"/><Relationship Id="rId9" Type="http://schemas.openxmlformats.org/officeDocument/2006/relationships/image" Target="../media/image55.png"/><Relationship Id="rId14" Type="http://schemas.openxmlformats.org/officeDocument/2006/relationships/image" Target="../media/image60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69.PNG"/><Relationship Id="rId13" Type="http://schemas.openxmlformats.org/officeDocument/2006/relationships/image" Target="../media/image74.png"/><Relationship Id="rId3" Type="http://schemas.openxmlformats.org/officeDocument/2006/relationships/image" Target="../media/image64.PNG"/><Relationship Id="rId7" Type="http://schemas.openxmlformats.org/officeDocument/2006/relationships/image" Target="../media/image68.PNG"/><Relationship Id="rId12" Type="http://schemas.openxmlformats.org/officeDocument/2006/relationships/image" Target="../media/image73.png"/><Relationship Id="rId2" Type="http://schemas.openxmlformats.org/officeDocument/2006/relationships/image" Target="../media/image63.PNG"/><Relationship Id="rId1" Type="http://schemas.openxmlformats.org/officeDocument/2006/relationships/image" Target="../media/image62.PNG"/><Relationship Id="rId6" Type="http://schemas.openxmlformats.org/officeDocument/2006/relationships/image" Target="../media/image67.png"/><Relationship Id="rId11" Type="http://schemas.openxmlformats.org/officeDocument/2006/relationships/image" Target="../media/image72.png"/><Relationship Id="rId5" Type="http://schemas.openxmlformats.org/officeDocument/2006/relationships/image" Target="../media/image66.png"/><Relationship Id="rId10" Type="http://schemas.openxmlformats.org/officeDocument/2006/relationships/image" Target="../media/image71.png"/><Relationship Id="rId4" Type="http://schemas.openxmlformats.org/officeDocument/2006/relationships/image" Target="../media/image65.PNG"/><Relationship Id="rId9" Type="http://schemas.openxmlformats.org/officeDocument/2006/relationships/image" Target="../media/image7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390940</xdr:colOff>
      <xdr:row>0</xdr:row>
      <xdr:rowOff>28576</xdr:rowOff>
    </xdr:from>
    <xdr:to>
      <xdr:col>27</xdr:col>
      <xdr:colOff>462148</xdr:colOff>
      <xdr:row>23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3469A5-01DC-4316-9A74-3F6AF0DB2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16190" y="28576"/>
          <a:ext cx="7891233" cy="4219574"/>
        </a:xfrm>
        <a:prstGeom prst="rect">
          <a:avLst/>
        </a:prstGeom>
      </xdr:spPr>
    </xdr:pic>
    <xdr:clientData/>
  </xdr:twoCellAnchor>
  <xdr:twoCellAnchor editAs="oneCell">
    <xdr:from>
      <xdr:col>16</xdr:col>
      <xdr:colOff>866775</xdr:colOff>
      <xdr:row>39</xdr:row>
      <xdr:rowOff>123825</xdr:rowOff>
    </xdr:from>
    <xdr:to>
      <xdr:col>26</xdr:col>
      <xdr:colOff>161925</xdr:colOff>
      <xdr:row>56</xdr:row>
      <xdr:rowOff>155175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5E80C5-6120-42BD-96C1-E1256441E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15925" y="7200900"/>
          <a:ext cx="5781675" cy="3107925"/>
        </a:xfrm>
        <a:prstGeom prst="rect">
          <a:avLst/>
        </a:prstGeom>
      </xdr:spPr>
    </xdr:pic>
    <xdr:clientData/>
  </xdr:twoCellAnchor>
  <xdr:twoCellAnchor editAs="oneCell">
    <xdr:from>
      <xdr:col>16</xdr:col>
      <xdr:colOff>848128</xdr:colOff>
      <xdr:row>57</xdr:row>
      <xdr:rowOff>93587</xdr:rowOff>
    </xdr:from>
    <xdr:to>
      <xdr:col>26</xdr:col>
      <xdr:colOff>375175</xdr:colOff>
      <xdr:row>75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945C43-9CA2-4E23-8911-C8731764E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97278" y="10428212"/>
          <a:ext cx="6013572" cy="3211588"/>
        </a:xfrm>
        <a:prstGeom prst="rect">
          <a:avLst/>
        </a:prstGeom>
      </xdr:spPr>
    </xdr:pic>
    <xdr:clientData/>
  </xdr:twoCellAnchor>
  <xdr:twoCellAnchor editAs="oneCell">
    <xdr:from>
      <xdr:col>15</xdr:col>
      <xdr:colOff>533400</xdr:colOff>
      <xdr:row>80</xdr:row>
      <xdr:rowOff>123825</xdr:rowOff>
    </xdr:from>
    <xdr:to>
      <xdr:col>26</xdr:col>
      <xdr:colOff>397865</xdr:colOff>
      <xdr:row>101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2804D3B-CDF3-4318-A06E-282B7594F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8650" y="14639925"/>
          <a:ext cx="7074890" cy="3686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416797</xdr:colOff>
      <xdr:row>1</xdr:row>
      <xdr:rowOff>0</xdr:rowOff>
    </xdr:from>
    <xdr:to>
      <xdr:col>27</xdr:col>
      <xdr:colOff>247993</xdr:colOff>
      <xdr:row>24</xdr:row>
      <xdr:rowOff>66486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1FCCDBC-97CE-47E7-BB46-AD515CD49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32622" y="190500"/>
          <a:ext cx="7898871" cy="4467036"/>
        </a:xfrm>
        <a:prstGeom prst="rect">
          <a:avLst/>
        </a:prstGeom>
      </xdr:spPr>
    </xdr:pic>
    <xdr:clientData/>
  </xdr:twoCellAnchor>
  <xdr:twoCellAnchor editAs="oneCell">
    <xdr:from>
      <xdr:col>28</xdr:col>
      <xdr:colOff>590548</xdr:colOff>
      <xdr:row>1</xdr:row>
      <xdr:rowOff>101600</xdr:rowOff>
    </xdr:from>
    <xdr:to>
      <xdr:col>40</xdr:col>
      <xdr:colOff>347373</xdr:colOff>
      <xdr:row>21</xdr:row>
      <xdr:rowOff>154517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C92BE8C-D458-4BE9-92AE-250E539F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21848" y="279400"/>
          <a:ext cx="7072025" cy="3634317"/>
        </a:xfrm>
        <a:prstGeom prst="rect">
          <a:avLst/>
        </a:prstGeom>
      </xdr:spPr>
    </xdr:pic>
    <xdr:clientData/>
  </xdr:twoCellAnchor>
  <xdr:twoCellAnchor editAs="oneCell">
    <xdr:from>
      <xdr:col>9</xdr:col>
      <xdr:colOff>292100</xdr:colOff>
      <xdr:row>36</xdr:row>
      <xdr:rowOff>38100</xdr:rowOff>
    </xdr:from>
    <xdr:to>
      <xdr:col>19</xdr:col>
      <xdr:colOff>596900</xdr:colOff>
      <xdr:row>61</xdr:row>
      <xdr:rowOff>32139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A9E9BD-129A-47D7-85C9-A0D76E1B1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04200" y="6464300"/>
          <a:ext cx="8737600" cy="4464439"/>
        </a:xfrm>
        <a:prstGeom prst="rect">
          <a:avLst/>
        </a:prstGeom>
      </xdr:spPr>
    </xdr:pic>
    <xdr:clientData/>
  </xdr:twoCellAnchor>
  <xdr:twoCellAnchor editAs="oneCell">
    <xdr:from>
      <xdr:col>16</xdr:col>
      <xdr:colOff>196850</xdr:colOff>
      <xdr:row>87</xdr:row>
      <xdr:rowOff>86450</xdr:rowOff>
    </xdr:from>
    <xdr:to>
      <xdr:col>24</xdr:col>
      <xdr:colOff>195985</xdr:colOff>
      <xdr:row>102</xdr:row>
      <xdr:rowOff>79389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3F4C2C6-17F4-48E0-83C7-D3600047E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87550" y="15643950"/>
          <a:ext cx="5269635" cy="2685339"/>
        </a:xfrm>
        <a:prstGeom prst="rect">
          <a:avLst/>
        </a:prstGeom>
      </xdr:spPr>
    </xdr:pic>
    <xdr:clientData/>
  </xdr:twoCellAnchor>
  <xdr:twoCellAnchor editAs="oneCell">
    <xdr:from>
      <xdr:col>16</xdr:col>
      <xdr:colOff>739843</xdr:colOff>
      <xdr:row>103</xdr:row>
      <xdr:rowOff>157825</xdr:rowOff>
    </xdr:from>
    <xdr:to>
      <xdr:col>24</xdr:col>
      <xdr:colOff>201702</xdr:colOff>
      <xdr:row>117</xdr:row>
      <xdr:rowOff>109317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F120401-48DE-4EF0-94AB-6A7C22F97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0543" y="18585525"/>
          <a:ext cx="4732359" cy="2453392"/>
        </a:xfrm>
        <a:prstGeom prst="rect">
          <a:avLst/>
        </a:prstGeom>
      </xdr:spPr>
    </xdr:pic>
    <xdr:clientData/>
  </xdr:twoCellAnchor>
  <xdr:twoCellAnchor editAs="oneCell">
    <xdr:from>
      <xdr:col>16</xdr:col>
      <xdr:colOff>101600</xdr:colOff>
      <xdr:row>69</xdr:row>
      <xdr:rowOff>177800</xdr:rowOff>
    </xdr:from>
    <xdr:to>
      <xdr:col>25</xdr:col>
      <xdr:colOff>124836</xdr:colOff>
      <xdr:row>87</xdr:row>
      <xdr:rowOff>15034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557AC7-2E6E-4DA9-985C-329E2DBE5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92300" y="12496800"/>
          <a:ext cx="5903336" cy="30757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236450</xdr:colOff>
      <xdr:row>0</xdr:row>
      <xdr:rowOff>0</xdr:rowOff>
    </xdr:from>
    <xdr:to>
      <xdr:col>33</xdr:col>
      <xdr:colOff>559062</xdr:colOff>
      <xdr:row>30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64970" y="0"/>
          <a:ext cx="10320052" cy="5532120"/>
        </a:xfrm>
        <a:prstGeom prst="rect">
          <a:avLst/>
        </a:prstGeom>
      </xdr:spPr>
    </xdr:pic>
    <xdr:clientData/>
  </xdr:twoCellAnchor>
  <xdr:twoCellAnchor editAs="oneCell">
    <xdr:from>
      <xdr:col>18</xdr:col>
      <xdr:colOff>5714</xdr:colOff>
      <xdr:row>33</xdr:row>
      <xdr:rowOff>72488</xdr:rowOff>
    </xdr:from>
    <xdr:to>
      <xdr:col>33</xdr:col>
      <xdr:colOff>321835</xdr:colOff>
      <xdr:row>61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BD6EC6-DDB2-4072-819F-D11EEA29A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59074" y="6153248"/>
          <a:ext cx="9688721" cy="5200551"/>
        </a:xfrm>
        <a:prstGeom prst="rect">
          <a:avLst/>
        </a:prstGeom>
      </xdr:spPr>
    </xdr:pic>
    <xdr:clientData/>
  </xdr:twoCellAnchor>
  <xdr:twoCellAnchor editAs="oneCell">
    <xdr:from>
      <xdr:col>18</xdr:col>
      <xdr:colOff>228600</xdr:colOff>
      <xdr:row>75</xdr:row>
      <xdr:rowOff>41262</xdr:rowOff>
    </xdr:from>
    <xdr:to>
      <xdr:col>33</xdr:col>
      <xdr:colOff>579389</xdr:colOff>
      <xdr:row>102</xdr:row>
      <xdr:rowOff>173131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7C7756-896F-4643-ACCF-B626CACEE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81960" y="13894422"/>
          <a:ext cx="9723389" cy="51458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76200</xdr:colOff>
      <xdr:row>11</xdr:row>
      <xdr:rowOff>163859</xdr:rowOff>
    </xdr:from>
    <xdr:to>
      <xdr:col>25</xdr:col>
      <xdr:colOff>285749</xdr:colOff>
      <xdr:row>28</xdr:row>
      <xdr:rowOff>98420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30300" y="2278409"/>
          <a:ext cx="5695949" cy="321116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77416</xdr:colOff>
      <xdr:row>0</xdr:row>
      <xdr:rowOff>171450</xdr:rowOff>
    </xdr:from>
    <xdr:to>
      <xdr:col>22</xdr:col>
      <xdr:colOff>531456</xdr:colOff>
      <xdr:row>16</xdr:row>
      <xdr:rowOff>17914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696583-04EE-CAC3-7412-3B4D498C7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2966" y="171450"/>
          <a:ext cx="4721240" cy="2749684"/>
        </a:xfrm>
        <a:prstGeom prst="rect">
          <a:avLst/>
        </a:prstGeom>
      </xdr:spPr>
    </xdr:pic>
    <xdr:clientData/>
  </xdr:twoCellAnchor>
  <xdr:twoCellAnchor editAs="oneCell">
    <xdr:from>
      <xdr:col>7</xdr:col>
      <xdr:colOff>397890</xdr:colOff>
      <xdr:row>0</xdr:row>
      <xdr:rowOff>66675</xdr:rowOff>
    </xdr:from>
    <xdr:to>
      <xdr:col>16</xdr:col>
      <xdr:colOff>110490</xdr:colOff>
      <xdr:row>17</xdr:row>
      <xdr:rowOff>27909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63C8A5-1788-6AFF-C807-2150AF57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9590" y="66675"/>
          <a:ext cx="5199000" cy="3037809"/>
        </a:xfrm>
        <a:prstGeom prst="rect">
          <a:avLst/>
        </a:prstGeom>
      </xdr:spPr>
    </xdr:pic>
    <xdr:clientData/>
  </xdr:twoCellAnchor>
  <xdr:twoCellAnchor editAs="oneCell">
    <xdr:from>
      <xdr:col>14</xdr:col>
      <xdr:colOff>72983</xdr:colOff>
      <xdr:row>16</xdr:row>
      <xdr:rowOff>173355</xdr:rowOff>
    </xdr:from>
    <xdr:to>
      <xdr:col>23</xdr:col>
      <xdr:colOff>148590</xdr:colOff>
      <xdr:row>34</xdr:row>
      <xdr:rowOff>115554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B892427-8025-A896-96F5-06DE4181B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21883" y="3068955"/>
          <a:ext cx="5562007" cy="3199749"/>
        </a:xfrm>
        <a:prstGeom prst="rect">
          <a:avLst/>
        </a:prstGeom>
      </xdr:spPr>
    </xdr:pic>
    <xdr:clientData/>
  </xdr:twoCellAnchor>
  <xdr:twoCellAnchor editAs="oneCell">
    <xdr:from>
      <xdr:col>5</xdr:col>
      <xdr:colOff>297378</xdr:colOff>
      <xdr:row>18</xdr:row>
      <xdr:rowOff>171450</xdr:rowOff>
    </xdr:from>
    <xdr:to>
      <xdr:col>13</xdr:col>
      <xdr:colOff>311880</xdr:colOff>
      <xdr:row>34</xdr:row>
      <xdr:rowOff>35364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993C164-788E-3038-830B-3AF034BBF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9878" y="3429000"/>
          <a:ext cx="4891302" cy="27595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112569</xdr:rowOff>
    </xdr:from>
    <xdr:to>
      <xdr:col>5</xdr:col>
      <xdr:colOff>310017</xdr:colOff>
      <xdr:row>42</xdr:row>
      <xdr:rowOff>17144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1F82A39-46F5-EB85-7804-F0656A9BE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36944"/>
          <a:ext cx="5072517" cy="29811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21</xdr:row>
      <xdr:rowOff>130448</xdr:rowOff>
    </xdr:from>
    <xdr:ext cx="4296548" cy="2984227"/>
    <xdr:pic>
      <xdr:nvPicPr>
        <xdr:cNvPr id="2" name="Picture 1">
          <a:extLst>
            <a:ext uri="{FF2B5EF4-FFF2-40B4-BE49-F238E27FC236}">
              <a16:creationId xmlns:a16="http://schemas.microsoft.com/office/drawing/2014/main" id="{57A5579B-BF89-467C-98CA-D4BE2807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3795668"/>
          <a:ext cx="4296548" cy="2984227"/>
        </a:xfrm>
        <a:prstGeom prst="rect">
          <a:avLst/>
        </a:prstGeom>
      </xdr:spPr>
    </xdr:pic>
    <xdr:clientData/>
  </xdr:oneCellAnchor>
  <xdr:oneCellAnchor>
    <xdr:from>
      <xdr:col>12</xdr:col>
      <xdr:colOff>523874</xdr:colOff>
      <xdr:row>38</xdr:row>
      <xdr:rowOff>2901</xdr:rowOff>
    </xdr:from>
    <xdr:ext cx="7387478" cy="5131074"/>
    <xdr:pic>
      <xdr:nvPicPr>
        <xdr:cNvPr id="3" name="Picture 2">
          <a:extLst>
            <a:ext uri="{FF2B5EF4-FFF2-40B4-BE49-F238E27FC236}">
              <a16:creationId xmlns:a16="http://schemas.microsoft.com/office/drawing/2014/main" id="{0FFFFFF5-E9F2-492A-9FE7-018C18BDE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46894" y="6777081"/>
          <a:ext cx="7387478" cy="5131074"/>
        </a:xfrm>
        <a:prstGeom prst="rect">
          <a:avLst/>
        </a:prstGeom>
      </xdr:spPr>
    </xdr:pic>
    <xdr:clientData/>
  </xdr:oneCellAnchor>
  <xdr:oneCellAnchor>
    <xdr:from>
      <xdr:col>4</xdr:col>
      <xdr:colOff>122079</xdr:colOff>
      <xdr:row>38</xdr:row>
      <xdr:rowOff>133350</xdr:rowOff>
    </xdr:from>
    <xdr:ext cx="6692262" cy="4648201"/>
    <xdr:pic>
      <xdr:nvPicPr>
        <xdr:cNvPr id="4" name="Picture 3">
          <a:extLst>
            <a:ext uri="{FF2B5EF4-FFF2-40B4-BE49-F238E27FC236}">
              <a16:creationId xmlns:a16="http://schemas.microsoft.com/office/drawing/2014/main" id="{5456D614-71C2-41DD-A4EC-2A045E38E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0479" y="6907530"/>
          <a:ext cx="6692262" cy="4648201"/>
        </a:xfrm>
        <a:prstGeom prst="rect">
          <a:avLst/>
        </a:prstGeom>
      </xdr:spPr>
    </xdr:pic>
    <xdr:clientData/>
  </xdr:oneCellAnchor>
  <xdr:oneCellAnchor>
    <xdr:from>
      <xdr:col>27</xdr:col>
      <xdr:colOff>561976</xdr:colOff>
      <xdr:row>13</xdr:row>
      <xdr:rowOff>67261</xdr:rowOff>
    </xdr:from>
    <xdr:ext cx="5758887" cy="3999913"/>
    <xdr:pic>
      <xdr:nvPicPr>
        <xdr:cNvPr id="5" name="Picture 4">
          <a:extLst>
            <a:ext uri="{FF2B5EF4-FFF2-40B4-BE49-F238E27FC236}">
              <a16:creationId xmlns:a16="http://schemas.microsoft.com/office/drawing/2014/main" id="{D391D072-10FC-4033-AC1B-8BD00E311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05896" y="2269441"/>
          <a:ext cx="5758887" cy="3999913"/>
        </a:xfrm>
        <a:prstGeom prst="rect">
          <a:avLst/>
        </a:prstGeom>
      </xdr:spPr>
    </xdr:pic>
    <xdr:clientData/>
  </xdr:oneCellAnchor>
  <xdr:oneCellAnchor>
    <xdr:from>
      <xdr:col>20</xdr:col>
      <xdr:colOff>123825</xdr:colOff>
      <xdr:row>19</xdr:row>
      <xdr:rowOff>76171</xdr:rowOff>
    </xdr:from>
    <xdr:ext cx="4196418" cy="2914679"/>
    <xdr:pic>
      <xdr:nvPicPr>
        <xdr:cNvPr id="6" name="Picture 5">
          <a:extLst>
            <a:ext uri="{FF2B5EF4-FFF2-40B4-BE49-F238E27FC236}">
              <a16:creationId xmlns:a16="http://schemas.microsoft.com/office/drawing/2014/main" id="{A1A7205A-ED85-4C75-A27E-2C0AFBA74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16325" y="3375631"/>
          <a:ext cx="4196418" cy="2914679"/>
        </a:xfrm>
        <a:prstGeom prst="rect">
          <a:avLst/>
        </a:prstGeom>
      </xdr:spPr>
    </xdr:pic>
    <xdr:clientData/>
  </xdr:oneCellAnchor>
  <xdr:oneCellAnchor>
    <xdr:from>
      <xdr:col>39</xdr:col>
      <xdr:colOff>461382</xdr:colOff>
      <xdr:row>13</xdr:row>
      <xdr:rowOff>59267</xdr:rowOff>
    </xdr:from>
    <xdr:ext cx="5620860" cy="3797963"/>
    <xdr:pic>
      <xdr:nvPicPr>
        <xdr:cNvPr id="7" name="Picture 6">
          <a:extLst>
            <a:ext uri="{FF2B5EF4-FFF2-40B4-BE49-F238E27FC236}">
              <a16:creationId xmlns:a16="http://schemas.microsoft.com/office/drawing/2014/main" id="{21E296EE-5640-43E8-863C-D4D01FEA2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88382" y="2489200"/>
          <a:ext cx="5620860" cy="3797963"/>
        </a:xfrm>
        <a:prstGeom prst="rect">
          <a:avLst/>
        </a:prstGeom>
      </xdr:spPr>
    </xdr:pic>
    <xdr:clientData/>
  </xdr:oneCellAnchor>
  <xdr:oneCellAnchor>
    <xdr:from>
      <xdr:col>45</xdr:col>
      <xdr:colOff>1232298</xdr:colOff>
      <xdr:row>20</xdr:row>
      <xdr:rowOff>147949</xdr:rowOff>
    </xdr:from>
    <xdr:ext cx="6430354" cy="3451448"/>
    <xdr:pic>
      <xdr:nvPicPr>
        <xdr:cNvPr id="8" name="Picture 7">
          <a:extLst>
            <a:ext uri="{FF2B5EF4-FFF2-40B4-BE49-F238E27FC236}">
              <a16:creationId xmlns:a16="http://schemas.microsoft.com/office/drawing/2014/main" id="{DD040768-26B4-4C23-9840-EB8252A27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25098" y="3881749"/>
          <a:ext cx="6430354" cy="3451448"/>
        </a:xfrm>
        <a:prstGeom prst="rect">
          <a:avLst/>
        </a:prstGeom>
      </xdr:spPr>
    </xdr:pic>
    <xdr:clientData/>
  </xdr:oneCellAnchor>
  <xdr:twoCellAnchor editAs="oneCell">
    <xdr:from>
      <xdr:col>34</xdr:col>
      <xdr:colOff>180975</xdr:colOff>
      <xdr:row>19</xdr:row>
      <xdr:rowOff>95251</xdr:rowOff>
    </xdr:from>
    <xdr:to>
      <xdr:col>38</xdr:col>
      <xdr:colOff>521749</xdr:colOff>
      <xdr:row>39</xdr:row>
      <xdr:rowOff>132926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603810E-5B79-4BD9-B8A5-8E8D7E0EA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54108" y="3642784"/>
          <a:ext cx="7385041" cy="3763009"/>
        </a:xfrm>
        <a:prstGeom prst="rect">
          <a:avLst/>
        </a:prstGeom>
      </xdr:spPr>
    </xdr:pic>
    <xdr:clientData/>
  </xdr:twoCellAnchor>
  <xdr:oneCellAnchor>
    <xdr:from>
      <xdr:col>14</xdr:col>
      <xdr:colOff>647700</xdr:colOff>
      <xdr:row>43</xdr:row>
      <xdr:rowOff>47625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A5875B9-3D20-4BF1-916E-CD74C04D24A4}"/>
            </a:ext>
          </a:extLst>
        </xdr:cNvPr>
        <xdr:cNvSpPr txBox="1"/>
      </xdr:nvSpPr>
      <xdr:spPr>
        <a:xfrm>
          <a:off x="11704320" y="773620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534353</xdr:colOff>
      <xdr:row>18</xdr:row>
      <xdr:rowOff>120468</xdr:rowOff>
    </xdr:from>
    <xdr:to>
      <xdr:col>28</xdr:col>
      <xdr:colOff>211138</xdr:colOff>
      <xdr:row>36</xdr:row>
      <xdr:rowOff>21935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3A4B8C1-E86F-4127-AEC3-0206D5DD6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78728" y="3216093"/>
          <a:ext cx="6647021" cy="3125679"/>
        </a:xfrm>
        <a:prstGeom prst="rect">
          <a:avLst/>
        </a:prstGeom>
      </xdr:spPr>
    </xdr:pic>
    <xdr:clientData/>
  </xdr:twoCellAnchor>
  <xdr:oneCellAnchor>
    <xdr:from>
      <xdr:col>23</xdr:col>
      <xdr:colOff>447675</xdr:colOff>
      <xdr:row>19</xdr:row>
      <xdr:rowOff>0</xdr:rowOff>
    </xdr:from>
    <xdr:ext cx="4591050" cy="436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D44BDD0-3B4D-4D76-9AC4-77214EA7659E}"/>
            </a:ext>
          </a:extLst>
        </xdr:cNvPr>
        <xdr:cNvSpPr txBox="1"/>
      </xdr:nvSpPr>
      <xdr:spPr>
        <a:xfrm>
          <a:off x="26668095" y="3329940"/>
          <a:ext cx="4591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Rebin histogram by 5 for 7049-keV peak fit. Remove 3284- and 4519-keV peak fits. Inflate error bars.</a:t>
          </a:r>
          <a:endParaRPr lang="en-US" sz="1100"/>
        </a:p>
      </xdr:txBody>
    </xdr:sp>
    <xdr:clientData/>
  </xdr:oneCellAnchor>
  <xdr:twoCellAnchor>
    <xdr:from>
      <xdr:col>23</xdr:col>
      <xdr:colOff>600075</xdr:colOff>
      <xdr:row>1</xdr:row>
      <xdr:rowOff>0</xdr:rowOff>
    </xdr:from>
    <xdr:to>
      <xdr:col>31</xdr:col>
      <xdr:colOff>295275</xdr:colOff>
      <xdr:row>15</xdr:row>
      <xdr:rowOff>38100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0FBA436-44CD-4116-9EBF-B94AA5B847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238125</xdr:colOff>
      <xdr:row>42</xdr:row>
      <xdr:rowOff>123825</xdr:rowOff>
    </xdr:from>
    <xdr:to>
      <xdr:col>29</xdr:col>
      <xdr:colOff>542925</xdr:colOff>
      <xdr:row>57</xdr:row>
      <xdr:rowOff>171450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7B3EF12-F59D-446B-9F81-927D034B58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24</xdr:col>
      <xdr:colOff>209538</xdr:colOff>
      <xdr:row>60</xdr:row>
      <xdr:rowOff>86681</xdr:rowOff>
    </xdr:from>
    <xdr:to>
      <xdr:col>35</xdr:col>
      <xdr:colOff>172867</xdr:colOff>
      <xdr:row>78</xdr:row>
      <xdr:rowOff>53393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FB9F540-5FFA-47F1-93CE-5164A4BAE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7757" y="10897556"/>
          <a:ext cx="6642735" cy="3175685"/>
        </a:xfrm>
        <a:prstGeom prst="rect">
          <a:avLst/>
        </a:prstGeom>
      </xdr:spPr>
    </xdr:pic>
    <xdr:clientData/>
  </xdr:twoCellAnchor>
  <xdr:twoCellAnchor editAs="oneCell">
    <xdr:from>
      <xdr:col>14</xdr:col>
      <xdr:colOff>563721</xdr:colOff>
      <xdr:row>60</xdr:row>
      <xdr:rowOff>170045</xdr:rowOff>
    </xdr:from>
    <xdr:to>
      <xdr:col>18</xdr:col>
      <xdr:colOff>41337</xdr:colOff>
      <xdr:row>70</xdr:row>
      <xdr:rowOff>153852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0F550C1-C5C6-48F1-8C6D-93CD0D1A4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41346" y="10742795"/>
          <a:ext cx="3525741" cy="1730057"/>
        </a:xfrm>
        <a:prstGeom prst="rect">
          <a:avLst/>
        </a:prstGeom>
      </xdr:spPr>
    </xdr:pic>
    <xdr:clientData/>
  </xdr:twoCellAnchor>
  <xdr:twoCellAnchor editAs="oneCell">
    <xdr:from>
      <xdr:col>11</xdr:col>
      <xdr:colOff>597217</xdr:colOff>
      <xdr:row>61</xdr:row>
      <xdr:rowOff>56966</xdr:rowOff>
    </xdr:from>
    <xdr:to>
      <xdr:col>13</xdr:col>
      <xdr:colOff>440003</xdr:colOff>
      <xdr:row>71</xdr:row>
      <xdr:rowOff>15740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A01CDD8-2780-486B-B465-EF9231CD6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592" y="11046435"/>
          <a:ext cx="3715311" cy="1738996"/>
        </a:xfrm>
        <a:prstGeom prst="rect">
          <a:avLst/>
        </a:prstGeom>
      </xdr:spPr>
    </xdr:pic>
    <xdr:clientData/>
  </xdr:twoCellAnchor>
  <xdr:twoCellAnchor editAs="oneCell">
    <xdr:from>
      <xdr:col>14</xdr:col>
      <xdr:colOff>282416</xdr:colOff>
      <xdr:row>72</xdr:row>
      <xdr:rowOff>46770</xdr:rowOff>
    </xdr:from>
    <xdr:to>
      <xdr:col>17</xdr:col>
      <xdr:colOff>320856</xdr:colOff>
      <xdr:row>82</xdr:row>
      <xdr:rowOff>16374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31F5BFE-C8F8-43FE-BA1C-B7C4F33DF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60041" y="12715020"/>
          <a:ext cx="3471885" cy="1708234"/>
        </a:xfrm>
        <a:prstGeom prst="rect">
          <a:avLst/>
        </a:prstGeom>
      </xdr:spPr>
    </xdr:pic>
    <xdr:clientData/>
  </xdr:twoCellAnchor>
  <xdr:twoCellAnchor editAs="oneCell">
    <xdr:from>
      <xdr:col>11</xdr:col>
      <xdr:colOff>537686</xdr:colOff>
      <xdr:row>73</xdr:row>
      <xdr:rowOff>19447</xdr:rowOff>
    </xdr:from>
    <xdr:to>
      <xdr:col>13</xdr:col>
      <xdr:colOff>167688</xdr:colOff>
      <xdr:row>82</xdr:row>
      <xdr:rowOff>57648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8BE50D7-13C7-483C-8317-4181F7BEA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2061" y="13152041"/>
          <a:ext cx="3493002" cy="1637925"/>
        </a:xfrm>
        <a:prstGeom prst="rect">
          <a:avLst/>
        </a:prstGeom>
      </xdr:spPr>
    </xdr:pic>
    <xdr:clientData/>
  </xdr:twoCellAnchor>
  <xdr:oneCellAnchor>
    <xdr:from>
      <xdr:col>26</xdr:col>
      <xdr:colOff>18563</xdr:colOff>
      <xdr:row>62</xdr:row>
      <xdr:rowOff>7623</xdr:rowOff>
    </xdr:from>
    <xdr:ext cx="4591050" cy="43678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9DE961F-72A9-4970-995C-79F7EB661AF8}"/>
            </a:ext>
          </a:extLst>
        </xdr:cNvPr>
        <xdr:cNvSpPr txBox="1"/>
      </xdr:nvSpPr>
      <xdr:spPr>
        <a:xfrm>
          <a:off x="17461219" y="11175686"/>
          <a:ext cx="4591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Rebin histogram by 5 for 7049-keV peak fit. Remove 3284- and 4519-keV peak fits. Inflate error bars.</a:t>
          </a:r>
          <a:endParaRPr lang="en-US" sz="1100"/>
        </a:p>
      </xdr:txBody>
    </xdr:sp>
    <xdr:clientData/>
  </xdr:oneCellAnchor>
  <xdr:twoCellAnchor editAs="oneCell">
    <xdr:from>
      <xdr:col>23</xdr:col>
      <xdr:colOff>508159</xdr:colOff>
      <xdr:row>85</xdr:row>
      <xdr:rowOff>37623</xdr:rowOff>
    </xdr:from>
    <xdr:to>
      <xdr:col>35</xdr:col>
      <xdr:colOff>136504</xdr:colOff>
      <xdr:row>103</xdr:row>
      <xdr:rowOff>20002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24570AC-CCD5-4DB2-8F04-57FF973E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29159" y="15313342"/>
          <a:ext cx="6922590" cy="3228975"/>
        </a:xfrm>
        <a:prstGeom prst="rect">
          <a:avLst/>
        </a:prstGeom>
      </xdr:spPr>
    </xdr:pic>
    <xdr:clientData/>
  </xdr:twoCellAnchor>
  <xdr:oneCellAnchor>
    <xdr:from>
      <xdr:col>25</xdr:col>
      <xdr:colOff>232410</xdr:colOff>
      <xdr:row>87</xdr:row>
      <xdr:rowOff>65245</xdr:rowOff>
    </xdr:from>
    <xdr:ext cx="3745577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333A9E93-9780-4885-8FB0-85FFA4EE2363}"/>
            </a:ext>
          </a:extLst>
        </xdr:cNvPr>
        <xdr:cNvSpPr txBox="1"/>
      </xdr:nvSpPr>
      <xdr:spPr>
        <a:xfrm>
          <a:off x="17067848" y="15733870"/>
          <a:ext cx="3745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Error bars inflated by SQRT(</a:t>
          </a:r>
          <a:r>
            <a:rPr lang="el-GR" sz="1100" baseline="0"/>
            <a:t>χ</a:t>
          </a:r>
          <a:r>
            <a:rPr lang="en-US" sz="1100" baseline="30000"/>
            <a:t>2</a:t>
          </a:r>
          <a:r>
            <a:rPr lang="en-US" sz="1100" baseline="0"/>
            <a:t>/ndf)</a:t>
          </a:r>
          <a:endParaRPr lang="en-US" sz="1100"/>
        </a:p>
      </xdr:txBody>
    </xdr:sp>
    <xdr:clientData/>
  </xdr:oneCellAnchor>
  <xdr:twoCellAnchor editAs="oneCell">
    <xdr:from>
      <xdr:col>36</xdr:col>
      <xdr:colOff>319564</xdr:colOff>
      <xdr:row>85</xdr:row>
      <xdr:rowOff>13810</xdr:rowOff>
    </xdr:from>
    <xdr:to>
      <xdr:col>47</xdr:col>
      <xdr:colOff>420345</xdr:colOff>
      <xdr:row>102</xdr:row>
      <xdr:rowOff>92869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DA8DA39-3E52-4EDC-A3D7-B84326D28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4408" y="15289529"/>
          <a:ext cx="6780187" cy="3147061"/>
        </a:xfrm>
        <a:prstGeom prst="rect">
          <a:avLst/>
        </a:prstGeom>
      </xdr:spPr>
    </xdr:pic>
    <xdr:clientData/>
  </xdr:twoCellAnchor>
  <xdr:oneCellAnchor>
    <xdr:from>
      <xdr:col>37</xdr:col>
      <xdr:colOff>470905</xdr:colOff>
      <xdr:row>85</xdr:row>
      <xdr:rowOff>78580</xdr:rowOff>
    </xdr:from>
    <xdr:ext cx="3745577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9043222-C5D9-406D-B1A4-6348BA2AE3E5}"/>
            </a:ext>
          </a:extLst>
        </xdr:cNvPr>
        <xdr:cNvSpPr txBox="1"/>
      </xdr:nvSpPr>
      <xdr:spPr>
        <a:xfrm>
          <a:off x="24592968" y="15354299"/>
          <a:ext cx="37455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Error bars inflated by SQRT(</a:t>
          </a:r>
          <a:r>
            <a:rPr lang="el-GR" sz="1100" baseline="0"/>
            <a:t>χ</a:t>
          </a:r>
          <a:r>
            <a:rPr lang="en-US" sz="1100" baseline="30000"/>
            <a:t>2</a:t>
          </a:r>
          <a:r>
            <a:rPr lang="en-US" sz="1100" baseline="0"/>
            <a:t>/ndf)</a:t>
          </a:r>
          <a:endParaRPr lang="en-US" sz="1100"/>
        </a:p>
      </xdr:txBody>
    </xdr:sp>
    <xdr:clientData/>
  </xdr:oneCellAnchor>
  <xdr:twoCellAnchor editAs="oneCell">
    <xdr:from>
      <xdr:col>48</xdr:col>
      <xdr:colOff>43816</xdr:colOff>
      <xdr:row>85</xdr:row>
      <xdr:rowOff>162876</xdr:rowOff>
    </xdr:from>
    <xdr:to>
      <xdr:col>59</xdr:col>
      <xdr:colOff>98584</xdr:colOff>
      <xdr:row>103</xdr:row>
      <xdr:rowOff>115516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3C07F6E-773F-42FF-B1C6-A52BB67C6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845285" y="15438595"/>
          <a:ext cx="6741795" cy="3203046"/>
        </a:xfrm>
        <a:prstGeom prst="rect">
          <a:avLst/>
        </a:prstGeom>
      </xdr:spPr>
    </xdr:pic>
    <xdr:clientData/>
  </xdr:twoCellAnchor>
  <xdr:oneCellAnchor>
    <xdr:from>
      <xdr:col>49</xdr:col>
      <xdr:colOff>423387</xdr:colOff>
      <xdr:row>87</xdr:row>
      <xdr:rowOff>22197</xdr:rowOff>
    </xdr:from>
    <xdr:ext cx="418217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95FE741-06BE-45E0-B6A2-B4C883B8AA77}"/>
            </a:ext>
          </a:extLst>
        </xdr:cNvPr>
        <xdr:cNvSpPr txBox="1"/>
      </xdr:nvSpPr>
      <xdr:spPr>
        <a:xfrm>
          <a:off x="31832075" y="15690822"/>
          <a:ext cx="418217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Rebin histogram by 5 for 7049-keV peak fit.</a:t>
          </a:r>
          <a:endParaRPr lang="en-US" sz="1100"/>
        </a:p>
      </xdr:txBody>
    </xdr:sp>
    <xdr:clientData/>
  </xdr:oneCellAnchor>
  <xdr:twoCellAnchor editAs="oneCell">
    <xdr:from>
      <xdr:col>25</xdr:col>
      <xdr:colOff>267151</xdr:colOff>
      <xdr:row>103</xdr:row>
      <xdr:rowOff>130497</xdr:rowOff>
    </xdr:from>
    <xdr:to>
      <xdr:col>36</xdr:col>
      <xdr:colOff>419287</xdr:colOff>
      <xdr:row>121</xdr:row>
      <xdr:rowOff>93348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E04E16B-3245-45C7-B82B-668A6ACB5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02589" y="18656622"/>
          <a:ext cx="6831542" cy="3181349"/>
        </a:xfrm>
        <a:prstGeom prst="rect">
          <a:avLst/>
        </a:prstGeom>
      </xdr:spPr>
    </xdr:pic>
    <xdr:clientData/>
  </xdr:twoCellAnchor>
  <xdr:twoCellAnchor editAs="oneCell">
    <xdr:from>
      <xdr:col>36</xdr:col>
      <xdr:colOff>569075</xdr:colOff>
      <xdr:row>103</xdr:row>
      <xdr:rowOff>21911</xdr:rowOff>
    </xdr:from>
    <xdr:to>
      <xdr:col>48</xdr:col>
      <xdr:colOff>569649</xdr:colOff>
      <xdr:row>121</xdr:row>
      <xdr:rowOff>173358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533BC0D-24ED-49AB-9724-440126AF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83919" y="18548036"/>
          <a:ext cx="7287198" cy="3362325"/>
        </a:xfrm>
        <a:prstGeom prst="rect">
          <a:avLst/>
        </a:prstGeom>
      </xdr:spPr>
    </xdr:pic>
    <xdr:clientData/>
  </xdr:twoCellAnchor>
  <xdr:oneCellAnchor>
    <xdr:from>
      <xdr:col>38</xdr:col>
      <xdr:colOff>480988</xdr:colOff>
      <xdr:row>104</xdr:row>
      <xdr:rowOff>132877</xdr:rowOff>
    </xdr:from>
    <xdr:ext cx="4591050" cy="436786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B1AEC9E7-E14C-4B45-A4FB-ED9DD7DB4DEB}"/>
            </a:ext>
          </a:extLst>
        </xdr:cNvPr>
        <xdr:cNvSpPr txBox="1"/>
      </xdr:nvSpPr>
      <xdr:spPr>
        <a:xfrm>
          <a:off x="25210269" y="18837596"/>
          <a:ext cx="4591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Rebin histogram by 5 for 7049-keV peak fit. Remove 3284- and 4519-keV peak fits.</a:t>
          </a:r>
          <a:endParaRPr lang="en-US" sz="1100"/>
        </a:p>
      </xdr:txBody>
    </xdr:sp>
    <xdr:clientData/>
  </xdr:oneCellAnchor>
  <xdr:oneCellAnchor>
    <xdr:from>
      <xdr:col>27</xdr:col>
      <xdr:colOff>310014</xdr:colOff>
      <xdr:row>105</xdr:row>
      <xdr:rowOff>95253</xdr:rowOff>
    </xdr:from>
    <xdr:ext cx="4591050" cy="436786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015CA15-B989-4FB2-B9DD-D7441CB96735}"/>
            </a:ext>
          </a:extLst>
        </xdr:cNvPr>
        <xdr:cNvSpPr txBox="1"/>
      </xdr:nvSpPr>
      <xdr:spPr>
        <a:xfrm>
          <a:off x="18359889" y="18978566"/>
          <a:ext cx="4591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Rebin histogram by 5 for 7049-keV peak fit. Remove 3284- and 4519-keV peak fits.</a:t>
          </a:r>
          <a:endParaRPr lang="en-US" sz="1100"/>
        </a:p>
      </xdr:txBody>
    </xdr:sp>
    <xdr:clientData/>
  </xdr:oneCellAnchor>
  <xdr:twoCellAnchor editAs="oneCell">
    <xdr:from>
      <xdr:col>37</xdr:col>
      <xdr:colOff>152851</xdr:colOff>
      <xdr:row>123</xdr:row>
      <xdr:rowOff>60940</xdr:rowOff>
    </xdr:from>
    <xdr:to>
      <xdr:col>48</xdr:col>
      <xdr:colOff>228576</xdr:colOff>
      <xdr:row>141</xdr:row>
      <xdr:rowOff>18127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F052F8F-B76D-4C33-A1B2-D9A136615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74914" y="22158940"/>
          <a:ext cx="6755130" cy="3175685"/>
        </a:xfrm>
        <a:prstGeom prst="rect">
          <a:avLst/>
        </a:prstGeom>
      </xdr:spPr>
    </xdr:pic>
    <xdr:clientData/>
  </xdr:twoCellAnchor>
  <xdr:twoCellAnchor editAs="oneCell">
    <xdr:from>
      <xdr:col>25</xdr:col>
      <xdr:colOff>305251</xdr:colOff>
      <xdr:row>122</xdr:row>
      <xdr:rowOff>130020</xdr:rowOff>
    </xdr:from>
    <xdr:to>
      <xdr:col>36</xdr:col>
      <xdr:colOff>359133</xdr:colOff>
      <xdr:row>140</xdr:row>
      <xdr:rowOff>56677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F440524-B720-4079-BEE1-13FC7842B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0689" y="22049426"/>
          <a:ext cx="6721858" cy="3145155"/>
        </a:xfrm>
        <a:prstGeom prst="rect">
          <a:avLst/>
        </a:prstGeom>
      </xdr:spPr>
    </xdr:pic>
    <xdr:clientData/>
  </xdr:twoCellAnchor>
  <xdr:oneCellAnchor>
    <xdr:from>
      <xdr:col>38</xdr:col>
      <xdr:colOff>496228</xdr:colOff>
      <xdr:row>124</xdr:row>
      <xdr:rowOff>22387</xdr:rowOff>
    </xdr:from>
    <xdr:ext cx="4591050" cy="436786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BE577D08-498D-4008-ABF5-393913E09061}"/>
            </a:ext>
          </a:extLst>
        </xdr:cNvPr>
        <xdr:cNvSpPr txBox="1"/>
      </xdr:nvSpPr>
      <xdr:spPr>
        <a:xfrm>
          <a:off x="25225509" y="22298981"/>
          <a:ext cx="4591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Rebin histogram by 5 for 7049-keV peak fit. Remove 3284- and 4519-keV peak fits. Inflate error bars.</a:t>
          </a:r>
          <a:endParaRPr lang="en-US" sz="1100"/>
        </a:p>
      </xdr:txBody>
    </xdr:sp>
    <xdr:clientData/>
  </xdr:oneCellAnchor>
  <xdr:oneCellAnchor>
    <xdr:from>
      <xdr:col>27</xdr:col>
      <xdr:colOff>271914</xdr:colOff>
      <xdr:row>123</xdr:row>
      <xdr:rowOff>130496</xdr:rowOff>
    </xdr:from>
    <xdr:ext cx="4591050" cy="436786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A104EBA9-3A24-444E-BDE2-43C643D393C8}"/>
            </a:ext>
          </a:extLst>
        </xdr:cNvPr>
        <xdr:cNvSpPr txBox="1"/>
      </xdr:nvSpPr>
      <xdr:spPr>
        <a:xfrm>
          <a:off x="18321789" y="22228496"/>
          <a:ext cx="459105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Lambda</a:t>
          </a:r>
          <a:r>
            <a:rPr lang="en-US" sz="1100" baseline="0"/>
            <a:t> fixed to </a:t>
          </a:r>
          <a:r>
            <a:rPr lang="el-GR" sz="1100" baseline="0"/>
            <a:t>λ</a:t>
          </a:r>
          <a:r>
            <a:rPr lang="en-US" sz="1100" baseline="0"/>
            <a:t>=0.9531. Rebin histogram by 5 for 7049-keV peak fit. Remove 3284- and 4519-keV peak fits. Inflate error bars.</a:t>
          </a:r>
          <a:endParaRPr lang="en-US" sz="1100"/>
        </a:p>
      </xdr:txBody>
    </xdr:sp>
    <xdr:clientData/>
  </xdr:oneCellAnchor>
  <xdr:twoCellAnchor editAs="oneCell">
    <xdr:from>
      <xdr:col>13</xdr:col>
      <xdr:colOff>568166</xdr:colOff>
      <xdr:row>114</xdr:row>
      <xdr:rowOff>64559</xdr:rowOff>
    </xdr:from>
    <xdr:to>
      <xdr:col>18</xdr:col>
      <xdr:colOff>1507489</xdr:colOff>
      <xdr:row>132</xdr:row>
      <xdr:rowOff>59304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BA4B69E-D23D-4CEA-ABA4-9CC82C6BE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16979" y="20555215"/>
          <a:ext cx="6332219" cy="3218958"/>
        </a:xfrm>
        <a:prstGeom prst="rect">
          <a:avLst/>
        </a:prstGeom>
      </xdr:spPr>
    </xdr:pic>
    <xdr:clientData/>
  </xdr:twoCellAnchor>
  <xdr:twoCellAnchor editAs="oneCell">
    <xdr:from>
      <xdr:col>6</xdr:col>
      <xdr:colOff>1682591</xdr:colOff>
      <xdr:row>116</xdr:row>
      <xdr:rowOff>0</xdr:rowOff>
    </xdr:from>
    <xdr:to>
      <xdr:col>10</xdr:col>
      <xdr:colOff>1482377</xdr:colOff>
      <xdr:row>133</xdr:row>
      <xdr:rowOff>131214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276DBECE-4500-41A0-ABA0-E47456AAD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9716" y="20383500"/>
          <a:ext cx="6654793" cy="3103649"/>
        </a:xfrm>
        <a:prstGeom prst="rect">
          <a:avLst/>
        </a:prstGeom>
      </xdr:spPr>
    </xdr:pic>
    <xdr:clientData/>
  </xdr:twoCellAnchor>
  <xdr:twoCellAnchor editAs="oneCell">
    <xdr:from>
      <xdr:col>15</xdr:col>
      <xdr:colOff>124143</xdr:colOff>
      <xdr:row>166</xdr:row>
      <xdr:rowOff>170972</xdr:rowOff>
    </xdr:from>
    <xdr:to>
      <xdr:col>21</xdr:col>
      <xdr:colOff>169049</xdr:colOff>
      <xdr:row>187</xdr:row>
      <xdr:rowOff>133062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1EBB5B71-DCA9-45D6-85E4-ED78D6448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79643" y="29285722"/>
          <a:ext cx="7776666" cy="3680650"/>
        </a:xfrm>
        <a:prstGeom prst="rect">
          <a:avLst/>
        </a:prstGeom>
      </xdr:spPr>
    </xdr:pic>
    <xdr:clientData/>
  </xdr:twoCellAnchor>
  <xdr:twoCellAnchor editAs="oneCell">
    <xdr:from>
      <xdr:col>9</xdr:col>
      <xdr:colOff>450691</xdr:colOff>
      <xdr:row>167</xdr:row>
      <xdr:rowOff>160435</xdr:rowOff>
    </xdr:from>
    <xdr:to>
      <xdr:col>13</xdr:col>
      <xdr:colOff>1292906</xdr:colOff>
      <xdr:row>188</xdr:row>
      <xdr:rowOff>117918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E50C900-6AD4-49C9-BEC0-4D4BA9AE7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0816" y="29449810"/>
          <a:ext cx="7894162" cy="3672233"/>
        </a:xfrm>
        <a:prstGeom prst="rect">
          <a:avLst/>
        </a:prstGeom>
      </xdr:spPr>
    </xdr:pic>
    <xdr:clientData/>
  </xdr:twoCellAnchor>
  <xdr:twoCellAnchor editAs="oneCell">
    <xdr:from>
      <xdr:col>13</xdr:col>
      <xdr:colOff>1278778</xdr:colOff>
      <xdr:row>17</xdr:row>
      <xdr:rowOff>86828</xdr:rowOff>
    </xdr:from>
    <xdr:to>
      <xdr:col>16</xdr:col>
      <xdr:colOff>434763</xdr:colOff>
      <xdr:row>27</xdr:row>
      <xdr:rowOff>2889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5A10B4C-F639-4B5C-864F-B8E92AFD8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59945" y="3198328"/>
          <a:ext cx="3282638" cy="1711841"/>
        </a:xfrm>
        <a:prstGeom prst="rect">
          <a:avLst/>
        </a:prstGeom>
      </xdr:spPr>
    </xdr:pic>
    <xdr:clientData/>
  </xdr:twoCellAnchor>
  <xdr:twoCellAnchor editAs="oneCell">
    <xdr:from>
      <xdr:col>11</xdr:col>
      <xdr:colOff>99586</xdr:colOff>
      <xdr:row>17</xdr:row>
      <xdr:rowOff>66063</xdr:rowOff>
    </xdr:from>
    <xdr:to>
      <xdr:col>13</xdr:col>
      <xdr:colOff>136918</xdr:colOff>
      <xdr:row>27</xdr:row>
      <xdr:rowOff>131938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5F6D843-2D03-4725-B91C-099D056B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5919" y="3177563"/>
          <a:ext cx="3902820" cy="1878377"/>
        </a:xfrm>
        <a:prstGeom prst="rect">
          <a:avLst/>
        </a:prstGeom>
      </xdr:spPr>
    </xdr:pic>
    <xdr:clientData/>
  </xdr:twoCellAnchor>
  <xdr:twoCellAnchor editAs="oneCell">
    <xdr:from>
      <xdr:col>11</xdr:col>
      <xdr:colOff>37043</xdr:colOff>
      <xdr:row>28</xdr:row>
      <xdr:rowOff>61595</xdr:rowOff>
    </xdr:from>
    <xdr:to>
      <xdr:col>13</xdr:col>
      <xdr:colOff>172156</xdr:colOff>
      <xdr:row>39</xdr:row>
      <xdr:rowOff>20588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1508F45B-A74B-4765-996A-9C2C6FA90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83376" y="5152178"/>
          <a:ext cx="4013936" cy="1941887"/>
        </a:xfrm>
        <a:prstGeom prst="rect">
          <a:avLst/>
        </a:prstGeom>
      </xdr:spPr>
    </xdr:pic>
    <xdr:clientData/>
  </xdr:twoCellAnchor>
  <xdr:twoCellAnchor editAs="oneCell">
    <xdr:from>
      <xdr:col>13</xdr:col>
      <xdr:colOff>1223959</xdr:colOff>
      <xdr:row>27</xdr:row>
      <xdr:rowOff>118321</xdr:rowOff>
    </xdr:from>
    <xdr:to>
      <xdr:col>17</xdr:col>
      <xdr:colOff>323339</xdr:colOff>
      <xdr:row>38</xdr:row>
      <xdr:rowOff>169172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2CFA3161-63A1-407B-8938-4CDD0A294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05126" y="5028988"/>
          <a:ext cx="3860821" cy="2026124"/>
        </a:xfrm>
        <a:prstGeom prst="rect">
          <a:avLst/>
        </a:prstGeom>
      </xdr:spPr>
    </xdr:pic>
    <xdr:clientData/>
  </xdr:twoCellAnchor>
  <xdr:oneCellAnchor>
    <xdr:from>
      <xdr:col>11</xdr:col>
      <xdr:colOff>725594</xdr:colOff>
      <xdr:row>24</xdr:row>
      <xdr:rowOff>10584</xdr:rowOff>
    </xdr:from>
    <xdr:ext cx="1679755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4C436D75-D897-97AA-CAC6-B417EBACAD57}"/>
            </a:ext>
          </a:extLst>
        </xdr:cNvPr>
        <xdr:cNvSpPr txBox="1"/>
      </xdr:nvSpPr>
      <xdr:spPr>
        <a:xfrm>
          <a:off x="20071927" y="4381501"/>
          <a:ext cx="16797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Relative efficiency (N=13)</a:t>
          </a:r>
        </a:p>
      </xdr:txBody>
    </xdr:sp>
    <xdr:clientData/>
  </xdr:oneCellAnchor>
  <xdr:oneCellAnchor>
    <xdr:from>
      <xdr:col>11</xdr:col>
      <xdr:colOff>669714</xdr:colOff>
      <xdr:row>35</xdr:row>
      <xdr:rowOff>102023</xdr:rowOff>
    </xdr:from>
    <xdr:ext cx="1679755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9D0BF4B5-4738-4A23-B782-DC9CC35D51AC}"/>
            </a:ext>
          </a:extLst>
        </xdr:cNvPr>
        <xdr:cNvSpPr txBox="1"/>
      </xdr:nvSpPr>
      <xdr:spPr>
        <a:xfrm>
          <a:off x="20016047" y="6452023"/>
          <a:ext cx="16797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Relative efficiency (N=14)</a:t>
          </a:r>
        </a:p>
      </xdr:txBody>
    </xdr:sp>
    <xdr:clientData/>
  </xdr:oneCellAnchor>
  <xdr:oneCellAnchor>
    <xdr:from>
      <xdr:col>14</xdr:col>
      <xdr:colOff>396452</xdr:colOff>
      <xdr:row>23</xdr:row>
      <xdr:rowOff>133563</xdr:rowOff>
    </xdr:from>
    <xdr:ext cx="1727332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DB716845-D495-47CF-B5E0-F158D2705E69}"/>
            </a:ext>
          </a:extLst>
        </xdr:cNvPr>
        <xdr:cNvSpPr txBox="1"/>
      </xdr:nvSpPr>
      <xdr:spPr>
        <a:xfrm>
          <a:off x="24574077" y="4213438"/>
          <a:ext cx="17273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Absolute efficiency (N=15)</a:t>
          </a:r>
        </a:p>
      </xdr:txBody>
    </xdr:sp>
    <xdr:clientData/>
  </xdr:oneCellAnchor>
  <xdr:oneCellAnchor>
    <xdr:from>
      <xdr:col>14</xdr:col>
      <xdr:colOff>327237</xdr:colOff>
      <xdr:row>35</xdr:row>
      <xdr:rowOff>98003</xdr:rowOff>
    </xdr:from>
    <xdr:ext cx="1727332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4304E7D9-1172-4F8D-94B1-703D0D8B7BBB}"/>
            </a:ext>
          </a:extLst>
        </xdr:cNvPr>
        <xdr:cNvSpPr txBox="1"/>
      </xdr:nvSpPr>
      <xdr:spPr>
        <a:xfrm>
          <a:off x="24504862" y="6273378"/>
          <a:ext cx="17273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Absolute efficiency (N=16)</a:t>
          </a:r>
        </a:p>
      </xdr:txBody>
    </xdr:sp>
    <xdr:clientData/>
  </xdr:oneCellAnchor>
  <xdr:oneCellAnchor>
    <xdr:from>
      <xdr:col>14</xdr:col>
      <xdr:colOff>1031875</xdr:colOff>
      <xdr:row>67</xdr:row>
      <xdr:rowOff>168275</xdr:rowOff>
    </xdr:from>
    <xdr:ext cx="1727332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10959C63-6609-44D4-BE55-19E363B74C18}"/>
            </a:ext>
          </a:extLst>
        </xdr:cNvPr>
        <xdr:cNvSpPr txBox="1"/>
      </xdr:nvSpPr>
      <xdr:spPr>
        <a:xfrm>
          <a:off x="25209500" y="11963400"/>
          <a:ext cx="17273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Absolute efficiency (N=18)</a:t>
          </a:r>
        </a:p>
      </xdr:txBody>
    </xdr:sp>
    <xdr:clientData/>
  </xdr:oneCellAnchor>
  <xdr:oneCellAnchor>
    <xdr:from>
      <xdr:col>14</xdr:col>
      <xdr:colOff>666750</xdr:colOff>
      <xdr:row>79</xdr:row>
      <xdr:rowOff>37465</xdr:rowOff>
    </xdr:from>
    <xdr:ext cx="1727332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800D24F-6E10-482C-BABF-4E0DA6A6D31E}"/>
            </a:ext>
          </a:extLst>
        </xdr:cNvPr>
        <xdr:cNvSpPr txBox="1"/>
      </xdr:nvSpPr>
      <xdr:spPr>
        <a:xfrm>
          <a:off x="24844375" y="13928090"/>
          <a:ext cx="17273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Absolute efficiency (N=19)</a:t>
          </a:r>
        </a:p>
      </xdr:txBody>
    </xdr:sp>
    <xdr:clientData/>
  </xdr:oneCellAnchor>
  <xdr:oneCellAnchor>
    <xdr:from>
      <xdr:col>11</xdr:col>
      <xdr:colOff>1123315</xdr:colOff>
      <xdr:row>68</xdr:row>
      <xdr:rowOff>57150</xdr:rowOff>
    </xdr:from>
    <xdr:ext cx="1679755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40B4BD7-FFF1-4519-8A21-514A71101483}"/>
            </a:ext>
          </a:extLst>
        </xdr:cNvPr>
        <xdr:cNvSpPr txBox="1"/>
      </xdr:nvSpPr>
      <xdr:spPr>
        <a:xfrm>
          <a:off x="20459065" y="12026900"/>
          <a:ext cx="16797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Relative efficiency (N=16)</a:t>
          </a:r>
        </a:p>
      </xdr:txBody>
    </xdr:sp>
    <xdr:clientData/>
  </xdr:oneCellAnchor>
  <xdr:oneCellAnchor>
    <xdr:from>
      <xdr:col>11</xdr:col>
      <xdr:colOff>936625</xdr:colOff>
      <xdr:row>80</xdr:row>
      <xdr:rowOff>9525</xdr:rowOff>
    </xdr:from>
    <xdr:ext cx="1679755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498C6796-2AFE-40CB-87EE-E86F75B7D8C4}"/>
            </a:ext>
          </a:extLst>
        </xdr:cNvPr>
        <xdr:cNvSpPr txBox="1"/>
      </xdr:nvSpPr>
      <xdr:spPr>
        <a:xfrm>
          <a:off x="20272375" y="14074775"/>
          <a:ext cx="16797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Relative efficiency (N=17)</a:t>
          </a:r>
        </a:p>
      </xdr:txBody>
    </xdr:sp>
    <xdr:clientData/>
  </xdr:oneCellAnchor>
  <xdr:oneCellAnchor>
    <xdr:from>
      <xdr:col>7</xdr:col>
      <xdr:colOff>841375</xdr:colOff>
      <xdr:row>128</xdr:row>
      <xdr:rowOff>142875</xdr:rowOff>
    </xdr:from>
    <xdr:ext cx="1679755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00A86E5-3D57-4544-870F-2EA0C6A8D724}"/>
            </a:ext>
          </a:extLst>
        </xdr:cNvPr>
        <xdr:cNvSpPr txBox="1"/>
      </xdr:nvSpPr>
      <xdr:spPr>
        <a:xfrm>
          <a:off x="14017625" y="22621875"/>
          <a:ext cx="167975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Relative efficiency (N=16)</a:t>
          </a:r>
        </a:p>
      </xdr:txBody>
    </xdr:sp>
    <xdr:clientData/>
  </xdr:oneCellAnchor>
  <xdr:oneCellAnchor>
    <xdr:from>
      <xdr:col>13</xdr:col>
      <xdr:colOff>1120775</xdr:colOff>
      <xdr:row>127</xdr:row>
      <xdr:rowOff>135255</xdr:rowOff>
    </xdr:from>
    <xdr:ext cx="1727332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B66AE8C-BF93-442F-BBE2-34E7E7B01CC1}"/>
            </a:ext>
          </a:extLst>
        </xdr:cNvPr>
        <xdr:cNvSpPr txBox="1"/>
      </xdr:nvSpPr>
      <xdr:spPr>
        <a:xfrm>
          <a:off x="23996650" y="22439630"/>
          <a:ext cx="17273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Absolute efficiency (N=18)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457200</xdr:colOff>
      <xdr:row>39</xdr:row>
      <xdr:rowOff>24142</xdr:rowOff>
    </xdr:from>
    <xdr:to>
      <xdr:col>5</xdr:col>
      <xdr:colOff>594359</xdr:colOff>
      <xdr:row>48</xdr:row>
      <xdr:rowOff>17107</xdr:rowOff>
    </xdr:to>
    <xdr:pic>
      <xdr:nvPicPr>
        <xdr:cNvPr id="2" name="Content Placeholder 6">
          <a:extLst>
            <a:ext uri="{FF2B5EF4-FFF2-40B4-BE49-F238E27FC236}">
              <a16:creationId xmlns:a16="http://schemas.microsoft.com/office/drawing/2014/main" id="{715A57AD-DE94-4717-924C-447F5FEA275C}"/>
            </a:ext>
          </a:extLst>
        </xdr:cNvPr>
        <xdr:cNvPicPr>
          <a:picLocks noGrp="1"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0" t="5111" r="7246"/>
        <a:stretch/>
      </xdr:blipFill>
      <xdr:spPr>
        <a:xfrm>
          <a:off x="4351020" y="580402"/>
          <a:ext cx="2285999" cy="1598880"/>
        </a:xfrm>
        <a:prstGeom prst="rect">
          <a:avLst/>
        </a:prstGeom>
      </xdr:spPr>
    </xdr:pic>
    <xdr:clientData/>
  </xdr:twoCellAnchor>
  <xdr:oneCellAnchor>
    <xdr:from>
      <xdr:col>4</xdr:col>
      <xdr:colOff>733425</xdr:colOff>
      <xdr:row>39</xdr:row>
      <xdr:rowOff>28575</xdr:rowOff>
    </xdr:from>
    <xdr:ext cx="645177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F6BC499-2E47-40E7-8C4A-30ED31537291}"/>
            </a:ext>
          </a:extLst>
        </xdr:cNvPr>
        <xdr:cNvSpPr txBox="1"/>
      </xdr:nvSpPr>
      <xdr:spPr>
        <a:xfrm>
          <a:off x="4627245" y="584835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</a:t>
          </a:r>
          <a:r>
            <a:rPr lang="en-US" sz="1100"/>
            <a:t>1</a:t>
          </a:r>
        </a:p>
      </xdr:txBody>
    </xdr:sp>
    <xdr:clientData/>
  </xdr:oneCellAnchor>
  <xdr:twoCellAnchor editAs="oneCell">
    <xdr:from>
      <xdr:col>4</xdr:col>
      <xdr:colOff>491249</xdr:colOff>
      <xdr:row>49</xdr:row>
      <xdr:rowOff>85724</xdr:rowOff>
    </xdr:from>
    <xdr:to>
      <xdr:col>5</xdr:col>
      <xdr:colOff>893619</xdr:colOff>
      <xdr:row>59</xdr:row>
      <xdr:rowOff>59055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FB2A72-ACED-4FEA-AF20-E81196FE89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" t="5697" r="7933"/>
        <a:stretch/>
      </xdr:blipFill>
      <xdr:spPr>
        <a:xfrm>
          <a:off x="4385069" y="2493644"/>
          <a:ext cx="2574070" cy="1802130"/>
        </a:xfrm>
        <a:prstGeom prst="rect">
          <a:avLst/>
        </a:prstGeom>
      </xdr:spPr>
    </xdr:pic>
    <xdr:clientData/>
  </xdr:twoCellAnchor>
  <xdr:oneCellAnchor>
    <xdr:from>
      <xdr:col>4</xdr:col>
      <xdr:colOff>752475</xdr:colOff>
      <xdr:row>49</xdr:row>
      <xdr:rowOff>133350</xdr:rowOff>
    </xdr:from>
    <xdr:ext cx="645177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5770F8E-F683-40E4-BF60-C3595E878E9B}"/>
            </a:ext>
          </a:extLst>
        </xdr:cNvPr>
        <xdr:cNvSpPr txBox="1"/>
      </xdr:nvSpPr>
      <xdr:spPr>
        <a:xfrm>
          <a:off x="4646295" y="2541270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2</a:t>
          </a:r>
          <a:endParaRPr lang="en-US" sz="1100"/>
        </a:p>
      </xdr:txBody>
    </xdr:sp>
    <xdr:clientData/>
  </xdr:oneCellAnchor>
  <xdr:twoCellAnchor editAs="oneCell">
    <xdr:from>
      <xdr:col>4</xdr:col>
      <xdr:colOff>56198</xdr:colOff>
      <xdr:row>61</xdr:row>
      <xdr:rowOff>0</xdr:rowOff>
    </xdr:from>
    <xdr:to>
      <xdr:col>5</xdr:col>
      <xdr:colOff>685408</xdr:colOff>
      <xdr:row>71</xdr:row>
      <xdr:rowOff>95251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546FF0-AD23-4E77-AC25-FCDCB9F9E1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514" r="7616"/>
        <a:stretch/>
      </xdr:blipFill>
      <xdr:spPr>
        <a:xfrm>
          <a:off x="6735604" y="10989469"/>
          <a:ext cx="2784242" cy="1881188"/>
        </a:xfrm>
        <a:prstGeom prst="rect">
          <a:avLst/>
        </a:prstGeom>
      </xdr:spPr>
    </xdr:pic>
    <xdr:clientData/>
  </xdr:twoCellAnchor>
  <xdr:oneCellAnchor>
    <xdr:from>
      <xdr:col>4</xdr:col>
      <xdr:colOff>676275</xdr:colOff>
      <xdr:row>61</xdr:row>
      <xdr:rowOff>76200</xdr:rowOff>
    </xdr:from>
    <xdr:ext cx="645177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9FFC3D-EB0A-4526-8FD6-000CCF088955}"/>
            </a:ext>
          </a:extLst>
        </xdr:cNvPr>
        <xdr:cNvSpPr txBox="1"/>
      </xdr:nvSpPr>
      <xdr:spPr>
        <a:xfrm>
          <a:off x="4570095" y="4686300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3</a:t>
          </a:r>
          <a:endParaRPr lang="en-US" sz="1100"/>
        </a:p>
      </xdr:txBody>
    </xdr:sp>
    <xdr:clientData/>
  </xdr:oneCellAnchor>
  <xdr:twoCellAnchor editAs="oneCell">
    <xdr:from>
      <xdr:col>4</xdr:col>
      <xdr:colOff>280961</xdr:colOff>
      <xdr:row>74</xdr:row>
      <xdr:rowOff>53340</xdr:rowOff>
    </xdr:from>
    <xdr:to>
      <xdr:col>5</xdr:col>
      <xdr:colOff>936901</xdr:colOff>
      <xdr:row>84</xdr:row>
      <xdr:rowOff>132246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671D6D-E3B8-49FD-AC7A-72B75D9FEA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308" r="7676"/>
        <a:stretch/>
      </xdr:blipFill>
      <xdr:spPr>
        <a:xfrm>
          <a:off x="4174781" y="7048500"/>
          <a:ext cx="2821925" cy="1922946"/>
        </a:xfrm>
        <a:prstGeom prst="rect">
          <a:avLst/>
        </a:prstGeom>
      </xdr:spPr>
    </xdr:pic>
    <xdr:clientData/>
  </xdr:twoCellAnchor>
  <xdr:oneCellAnchor>
    <xdr:from>
      <xdr:col>4</xdr:col>
      <xdr:colOff>1133475</xdr:colOff>
      <xdr:row>74</xdr:row>
      <xdr:rowOff>161925</xdr:rowOff>
    </xdr:from>
    <xdr:ext cx="645177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EF5C43B-7091-4ED4-87C6-6AC2EE5ABE91}"/>
            </a:ext>
          </a:extLst>
        </xdr:cNvPr>
        <xdr:cNvSpPr txBox="1"/>
      </xdr:nvSpPr>
      <xdr:spPr>
        <a:xfrm>
          <a:off x="5027295" y="7157085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4</a:t>
          </a:r>
          <a:endParaRPr lang="en-US" sz="1100"/>
        </a:p>
      </xdr:txBody>
    </xdr:sp>
    <xdr:clientData/>
  </xdr:oneCellAnchor>
  <xdr:twoCellAnchor editAs="oneCell">
    <xdr:from>
      <xdr:col>4</xdr:col>
      <xdr:colOff>552450</xdr:colOff>
      <xdr:row>91</xdr:row>
      <xdr:rowOff>50555</xdr:rowOff>
    </xdr:from>
    <xdr:to>
      <xdr:col>5</xdr:col>
      <xdr:colOff>590549</xdr:colOff>
      <xdr:row>99</xdr:row>
      <xdr:rowOff>60334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555B887-3904-4181-AE0F-EDC91A7063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8" t="6182" r="7765"/>
        <a:stretch/>
      </xdr:blipFill>
      <xdr:spPr>
        <a:xfrm>
          <a:off x="4301490" y="606815"/>
          <a:ext cx="2194560" cy="1478534"/>
        </a:xfrm>
        <a:prstGeom prst="rect">
          <a:avLst/>
        </a:prstGeom>
      </xdr:spPr>
    </xdr:pic>
    <xdr:clientData/>
  </xdr:twoCellAnchor>
  <xdr:oneCellAnchor>
    <xdr:from>
      <xdr:col>4</xdr:col>
      <xdr:colOff>1323975</xdr:colOff>
      <xdr:row>91</xdr:row>
      <xdr:rowOff>190500</xdr:rowOff>
    </xdr:from>
    <xdr:ext cx="645177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5B4A6A23-9F23-46CF-843D-CD6F53419A9A}"/>
            </a:ext>
          </a:extLst>
        </xdr:cNvPr>
        <xdr:cNvSpPr txBox="1"/>
      </xdr:nvSpPr>
      <xdr:spPr>
        <a:xfrm>
          <a:off x="5074920" y="742950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5</a:t>
          </a:r>
          <a:endParaRPr lang="en-US" sz="1100"/>
        </a:p>
      </xdr:txBody>
    </xdr:sp>
    <xdr:clientData/>
  </xdr:oneCellAnchor>
  <xdr:twoCellAnchor editAs="oneCell">
    <xdr:from>
      <xdr:col>4</xdr:col>
      <xdr:colOff>424205</xdr:colOff>
      <xdr:row>101</xdr:row>
      <xdr:rowOff>57150</xdr:rowOff>
    </xdr:from>
    <xdr:to>
      <xdr:col>5</xdr:col>
      <xdr:colOff>529676</xdr:colOff>
      <xdr:row>109</xdr:row>
      <xdr:rowOff>110967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5848617-C4DE-47FF-8A0F-0BDCBF8BEB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44" r="7662"/>
        <a:stretch/>
      </xdr:blipFill>
      <xdr:spPr>
        <a:xfrm>
          <a:off x="4178960" y="2463165"/>
          <a:ext cx="2261932" cy="1516857"/>
        </a:xfrm>
        <a:prstGeom prst="rect">
          <a:avLst/>
        </a:prstGeom>
      </xdr:spPr>
    </xdr:pic>
    <xdr:clientData/>
  </xdr:twoCellAnchor>
  <xdr:oneCellAnchor>
    <xdr:from>
      <xdr:col>4</xdr:col>
      <xdr:colOff>1343025</xdr:colOff>
      <xdr:row>101</xdr:row>
      <xdr:rowOff>133350</xdr:rowOff>
    </xdr:from>
    <xdr:ext cx="645177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C6C55D4A-47A9-494B-8982-7A9E25394DA4}"/>
            </a:ext>
          </a:extLst>
        </xdr:cNvPr>
        <xdr:cNvSpPr txBox="1"/>
      </xdr:nvSpPr>
      <xdr:spPr>
        <a:xfrm>
          <a:off x="5097780" y="2539365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6</a:t>
          </a:r>
          <a:endParaRPr lang="en-US" sz="1100"/>
        </a:p>
      </xdr:txBody>
    </xdr:sp>
    <xdr:clientData/>
  </xdr:oneCellAnchor>
  <xdr:twoCellAnchor editAs="oneCell">
    <xdr:from>
      <xdr:col>4</xdr:col>
      <xdr:colOff>561977</xdr:colOff>
      <xdr:row>112</xdr:row>
      <xdr:rowOff>12639</xdr:rowOff>
    </xdr:from>
    <xdr:to>
      <xdr:col>5</xdr:col>
      <xdr:colOff>800538</xdr:colOff>
      <xdr:row>120</xdr:row>
      <xdr:rowOff>168117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275972F-654D-41E7-BE0F-94114D8A18D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4" t="6476" r="7488"/>
        <a:stretch/>
      </xdr:blipFill>
      <xdr:spPr>
        <a:xfrm>
          <a:off x="4312922" y="4445574"/>
          <a:ext cx="2395022" cy="1620899"/>
        </a:xfrm>
        <a:prstGeom prst="rect">
          <a:avLst/>
        </a:prstGeom>
      </xdr:spPr>
    </xdr:pic>
    <xdr:clientData/>
  </xdr:twoCellAnchor>
  <xdr:oneCellAnchor>
    <xdr:from>
      <xdr:col>4</xdr:col>
      <xdr:colOff>1343025</xdr:colOff>
      <xdr:row>112</xdr:row>
      <xdr:rowOff>85725</xdr:rowOff>
    </xdr:from>
    <xdr:ext cx="645177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E275004-7C1A-4EE9-A6C3-01D176250929}"/>
            </a:ext>
          </a:extLst>
        </xdr:cNvPr>
        <xdr:cNvSpPr txBox="1"/>
      </xdr:nvSpPr>
      <xdr:spPr>
        <a:xfrm>
          <a:off x="5097780" y="4516755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7</a:t>
          </a:r>
          <a:endParaRPr lang="en-US" sz="1100"/>
        </a:p>
      </xdr:txBody>
    </xdr:sp>
    <xdr:clientData/>
  </xdr:oneCellAnchor>
  <xdr:twoCellAnchor editAs="oneCell">
    <xdr:from>
      <xdr:col>4</xdr:col>
      <xdr:colOff>166685</xdr:colOff>
      <xdr:row>124</xdr:row>
      <xdr:rowOff>60087</xdr:rowOff>
    </xdr:from>
    <xdr:to>
      <xdr:col>5</xdr:col>
      <xdr:colOff>971549</xdr:colOff>
      <xdr:row>135</xdr:row>
      <xdr:rowOff>15809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DBB980E-AE89-489F-89C0-1BFA780BF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3345" y="6676152"/>
          <a:ext cx="2968945" cy="1969307"/>
        </a:xfrm>
        <a:prstGeom prst="rect">
          <a:avLst/>
        </a:prstGeom>
      </xdr:spPr>
    </xdr:pic>
    <xdr:clientData/>
  </xdr:twoCellAnchor>
  <xdr:twoCellAnchor editAs="oneCell">
    <xdr:from>
      <xdr:col>4</xdr:col>
      <xdr:colOff>142876</xdr:colOff>
      <xdr:row>135</xdr:row>
      <xdr:rowOff>142874</xdr:rowOff>
    </xdr:from>
    <xdr:to>
      <xdr:col>5</xdr:col>
      <xdr:colOff>1448172</xdr:colOff>
      <xdr:row>147</xdr:row>
      <xdr:rowOff>168115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8C08149-0C37-4962-8B0C-0ED9075D6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3821" y="8770619"/>
          <a:ext cx="3461757" cy="2227421"/>
        </a:xfrm>
        <a:prstGeom prst="rect">
          <a:avLst/>
        </a:prstGeom>
      </xdr:spPr>
    </xdr:pic>
    <xdr:clientData/>
  </xdr:twoCellAnchor>
  <xdr:twoCellAnchor editAs="oneCell">
    <xdr:from>
      <xdr:col>10</xdr:col>
      <xdr:colOff>240335</xdr:colOff>
      <xdr:row>92</xdr:row>
      <xdr:rowOff>21428</xdr:rowOff>
    </xdr:from>
    <xdr:to>
      <xdr:col>11</xdr:col>
      <xdr:colOff>1008734</xdr:colOff>
      <xdr:row>100</xdr:row>
      <xdr:rowOff>91712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EBF0E4-6634-4F0F-83A7-98B38BED74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85" r="7995"/>
        <a:stretch/>
      </xdr:blipFill>
      <xdr:spPr>
        <a:xfrm>
          <a:off x="16568906" y="16992257"/>
          <a:ext cx="2318525" cy="1558361"/>
        </a:xfrm>
        <a:prstGeom prst="rect">
          <a:avLst/>
        </a:prstGeom>
      </xdr:spPr>
    </xdr:pic>
    <xdr:clientData/>
  </xdr:twoCellAnchor>
  <xdr:oneCellAnchor>
    <xdr:from>
      <xdr:col>10</xdr:col>
      <xdr:colOff>1181916</xdr:colOff>
      <xdr:row>93</xdr:row>
      <xdr:rowOff>172811</xdr:rowOff>
    </xdr:from>
    <xdr:ext cx="645177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28FEDAD9-099C-49FB-9242-8038C9DC5FD5}"/>
            </a:ext>
          </a:extLst>
        </xdr:cNvPr>
        <xdr:cNvSpPr txBox="1"/>
      </xdr:nvSpPr>
      <xdr:spPr>
        <a:xfrm>
          <a:off x="17510487" y="17328697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8</a:t>
          </a:r>
          <a:endParaRPr lang="en-US" sz="1100"/>
        </a:p>
      </xdr:txBody>
    </xdr:sp>
    <xdr:clientData/>
  </xdr:oneCellAnchor>
  <xdr:twoCellAnchor editAs="oneCell">
    <xdr:from>
      <xdr:col>10</xdr:col>
      <xdr:colOff>397328</xdr:colOff>
      <xdr:row>103</xdr:row>
      <xdr:rowOff>166898</xdr:rowOff>
    </xdr:from>
    <xdr:to>
      <xdr:col>11</xdr:col>
      <xdr:colOff>1201844</xdr:colOff>
      <xdr:row>112</xdr:row>
      <xdr:rowOff>94162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1779DD1-176F-4525-9E8D-5DAEBA63CD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1" t="6546" r="8017"/>
        <a:stretch/>
      </xdr:blipFill>
      <xdr:spPr>
        <a:xfrm>
          <a:off x="16725899" y="19173355"/>
          <a:ext cx="2331782" cy="1604208"/>
        </a:xfrm>
        <a:prstGeom prst="rect">
          <a:avLst/>
        </a:prstGeom>
      </xdr:spPr>
    </xdr:pic>
    <xdr:clientData/>
  </xdr:twoCellAnchor>
  <xdr:oneCellAnchor>
    <xdr:from>
      <xdr:col>10</xdr:col>
      <xdr:colOff>1361259</xdr:colOff>
      <xdr:row>105</xdr:row>
      <xdr:rowOff>2722</xdr:rowOff>
    </xdr:from>
    <xdr:ext cx="645177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D4E1822-D098-4BD9-9429-09D6D234C7F6}"/>
            </a:ext>
          </a:extLst>
        </xdr:cNvPr>
        <xdr:cNvSpPr txBox="1"/>
      </xdr:nvSpPr>
      <xdr:spPr>
        <a:xfrm>
          <a:off x="17689830" y="19379293"/>
          <a:ext cx="64517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Figure</a:t>
          </a:r>
          <a:r>
            <a:rPr lang="en-US" sz="1100" baseline="0"/>
            <a:t> 9</a:t>
          </a:r>
          <a:endParaRPr lang="en-US" sz="1100"/>
        </a:p>
      </xdr:txBody>
    </xdr:sp>
    <xdr:clientData/>
  </xdr:oneCellAnchor>
  <xdr:oneCellAnchor>
    <xdr:from>
      <xdr:col>16</xdr:col>
      <xdr:colOff>177707</xdr:colOff>
      <xdr:row>93</xdr:row>
      <xdr:rowOff>104323</xdr:rowOff>
    </xdr:from>
    <xdr:ext cx="2037173" cy="1263813"/>
    <xdr:pic>
      <xdr:nvPicPr>
        <xdr:cNvPr id="38" name="Picture 37">
          <a:extLst>
            <a:ext uri="{FF2B5EF4-FFF2-40B4-BE49-F238E27FC236}">
              <a16:creationId xmlns:a16="http://schemas.microsoft.com/office/drawing/2014/main" id="{426C5250-A8C8-4DB4-BDE5-C467409AF8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70" t="5570" r="7600"/>
        <a:stretch/>
      </xdr:blipFill>
      <xdr:spPr>
        <a:xfrm>
          <a:off x="27497139" y="17128096"/>
          <a:ext cx="2037173" cy="1263813"/>
        </a:xfrm>
        <a:prstGeom prst="rect">
          <a:avLst/>
        </a:prstGeom>
      </xdr:spPr>
    </xdr:pic>
    <xdr:clientData/>
  </xdr:oneCellAnchor>
  <xdr:oneCellAnchor>
    <xdr:from>
      <xdr:col>15</xdr:col>
      <xdr:colOff>1882673</xdr:colOff>
      <xdr:row>103</xdr:row>
      <xdr:rowOff>60958</xdr:rowOff>
    </xdr:from>
    <xdr:ext cx="3175102" cy="2301677"/>
    <xdr:pic>
      <xdr:nvPicPr>
        <xdr:cNvPr id="39" name="Picture 38">
          <a:extLst>
            <a:ext uri="{FF2B5EF4-FFF2-40B4-BE49-F238E27FC236}">
              <a16:creationId xmlns:a16="http://schemas.microsoft.com/office/drawing/2014/main" id="{7137BB7C-735B-4436-9DB8-3C595E9B6E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9" t="5575" r="8691"/>
        <a:stretch/>
      </xdr:blipFill>
      <xdr:spPr>
        <a:xfrm>
          <a:off x="27314423" y="18825208"/>
          <a:ext cx="3175102" cy="2301677"/>
        </a:xfrm>
        <a:prstGeom prst="rect">
          <a:avLst/>
        </a:prstGeom>
      </xdr:spPr>
    </xdr:pic>
    <xdr:clientData/>
  </xdr:oneCellAnchor>
  <xdr:twoCellAnchor editAs="oneCell">
    <xdr:from>
      <xdr:col>15</xdr:col>
      <xdr:colOff>1482593</xdr:colOff>
      <xdr:row>119</xdr:row>
      <xdr:rowOff>169332</xdr:rowOff>
    </xdr:from>
    <xdr:to>
      <xdr:col>17</xdr:col>
      <xdr:colOff>1769402</xdr:colOff>
      <xdr:row>133</xdr:row>
      <xdr:rowOff>16667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3E8BB701-B6CC-4F40-A647-EB61274A95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8" t="5697" r="8438"/>
        <a:stretch/>
      </xdr:blipFill>
      <xdr:spPr>
        <a:xfrm>
          <a:off x="26935510" y="21748749"/>
          <a:ext cx="3652309" cy="2387335"/>
        </a:xfrm>
        <a:prstGeom prst="rect">
          <a:avLst/>
        </a:prstGeom>
      </xdr:spPr>
    </xdr:pic>
    <xdr:clientData/>
  </xdr:twoCellAnchor>
  <xdr:twoCellAnchor editAs="oneCell">
    <xdr:from>
      <xdr:col>15</xdr:col>
      <xdr:colOff>1599249</xdr:colOff>
      <xdr:row>134</xdr:row>
      <xdr:rowOff>4921</xdr:rowOff>
    </xdr:from>
    <xdr:to>
      <xdr:col>17</xdr:col>
      <xdr:colOff>1825466</xdr:colOff>
      <xdr:row>146</xdr:row>
      <xdr:rowOff>94302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E138524-0C41-4F88-83EB-EFF885025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052166" y="24304254"/>
          <a:ext cx="3591717" cy="225600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371475</xdr:colOff>
      <xdr:row>0</xdr:row>
      <xdr:rowOff>61331</xdr:rowOff>
    </xdr:from>
    <xdr:to>
      <xdr:col>32</xdr:col>
      <xdr:colOff>350425</xdr:colOff>
      <xdr:row>18</xdr:row>
      <xdr:rowOff>30007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434ACC-4DA8-B476-2DCA-9EDB7DE4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70650" y="61331"/>
          <a:ext cx="5465350" cy="3235751"/>
        </a:xfrm>
        <a:prstGeom prst="rect">
          <a:avLst/>
        </a:prstGeom>
      </xdr:spPr>
    </xdr:pic>
    <xdr:clientData/>
  </xdr:twoCellAnchor>
  <xdr:twoCellAnchor editAs="oneCell">
    <xdr:from>
      <xdr:col>42</xdr:col>
      <xdr:colOff>420287</xdr:colOff>
      <xdr:row>0</xdr:row>
      <xdr:rowOff>0</xdr:rowOff>
    </xdr:from>
    <xdr:to>
      <xdr:col>51</xdr:col>
      <xdr:colOff>368613</xdr:colOff>
      <xdr:row>18</xdr:row>
      <xdr:rowOff>63390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53DCC99-60CB-5DB3-E7E1-35CE407B0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501862" y="0"/>
          <a:ext cx="5434726" cy="3330465"/>
        </a:xfrm>
        <a:prstGeom prst="rect">
          <a:avLst/>
        </a:prstGeom>
      </xdr:spPr>
    </xdr:pic>
    <xdr:clientData/>
  </xdr:twoCellAnchor>
  <xdr:twoCellAnchor editAs="oneCell">
    <xdr:from>
      <xdr:col>33</xdr:col>
      <xdr:colOff>231321</xdr:colOff>
      <xdr:row>0</xdr:row>
      <xdr:rowOff>0</xdr:rowOff>
    </xdr:from>
    <xdr:to>
      <xdr:col>42</xdr:col>
      <xdr:colOff>200839</xdr:colOff>
      <xdr:row>17</xdr:row>
      <xdr:rowOff>134865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7D9B5A0-0DD5-1DF6-A06B-D4B4DB483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26496" y="0"/>
          <a:ext cx="5455918" cy="3220965"/>
        </a:xfrm>
        <a:prstGeom prst="rect">
          <a:avLst/>
        </a:prstGeom>
      </xdr:spPr>
    </xdr:pic>
    <xdr:clientData/>
  </xdr:twoCellAnchor>
  <xdr:twoCellAnchor editAs="oneCell">
    <xdr:from>
      <xdr:col>23</xdr:col>
      <xdr:colOff>399625</xdr:colOff>
      <xdr:row>18</xdr:row>
      <xdr:rowOff>168275</xdr:rowOff>
    </xdr:from>
    <xdr:to>
      <xdr:col>31</xdr:col>
      <xdr:colOff>602614</xdr:colOff>
      <xdr:row>35</xdr:row>
      <xdr:rowOff>142444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069C526-6F6D-F309-FBEA-FC85C7BC2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898800" y="3435350"/>
          <a:ext cx="5079789" cy="3060269"/>
        </a:xfrm>
        <a:prstGeom prst="rect">
          <a:avLst/>
        </a:prstGeom>
      </xdr:spPr>
    </xdr:pic>
    <xdr:clientData/>
  </xdr:twoCellAnchor>
  <xdr:twoCellAnchor editAs="oneCell">
    <xdr:from>
      <xdr:col>34</xdr:col>
      <xdr:colOff>372655</xdr:colOff>
      <xdr:row>18</xdr:row>
      <xdr:rowOff>18415</xdr:rowOff>
    </xdr:from>
    <xdr:to>
      <xdr:col>43</xdr:col>
      <xdr:colOff>593684</xdr:colOff>
      <xdr:row>35</xdr:row>
      <xdr:rowOff>6238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35B7F2C-8520-1D75-6626-4B24247C4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71030" y="3161665"/>
          <a:ext cx="5659803" cy="2965973"/>
        </a:xfrm>
        <a:prstGeom prst="rect">
          <a:avLst/>
        </a:prstGeom>
      </xdr:spPr>
    </xdr:pic>
    <xdr:clientData/>
  </xdr:twoCellAnchor>
  <xdr:twoCellAnchor editAs="oneCell">
    <xdr:from>
      <xdr:col>33</xdr:col>
      <xdr:colOff>47261</xdr:colOff>
      <xdr:row>38</xdr:row>
      <xdr:rowOff>129720</xdr:rowOff>
    </xdr:from>
    <xdr:to>
      <xdr:col>44</xdr:col>
      <xdr:colOff>482</xdr:colOff>
      <xdr:row>59</xdr:row>
      <xdr:rowOff>62397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099845E-ED62-5569-9F80-158CF2FC9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2386" y="6765470"/>
          <a:ext cx="6588971" cy="3631552"/>
        </a:xfrm>
        <a:prstGeom prst="rect">
          <a:avLst/>
        </a:prstGeom>
      </xdr:spPr>
    </xdr:pic>
    <xdr:clientData/>
  </xdr:twoCellAnchor>
  <xdr:twoCellAnchor editAs="oneCell">
    <xdr:from>
      <xdr:col>22</xdr:col>
      <xdr:colOff>462914</xdr:colOff>
      <xdr:row>38</xdr:row>
      <xdr:rowOff>163830</xdr:rowOff>
    </xdr:from>
    <xdr:to>
      <xdr:col>32</xdr:col>
      <xdr:colOff>488542</xdr:colOff>
      <xdr:row>59</xdr:row>
      <xdr:rowOff>51012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E92D1EE-A278-7E25-7095-856462151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52489" y="7059930"/>
          <a:ext cx="6121628" cy="3719407"/>
        </a:xfrm>
        <a:prstGeom prst="rect">
          <a:avLst/>
        </a:prstGeom>
      </xdr:spPr>
    </xdr:pic>
    <xdr:clientData/>
  </xdr:twoCellAnchor>
  <xdr:twoCellAnchor editAs="oneCell">
    <xdr:from>
      <xdr:col>28</xdr:col>
      <xdr:colOff>744070</xdr:colOff>
      <xdr:row>62</xdr:row>
      <xdr:rowOff>140426</xdr:rowOff>
    </xdr:from>
    <xdr:to>
      <xdr:col>40</xdr:col>
      <xdr:colOff>94086</xdr:colOff>
      <xdr:row>86</xdr:row>
      <xdr:rowOff>24293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2EB010F-639F-BBF6-DFC3-D010F74AD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85820" y="11398976"/>
          <a:ext cx="6799201" cy="4252667"/>
        </a:xfrm>
        <a:prstGeom prst="rect">
          <a:avLst/>
        </a:prstGeom>
      </xdr:spPr>
    </xdr:pic>
    <xdr:clientData/>
  </xdr:twoCellAnchor>
  <xdr:twoCellAnchor editAs="oneCell">
    <xdr:from>
      <xdr:col>39</xdr:col>
      <xdr:colOff>327890</xdr:colOff>
      <xdr:row>61</xdr:row>
      <xdr:rowOff>65980</xdr:rowOff>
    </xdr:from>
    <xdr:to>
      <xdr:col>51</xdr:col>
      <xdr:colOff>315493</xdr:colOff>
      <xdr:row>86</xdr:row>
      <xdr:rowOff>3654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30E9293-7F6C-7EED-7FDD-EB439D53D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13465" y="11143555"/>
          <a:ext cx="7302803" cy="4487449"/>
        </a:xfrm>
        <a:prstGeom prst="rect">
          <a:avLst/>
        </a:prstGeom>
      </xdr:spPr>
    </xdr:pic>
    <xdr:clientData/>
  </xdr:twoCellAnchor>
  <xdr:oneCellAnchor>
    <xdr:from>
      <xdr:col>25</xdr:col>
      <xdr:colOff>459710</xdr:colOff>
      <xdr:row>70</xdr:row>
      <xdr:rowOff>96035</xdr:rowOff>
    </xdr:from>
    <xdr:ext cx="2675678" cy="1125693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00A14ED-8790-6816-ADF8-A0AE3B62FC68}"/>
            </a:ext>
          </a:extLst>
        </xdr:cNvPr>
        <xdr:cNvSpPr txBox="1"/>
      </xdr:nvSpPr>
      <xdr:spPr>
        <a:xfrm>
          <a:off x="33178085" y="12802385"/>
          <a:ext cx="2675678" cy="112569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32Ar: Blue and red</a:t>
          </a:r>
          <a:r>
            <a:rPr lang="en-US" sz="1100" baseline="0"/>
            <a:t> are different background subtraction methods. There are excess counts due to real coincidences with the 1265-keV gamma rays in 30P. No evidience of 32Ar beta-delayed protons.</a:t>
          </a:r>
        </a:p>
        <a:p>
          <a:endParaRPr lang="en-US" sz="1100"/>
        </a:p>
      </xdr:txBody>
    </xdr:sp>
    <xdr:clientData/>
  </xdr:oneCellAnchor>
  <xdr:oneCellAnchor>
    <xdr:from>
      <xdr:col>27</xdr:col>
      <xdr:colOff>430440</xdr:colOff>
      <xdr:row>47</xdr:row>
      <xdr:rowOff>133350</xdr:rowOff>
    </xdr:from>
    <xdr:ext cx="2675678" cy="78124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479B5BA5-8AD4-4CDC-8FC6-1AF9EC041427}"/>
            </a:ext>
          </a:extLst>
        </xdr:cNvPr>
        <xdr:cNvSpPr txBox="1"/>
      </xdr:nvSpPr>
      <xdr:spPr>
        <a:xfrm>
          <a:off x="34006065" y="8340725"/>
          <a:ext cx="2675678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31Ar: Blue and red</a:t>
          </a:r>
          <a:r>
            <a:rPr lang="en-US" sz="1100" baseline="0"/>
            <a:t> are different background subtraction methods. No evidence of contamination.</a:t>
          </a:r>
        </a:p>
        <a:p>
          <a:endParaRPr lang="en-US" sz="1100"/>
        </a:p>
      </xdr:txBody>
    </xdr:sp>
    <xdr:clientData/>
  </xdr:oneCellAnchor>
  <xdr:oneCellAnchor>
    <xdr:from>
      <xdr:col>24</xdr:col>
      <xdr:colOff>422457</xdr:colOff>
      <xdr:row>11</xdr:row>
      <xdr:rowOff>27215</xdr:rowOff>
    </xdr:from>
    <xdr:ext cx="2346959" cy="95346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BE9B427-6E5F-4D71-8BCF-9BB3A3D2EEE8}"/>
            </a:ext>
          </a:extLst>
        </xdr:cNvPr>
        <xdr:cNvSpPr txBox="1"/>
      </xdr:nvSpPr>
      <xdr:spPr>
        <a:xfrm>
          <a:off x="33882421" y="1973036"/>
          <a:ext cx="2346959" cy="953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29S: Fitting proton</a:t>
          </a:r>
          <a:r>
            <a:rPr lang="en-US" sz="1100" baseline="0"/>
            <a:t> peaks in coincidence with 1779-keV protons to estimate contribution to spectrum.</a:t>
          </a:r>
        </a:p>
        <a:p>
          <a:endParaRPr lang="en-US" sz="1100" baseline="0"/>
        </a:p>
        <a:p>
          <a:endParaRPr lang="en-US" sz="1100"/>
        </a:p>
      </xdr:txBody>
    </xdr:sp>
    <xdr:clientData/>
  </xdr:oneCellAnchor>
  <xdr:twoCellAnchor editAs="oneCell">
    <xdr:from>
      <xdr:col>6</xdr:col>
      <xdr:colOff>392905</xdr:colOff>
      <xdr:row>110</xdr:row>
      <xdr:rowOff>158591</xdr:rowOff>
    </xdr:from>
    <xdr:to>
      <xdr:col>7</xdr:col>
      <xdr:colOff>1525730</xdr:colOff>
      <xdr:row>120</xdr:row>
      <xdr:rowOff>167957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15ED2F-3272-2132-3D71-B12275EBB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43936" y="19268122"/>
          <a:ext cx="2513949" cy="1787683"/>
        </a:xfrm>
        <a:prstGeom prst="rect">
          <a:avLst/>
        </a:prstGeom>
      </xdr:spPr>
    </xdr:pic>
    <xdr:clientData/>
  </xdr:twoCellAnchor>
  <xdr:twoCellAnchor editAs="oneCell">
    <xdr:from>
      <xdr:col>6</xdr:col>
      <xdr:colOff>424339</xdr:colOff>
      <xdr:row>82</xdr:row>
      <xdr:rowOff>172402</xdr:rowOff>
    </xdr:from>
    <xdr:to>
      <xdr:col>9</xdr:col>
      <xdr:colOff>344854</xdr:colOff>
      <xdr:row>97</xdr:row>
      <xdr:rowOff>16082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81C04A3-370E-ACA9-447C-03AC0538B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5370" y="14281308"/>
          <a:ext cx="4623484" cy="2530206"/>
        </a:xfrm>
        <a:prstGeom prst="rect">
          <a:avLst/>
        </a:prstGeom>
      </xdr:spPr>
    </xdr:pic>
    <xdr:clientData/>
  </xdr:twoCellAnchor>
  <xdr:twoCellAnchor editAs="oneCell">
    <xdr:from>
      <xdr:col>6</xdr:col>
      <xdr:colOff>284275</xdr:colOff>
      <xdr:row>121</xdr:row>
      <xdr:rowOff>39040</xdr:rowOff>
    </xdr:from>
    <xdr:to>
      <xdr:col>7</xdr:col>
      <xdr:colOff>1444943</xdr:colOff>
      <xdr:row>131</xdr:row>
      <xdr:rowOff>135094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AB94DAF-2312-FDF4-1AE8-53579795E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5306" y="21113103"/>
          <a:ext cx="2541792" cy="1874371"/>
        </a:xfrm>
        <a:prstGeom prst="rect">
          <a:avLst/>
        </a:prstGeom>
      </xdr:spPr>
    </xdr:pic>
    <xdr:clientData/>
  </xdr:twoCellAnchor>
  <xdr:twoCellAnchor editAs="oneCell">
    <xdr:from>
      <xdr:col>9</xdr:col>
      <xdr:colOff>1023372</xdr:colOff>
      <xdr:row>128</xdr:row>
      <xdr:rowOff>165</xdr:rowOff>
    </xdr:from>
    <xdr:to>
      <xdr:col>11</xdr:col>
      <xdr:colOff>1371123</xdr:colOff>
      <xdr:row>143</xdr:row>
      <xdr:rowOff>58897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17B778D-8C51-9C98-5204-4DD2EE34B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77372" y="22324384"/>
          <a:ext cx="3717220" cy="27300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9"/>
  <sheetViews>
    <sheetView topLeftCell="A10" zoomScale="80" zoomScaleNormal="80" workbookViewId="0">
      <selection activeCell="M68" sqref="M68"/>
    </sheetView>
  </sheetViews>
  <sheetFormatPr defaultRowHeight="14.4" x14ac:dyDescent="0.3"/>
  <cols>
    <col min="1" max="1" width="20.6640625" bestFit="1" customWidth="1"/>
    <col min="2" max="2" width="11" bestFit="1" customWidth="1"/>
    <col min="3" max="3" width="11.33203125" bestFit="1" customWidth="1"/>
    <col min="9" max="9" width="11" bestFit="1" customWidth="1"/>
    <col min="10" max="10" width="14.5546875" bestFit="1" customWidth="1"/>
    <col min="12" max="12" width="13.5546875" customWidth="1"/>
    <col min="13" max="13" width="14.6640625" customWidth="1"/>
    <col min="16" max="16" width="10.5546875" bestFit="1" customWidth="1"/>
    <col min="17" max="17" width="14.5546875" bestFit="1" customWidth="1"/>
  </cols>
  <sheetData>
    <row r="1" spans="1:15" s="15" customFormat="1" x14ac:dyDescent="0.3">
      <c r="A1" s="148"/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5" x14ac:dyDescent="0.3">
      <c r="A2" s="143" t="s">
        <v>12</v>
      </c>
      <c r="B2" s="143"/>
      <c r="C2" s="143"/>
      <c r="D2" s="143"/>
      <c r="E2" s="143"/>
      <c r="F2" s="143"/>
      <c r="G2" s="143"/>
      <c r="H2" t="s">
        <v>27</v>
      </c>
      <c r="I2">
        <v>0.12889999999999999</v>
      </c>
      <c r="J2" t="s">
        <v>28</v>
      </c>
      <c r="K2">
        <v>0.1245</v>
      </c>
      <c r="L2" s="143" t="s">
        <v>31</v>
      </c>
      <c r="M2" s="143"/>
      <c r="N2" s="143" t="s">
        <v>39</v>
      </c>
      <c r="O2" s="143"/>
    </row>
    <row r="3" spans="1:15" x14ac:dyDescent="0.3">
      <c r="B3" t="s">
        <v>4</v>
      </c>
      <c r="C3" t="s">
        <v>5</v>
      </c>
      <c r="D3" t="s">
        <v>6</v>
      </c>
      <c r="E3" t="s">
        <v>7</v>
      </c>
      <c r="F3" t="s">
        <v>8</v>
      </c>
      <c r="G3" t="s">
        <v>9</v>
      </c>
      <c r="H3" t="s">
        <v>25</v>
      </c>
      <c r="I3" t="s">
        <v>26</v>
      </c>
      <c r="J3" t="s">
        <v>29</v>
      </c>
      <c r="K3" t="s">
        <v>30</v>
      </c>
      <c r="L3" t="s">
        <v>32</v>
      </c>
      <c r="M3" t="s">
        <v>33</v>
      </c>
    </row>
    <row r="4" spans="1:15" x14ac:dyDescent="0.3">
      <c r="A4" t="s">
        <v>0</v>
      </c>
      <c r="B4">
        <v>740</v>
      </c>
      <c r="C4">
        <v>860</v>
      </c>
      <c r="D4">
        <v>741</v>
      </c>
      <c r="E4">
        <v>861</v>
      </c>
      <c r="F4">
        <v>262</v>
      </c>
      <c r="G4">
        <f t="shared" ref="G4:G9" si="0">SQRT(F4)</f>
        <v>16.186414056238647</v>
      </c>
      <c r="H4">
        <v>796</v>
      </c>
      <c r="I4">
        <v>8.8000000000000007</v>
      </c>
      <c r="J4">
        <f t="shared" ref="J4:J9" si="1">H4-1/$I$2</f>
        <v>788.24204809930177</v>
      </c>
      <c r="L4">
        <f t="shared" ref="L4:L9" si="2">H4+6130.64+677.01</f>
        <v>7603.6500000000005</v>
      </c>
      <c r="M4">
        <f t="shared" ref="M4:M9" si="3">J4+6130.64+677.01</f>
        <v>7595.892048099302</v>
      </c>
      <c r="N4">
        <v>7585</v>
      </c>
      <c r="O4">
        <v>7631.8</v>
      </c>
    </row>
    <row r="5" spans="1:15" x14ac:dyDescent="0.3">
      <c r="A5" t="s">
        <v>1</v>
      </c>
      <c r="B5">
        <v>861</v>
      </c>
      <c r="C5">
        <v>950</v>
      </c>
      <c r="D5">
        <v>862</v>
      </c>
      <c r="E5">
        <v>951</v>
      </c>
      <c r="F5">
        <v>117</v>
      </c>
      <c r="G5">
        <f t="shared" si="0"/>
        <v>10.816653826391969</v>
      </c>
      <c r="H5">
        <v>906.6</v>
      </c>
      <c r="I5">
        <v>10.9</v>
      </c>
      <c r="J5">
        <f t="shared" si="1"/>
        <v>898.84204809930179</v>
      </c>
      <c r="L5">
        <f t="shared" si="2"/>
        <v>7714.2500000000009</v>
      </c>
      <c r="M5">
        <f t="shared" si="3"/>
        <v>7706.4920480993023</v>
      </c>
      <c r="N5">
        <v>7699</v>
      </c>
      <c r="O5">
        <v>7724</v>
      </c>
    </row>
    <row r="6" spans="1:15" x14ac:dyDescent="0.3">
      <c r="A6" t="s">
        <v>2</v>
      </c>
      <c r="B6">
        <v>951</v>
      </c>
      <c r="C6">
        <v>1100</v>
      </c>
      <c r="D6">
        <v>952</v>
      </c>
      <c r="E6">
        <v>1101</v>
      </c>
      <c r="F6">
        <v>1393</v>
      </c>
      <c r="G6">
        <f t="shared" si="0"/>
        <v>37.322915213043046</v>
      </c>
      <c r="H6">
        <v>1031</v>
      </c>
      <c r="I6">
        <v>5.3</v>
      </c>
      <c r="J6">
        <f t="shared" si="1"/>
        <v>1023.2420480993018</v>
      </c>
      <c r="L6">
        <f t="shared" si="2"/>
        <v>7838.6500000000005</v>
      </c>
      <c r="M6">
        <f t="shared" si="3"/>
        <v>7830.892048099302</v>
      </c>
      <c r="N6">
        <v>7824</v>
      </c>
      <c r="O6">
        <v>7859</v>
      </c>
    </row>
    <row r="7" spans="1:15" x14ac:dyDescent="0.3">
      <c r="A7" t="s">
        <v>3</v>
      </c>
      <c r="B7">
        <v>1150</v>
      </c>
      <c r="C7">
        <v>1300</v>
      </c>
      <c r="D7">
        <v>1151</v>
      </c>
      <c r="E7">
        <v>1301</v>
      </c>
      <c r="F7">
        <v>499</v>
      </c>
      <c r="G7">
        <f t="shared" si="0"/>
        <v>22.338307903688676</v>
      </c>
      <c r="H7">
        <v>1213</v>
      </c>
      <c r="I7">
        <v>1.9</v>
      </c>
      <c r="J7">
        <f t="shared" si="1"/>
        <v>1205.2420480993019</v>
      </c>
      <c r="L7">
        <f t="shared" si="2"/>
        <v>8020.6500000000005</v>
      </c>
      <c r="M7">
        <f t="shared" si="3"/>
        <v>8012.892048099302</v>
      </c>
      <c r="N7">
        <v>8015</v>
      </c>
      <c r="O7">
        <v>8022</v>
      </c>
    </row>
    <row r="8" spans="1:15" x14ac:dyDescent="0.3">
      <c r="A8" t="s">
        <v>10</v>
      </c>
      <c r="B8">
        <v>1500</v>
      </c>
      <c r="C8">
        <v>1700</v>
      </c>
      <c r="D8">
        <v>1501</v>
      </c>
      <c r="E8">
        <v>1701</v>
      </c>
      <c r="F8">
        <v>1765</v>
      </c>
      <c r="G8">
        <f t="shared" si="0"/>
        <v>42.01190307520001</v>
      </c>
      <c r="H8">
        <v>1600</v>
      </c>
      <c r="I8">
        <v>0.9</v>
      </c>
      <c r="J8">
        <f t="shared" si="1"/>
        <v>1592.2420480993019</v>
      </c>
      <c r="L8">
        <f t="shared" si="2"/>
        <v>8407.65</v>
      </c>
      <c r="M8">
        <f t="shared" si="3"/>
        <v>8399.892048099302</v>
      </c>
      <c r="N8">
        <v>8382</v>
      </c>
      <c r="O8">
        <v>8426</v>
      </c>
    </row>
    <row r="9" spans="1:15" x14ac:dyDescent="0.3">
      <c r="A9" t="s">
        <v>11</v>
      </c>
      <c r="B9">
        <v>2050</v>
      </c>
      <c r="C9">
        <v>2240</v>
      </c>
      <c r="D9">
        <v>2051</v>
      </c>
      <c r="E9">
        <v>2241</v>
      </c>
      <c r="F9">
        <v>220</v>
      </c>
      <c r="G9">
        <f t="shared" si="0"/>
        <v>14.832396974191326</v>
      </c>
      <c r="H9">
        <v>2128</v>
      </c>
      <c r="I9">
        <v>4.5</v>
      </c>
      <c r="J9">
        <f t="shared" si="1"/>
        <v>2120.2420480993019</v>
      </c>
      <c r="L9">
        <f t="shared" si="2"/>
        <v>8935.65</v>
      </c>
      <c r="M9">
        <f t="shared" si="3"/>
        <v>8927.892048099302</v>
      </c>
      <c r="N9">
        <v>8878</v>
      </c>
      <c r="O9">
        <v>8969</v>
      </c>
    </row>
    <row r="11" spans="1:15" x14ac:dyDescent="0.3">
      <c r="A11" s="143" t="s">
        <v>13</v>
      </c>
      <c r="B11" s="143"/>
      <c r="C11" s="143"/>
      <c r="D11" s="143"/>
      <c r="E11" s="143"/>
      <c r="F11" s="143"/>
      <c r="G11" s="143"/>
    </row>
    <row r="12" spans="1:15" x14ac:dyDescent="0.3">
      <c r="B12" t="s">
        <v>4</v>
      </c>
      <c r="C12" t="s">
        <v>5</v>
      </c>
      <c r="D12" t="s">
        <v>6</v>
      </c>
      <c r="E12" t="s">
        <v>7</v>
      </c>
      <c r="F12" t="s">
        <v>8</v>
      </c>
      <c r="G12" t="s">
        <v>9</v>
      </c>
      <c r="I12" t="s">
        <v>14</v>
      </c>
      <c r="J12" t="s">
        <v>15</v>
      </c>
    </row>
    <row r="13" spans="1:15" x14ac:dyDescent="0.3">
      <c r="A13" t="s">
        <v>0</v>
      </c>
      <c r="B13">
        <v>740</v>
      </c>
      <c r="C13">
        <v>860</v>
      </c>
      <c r="D13">
        <v>741</v>
      </c>
      <c r="E13">
        <v>861</v>
      </c>
      <c r="F13">
        <v>206</v>
      </c>
      <c r="G13">
        <f t="shared" ref="G13:G18" si="4">SQRT(F13)</f>
        <v>14.352700094407323</v>
      </c>
      <c r="I13">
        <f t="shared" ref="I13:I18" si="5">F4-F13</f>
        <v>56</v>
      </c>
      <c r="J13">
        <f t="shared" ref="J13:J18" si="6">SQRT(G4*G4+G13*G13)</f>
        <v>21.633307652783937</v>
      </c>
    </row>
    <row r="14" spans="1:15" x14ac:dyDescent="0.3">
      <c r="A14" t="s">
        <v>1</v>
      </c>
      <c r="B14">
        <v>861</v>
      </c>
      <c r="C14">
        <v>950</v>
      </c>
      <c r="D14">
        <v>862</v>
      </c>
      <c r="E14">
        <v>951</v>
      </c>
      <c r="F14">
        <v>88</v>
      </c>
      <c r="G14">
        <f t="shared" si="4"/>
        <v>9.3808315196468595</v>
      </c>
      <c r="I14">
        <f t="shared" si="5"/>
        <v>29</v>
      </c>
      <c r="J14">
        <f t="shared" si="6"/>
        <v>14.317821063276353</v>
      </c>
    </row>
    <row r="15" spans="1:15" x14ac:dyDescent="0.3">
      <c r="A15" t="s">
        <v>2</v>
      </c>
      <c r="B15">
        <v>951</v>
      </c>
      <c r="C15">
        <v>1100</v>
      </c>
      <c r="D15">
        <v>952</v>
      </c>
      <c r="E15">
        <v>1101</v>
      </c>
      <c r="F15">
        <v>1087</v>
      </c>
      <c r="G15">
        <f t="shared" si="4"/>
        <v>32.969683043669072</v>
      </c>
      <c r="I15">
        <f t="shared" si="5"/>
        <v>306</v>
      </c>
      <c r="J15">
        <f t="shared" si="6"/>
        <v>49.79959839195493</v>
      </c>
    </row>
    <row r="16" spans="1:15" x14ac:dyDescent="0.3">
      <c r="A16" t="s">
        <v>3</v>
      </c>
      <c r="B16">
        <v>1150</v>
      </c>
      <c r="C16">
        <v>1300</v>
      </c>
      <c r="D16">
        <v>1151</v>
      </c>
      <c r="E16">
        <v>1301</v>
      </c>
      <c r="F16">
        <v>113</v>
      </c>
      <c r="G16">
        <f t="shared" si="4"/>
        <v>10.63014581273465</v>
      </c>
      <c r="I16">
        <f t="shared" si="5"/>
        <v>386</v>
      </c>
      <c r="J16">
        <f t="shared" si="6"/>
        <v>24.738633753705962</v>
      </c>
    </row>
    <row r="17" spans="1:14" x14ac:dyDescent="0.3">
      <c r="A17" t="s">
        <v>10</v>
      </c>
      <c r="B17">
        <v>1500</v>
      </c>
      <c r="C17">
        <v>1700</v>
      </c>
      <c r="D17">
        <v>1501</v>
      </c>
      <c r="E17">
        <v>1701</v>
      </c>
      <c r="F17">
        <v>84</v>
      </c>
      <c r="G17">
        <f t="shared" si="4"/>
        <v>9.1651513899116797</v>
      </c>
      <c r="I17">
        <f t="shared" si="5"/>
        <v>1681</v>
      </c>
      <c r="J17">
        <f t="shared" si="6"/>
        <v>43</v>
      </c>
    </row>
    <row r="18" spans="1:14" x14ac:dyDescent="0.3">
      <c r="A18" t="s">
        <v>11</v>
      </c>
      <c r="B18">
        <v>2050</v>
      </c>
      <c r="C18">
        <v>2240</v>
      </c>
      <c r="D18">
        <v>2051</v>
      </c>
      <c r="E18">
        <v>2241</v>
      </c>
      <c r="F18">
        <v>4</v>
      </c>
      <c r="G18">
        <f t="shared" si="4"/>
        <v>2</v>
      </c>
      <c r="I18">
        <f t="shared" si="5"/>
        <v>216</v>
      </c>
      <c r="J18">
        <f t="shared" si="6"/>
        <v>14.966629547095765</v>
      </c>
    </row>
    <row r="20" spans="1:14" x14ac:dyDescent="0.3">
      <c r="A20" t="s">
        <v>16</v>
      </c>
    </row>
    <row r="21" spans="1:14" x14ac:dyDescent="0.3">
      <c r="A21" s="143" t="s">
        <v>17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</row>
    <row r="22" spans="1:14" ht="15" thickBot="1" x14ac:dyDescent="0.35"/>
    <row r="23" spans="1:14" x14ac:dyDescent="0.3">
      <c r="A23" s="2" t="s">
        <v>48</v>
      </c>
      <c r="B23" s="3" t="s">
        <v>4</v>
      </c>
      <c r="C23" s="3" t="s">
        <v>5</v>
      </c>
      <c r="D23" s="3" t="s">
        <v>6</v>
      </c>
      <c r="E23" s="3" t="s">
        <v>7</v>
      </c>
      <c r="F23" s="3" t="s">
        <v>19</v>
      </c>
      <c r="G23" s="3" t="s">
        <v>9</v>
      </c>
      <c r="H23" s="142" t="s">
        <v>18</v>
      </c>
      <c r="I23" s="149"/>
    </row>
    <row r="24" spans="1:14" x14ac:dyDescent="0.3">
      <c r="A24" s="6" t="s">
        <v>47</v>
      </c>
      <c r="B24">
        <v>673</v>
      </c>
      <c r="C24">
        <v>681</v>
      </c>
      <c r="D24">
        <v>674</v>
      </c>
      <c r="E24">
        <v>682</v>
      </c>
      <c r="F24">
        <v>78806</v>
      </c>
      <c r="G24">
        <f>SQRT(F24)</f>
        <v>280.72406380643611</v>
      </c>
      <c r="H24" s="144">
        <f>F24/F25</f>
        <v>1.0081361135985671</v>
      </c>
      <c r="I24" s="140">
        <f>H24*SQRT(G24*G24/F24/F24+G25*G25/F25/F25)</f>
        <v>5.0890428001717745E-3</v>
      </c>
    </row>
    <row r="25" spans="1:14" ht="15" thickBot="1" x14ac:dyDescent="0.35">
      <c r="A25" s="7" t="s">
        <v>41</v>
      </c>
      <c r="B25" s="8">
        <v>750</v>
      </c>
      <c r="C25" s="8">
        <v>763</v>
      </c>
      <c r="D25" s="8">
        <v>751</v>
      </c>
      <c r="E25" s="8">
        <v>764</v>
      </c>
      <c r="F25" s="8">
        <v>78170</v>
      </c>
      <c r="G25" s="8">
        <f>SQRT(F25)</f>
        <v>279.58898404622454</v>
      </c>
      <c r="H25" s="146"/>
      <c r="I25" s="141"/>
    </row>
    <row r="26" spans="1:14" x14ac:dyDescent="0.3">
      <c r="A26" s="142" t="s">
        <v>53</v>
      </c>
      <c r="B26" s="142"/>
      <c r="C26" s="142"/>
      <c r="D26" s="142"/>
      <c r="E26" s="142"/>
      <c r="F26" s="142"/>
    </row>
    <row r="27" spans="1:14" x14ac:dyDescent="0.3">
      <c r="A27" t="s">
        <v>23</v>
      </c>
      <c r="B27">
        <v>1393</v>
      </c>
      <c r="C27">
        <f>SQRT(B27)</f>
        <v>37.322915213043046</v>
      </c>
      <c r="D27" s="144">
        <f>B27/B28</f>
        <v>1.2815087396504139</v>
      </c>
      <c r="E27" s="144">
        <f>D27*SQRT(C27*C27/B27/B27+C28*C28/B28/B28)</f>
        <v>5.1862934044822728E-2</v>
      </c>
    </row>
    <row r="28" spans="1:14" x14ac:dyDescent="0.3">
      <c r="A28" t="s">
        <v>22</v>
      </c>
      <c r="B28">
        <v>1087</v>
      </c>
      <c r="C28">
        <f>SQRT(B28)</f>
        <v>32.969683043669072</v>
      </c>
      <c r="D28" s="144"/>
      <c r="E28" s="144"/>
    </row>
    <row r="30" spans="1:14" x14ac:dyDescent="0.3">
      <c r="A30" s="143" t="s">
        <v>24</v>
      </c>
      <c r="B30" s="143"/>
      <c r="C30" s="143"/>
      <c r="D30" s="143"/>
      <c r="E30" s="143"/>
      <c r="F30" s="143"/>
      <c r="G30" s="143"/>
    </row>
    <row r="31" spans="1:14" x14ac:dyDescent="0.3">
      <c r="B31" t="s">
        <v>4</v>
      </c>
      <c r="C31" t="s">
        <v>5</v>
      </c>
      <c r="D31" t="s">
        <v>6</v>
      </c>
      <c r="E31" t="s">
        <v>7</v>
      </c>
      <c r="F31" t="s">
        <v>8</v>
      </c>
      <c r="G31" t="s">
        <v>9</v>
      </c>
    </row>
    <row r="32" spans="1:14" x14ac:dyDescent="0.3">
      <c r="A32" t="s">
        <v>0</v>
      </c>
      <c r="B32">
        <v>740</v>
      </c>
      <c r="C32">
        <v>860</v>
      </c>
      <c r="D32">
        <v>741</v>
      </c>
      <c r="E32">
        <v>861</v>
      </c>
      <c r="F32">
        <v>53.94</v>
      </c>
      <c r="G32">
        <f t="shared" ref="G32:G37" si="7">SQRT(F32)</f>
        <v>7.3443856107914156</v>
      </c>
      <c r="H32">
        <f t="shared" ref="H32:H37" si="8">F32*5</f>
        <v>269.7</v>
      </c>
    </row>
    <row r="33" spans="1:15" x14ac:dyDescent="0.3">
      <c r="A33" t="s">
        <v>1</v>
      </c>
      <c r="B33">
        <v>861</v>
      </c>
      <c r="C33">
        <v>950</v>
      </c>
      <c r="D33">
        <v>862</v>
      </c>
      <c r="E33">
        <v>951</v>
      </c>
      <c r="F33">
        <v>28.12</v>
      </c>
      <c r="G33">
        <f t="shared" si="7"/>
        <v>5.3028294334251411</v>
      </c>
      <c r="H33">
        <f t="shared" si="8"/>
        <v>140.6</v>
      </c>
    </row>
    <row r="34" spans="1:15" x14ac:dyDescent="0.3">
      <c r="A34" t="s">
        <v>2</v>
      </c>
      <c r="B34">
        <v>951</v>
      </c>
      <c r="C34">
        <v>1100</v>
      </c>
      <c r="D34">
        <v>952</v>
      </c>
      <c r="E34">
        <v>1101</v>
      </c>
      <c r="F34">
        <v>295.13</v>
      </c>
      <c r="G34">
        <f t="shared" si="7"/>
        <v>17.17934806679229</v>
      </c>
      <c r="H34">
        <f t="shared" si="8"/>
        <v>1475.65</v>
      </c>
    </row>
    <row r="35" spans="1:15" x14ac:dyDescent="0.3">
      <c r="A35" t="s">
        <v>3</v>
      </c>
      <c r="B35">
        <v>1150</v>
      </c>
      <c r="C35">
        <v>1300</v>
      </c>
      <c r="D35">
        <v>1151</v>
      </c>
      <c r="E35">
        <v>1301</v>
      </c>
      <c r="F35">
        <v>384.87</v>
      </c>
      <c r="G35">
        <f t="shared" si="7"/>
        <v>19.618103883912941</v>
      </c>
      <c r="H35">
        <f t="shared" si="8"/>
        <v>1924.35</v>
      </c>
    </row>
    <row r="36" spans="1:15" x14ac:dyDescent="0.3">
      <c r="A36" t="s">
        <v>10</v>
      </c>
      <c r="B36">
        <v>1500</v>
      </c>
      <c r="C36">
        <v>1700</v>
      </c>
      <c r="D36">
        <v>1501</v>
      </c>
      <c r="E36">
        <v>1701</v>
      </c>
      <c r="F36">
        <v>1680.16</v>
      </c>
      <c r="G36">
        <f t="shared" si="7"/>
        <v>40.98975481751507</v>
      </c>
      <c r="H36">
        <f t="shared" si="8"/>
        <v>8400.8000000000011</v>
      </c>
    </row>
    <row r="37" spans="1:15" x14ac:dyDescent="0.3">
      <c r="A37" t="s">
        <v>11</v>
      </c>
      <c r="B37">
        <v>2050</v>
      </c>
      <c r="C37">
        <v>2240</v>
      </c>
      <c r="D37">
        <v>2051</v>
      </c>
      <c r="E37">
        <v>2241</v>
      </c>
      <c r="F37">
        <v>215.96</v>
      </c>
      <c r="G37">
        <f t="shared" si="7"/>
        <v>14.695577566057075</v>
      </c>
      <c r="H37">
        <f t="shared" si="8"/>
        <v>1079.8</v>
      </c>
    </row>
    <row r="39" spans="1:15" s="15" customFormat="1" x14ac:dyDescent="0.3"/>
    <row r="40" spans="1:15" x14ac:dyDescent="0.3">
      <c r="A40" s="143" t="s">
        <v>12</v>
      </c>
      <c r="B40" s="143"/>
      <c r="C40" s="143"/>
      <c r="D40" s="143"/>
      <c r="E40" s="143"/>
      <c r="F40" s="143"/>
      <c r="G40" s="143"/>
      <c r="L40" s="143"/>
      <c r="M40" s="143"/>
      <c r="N40" s="143"/>
      <c r="O40" s="143"/>
    </row>
    <row r="41" spans="1:15" x14ac:dyDescent="0.3">
      <c r="B41" t="s">
        <v>4</v>
      </c>
      <c r="C41" t="s">
        <v>5</v>
      </c>
      <c r="D41" t="s">
        <v>6</v>
      </c>
      <c r="E41" t="s">
        <v>7</v>
      </c>
      <c r="F41" t="s">
        <v>8</v>
      </c>
      <c r="G41" t="s">
        <v>9</v>
      </c>
    </row>
    <row r="42" spans="1:15" x14ac:dyDescent="0.3">
      <c r="A42" t="s">
        <v>0</v>
      </c>
      <c r="B42">
        <v>740</v>
      </c>
      <c r="C42">
        <v>860</v>
      </c>
      <c r="D42">
        <v>741</v>
      </c>
      <c r="E42">
        <v>861</v>
      </c>
      <c r="F42">
        <v>262</v>
      </c>
      <c r="G42">
        <f t="shared" ref="G42:G47" si="9">SQRT(F42)</f>
        <v>16.186414056238647</v>
      </c>
    </row>
    <row r="43" spans="1:15" x14ac:dyDescent="0.3">
      <c r="A43" t="s">
        <v>1</v>
      </c>
      <c r="B43">
        <v>861</v>
      </c>
      <c r="C43">
        <v>950</v>
      </c>
      <c r="D43">
        <v>862</v>
      </c>
      <c r="E43">
        <v>951</v>
      </c>
      <c r="F43">
        <v>117</v>
      </c>
      <c r="G43">
        <f t="shared" si="9"/>
        <v>10.816653826391969</v>
      </c>
    </row>
    <row r="44" spans="1:15" x14ac:dyDescent="0.3">
      <c r="A44" t="s">
        <v>2</v>
      </c>
      <c r="B44">
        <v>951</v>
      </c>
      <c r="C44">
        <v>1100</v>
      </c>
      <c r="D44">
        <v>952</v>
      </c>
      <c r="E44">
        <v>1101</v>
      </c>
      <c r="F44">
        <v>1393</v>
      </c>
      <c r="G44">
        <f t="shared" si="9"/>
        <v>37.322915213043046</v>
      </c>
    </row>
    <row r="45" spans="1:15" x14ac:dyDescent="0.3">
      <c r="A45" t="s">
        <v>3</v>
      </c>
      <c r="B45">
        <v>1150</v>
      </c>
      <c r="C45">
        <v>1300</v>
      </c>
      <c r="D45">
        <v>1151</v>
      </c>
      <c r="E45">
        <v>1301</v>
      </c>
      <c r="F45">
        <v>499</v>
      </c>
      <c r="G45">
        <f t="shared" si="9"/>
        <v>22.338307903688676</v>
      </c>
    </row>
    <row r="46" spans="1:15" x14ac:dyDescent="0.3">
      <c r="A46" t="s">
        <v>10</v>
      </c>
      <c r="B46">
        <v>1500</v>
      </c>
      <c r="C46">
        <v>1700</v>
      </c>
      <c r="D46">
        <v>1501</v>
      </c>
      <c r="E46">
        <v>1701</v>
      </c>
      <c r="F46">
        <v>1765</v>
      </c>
      <c r="G46">
        <f t="shared" si="9"/>
        <v>42.01190307520001</v>
      </c>
    </row>
    <row r="47" spans="1:15" x14ac:dyDescent="0.3">
      <c r="A47" t="s">
        <v>11</v>
      </c>
      <c r="B47">
        <v>2050</v>
      </c>
      <c r="C47">
        <v>2240</v>
      </c>
      <c r="D47">
        <v>2051</v>
      </c>
      <c r="E47">
        <v>2241</v>
      </c>
      <c r="F47">
        <v>220</v>
      </c>
      <c r="G47">
        <f t="shared" si="9"/>
        <v>14.832396974191326</v>
      </c>
    </row>
    <row r="49" spans="1:15" x14ac:dyDescent="0.3">
      <c r="A49" s="143" t="s">
        <v>40</v>
      </c>
      <c r="B49" s="143"/>
      <c r="C49" s="143"/>
      <c r="D49" s="143"/>
      <c r="E49" s="143"/>
      <c r="F49" s="143"/>
      <c r="G49" s="143"/>
      <c r="J49" t="s">
        <v>27</v>
      </c>
      <c r="K49">
        <v>0.51929999999999998</v>
      </c>
      <c r="L49" s="143" t="s">
        <v>31</v>
      </c>
      <c r="M49" s="143"/>
      <c r="N49" s="143" t="s">
        <v>44</v>
      </c>
      <c r="O49" s="143"/>
    </row>
    <row r="50" spans="1:15" x14ac:dyDescent="0.3">
      <c r="B50" t="s">
        <v>4</v>
      </c>
      <c r="C50" t="s">
        <v>5</v>
      </c>
      <c r="D50" t="s">
        <v>6</v>
      </c>
      <c r="E50" t="s">
        <v>7</v>
      </c>
      <c r="F50" t="s">
        <v>8</v>
      </c>
      <c r="G50" t="s">
        <v>9</v>
      </c>
      <c r="I50" t="s">
        <v>42</v>
      </c>
      <c r="J50" t="s">
        <v>25</v>
      </c>
      <c r="K50" t="s">
        <v>29</v>
      </c>
      <c r="L50" t="s">
        <v>43</v>
      </c>
      <c r="M50" t="s">
        <v>33</v>
      </c>
    </row>
    <row r="51" spans="1:15" x14ac:dyDescent="0.3">
      <c r="A51" t="s">
        <v>41</v>
      </c>
      <c r="B51">
        <v>740</v>
      </c>
      <c r="C51">
        <v>860</v>
      </c>
      <c r="D51">
        <v>149</v>
      </c>
      <c r="E51">
        <v>173</v>
      </c>
      <c r="F51">
        <v>-6.8766572999999998</v>
      </c>
      <c r="G51">
        <f>SQRT(ABS(F51))</f>
        <v>2.6223381360915301</v>
      </c>
    </row>
    <row r="52" spans="1:15" x14ac:dyDescent="0.3">
      <c r="A52" t="s">
        <v>41</v>
      </c>
      <c r="B52">
        <v>861</v>
      </c>
      <c r="C52">
        <v>950</v>
      </c>
      <c r="D52">
        <v>173</v>
      </c>
      <c r="E52">
        <v>191</v>
      </c>
      <c r="F52">
        <v>1.4708718000000001</v>
      </c>
      <c r="G52">
        <f t="shared" ref="G52:G57" si="10">SQRT(ABS(F52))</f>
        <v>1.2127950362695257</v>
      </c>
    </row>
    <row r="53" spans="1:15" x14ac:dyDescent="0.3">
      <c r="A53" t="s">
        <v>41</v>
      </c>
      <c r="B53">
        <v>951</v>
      </c>
      <c r="C53">
        <v>1100</v>
      </c>
      <c r="D53">
        <v>191</v>
      </c>
      <c r="E53">
        <v>221</v>
      </c>
      <c r="F53">
        <v>0.96303735999999995</v>
      </c>
      <c r="G53">
        <f t="shared" si="10"/>
        <v>0.98134466931858344</v>
      </c>
    </row>
    <row r="54" spans="1:15" x14ac:dyDescent="0.3">
      <c r="A54" t="s">
        <v>0</v>
      </c>
      <c r="B54">
        <v>1060</v>
      </c>
      <c r="C54">
        <v>1130</v>
      </c>
      <c r="D54">
        <v>213</v>
      </c>
      <c r="E54">
        <v>227</v>
      </c>
      <c r="F54">
        <v>45.323020999999997</v>
      </c>
      <c r="G54">
        <f t="shared" si="10"/>
        <v>6.7322374438220756</v>
      </c>
      <c r="I54">
        <f>F54*5</f>
        <v>226.61510499999997</v>
      </c>
    </row>
    <row r="55" spans="1:15" x14ac:dyDescent="0.3">
      <c r="A55" t="s">
        <v>1</v>
      </c>
      <c r="B55">
        <v>1150</v>
      </c>
      <c r="C55">
        <v>1300</v>
      </c>
      <c r="D55">
        <v>231</v>
      </c>
      <c r="E55">
        <v>261</v>
      </c>
      <c r="F55">
        <v>286.20891999999998</v>
      </c>
      <c r="G55">
        <f t="shared" si="10"/>
        <v>16.917710246957181</v>
      </c>
      <c r="I55">
        <f>F55*5</f>
        <v>1431.0445999999999</v>
      </c>
      <c r="J55">
        <v>1211</v>
      </c>
      <c r="K55" t="e">
        <f>J55-1/$K$10</f>
        <v>#DIV/0!</v>
      </c>
      <c r="L55">
        <f t="shared" ref="L55:M57" si="11">J55+6130.64+677.01</f>
        <v>8018.6500000000005</v>
      </c>
      <c r="M55" t="e">
        <f t="shared" si="11"/>
        <v>#DIV/0!</v>
      </c>
      <c r="N55">
        <v>8015</v>
      </c>
      <c r="O55">
        <v>8022</v>
      </c>
    </row>
    <row r="56" spans="1:15" x14ac:dyDescent="0.3">
      <c r="A56" t="s">
        <v>2</v>
      </c>
      <c r="B56">
        <v>1500</v>
      </c>
      <c r="C56">
        <v>1700</v>
      </c>
      <c r="D56">
        <v>301</v>
      </c>
      <c r="E56">
        <v>341</v>
      </c>
      <c r="F56">
        <v>1638.039</v>
      </c>
      <c r="G56">
        <f t="shared" si="10"/>
        <v>40.47269449888406</v>
      </c>
      <c r="I56">
        <f>F56*5</f>
        <v>8190.1949999999997</v>
      </c>
      <c r="J56">
        <v>1598</v>
      </c>
      <c r="K56" t="e">
        <f>J56-1/$K$10</f>
        <v>#DIV/0!</v>
      </c>
      <c r="L56">
        <f t="shared" si="11"/>
        <v>8405.65</v>
      </c>
      <c r="M56" t="e">
        <f t="shared" si="11"/>
        <v>#DIV/0!</v>
      </c>
      <c r="N56">
        <v>8382</v>
      </c>
      <c r="O56">
        <v>8426</v>
      </c>
    </row>
    <row r="57" spans="1:15" x14ac:dyDescent="0.3">
      <c r="A57" t="s">
        <v>3</v>
      </c>
      <c r="B57">
        <v>2050</v>
      </c>
      <c r="C57">
        <v>2240</v>
      </c>
      <c r="D57">
        <v>2051</v>
      </c>
      <c r="E57">
        <v>2241</v>
      </c>
      <c r="F57">
        <v>210.92607000000001</v>
      </c>
      <c r="G57">
        <f t="shared" si="10"/>
        <v>14.523294047839148</v>
      </c>
      <c r="I57">
        <f>F57*5</f>
        <v>1054.6303500000001</v>
      </c>
      <c r="J57">
        <v>2126</v>
      </c>
      <c r="K57" t="e">
        <f>J57-1/$K$10</f>
        <v>#DIV/0!</v>
      </c>
      <c r="L57">
        <f t="shared" si="11"/>
        <v>8933.65</v>
      </c>
      <c r="M57" t="e">
        <f t="shared" si="11"/>
        <v>#DIV/0!</v>
      </c>
      <c r="N57">
        <v>8878</v>
      </c>
      <c r="O57">
        <v>8969</v>
      </c>
    </row>
    <row r="60" spans="1:15" x14ac:dyDescent="0.3">
      <c r="A60" t="s">
        <v>48</v>
      </c>
      <c r="B60" t="s">
        <v>4</v>
      </c>
      <c r="C60" t="s">
        <v>5</v>
      </c>
      <c r="D60" t="s">
        <v>6</v>
      </c>
      <c r="E60" t="s">
        <v>7</v>
      </c>
      <c r="F60" t="s">
        <v>19</v>
      </c>
      <c r="G60" t="s">
        <v>9</v>
      </c>
      <c r="H60" t="s">
        <v>18</v>
      </c>
    </row>
    <row r="61" spans="1:15" x14ac:dyDescent="0.3">
      <c r="A61" t="s">
        <v>51</v>
      </c>
      <c r="B61">
        <v>673</v>
      </c>
      <c r="C61">
        <v>681</v>
      </c>
      <c r="D61">
        <v>674</v>
      </c>
      <c r="E61">
        <v>682</v>
      </c>
      <c r="F61">
        <v>78806</v>
      </c>
      <c r="G61">
        <f>SQRT(F61)</f>
        <v>280.72406380643611</v>
      </c>
      <c r="H61" s="144">
        <f>F61/F62</f>
        <v>0.43210729481949378</v>
      </c>
      <c r="I61" s="144">
        <f>H61*SQRT(G61*G61/F61/F61+G62*G62/F62/F62)</f>
        <v>1.8420428745441141E-3</v>
      </c>
    </row>
    <row r="62" spans="1:15" x14ac:dyDescent="0.3">
      <c r="A62" t="s">
        <v>50</v>
      </c>
      <c r="B62">
        <v>730</v>
      </c>
      <c r="C62">
        <v>761</v>
      </c>
      <c r="D62">
        <v>731</v>
      </c>
      <c r="E62">
        <v>762</v>
      </c>
      <c r="F62">
        <v>182376</v>
      </c>
      <c r="G62">
        <f>SQRT(F62)</f>
        <v>427.05503158258188</v>
      </c>
      <c r="H62" s="144"/>
      <c r="I62" s="144"/>
    </row>
    <row r="63" spans="1:15" ht="15" thickBot="1" x14ac:dyDescent="0.35">
      <c r="H63" s="1"/>
      <c r="I63" s="1"/>
    </row>
    <row r="64" spans="1:15" x14ac:dyDescent="0.3">
      <c r="A64" s="2" t="s">
        <v>49</v>
      </c>
      <c r="B64" s="145">
        <v>950</v>
      </c>
      <c r="C64" s="145">
        <v>1100</v>
      </c>
      <c r="D64" s="145">
        <v>951</v>
      </c>
      <c r="E64" s="145">
        <v>1101</v>
      </c>
      <c r="F64" s="3">
        <v>1394</v>
      </c>
      <c r="G64" s="3">
        <f>SQRT(F64)</f>
        <v>37.336309405188942</v>
      </c>
      <c r="H64" s="145">
        <f>F64/F65</f>
        <v>0.55983935742971891</v>
      </c>
      <c r="I64" s="147">
        <f>H64*SQRT(G64*G64/F64/F64+G65*G65/F65/F65)</f>
        <v>1.8727162408392173E-2</v>
      </c>
    </row>
    <row r="65" spans="1:9" ht="15" thickBot="1" x14ac:dyDescent="0.35">
      <c r="A65" s="7" t="s">
        <v>52</v>
      </c>
      <c r="B65" s="146"/>
      <c r="C65" s="146"/>
      <c r="D65" s="146"/>
      <c r="E65" s="146"/>
      <c r="F65" s="8">
        <v>2490</v>
      </c>
      <c r="G65" s="8">
        <f>SQRT(F65)</f>
        <v>49.899899799498598</v>
      </c>
      <c r="H65" s="146"/>
      <c r="I65" s="141"/>
    </row>
    <row r="67" spans="1:9" x14ac:dyDescent="0.3">
      <c r="A67" s="143" t="s">
        <v>54</v>
      </c>
      <c r="B67" s="143"/>
      <c r="C67" s="143"/>
      <c r="D67" s="143"/>
      <c r="E67" s="143"/>
      <c r="F67" s="143"/>
      <c r="G67" s="143"/>
    </row>
    <row r="79" spans="1:9" s="15" customFormat="1" x14ac:dyDescent="0.3"/>
    <row r="80" spans="1:9" x14ac:dyDescent="0.3">
      <c r="A80" t="s">
        <v>12</v>
      </c>
    </row>
    <row r="81" spans="1:15" x14ac:dyDescent="0.3">
      <c r="B81" t="s">
        <v>4</v>
      </c>
      <c r="C81" t="s">
        <v>5</v>
      </c>
      <c r="D81" t="s">
        <v>6</v>
      </c>
      <c r="E81" t="s">
        <v>7</v>
      </c>
      <c r="F81" t="s">
        <v>8</v>
      </c>
      <c r="G81" t="s">
        <v>9</v>
      </c>
    </row>
    <row r="82" spans="1:15" x14ac:dyDescent="0.3">
      <c r="A82" t="s">
        <v>0</v>
      </c>
      <c r="B82">
        <v>740</v>
      </c>
      <c r="C82">
        <v>860</v>
      </c>
      <c r="D82">
        <v>741</v>
      </c>
      <c r="E82">
        <v>861</v>
      </c>
      <c r="F82">
        <v>262</v>
      </c>
      <c r="G82">
        <v>16.186414056238647</v>
      </c>
    </row>
    <row r="83" spans="1:15" x14ac:dyDescent="0.3">
      <c r="A83" t="s">
        <v>1</v>
      </c>
      <c r="B83">
        <v>861</v>
      </c>
      <c r="C83">
        <v>950</v>
      </c>
      <c r="D83">
        <v>862</v>
      </c>
      <c r="E83">
        <v>951</v>
      </c>
      <c r="F83">
        <v>117</v>
      </c>
      <c r="G83">
        <v>10.816653826391969</v>
      </c>
    </row>
    <row r="84" spans="1:15" x14ac:dyDescent="0.3">
      <c r="A84" t="s">
        <v>2</v>
      </c>
      <c r="B84">
        <v>951</v>
      </c>
      <c r="C84">
        <v>1100</v>
      </c>
      <c r="D84">
        <v>952</v>
      </c>
      <c r="E84">
        <v>1101</v>
      </c>
      <c r="F84">
        <v>1393</v>
      </c>
      <c r="G84">
        <v>37.322915213043046</v>
      </c>
    </row>
    <row r="85" spans="1:15" x14ac:dyDescent="0.3">
      <c r="A85" t="s">
        <v>3</v>
      </c>
      <c r="B85">
        <v>1150</v>
      </c>
      <c r="C85">
        <v>1300</v>
      </c>
      <c r="D85">
        <v>1151</v>
      </c>
      <c r="E85">
        <v>1301</v>
      </c>
      <c r="F85">
        <v>499</v>
      </c>
      <c r="G85">
        <v>22.338307903688676</v>
      </c>
    </row>
    <row r="86" spans="1:15" x14ac:dyDescent="0.3">
      <c r="A86" t="s">
        <v>10</v>
      </c>
      <c r="B86">
        <v>1500</v>
      </c>
      <c r="C86">
        <v>1700</v>
      </c>
      <c r="D86">
        <v>1501</v>
      </c>
      <c r="E86">
        <v>1701</v>
      </c>
      <c r="F86">
        <v>1765</v>
      </c>
      <c r="G86">
        <v>42.01190307520001</v>
      </c>
    </row>
    <row r="87" spans="1:15" x14ac:dyDescent="0.3">
      <c r="A87" t="s">
        <v>11</v>
      </c>
      <c r="B87">
        <v>2050</v>
      </c>
      <c r="C87">
        <v>2240</v>
      </c>
      <c r="D87">
        <v>2051</v>
      </c>
      <c r="E87">
        <v>2241</v>
      </c>
      <c r="F87">
        <v>220</v>
      </c>
      <c r="G87">
        <v>14.832396974191326</v>
      </c>
    </row>
    <row r="89" spans="1:15" x14ac:dyDescent="0.3">
      <c r="A89" t="s">
        <v>40</v>
      </c>
      <c r="J89" t="s">
        <v>27</v>
      </c>
      <c r="K89">
        <v>0.51910000000000001</v>
      </c>
      <c r="L89" t="s">
        <v>31</v>
      </c>
      <c r="N89" t="s">
        <v>44</v>
      </c>
    </row>
    <row r="90" spans="1:15" x14ac:dyDescent="0.3">
      <c r="B90" t="s">
        <v>4</v>
      </c>
      <c r="C90" t="s">
        <v>5</v>
      </c>
      <c r="D90" t="s">
        <v>6</v>
      </c>
      <c r="E90" t="s">
        <v>7</v>
      </c>
      <c r="F90" t="s">
        <v>8</v>
      </c>
      <c r="G90" t="s">
        <v>9</v>
      </c>
      <c r="I90" t="s">
        <v>42</v>
      </c>
      <c r="J90" t="s">
        <v>25</v>
      </c>
      <c r="K90" t="s">
        <v>29</v>
      </c>
      <c r="L90" t="s">
        <v>43</v>
      </c>
      <c r="M90" t="s">
        <v>33</v>
      </c>
    </row>
    <row r="91" spans="1:15" x14ac:dyDescent="0.3">
      <c r="A91" t="s">
        <v>41</v>
      </c>
      <c r="B91">
        <v>740</v>
      </c>
      <c r="C91">
        <v>860</v>
      </c>
      <c r="D91">
        <v>149</v>
      </c>
      <c r="E91">
        <v>173</v>
      </c>
      <c r="F91">
        <v>-1.3733804000000001</v>
      </c>
      <c r="G91">
        <v>1.1719131367127855</v>
      </c>
    </row>
    <row r="92" spans="1:15" x14ac:dyDescent="0.3">
      <c r="A92" t="s">
        <v>41</v>
      </c>
      <c r="B92">
        <v>861</v>
      </c>
      <c r="C92">
        <v>950</v>
      </c>
      <c r="D92">
        <v>173</v>
      </c>
      <c r="E92">
        <v>191</v>
      </c>
      <c r="F92">
        <v>3.8586572000000001</v>
      </c>
      <c r="G92">
        <v>1.9643465071112072</v>
      </c>
    </row>
    <row r="93" spans="1:15" x14ac:dyDescent="0.3">
      <c r="A93" t="s">
        <v>41</v>
      </c>
      <c r="B93">
        <v>951</v>
      </c>
      <c r="C93">
        <v>1100</v>
      </c>
      <c r="D93">
        <v>191</v>
      </c>
      <c r="E93">
        <v>221</v>
      </c>
      <c r="F93">
        <v>29.366313000000002</v>
      </c>
      <c r="G93">
        <v>5.4190693850512748</v>
      </c>
    </row>
    <row r="94" spans="1:15" x14ac:dyDescent="0.3">
      <c r="A94" t="s">
        <v>0</v>
      </c>
      <c r="B94">
        <v>1060</v>
      </c>
      <c r="C94">
        <v>1130</v>
      </c>
      <c r="D94">
        <v>213</v>
      </c>
      <c r="E94">
        <v>227</v>
      </c>
      <c r="F94">
        <v>48.120140999999997</v>
      </c>
      <c r="G94">
        <v>6.9368682415049516</v>
      </c>
      <c r="I94">
        <v>240.60070499999998</v>
      </c>
    </row>
    <row r="95" spans="1:15" x14ac:dyDescent="0.3">
      <c r="A95" t="s">
        <v>1</v>
      </c>
      <c r="B95">
        <v>1150</v>
      </c>
      <c r="C95">
        <v>1300</v>
      </c>
      <c r="D95">
        <v>231</v>
      </c>
      <c r="E95">
        <v>261</v>
      </c>
      <c r="F95">
        <v>290.55241000000001</v>
      </c>
      <c r="G95">
        <v>17.04559796545724</v>
      </c>
      <c r="I95">
        <v>1452.76205</v>
      </c>
      <c r="J95">
        <v>1210</v>
      </c>
      <c r="K95">
        <v>1208.0735889038722</v>
      </c>
      <c r="L95">
        <v>8017.6500000000005</v>
      </c>
      <c r="M95">
        <v>8015.723588903873</v>
      </c>
      <c r="N95">
        <v>8015</v>
      </c>
      <c r="O95">
        <v>8022</v>
      </c>
    </row>
    <row r="96" spans="1:15" x14ac:dyDescent="0.3">
      <c r="A96" t="s">
        <v>2</v>
      </c>
      <c r="B96">
        <v>1500</v>
      </c>
      <c r="C96">
        <v>1700</v>
      </c>
      <c r="D96">
        <v>301</v>
      </c>
      <c r="E96">
        <v>341</v>
      </c>
      <c r="F96">
        <v>1640.6995999999999</v>
      </c>
      <c r="G96">
        <v>40.505550236973697</v>
      </c>
      <c r="I96">
        <v>8203.4979999999996</v>
      </c>
      <c r="J96">
        <v>1598</v>
      </c>
      <c r="K96">
        <v>1596.0735889038722</v>
      </c>
      <c r="L96">
        <v>8405.65</v>
      </c>
      <c r="M96">
        <v>8403.723588903873</v>
      </c>
      <c r="N96">
        <v>8382</v>
      </c>
      <c r="O96">
        <v>8426</v>
      </c>
    </row>
    <row r="97" spans="1:15" x14ac:dyDescent="0.3">
      <c r="A97" t="s">
        <v>3</v>
      </c>
      <c r="B97">
        <v>2050</v>
      </c>
      <c r="C97">
        <v>2240</v>
      </c>
      <c r="D97">
        <v>411</v>
      </c>
      <c r="E97">
        <v>449</v>
      </c>
      <c r="F97">
        <v>221.13074</v>
      </c>
      <c r="G97">
        <v>14.870465359228003</v>
      </c>
      <c r="I97">
        <v>1105.6537000000001</v>
      </c>
      <c r="J97">
        <v>2126</v>
      </c>
      <c r="K97">
        <v>2124.073588903872</v>
      </c>
      <c r="L97">
        <v>8933.65</v>
      </c>
      <c r="M97">
        <v>8931.723588903873</v>
      </c>
      <c r="N97">
        <v>8878</v>
      </c>
      <c r="O97">
        <v>8969</v>
      </c>
    </row>
    <row r="99" spans="1:15" x14ac:dyDescent="0.3">
      <c r="A99" t="s">
        <v>16</v>
      </c>
    </row>
    <row r="100" spans="1:15" x14ac:dyDescent="0.3">
      <c r="A100" t="s">
        <v>17</v>
      </c>
    </row>
    <row r="102" spans="1:15" x14ac:dyDescent="0.3">
      <c r="A102" t="s">
        <v>48</v>
      </c>
      <c r="B102" t="s">
        <v>4</v>
      </c>
      <c r="C102" t="s">
        <v>5</v>
      </c>
      <c r="D102" t="s">
        <v>6</v>
      </c>
      <c r="E102" t="s">
        <v>7</v>
      </c>
      <c r="F102" t="s">
        <v>19</v>
      </c>
      <c r="G102" t="s">
        <v>9</v>
      </c>
      <c r="H102" t="s">
        <v>18</v>
      </c>
    </row>
    <row r="103" spans="1:15" x14ac:dyDescent="0.3">
      <c r="A103" t="s">
        <v>51</v>
      </c>
      <c r="B103">
        <v>673</v>
      </c>
      <c r="C103">
        <v>681</v>
      </c>
      <c r="D103">
        <v>674</v>
      </c>
      <c r="E103">
        <v>682</v>
      </c>
      <c r="F103">
        <v>78806</v>
      </c>
      <c r="G103">
        <v>280.72406380643611</v>
      </c>
      <c r="H103">
        <v>0.43210729481949378</v>
      </c>
      <c r="I103">
        <v>1.8420428745441141E-3</v>
      </c>
    </row>
    <row r="104" spans="1:15" x14ac:dyDescent="0.3">
      <c r="A104" t="s">
        <v>50</v>
      </c>
      <c r="B104">
        <v>730</v>
      </c>
      <c r="C104">
        <v>761</v>
      </c>
      <c r="D104">
        <v>731</v>
      </c>
      <c r="E104">
        <v>762</v>
      </c>
      <c r="F104">
        <v>182376</v>
      </c>
      <c r="G104">
        <v>427.05503158258188</v>
      </c>
    </row>
    <row r="106" spans="1:15" x14ac:dyDescent="0.3">
      <c r="A106" t="s">
        <v>49</v>
      </c>
      <c r="B106">
        <v>990</v>
      </c>
      <c r="C106">
        <v>1040</v>
      </c>
      <c r="D106">
        <v>991</v>
      </c>
      <c r="E106">
        <v>1041</v>
      </c>
      <c r="F106">
        <v>931</v>
      </c>
      <c r="G106">
        <v>30.512292604784715</v>
      </c>
      <c r="H106">
        <v>0.54829210836277975</v>
      </c>
      <c r="I106">
        <v>2.2359578101900392E-2</v>
      </c>
    </row>
    <row r="107" spans="1:15" x14ac:dyDescent="0.3">
      <c r="A107" t="s">
        <v>52</v>
      </c>
      <c r="F107">
        <v>1698</v>
      </c>
      <c r="G107">
        <v>41.206795556073033</v>
      </c>
    </row>
    <row r="109" spans="1:15" x14ac:dyDescent="0.3">
      <c r="A109" t="s">
        <v>54</v>
      </c>
    </row>
  </sheetData>
  <mergeCells count="28">
    <mergeCell ref="A1:O1"/>
    <mergeCell ref="A40:G40"/>
    <mergeCell ref="L40:M40"/>
    <mergeCell ref="N40:O40"/>
    <mergeCell ref="A49:G49"/>
    <mergeCell ref="L49:M49"/>
    <mergeCell ref="N49:O49"/>
    <mergeCell ref="N2:O2"/>
    <mergeCell ref="A21:N21"/>
    <mergeCell ref="D27:D28"/>
    <mergeCell ref="E27:E28"/>
    <mergeCell ref="A30:G30"/>
    <mergeCell ref="A2:G2"/>
    <mergeCell ref="A11:G11"/>
    <mergeCell ref="H23:I23"/>
    <mergeCell ref="H24:H25"/>
    <mergeCell ref="I24:I25"/>
    <mergeCell ref="A26:F26"/>
    <mergeCell ref="L2:M2"/>
    <mergeCell ref="A67:G67"/>
    <mergeCell ref="H61:H62"/>
    <mergeCell ref="I61:I62"/>
    <mergeCell ref="B64:B65"/>
    <mergeCell ref="C64:C65"/>
    <mergeCell ref="D64:D65"/>
    <mergeCell ref="E64:E65"/>
    <mergeCell ref="H64:H65"/>
    <mergeCell ref="I64:I6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3"/>
  <sheetViews>
    <sheetView zoomScale="60" zoomScaleNormal="60" workbookViewId="0">
      <selection activeCell="C87" sqref="C87"/>
    </sheetView>
  </sheetViews>
  <sheetFormatPr defaultRowHeight="14.4" x14ac:dyDescent="0.3"/>
  <cols>
    <col min="1" max="1" width="27.33203125" bestFit="1" customWidth="1"/>
    <col min="2" max="2" width="11.44140625" bestFit="1" customWidth="1"/>
    <col min="3" max="3" width="12.109375" bestFit="1" customWidth="1"/>
    <col min="4" max="5" width="11.109375" bestFit="1" customWidth="1"/>
    <col min="6" max="6" width="9.44140625" bestFit="1" customWidth="1"/>
    <col min="7" max="7" width="12" bestFit="1" customWidth="1"/>
    <col min="8" max="8" width="14.77734375" bestFit="1" customWidth="1"/>
    <col min="9" max="9" width="11.33203125" bestFit="1" customWidth="1"/>
    <col min="10" max="10" width="14.88671875" bestFit="1" customWidth="1"/>
    <col min="11" max="11" width="9.44140625" bestFit="1" customWidth="1"/>
    <col min="12" max="12" width="13.5546875" customWidth="1"/>
    <col min="13" max="13" width="14.6640625" customWidth="1"/>
    <col min="15" max="15" width="14.33203125" customWidth="1"/>
    <col min="16" max="16" width="15" customWidth="1"/>
    <col min="17" max="17" width="14.5546875" bestFit="1" customWidth="1"/>
  </cols>
  <sheetData>
    <row r="1" spans="1:16" x14ac:dyDescent="0.3">
      <c r="A1" s="144" t="s">
        <v>55</v>
      </c>
      <c r="B1" s="144"/>
      <c r="C1" s="144"/>
      <c r="D1" s="144"/>
      <c r="E1" s="144"/>
      <c r="F1" s="144"/>
      <c r="G1" s="144"/>
      <c r="H1" t="s">
        <v>27</v>
      </c>
      <c r="I1">
        <v>4.2790000000000002E-2</v>
      </c>
      <c r="J1" t="s">
        <v>27</v>
      </c>
      <c r="K1">
        <v>0.1031</v>
      </c>
      <c r="L1" s="150" t="s">
        <v>31</v>
      </c>
      <c r="M1" s="150"/>
      <c r="O1" s="143"/>
      <c r="P1" s="143"/>
    </row>
    <row r="2" spans="1:16" x14ac:dyDescent="0.3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25</v>
      </c>
      <c r="I2" t="s">
        <v>26</v>
      </c>
      <c r="J2" t="s">
        <v>29</v>
      </c>
      <c r="K2" t="s">
        <v>30</v>
      </c>
      <c r="L2" t="s">
        <v>32</v>
      </c>
      <c r="M2" t="s">
        <v>33</v>
      </c>
    </row>
    <row r="3" spans="1:16" x14ac:dyDescent="0.3">
      <c r="A3" t="s">
        <v>38</v>
      </c>
      <c r="B3">
        <v>700</v>
      </c>
      <c r="C3">
        <v>909</v>
      </c>
      <c r="H3">
        <v>1063</v>
      </c>
      <c r="I3">
        <v>8.6</v>
      </c>
      <c r="J3">
        <f>H3-1/$I$1</f>
        <v>1039.6300537508764</v>
      </c>
      <c r="L3">
        <f>H3+6130.64+708.7</f>
        <v>7902.34</v>
      </c>
      <c r="M3">
        <f>J3+6130.64+708.7</f>
        <v>7878.970053750877</v>
      </c>
      <c r="N3">
        <v>7859</v>
      </c>
      <c r="O3">
        <v>7907</v>
      </c>
    </row>
    <row r="4" spans="1:16" x14ac:dyDescent="0.3">
      <c r="A4" t="s">
        <v>0</v>
      </c>
      <c r="B4">
        <v>1000</v>
      </c>
      <c r="C4">
        <v>1089</v>
      </c>
      <c r="H4">
        <v>1139</v>
      </c>
      <c r="I4">
        <v>10.199999999999999</v>
      </c>
      <c r="J4">
        <f>H4-1/$I$1</f>
        <v>1115.6300537508764</v>
      </c>
      <c r="L4">
        <f t="shared" ref="L4:L11" si="0">H4+6130.64+708.7</f>
        <v>7978.34</v>
      </c>
      <c r="M4">
        <f t="shared" ref="M4:M11" si="1">J4+6130.64+708.7</f>
        <v>7954.970053750877</v>
      </c>
      <c r="N4">
        <v>7945</v>
      </c>
      <c r="O4">
        <v>7973</v>
      </c>
    </row>
    <row r="5" spans="1:16" x14ac:dyDescent="0.3">
      <c r="A5" t="s">
        <v>1</v>
      </c>
      <c r="B5">
        <v>1090</v>
      </c>
      <c r="C5">
        <v>1179</v>
      </c>
      <c r="H5">
        <v>1222</v>
      </c>
      <c r="I5">
        <v>9.6</v>
      </c>
      <c r="J5">
        <f>H5-1/$I$1</f>
        <v>1198.6300537508764</v>
      </c>
      <c r="L5">
        <f t="shared" si="0"/>
        <v>8061.34</v>
      </c>
      <c r="M5">
        <f t="shared" si="1"/>
        <v>8037.970053750877</v>
      </c>
      <c r="N5">
        <v>8030</v>
      </c>
      <c r="O5">
        <v>8060</v>
      </c>
    </row>
    <row r="6" spans="1:16" x14ac:dyDescent="0.3">
      <c r="A6" t="s">
        <v>2</v>
      </c>
      <c r="B6">
        <v>1180</v>
      </c>
      <c r="C6">
        <v>1269</v>
      </c>
      <c r="H6">
        <v>1309</v>
      </c>
      <c r="I6">
        <v>10.1</v>
      </c>
      <c r="J6">
        <f>H6-1/$I$1</f>
        <v>1285.6300537508764</v>
      </c>
      <c r="L6">
        <f t="shared" si="0"/>
        <v>8148.34</v>
      </c>
      <c r="M6">
        <f t="shared" si="1"/>
        <v>8124.970053750877</v>
      </c>
      <c r="N6">
        <v>8109</v>
      </c>
      <c r="O6">
        <v>8131</v>
      </c>
    </row>
    <row r="7" spans="1:16" x14ac:dyDescent="0.3">
      <c r="A7" t="s">
        <v>3</v>
      </c>
      <c r="B7">
        <v>1270</v>
      </c>
      <c r="C7">
        <v>1399</v>
      </c>
      <c r="H7">
        <v>1567</v>
      </c>
      <c r="I7">
        <v>2.2000000000000002</v>
      </c>
      <c r="J7">
        <f>H7-1/$K$1</f>
        <v>1557.3006789524734</v>
      </c>
      <c r="L7">
        <f t="shared" si="0"/>
        <v>8406.34</v>
      </c>
      <c r="M7">
        <f t="shared" si="1"/>
        <v>8396.6406789524735</v>
      </c>
      <c r="N7">
        <v>8382</v>
      </c>
      <c r="O7">
        <v>8426</v>
      </c>
    </row>
    <row r="8" spans="1:16" x14ac:dyDescent="0.3">
      <c r="A8" t="s">
        <v>10</v>
      </c>
      <c r="B8">
        <v>1450</v>
      </c>
      <c r="C8">
        <v>1649</v>
      </c>
      <c r="H8">
        <v>1707</v>
      </c>
      <c r="I8">
        <v>3.4</v>
      </c>
      <c r="J8">
        <f>H8-1/$K$1</f>
        <v>1697.3006789524734</v>
      </c>
      <c r="L8">
        <f t="shared" si="0"/>
        <v>8546.34</v>
      </c>
      <c r="M8">
        <f t="shared" si="1"/>
        <v>8536.6406789524735</v>
      </c>
      <c r="N8">
        <v>8498</v>
      </c>
      <c r="O8">
        <v>8562</v>
      </c>
    </row>
    <row r="9" spans="1:16" x14ac:dyDescent="0.3">
      <c r="A9" t="s">
        <v>11</v>
      </c>
      <c r="B9">
        <v>1650</v>
      </c>
      <c r="C9">
        <v>1809</v>
      </c>
      <c r="H9">
        <v>1855</v>
      </c>
      <c r="I9">
        <v>9.1999999999999993</v>
      </c>
      <c r="J9">
        <f>H9-1/$K$1</f>
        <v>1845.3006789524734</v>
      </c>
      <c r="L9">
        <f t="shared" si="0"/>
        <v>8694.34</v>
      </c>
      <c r="M9">
        <f t="shared" si="1"/>
        <v>8684.6406789524735</v>
      </c>
    </row>
    <row r="10" spans="1:16" x14ac:dyDescent="0.3">
      <c r="A10" t="s">
        <v>35</v>
      </c>
      <c r="B10">
        <v>1810</v>
      </c>
      <c r="C10">
        <v>1939</v>
      </c>
      <c r="H10">
        <v>2121</v>
      </c>
      <c r="I10">
        <v>46.6</v>
      </c>
      <c r="J10">
        <f>H10-1/$K$1</f>
        <v>2111.3006789524734</v>
      </c>
      <c r="L10">
        <f t="shared" si="0"/>
        <v>8960.34</v>
      </c>
      <c r="M10">
        <f t="shared" si="1"/>
        <v>8950.6406789524735</v>
      </c>
    </row>
    <row r="11" spans="1:16" x14ac:dyDescent="0.3">
      <c r="A11" t="s">
        <v>36</v>
      </c>
      <c r="B11">
        <v>2040</v>
      </c>
      <c r="C11">
        <v>2199</v>
      </c>
      <c r="H11">
        <v>2471</v>
      </c>
      <c r="I11">
        <v>8.4</v>
      </c>
      <c r="J11">
        <f>H11-1/$K$1</f>
        <v>2461.3006789524734</v>
      </c>
      <c r="L11">
        <f t="shared" si="0"/>
        <v>9310.34</v>
      </c>
      <c r="M11">
        <f t="shared" si="1"/>
        <v>9300.6406789524735</v>
      </c>
    </row>
    <row r="12" spans="1:16" x14ac:dyDescent="0.3">
      <c r="A12" t="s">
        <v>37</v>
      </c>
      <c r="B12">
        <v>2300</v>
      </c>
      <c r="C12">
        <v>2649</v>
      </c>
    </row>
    <row r="13" spans="1:16" ht="15" thickBot="1" x14ac:dyDescent="0.35"/>
    <row r="14" spans="1:16" x14ac:dyDescent="0.3">
      <c r="A14" s="2" t="s">
        <v>48</v>
      </c>
      <c r="B14" s="3" t="s">
        <v>4</v>
      </c>
      <c r="C14" s="3" t="s">
        <v>5</v>
      </c>
      <c r="D14" s="3" t="s">
        <v>6</v>
      </c>
      <c r="E14" s="3" t="s">
        <v>7</v>
      </c>
      <c r="F14" s="3" t="s">
        <v>19</v>
      </c>
      <c r="G14" s="3" t="s">
        <v>9</v>
      </c>
      <c r="H14" s="3" t="s">
        <v>18</v>
      </c>
      <c r="I14" s="9"/>
    </row>
    <row r="15" spans="1:16" x14ac:dyDescent="0.3">
      <c r="A15" s="6" t="s">
        <v>51</v>
      </c>
      <c r="B15">
        <v>704</v>
      </c>
      <c r="C15">
        <v>715</v>
      </c>
      <c r="D15">
        <v>705</v>
      </c>
      <c r="E15">
        <v>716</v>
      </c>
      <c r="F15">
        <v>87414</v>
      </c>
      <c r="G15">
        <f>SQRT(F15)</f>
        <v>295.65858688697</v>
      </c>
      <c r="H15" s="144">
        <f>F15/F16</f>
        <v>1.0034552822196456</v>
      </c>
      <c r="I15" s="140">
        <f>H15*SQRT(G15*G15/F15/F15+G16*G16/F16/F16)</f>
        <v>4.8039375521432386E-3</v>
      </c>
    </row>
    <row r="16" spans="1:16" ht="15" thickBot="1" x14ac:dyDescent="0.35">
      <c r="A16" s="7" t="s">
        <v>50</v>
      </c>
      <c r="B16" s="8">
        <v>770</v>
      </c>
      <c r="C16" s="8">
        <v>785</v>
      </c>
      <c r="D16" s="8">
        <v>771</v>
      </c>
      <c r="E16" s="8">
        <v>786</v>
      </c>
      <c r="F16" s="8">
        <v>87113</v>
      </c>
      <c r="G16" s="8">
        <f>SQRT(F16)</f>
        <v>295.14911485552517</v>
      </c>
      <c r="H16" s="146"/>
      <c r="I16" s="141"/>
    </row>
    <row r="17" spans="1:9" x14ac:dyDescent="0.3">
      <c r="A17" s="142" t="s">
        <v>53</v>
      </c>
      <c r="B17" s="142"/>
      <c r="C17" s="142"/>
      <c r="D17" s="142"/>
      <c r="E17" s="142"/>
      <c r="F17" s="142"/>
      <c r="H17" s="1"/>
      <c r="I17" s="1"/>
    </row>
    <row r="18" spans="1:9" x14ac:dyDescent="0.3">
      <c r="A18" t="s">
        <v>49</v>
      </c>
      <c r="B18" s="144">
        <v>950</v>
      </c>
      <c r="C18" s="144">
        <v>1100</v>
      </c>
      <c r="D18" s="144">
        <v>951</v>
      </c>
      <c r="E18" s="144">
        <v>1101</v>
      </c>
      <c r="F18">
        <v>1739</v>
      </c>
      <c r="G18">
        <f>SQRT(F18)</f>
        <v>41.701318923986086</v>
      </c>
      <c r="H18" s="144">
        <f>F18/F19</f>
        <v>1.4762308998302207</v>
      </c>
      <c r="I18" s="144">
        <f>H18*SQRT(G18*G18/F18/F18+G19*G19/F19/F19)</f>
        <v>5.5705755658187736E-2</v>
      </c>
    </row>
    <row r="19" spans="1:9" x14ac:dyDescent="0.3">
      <c r="A19" t="s">
        <v>52</v>
      </c>
      <c r="B19" s="144"/>
      <c r="C19" s="144"/>
      <c r="D19" s="144"/>
      <c r="E19" s="144"/>
      <c r="F19">
        <v>1178</v>
      </c>
      <c r="G19">
        <f>SQRT(F19)</f>
        <v>34.322004603461025</v>
      </c>
      <c r="H19" s="144"/>
      <c r="I19" s="144"/>
    </row>
    <row r="22" spans="1:9" x14ac:dyDescent="0.3">
      <c r="A22" s="143" t="s">
        <v>34</v>
      </c>
      <c r="B22" s="143"/>
      <c r="C22" s="143"/>
      <c r="D22" s="143"/>
      <c r="E22" s="143"/>
      <c r="F22" s="143"/>
      <c r="G22" s="143"/>
    </row>
    <row r="23" spans="1:9" x14ac:dyDescent="0.3">
      <c r="B23" t="s">
        <v>4</v>
      </c>
      <c r="C23" t="s">
        <v>5</v>
      </c>
      <c r="D23" t="s">
        <v>6</v>
      </c>
      <c r="E23" t="s">
        <v>7</v>
      </c>
      <c r="F23" t="s">
        <v>8</v>
      </c>
      <c r="G23" t="s">
        <v>9</v>
      </c>
    </row>
    <row r="24" spans="1:9" x14ac:dyDescent="0.3">
      <c r="A24" t="s">
        <v>38</v>
      </c>
      <c r="B24">
        <v>700</v>
      </c>
      <c r="C24">
        <v>909</v>
      </c>
      <c r="D24">
        <v>71</v>
      </c>
      <c r="E24">
        <v>91</v>
      </c>
      <c r="F24">
        <v>125.08781</v>
      </c>
      <c r="G24">
        <f t="shared" ref="G24:G33" si="2">SQRT(F24)</f>
        <v>11.184266180666482</v>
      </c>
    </row>
    <row r="25" spans="1:9" x14ac:dyDescent="0.3">
      <c r="A25" t="s">
        <v>0</v>
      </c>
      <c r="B25">
        <v>1000</v>
      </c>
      <c r="C25">
        <v>1089</v>
      </c>
      <c r="D25">
        <v>101</v>
      </c>
      <c r="E25">
        <v>109</v>
      </c>
      <c r="F25">
        <v>444.53780999999998</v>
      </c>
      <c r="G25">
        <f t="shared" si="2"/>
        <v>21.084065310086668</v>
      </c>
    </row>
    <row r="26" spans="1:9" x14ac:dyDescent="0.3">
      <c r="A26" t="s">
        <v>1</v>
      </c>
      <c r="B26">
        <v>1090</v>
      </c>
      <c r="C26">
        <v>1179</v>
      </c>
      <c r="D26">
        <v>110</v>
      </c>
      <c r="E26">
        <v>118</v>
      </c>
      <c r="F26">
        <v>439.89980000000003</v>
      </c>
      <c r="G26">
        <f t="shared" si="2"/>
        <v>20.973788403624177</v>
      </c>
    </row>
    <row r="27" spans="1:9" x14ac:dyDescent="0.3">
      <c r="A27" t="s">
        <v>2</v>
      </c>
      <c r="B27">
        <v>1180</v>
      </c>
      <c r="C27">
        <v>1269</v>
      </c>
      <c r="D27">
        <v>119</v>
      </c>
      <c r="E27">
        <v>127</v>
      </c>
      <c r="F27">
        <v>432.66829000000001</v>
      </c>
      <c r="G27">
        <f t="shared" si="2"/>
        <v>20.80068003696033</v>
      </c>
    </row>
    <row r="28" spans="1:9" x14ac:dyDescent="0.3">
      <c r="A28" t="s">
        <v>3</v>
      </c>
      <c r="B28">
        <v>1270</v>
      </c>
      <c r="C28">
        <v>1399</v>
      </c>
      <c r="D28">
        <v>128</v>
      </c>
      <c r="E28">
        <v>140</v>
      </c>
      <c r="F28">
        <v>274.78577000000001</v>
      </c>
      <c r="G28">
        <f t="shared" si="2"/>
        <v>16.576663415778221</v>
      </c>
    </row>
    <row r="29" spans="1:9" x14ac:dyDescent="0.3">
      <c r="A29" t="s">
        <v>10</v>
      </c>
      <c r="B29">
        <v>1450</v>
      </c>
      <c r="C29">
        <v>1649</v>
      </c>
      <c r="D29">
        <v>146</v>
      </c>
      <c r="E29">
        <v>165</v>
      </c>
      <c r="F29">
        <v>842.65102000000002</v>
      </c>
      <c r="G29">
        <f t="shared" si="2"/>
        <v>29.028451904984532</v>
      </c>
    </row>
    <row r="30" spans="1:9" x14ac:dyDescent="0.3">
      <c r="A30" t="s">
        <v>11</v>
      </c>
      <c r="B30">
        <v>1650</v>
      </c>
      <c r="C30">
        <v>1809</v>
      </c>
      <c r="D30">
        <v>166</v>
      </c>
      <c r="E30">
        <v>181</v>
      </c>
      <c r="F30">
        <v>486.91361999999998</v>
      </c>
      <c r="G30">
        <f t="shared" si="2"/>
        <v>22.066119278205672</v>
      </c>
    </row>
    <row r="31" spans="1:9" x14ac:dyDescent="0.3">
      <c r="A31" t="s">
        <v>35</v>
      </c>
      <c r="B31">
        <v>1810</v>
      </c>
      <c r="C31">
        <v>1939</v>
      </c>
      <c r="D31">
        <v>182</v>
      </c>
      <c r="E31">
        <v>194</v>
      </c>
      <c r="F31">
        <v>90.906706999999997</v>
      </c>
      <c r="G31">
        <f t="shared" si="2"/>
        <v>9.5345008783889682</v>
      </c>
    </row>
    <row r="32" spans="1:9" x14ac:dyDescent="0.3">
      <c r="A32" t="s">
        <v>36</v>
      </c>
      <c r="B32">
        <v>2040</v>
      </c>
      <c r="C32">
        <v>2199</v>
      </c>
      <c r="D32">
        <v>205</v>
      </c>
      <c r="E32">
        <v>220</v>
      </c>
      <c r="F32">
        <v>42.993088999999998</v>
      </c>
      <c r="G32">
        <f t="shared" si="2"/>
        <v>6.5569115443171873</v>
      </c>
    </row>
    <row r="33" spans="1:8" x14ac:dyDescent="0.3">
      <c r="A33" t="s">
        <v>37</v>
      </c>
      <c r="B33">
        <v>2300</v>
      </c>
      <c r="C33">
        <v>2649</v>
      </c>
      <c r="D33">
        <v>231</v>
      </c>
      <c r="E33">
        <v>265</v>
      </c>
      <c r="F33">
        <v>197.98617999999999</v>
      </c>
      <c r="G33">
        <f t="shared" si="2"/>
        <v>14.070756198584354</v>
      </c>
    </row>
    <row r="35" spans="1:8" s="15" customFormat="1" x14ac:dyDescent="0.3"/>
    <row r="36" spans="1:8" x14ac:dyDescent="0.3">
      <c r="B36" t="s">
        <v>4</v>
      </c>
      <c r="C36" t="s">
        <v>5</v>
      </c>
      <c r="D36" t="s">
        <v>45</v>
      </c>
      <c r="E36" t="s">
        <v>46</v>
      </c>
      <c r="F36" t="s">
        <v>8</v>
      </c>
      <c r="G36" t="s">
        <v>9</v>
      </c>
      <c r="H36" t="s">
        <v>18</v>
      </c>
    </row>
    <row r="37" spans="1:8" x14ac:dyDescent="0.3">
      <c r="A37" t="s">
        <v>20</v>
      </c>
      <c r="B37">
        <v>704</v>
      </c>
      <c r="C37">
        <v>715</v>
      </c>
      <c r="D37">
        <v>705</v>
      </c>
      <c r="E37">
        <v>716</v>
      </c>
      <c r="F37">
        <v>87414</v>
      </c>
      <c r="G37">
        <f>SQRT(F37)</f>
        <v>295.65858688697</v>
      </c>
      <c r="H37" s="144">
        <f>F37/F38</f>
        <v>0.47930648769574946</v>
      </c>
    </row>
    <row r="38" spans="1:8" x14ac:dyDescent="0.3">
      <c r="A38" t="s">
        <v>21</v>
      </c>
      <c r="B38">
        <v>730</v>
      </c>
      <c r="C38">
        <v>761</v>
      </c>
      <c r="D38">
        <v>731</v>
      </c>
      <c r="E38">
        <v>762</v>
      </c>
      <c r="F38">
        <v>182376</v>
      </c>
      <c r="G38">
        <f>SQRT(F38)</f>
        <v>427.05503158258188</v>
      </c>
      <c r="H38" s="144"/>
    </row>
    <row r="39" spans="1:8" ht="15" thickBot="1" x14ac:dyDescent="0.35">
      <c r="H39" s="1"/>
    </row>
    <row r="40" spans="1:8" x14ac:dyDescent="0.3">
      <c r="A40" s="2" t="s">
        <v>49</v>
      </c>
      <c r="B40" s="145">
        <v>950</v>
      </c>
      <c r="C40" s="145">
        <v>1100</v>
      </c>
      <c r="D40" s="145">
        <v>951</v>
      </c>
      <c r="E40" s="145">
        <v>1101</v>
      </c>
      <c r="F40" s="3">
        <v>1739</v>
      </c>
      <c r="G40" s="3">
        <f>SQRT(F40)</f>
        <v>41.701318923986086</v>
      </c>
      <c r="H40" s="147">
        <f>F40/F41</f>
        <v>0.69839357429718874</v>
      </c>
    </row>
    <row r="41" spans="1:8" ht="15" thickBot="1" x14ac:dyDescent="0.35">
      <c r="A41" s="7" t="s">
        <v>52</v>
      </c>
      <c r="B41" s="146"/>
      <c r="C41" s="146"/>
      <c r="D41" s="146"/>
      <c r="E41" s="146"/>
      <c r="F41" s="8">
        <v>2490</v>
      </c>
      <c r="G41" s="8">
        <f>SQRT(F41)</f>
        <v>49.899899799498598</v>
      </c>
      <c r="H41" s="141"/>
    </row>
    <row r="42" spans="1:8" x14ac:dyDescent="0.3">
      <c r="A42" s="143" t="s">
        <v>54</v>
      </c>
      <c r="B42" s="143"/>
      <c r="C42" s="143"/>
      <c r="D42" s="143"/>
      <c r="E42" s="143"/>
      <c r="F42" s="143"/>
      <c r="G42" s="143"/>
    </row>
    <row r="44" spans="1:8" x14ac:dyDescent="0.3">
      <c r="A44" s="143" t="s">
        <v>34</v>
      </c>
      <c r="B44" s="143"/>
      <c r="C44" s="143"/>
      <c r="D44" s="143"/>
      <c r="E44" s="143"/>
      <c r="F44" s="143"/>
      <c r="G44" s="143"/>
    </row>
    <row r="45" spans="1:8" x14ac:dyDescent="0.3">
      <c r="B45" t="s">
        <v>4</v>
      </c>
      <c r="C45" t="s">
        <v>5</v>
      </c>
      <c r="D45" t="s">
        <v>6</v>
      </c>
      <c r="E45" t="s">
        <v>7</v>
      </c>
      <c r="F45" t="s">
        <v>8</v>
      </c>
      <c r="G45" t="s">
        <v>9</v>
      </c>
    </row>
    <row r="46" spans="1:8" x14ac:dyDescent="0.3">
      <c r="A46" t="s">
        <v>38</v>
      </c>
      <c r="B46">
        <v>700</v>
      </c>
      <c r="C46">
        <v>909</v>
      </c>
      <c r="D46">
        <v>71</v>
      </c>
      <c r="E46">
        <v>91</v>
      </c>
      <c r="F46">
        <v>-26.388911</v>
      </c>
      <c r="G46">
        <f>SQRT(ABS(F46))</f>
        <v>5.1370138212778835</v>
      </c>
    </row>
    <row r="47" spans="1:8" x14ac:dyDescent="0.3">
      <c r="A47" t="s">
        <v>0</v>
      </c>
      <c r="B47">
        <v>1000</v>
      </c>
      <c r="C47">
        <v>1089</v>
      </c>
      <c r="D47">
        <v>101</v>
      </c>
      <c r="E47">
        <v>109</v>
      </c>
      <c r="F47">
        <v>-9.8023302999999995</v>
      </c>
      <c r="G47">
        <f t="shared" ref="G47:G55" si="3">SQRT(ABS(F47))</f>
        <v>3.1308673398916151</v>
      </c>
    </row>
    <row r="48" spans="1:8" x14ac:dyDescent="0.3">
      <c r="A48" t="s">
        <v>1</v>
      </c>
      <c r="B48">
        <v>1090</v>
      </c>
      <c r="C48">
        <v>1179</v>
      </c>
      <c r="D48">
        <v>110</v>
      </c>
      <c r="E48">
        <v>118</v>
      </c>
      <c r="F48">
        <v>381.11892</v>
      </c>
      <c r="G48">
        <f t="shared" si="3"/>
        <v>19.522267286357906</v>
      </c>
    </row>
    <row r="49" spans="1:7" x14ac:dyDescent="0.3">
      <c r="A49" t="s">
        <v>2</v>
      </c>
      <c r="B49">
        <v>1180</v>
      </c>
      <c r="C49">
        <v>1269</v>
      </c>
      <c r="D49">
        <v>119</v>
      </c>
      <c r="E49">
        <v>127</v>
      </c>
      <c r="F49">
        <v>316.27199999999999</v>
      </c>
      <c r="G49">
        <f t="shared" si="3"/>
        <v>17.784037786734483</v>
      </c>
    </row>
    <row r="50" spans="1:7" x14ac:dyDescent="0.3">
      <c r="A50" t="s">
        <v>3</v>
      </c>
      <c r="B50">
        <v>1270</v>
      </c>
      <c r="C50">
        <v>1399</v>
      </c>
      <c r="D50">
        <v>128</v>
      </c>
      <c r="E50">
        <v>140</v>
      </c>
      <c r="F50">
        <v>230.98473000000001</v>
      </c>
      <c r="G50">
        <f t="shared" si="3"/>
        <v>15.198181799149529</v>
      </c>
    </row>
    <row r="51" spans="1:7" x14ac:dyDescent="0.3">
      <c r="A51" t="s">
        <v>10</v>
      </c>
      <c r="B51">
        <v>1450</v>
      </c>
      <c r="C51">
        <v>1649</v>
      </c>
      <c r="D51">
        <v>146</v>
      </c>
      <c r="E51">
        <v>165</v>
      </c>
      <c r="F51">
        <v>807.29610000000002</v>
      </c>
      <c r="G51">
        <f t="shared" si="3"/>
        <v>28.412956551545282</v>
      </c>
    </row>
    <row r="52" spans="1:7" x14ac:dyDescent="0.3">
      <c r="A52" t="s">
        <v>11</v>
      </c>
      <c r="B52">
        <v>1650</v>
      </c>
      <c r="C52">
        <v>1809</v>
      </c>
      <c r="D52">
        <v>166</v>
      </c>
      <c r="E52">
        <v>181</v>
      </c>
      <c r="F52">
        <v>468.75693000000001</v>
      </c>
      <c r="G52">
        <f t="shared" si="3"/>
        <v>21.650795135514077</v>
      </c>
    </row>
    <row r="53" spans="1:7" x14ac:dyDescent="0.3">
      <c r="A53" t="s">
        <v>35</v>
      </c>
      <c r="B53">
        <v>1810</v>
      </c>
      <c r="C53">
        <v>1939</v>
      </c>
      <c r="D53">
        <v>182</v>
      </c>
      <c r="E53">
        <v>194</v>
      </c>
      <c r="F53">
        <v>83.126557000000005</v>
      </c>
      <c r="G53">
        <f t="shared" si="3"/>
        <v>9.117376651208394</v>
      </c>
    </row>
    <row r="54" spans="1:7" x14ac:dyDescent="0.3">
      <c r="A54" t="s">
        <v>36</v>
      </c>
      <c r="B54">
        <v>2040</v>
      </c>
      <c r="C54">
        <v>2199</v>
      </c>
      <c r="D54">
        <v>205</v>
      </c>
      <c r="E54">
        <v>220</v>
      </c>
      <c r="F54">
        <v>35.235436</v>
      </c>
      <c r="G54">
        <f t="shared" si="3"/>
        <v>5.9359444067477583</v>
      </c>
    </row>
    <row r="55" spans="1:7" x14ac:dyDescent="0.3">
      <c r="A55" t="s">
        <v>37</v>
      </c>
      <c r="B55">
        <v>2300</v>
      </c>
      <c r="C55">
        <v>2649</v>
      </c>
      <c r="D55">
        <v>231</v>
      </c>
      <c r="E55">
        <v>265</v>
      </c>
      <c r="F55">
        <v>187.35315</v>
      </c>
      <c r="G55">
        <f t="shared" si="3"/>
        <v>13.687700683460315</v>
      </c>
    </row>
    <row r="57" spans="1:7" x14ac:dyDescent="0.3">
      <c r="A57" t="s">
        <v>56</v>
      </c>
    </row>
    <row r="65" spans="1:16" s="15" customFormat="1" x14ac:dyDescent="0.3"/>
    <row r="67" spans="1:16" x14ac:dyDescent="0.3">
      <c r="B67" t="s">
        <v>4</v>
      </c>
      <c r="C67" t="s">
        <v>5</v>
      </c>
      <c r="D67" t="s">
        <v>45</v>
      </c>
      <c r="E67" t="s">
        <v>46</v>
      </c>
      <c r="F67" t="s">
        <v>8</v>
      </c>
      <c r="G67" t="s">
        <v>9</v>
      </c>
      <c r="H67" t="s">
        <v>18</v>
      </c>
    </row>
    <row r="68" spans="1:16" x14ac:dyDescent="0.3">
      <c r="A68" t="s">
        <v>20</v>
      </c>
      <c r="B68">
        <v>704</v>
      </c>
      <c r="C68">
        <v>715</v>
      </c>
      <c r="D68">
        <v>705</v>
      </c>
      <c r="E68">
        <v>716</v>
      </c>
      <c r="F68">
        <v>87414</v>
      </c>
      <c r="G68">
        <f>SQRT(F68)</f>
        <v>295.65858688697</v>
      </c>
      <c r="H68" s="144">
        <f>F68/F69</f>
        <v>0.47930648769574946</v>
      </c>
    </row>
    <row r="69" spans="1:16" x14ac:dyDescent="0.3">
      <c r="A69" t="s">
        <v>21</v>
      </c>
      <c r="B69">
        <v>730</v>
      </c>
      <c r="C69">
        <v>761</v>
      </c>
      <c r="D69">
        <v>731</v>
      </c>
      <c r="E69">
        <v>762</v>
      </c>
      <c r="F69">
        <v>182376</v>
      </c>
      <c r="G69">
        <f>SQRT(F69)</f>
        <v>427.05503158258188</v>
      </c>
      <c r="H69" s="144"/>
    </row>
    <row r="70" spans="1:16" ht="15" thickBot="1" x14ac:dyDescent="0.35">
      <c r="H70" s="1"/>
    </row>
    <row r="71" spans="1:16" x14ac:dyDescent="0.3">
      <c r="A71" s="2" t="s">
        <v>49</v>
      </c>
      <c r="B71" s="145">
        <v>990</v>
      </c>
      <c r="C71" s="145">
        <v>1040</v>
      </c>
      <c r="D71" s="145">
        <v>991</v>
      </c>
      <c r="E71" s="145">
        <v>1041</v>
      </c>
      <c r="F71" s="3">
        <v>944</v>
      </c>
      <c r="G71" s="3">
        <f>SQRT(F71)</f>
        <v>30.724582991474431</v>
      </c>
      <c r="H71" s="147">
        <f>F71/F72</f>
        <v>0.55594817432273258</v>
      </c>
    </row>
    <row r="72" spans="1:16" ht="15" thickBot="1" x14ac:dyDescent="0.35">
      <c r="A72" s="7" t="s">
        <v>52</v>
      </c>
      <c r="B72" s="146"/>
      <c r="C72" s="146"/>
      <c r="D72" s="146"/>
      <c r="E72" s="146"/>
      <c r="F72" s="8">
        <v>1698</v>
      </c>
      <c r="G72" s="8">
        <f>SQRT(F72)</f>
        <v>41.206795556073033</v>
      </c>
      <c r="H72" s="141"/>
    </row>
    <row r="73" spans="1:16" x14ac:dyDescent="0.3">
      <c r="A73" s="143" t="s">
        <v>54</v>
      </c>
      <c r="B73" s="143"/>
      <c r="C73" s="143"/>
      <c r="D73" s="143"/>
      <c r="E73" s="143"/>
      <c r="F73" s="143"/>
      <c r="G73" s="143"/>
    </row>
    <row r="75" spans="1:16" ht="15" thickBot="1" x14ac:dyDescent="0.35">
      <c r="A75" s="143" t="s">
        <v>34</v>
      </c>
      <c r="B75" s="143"/>
      <c r="C75" s="143"/>
      <c r="D75" s="143"/>
      <c r="E75" s="143"/>
      <c r="F75" s="143"/>
      <c r="G75" s="143"/>
    </row>
    <row r="76" spans="1:16" x14ac:dyDescent="0.3">
      <c r="B76" t="s">
        <v>4</v>
      </c>
      <c r="C76" t="s">
        <v>5</v>
      </c>
      <c r="D76" t="s">
        <v>6</v>
      </c>
      <c r="E76" t="s">
        <v>7</v>
      </c>
      <c r="F76" t="s">
        <v>8</v>
      </c>
      <c r="G76" t="s">
        <v>9</v>
      </c>
      <c r="H76" t="s">
        <v>58</v>
      </c>
      <c r="I76" s="2"/>
      <c r="J76" s="3"/>
      <c r="K76" s="3"/>
      <c r="L76" s="3"/>
      <c r="M76" s="4" t="s">
        <v>60</v>
      </c>
      <c r="N76" s="4"/>
      <c r="O76" s="4" t="s">
        <v>44</v>
      </c>
      <c r="P76" s="5"/>
    </row>
    <row r="77" spans="1:16" x14ac:dyDescent="0.3">
      <c r="A77" t="s">
        <v>38</v>
      </c>
      <c r="B77">
        <v>750</v>
      </c>
      <c r="C77">
        <v>899</v>
      </c>
      <c r="D77">
        <v>76</v>
      </c>
      <c r="E77">
        <v>90</v>
      </c>
      <c r="F77">
        <v>50.448763</v>
      </c>
      <c r="G77">
        <f>SQRT(F77)</f>
        <v>7.1027292641631776</v>
      </c>
      <c r="H77">
        <f>F77*10</f>
        <v>504.48762999999997</v>
      </c>
      <c r="I77" s="6" t="s">
        <v>25</v>
      </c>
      <c r="J77" t="s">
        <v>26</v>
      </c>
      <c r="K77" t="s">
        <v>59</v>
      </c>
      <c r="L77" t="s">
        <v>29</v>
      </c>
      <c r="M77" t="s">
        <v>32</v>
      </c>
      <c r="N77" t="s">
        <v>33</v>
      </c>
      <c r="O77" t="s">
        <v>32</v>
      </c>
      <c r="P77" s="10" t="s">
        <v>33</v>
      </c>
    </row>
    <row r="78" spans="1:16" x14ac:dyDescent="0.3">
      <c r="A78" t="s">
        <v>0</v>
      </c>
      <c r="B78">
        <v>900</v>
      </c>
      <c r="C78">
        <v>1009</v>
      </c>
      <c r="D78">
        <v>91</v>
      </c>
      <c r="E78">
        <v>101</v>
      </c>
      <c r="F78">
        <v>53.237926999999999</v>
      </c>
      <c r="G78">
        <f t="shared" ref="G78:G87" si="4">SQRT(F78)</f>
        <v>7.2964324844405981</v>
      </c>
      <c r="H78">
        <f t="shared" ref="H78:H87" si="5">F78*10</f>
        <v>532.37927000000002</v>
      </c>
      <c r="I78" s="6">
        <v>860</v>
      </c>
      <c r="J78">
        <v>0</v>
      </c>
      <c r="K78">
        <v>2.7740000000000001E-2</v>
      </c>
      <c r="L78">
        <f t="shared" ref="L78:L83" si="6">I78-1/K78</f>
        <v>823.95097332372029</v>
      </c>
      <c r="M78">
        <f t="shared" ref="M78:M83" si="7">I78+6130.64+708.7</f>
        <v>7699.34</v>
      </c>
      <c r="N78">
        <f t="shared" ref="N78:N83" si="8">L78+6130.64+708.7</f>
        <v>7663.2909733237202</v>
      </c>
      <c r="O78" s="11" t="s">
        <v>68</v>
      </c>
      <c r="P78" s="12"/>
    </row>
    <row r="79" spans="1:16" x14ac:dyDescent="0.3">
      <c r="A79" t="s">
        <v>1</v>
      </c>
      <c r="B79">
        <v>1030</v>
      </c>
      <c r="C79">
        <v>1099</v>
      </c>
      <c r="D79">
        <v>104</v>
      </c>
      <c r="E79">
        <v>110</v>
      </c>
      <c r="F79">
        <v>358.28622000000001</v>
      </c>
      <c r="G79">
        <f t="shared" si="4"/>
        <v>18.92845001578312</v>
      </c>
      <c r="H79">
        <f t="shared" si="5"/>
        <v>3582.8622</v>
      </c>
      <c r="I79" s="6">
        <v>950</v>
      </c>
      <c r="J79">
        <v>0</v>
      </c>
      <c r="K79">
        <v>2.7740000000000001E-2</v>
      </c>
      <c r="L79">
        <f t="shared" si="6"/>
        <v>913.95097332372029</v>
      </c>
      <c r="M79">
        <f t="shared" si="7"/>
        <v>7789.34</v>
      </c>
      <c r="N79">
        <f t="shared" si="8"/>
        <v>7753.2909733237202</v>
      </c>
      <c r="O79" s="11" t="s">
        <v>69</v>
      </c>
      <c r="P79" s="12" t="s">
        <v>74</v>
      </c>
    </row>
    <row r="80" spans="1:16" x14ac:dyDescent="0.3">
      <c r="A80" t="s">
        <v>2</v>
      </c>
      <c r="B80">
        <v>1100</v>
      </c>
      <c r="C80">
        <v>1169</v>
      </c>
      <c r="D80">
        <v>111</v>
      </c>
      <c r="E80">
        <v>117</v>
      </c>
      <c r="F80">
        <v>335.85277000000002</v>
      </c>
      <c r="G80">
        <f t="shared" si="4"/>
        <v>18.326286312289241</v>
      </c>
      <c r="H80">
        <f t="shared" si="5"/>
        <v>3358.5277000000001</v>
      </c>
      <c r="I80" s="6">
        <v>1078</v>
      </c>
      <c r="J80">
        <v>8.1999999999999993</v>
      </c>
      <c r="K80">
        <v>2.7740000000000001E-2</v>
      </c>
      <c r="L80">
        <f t="shared" si="6"/>
        <v>1041.9509733237203</v>
      </c>
      <c r="M80">
        <f t="shared" si="7"/>
        <v>7917.34</v>
      </c>
      <c r="N80">
        <f t="shared" si="8"/>
        <v>7881.2909733237202</v>
      </c>
      <c r="O80" s="11" t="s">
        <v>70</v>
      </c>
      <c r="P80" s="12" t="s">
        <v>75</v>
      </c>
    </row>
    <row r="81" spans="1:16" x14ac:dyDescent="0.3">
      <c r="A81" t="s">
        <v>3</v>
      </c>
      <c r="B81">
        <v>1270</v>
      </c>
      <c r="C81">
        <v>1399</v>
      </c>
      <c r="D81">
        <v>128</v>
      </c>
      <c r="E81">
        <v>140</v>
      </c>
      <c r="F81">
        <v>252.49588</v>
      </c>
      <c r="G81">
        <f t="shared" si="4"/>
        <v>15.890118942286115</v>
      </c>
      <c r="H81">
        <f t="shared" si="5"/>
        <v>2524.9587999999999</v>
      </c>
      <c r="I81" s="6">
        <v>1153</v>
      </c>
      <c r="J81">
        <v>3.3</v>
      </c>
      <c r="K81">
        <v>2.7740000000000001E-2</v>
      </c>
      <c r="L81">
        <f t="shared" si="6"/>
        <v>1116.9509733237203</v>
      </c>
      <c r="M81">
        <f t="shared" si="7"/>
        <v>7992.34</v>
      </c>
      <c r="N81">
        <f t="shared" si="8"/>
        <v>7956.2909733237202</v>
      </c>
      <c r="O81" s="11" t="s">
        <v>71</v>
      </c>
      <c r="P81" s="12" t="s">
        <v>76</v>
      </c>
    </row>
    <row r="82" spans="1:16" x14ac:dyDescent="0.3">
      <c r="A82" t="s">
        <v>10</v>
      </c>
      <c r="B82">
        <v>1450</v>
      </c>
      <c r="C82">
        <v>1649</v>
      </c>
      <c r="D82">
        <v>146</v>
      </c>
      <c r="E82">
        <v>165</v>
      </c>
      <c r="F82">
        <v>835.03416000000004</v>
      </c>
      <c r="G82">
        <f t="shared" si="4"/>
        <v>28.896957625327964</v>
      </c>
      <c r="H82">
        <f t="shared" si="5"/>
        <v>8350.3415999999997</v>
      </c>
      <c r="I82" s="6">
        <v>1235</v>
      </c>
      <c r="J82">
        <v>3.8</v>
      </c>
      <c r="K82">
        <v>2.7740000000000001E-2</v>
      </c>
      <c r="L82">
        <f t="shared" si="6"/>
        <v>1198.9509733237203</v>
      </c>
      <c r="M82">
        <f t="shared" si="7"/>
        <v>8074.34</v>
      </c>
      <c r="N82">
        <f t="shared" si="8"/>
        <v>8038.2909733237202</v>
      </c>
      <c r="O82" s="11" t="s">
        <v>72</v>
      </c>
      <c r="P82" s="12" t="s">
        <v>77</v>
      </c>
    </row>
    <row r="83" spans="1:16" x14ac:dyDescent="0.3">
      <c r="A83" t="s">
        <v>11</v>
      </c>
      <c r="B83">
        <v>1650</v>
      </c>
      <c r="C83">
        <v>1799</v>
      </c>
      <c r="D83">
        <v>166</v>
      </c>
      <c r="E83">
        <v>180</v>
      </c>
      <c r="F83">
        <v>473.19905999999997</v>
      </c>
      <c r="G83">
        <f t="shared" si="4"/>
        <v>21.753139083819605</v>
      </c>
      <c r="H83">
        <f t="shared" si="5"/>
        <v>4731.9906000000001</v>
      </c>
      <c r="I83" s="6">
        <v>1320</v>
      </c>
      <c r="J83">
        <v>4.2</v>
      </c>
      <c r="K83">
        <v>2.7740000000000001E-2</v>
      </c>
      <c r="L83">
        <f t="shared" si="6"/>
        <v>1283.9509733237203</v>
      </c>
      <c r="M83">
        <f t="shared" si="7"/>
        <v>8159.34</v>
      </c>
      <c r="N83">
        <f t="shared" si="8"/>
        <v>8123.2909733237202</v>
      </c>
      <c r="O83" s="11" t="s">
        <v>73</v>
      </c>
      <c r="P83" s="12" t="s">
        <v>78</v>
      </c>
    </row>
    <row r="84" spans="1:16" x14ac:dyDescent="0.3">
      <c r="A84" t="s">
        <v>35</v>
      </c>
      <c r="B84">
        <v>1800</v>
      </c>
      <c r="C84">
        <v>1929</v>
      </c>
      <c r="D84">
        <v>181</v>
      </c>
      <c r="E84">
        <v>193</v>
      </c>
      <c r="F84">
        <v>94.202590999999998</v>
      </c>
      <c r="G84">
        <f t="shared" si="4"/>
        <v>9.7058019246222003</v>
      </c>
      <c r="H84">
        <f t="shared" si="5"/>
        <v>942.02590999999995</v>
      </c>
      <c r="I84" s="6"/>
      <c r="O84" s="11"/>
      <c r="P84" s="12"/>
    </row>
    <row r="85" spans="1:16" x14ac:dyDescent="0.3">
      <c r="A85" t="s">
        <v>36</v>
      </c>
      <c r="B85">
        <v>1930</v>
      </c>
      <c r="C85">
        <v>2029</v>
      </c>
      <c r="D85">
        <v>194</v>
      </c>
      <c r="E85">
        <v>203</v>
      </c>
      <c r="F85">
        <v>19.220258999999999</v>
      </c>
      <c r="G85">
        <f t="shared" si="4"/>
        <v>4.3840915820726192</v>
      </c>
      <c r="H85">
        <f t="shared" si="5"/>
        <v>192.20258999999999</v>
      </c>
      <c r="I85" s="6"/>
      <c r="O85" s="11"/>
      <c r="P85" s="12"/>
    </row>
    <row r="86" spans="1:16" x14ac:dyDescent="0.3">
      <c r="A86" t="s">
        <v>37</v>
      </c>
      <c r="B86">
        <v>2040</v>
      </c>
      <c r="C86">
        <v>2179</v>
      </c>
      <c r="D86">
        <v>205</v>
      </c>
      <c r="E86">
        <v>218</v>
      </c>
      <c r="F86">
        <v>34.772674000000002</v>
      </c>
      <c r="G86">
        <f t="shared" si="4"/>
        <v>5.8968359312431273</v>
      </c>
      <c r="H86">
        <f t="shared" si="5"/>
        <v>347.72674000000001</v>
      </c>
      <c r="I86" s="6"/>
      <c r="O86" s="11"/>
      <c r="P86" s="12"/>
    </row>
    <row r="87" spans="1:16" x14ac:dyDescent="0.3">
      <c r="A87" t="s">
        <v>57</v>
      </c>
      <c r="B87">
        <v>2250</v>
      </c>
      <c r="C87">
        <v>2699</v>
      </c>
      <c r="D87">
        <v>226</v>
      </c>
      <c r="E87">
        <v>270</v>
      </c>
      <c r="F87">
        <v>197.65724</v>
      </c>
      <c r="G87">
        <f t="shared" si="4"/>
        <v>14.059062557652982</v>
      </c>
      <c r="H87">
        <f t="shared" si="5"/>
        <v>1976.5724</v>
      </c>
      <c r="I87" s="6"/>
      <c r="O87" s="11"/>
      <c r="P87" s="12"/>
    </row>
    <row r="88" spans="1:16" ht="15" thickBot="1" x14ac:dyDescent="0.35">
      <c r="I88" s="7"/>
      <c r="J88" s="8"/>
      <c r="K88" s="8"/>
      <c r="L88" s="8"/>
      <c r="M88" s="8"/>
      <c r="N88" s="8"/>
      <c r="O88" s="8"/>
      <c r="P88" s="13"/>
    </row>
    <row r="89" spans="1:16" x14ac:dyDescent="0.3">
      <c r="I89" s="6" t="s">
        <v>25</v>
      </c>
      <c r="J89" t="s">
        <v>26</v>
      </c>
      <c r="K89" t="s">
        <v>59</v>
      </c>
      <c r="L89" t="s">
        <v>29</v>
      </c>
      <c r="M89" t="s">
        <v>32</v>
      </c>
      <c r="N89" t="s">
        <v>33</v>
      </c>
      <c r="O89" t="s">
        <v>32</v>
      </c>
      <c r="P89" s="10" t="s">
        <v>33</v>
      </c>
    </row>
    <row r="90" spans="1:16" x14ac:dyDescent="0.3">
      <c r="I90" s="6"/>
      <c r="P90" s="10"/>
    </row>
    <row r="91" spans="1:16" x14ac:dyDescent="0.3">
      <c r="I91" s="6"/>
      <c r="P91" s="10"/>
    </row>
    <row r="92" spans="1:16" x14ac:dyDescent="0.3">
      <c r="I92" s="6"/>
      <c r="P92" s="10"/>
    </row>
    <row r="93" spans="1:16" x14ac:dyDescent="0.3">
      <c r="I93" s="6"/>
      <c r="P93" s="10"/>
    </row>
    <row r="94" spans="1:16" x14ac:dyDescent="0.3">
      <c r="I94" s="6"/>
      <c r="P94" s="10"/>
    </row>
    <row r="95" spans="1:16" x14ac:dyDescent="0.3">
      <c r="I95" s="6">
        <v>1570</v>
      </c>
      <c r="J95">
        <v>2</v>
      </c>
      <c r="K95">
        <v>4.5519999999999998E-2</v>
      </c>
      <c r="L95">
        <f>I95-1/K95</f>
        <v>1548.0316344463972</v>
      </c>
      <c r="M95">
        <f>I95+6130.64+708.7</f>
        <v>8409.34</v>
      </c>
      <c r="N95">
        <f>L95+6130.64+708.7</f>
        <v>8387.3716344463974</v>
      </c>
      <c r="O95" s="11" t="s">
        <v>61</v>
      </c>
      <c r="P95" s="12" t="s">
        <v>62</v>
      </c>
    </row>
    <row r="96" spans="1:16" x14ac:dyDescent="0.3">
      <c r="I96" s="6">
        <v>1713</v>
      </c>
      <c r="J96">
        <v>3</v>
      </c>
      <c r="K96">
        <v>4.5519999999999998E-2</v>
      </c>
      <c r="L96">
        <f>I96-1/K96</f>
        <v>1691.0316344463972</v>
      </c>
      <c r="M96">
        <f>I96+6130.64+708.7</f>
        <v>8552.34</v>
      </c>
      <c r="N96">
        <f>L96+6130.64+708.7</f>
        <v>8530.3716344463974</v>
      </c>
      <c r="O96" s="11" t="s">
        <v>63</v>
      </c>
      <c r="P96" s="12"/>
    </row>
    <row r="97" spans="9:16" x14ac:dyDescent="0.3">
      <c r="I97" s="6">
        <v>1866</v>
      </c>
      <c r="J97">
        <v>6.2</v>
      </c>
      <c r="K97">
        <v>4.5519999999999998E-2</v>
      </c>
      <c r="L97">
        <f>I97-1/K97</f>
        <v>1844.0316344463972</v>
      </c>
      <c r="M97">
        <f>I97+6130.64+708.7</f>
        <v>8705.34</v>
      </c>
      <c r="N97">
        <f>L97+6130.64+708.7</f>
        <v>8683.3716344463974</v>
      </c>
      <c r="O97" s="11" t="s">
        <v>64</v>
      </c>
      <c r="P97" s="12"/>
    </row>
    <row r="98" spans="9:16" x14ac:dyDescent="0.3">
      <c r="I98" s="6">
        <v>1984</v>
      </c>
      <c r="J98">
        <v>15.8</v>
      </c>
      <c r="K98">
        <v>4.5519999999999998E-2</v>
      </c>
      <c r="L98">
        <f>I98-1/K98</f>
        <v>1962.0316344463972</v>
      </c>
      <c r="M98">
        <f>I98+6130.64+708.7</f>
        <v>8823.34</v>
      </c>
      <c r="N98">
        <f>L98+6130.64+708.7</f>
        <v>8801.3716344463974</v>
      </c>
      <c r="O98" s="11" t="s">
        <v>65</v>
      </c>
      <c r="P98" s="12"/>
    </row>
    <row r="99" spans="9:16" x14ac:dyDescent="0.3">
      <c r="I99" s="6">
        <v>2112</v>
      </c>
      <c r="J99">
        <v>9.4</v>
      </c>
      <c r="K99">
        <v>4.5519999999999998E-2</v>
      </c>
      <c r="L99">
        <f>I99-1/K99</f>
        <v>2090.0316344463972</v>
      </c>
      <c r="M99">
        <f>I99+6130.64+708.7</f>
        <v>8951.34</v>
      </c>
      <c r="N99">
        <f>L99+6130.64+708.7</f>
        <v>8929.3716344463974</v>
      </c>
      <c r="O99" s="11" t="s">
        <v>66</v>
      </c>
      <c r="P99" s="12"/>
    </row>
    <row r="100" spans="9:16" ht="15" thickBot="1" x14ac:dyDescent="0.35">
      <c r="I100" s="7"/>
      <c r="J100" s="8"/>
      <c r="K100" s="8"/>
      <c r="L100" s="8"/>
      <c r="M100" s="8"/>
      <c r="N100" s="8"/>
      <c r="O100" s="8"/>
      <c r="P100" s="13"/>
    </row>
    <row r="101" spans="9:16" x14ac:dyDescent="0.3">
      <c r="I101" s="2"/>
      <c r="J101" s="3"/>
      <c r="K101" s="3"/>
      <c r="L101" s="3"/>
      <c r="M101" s="4" t="s">
        <v>60</v>
      </c>
      <c r="N101" s="4"/>
      <c r="O101" s="4" t="s">
        <v>44</v>
      </c>
      <c r="P101" s="5"/>
    </row>
    <row r="102" spans="9:16" x14ac:dyDescent="0.3">
      <c r="I102" s="6" t="s">
        <v>25</v>
      </c>
      <c r="J102" t="s">
        <v>26</v>
      </c>
      <c r="K102" t="s">
        <v>59</v>
      </c>
      <c r="L102" t="s">
        <v>29</v>
      </c>
      <c r="M102" t="s">
        <v>32</v>
      </c>
      <c r="N102" t="s">
        <v>33</v>
      </c>
      <c r="O102" t="s">
        <v>32</v>
      </c>
      <c r="P102" s="10" t="s">
        <v>33</v>
      </c>
    </row>
    <row r="103" spans="9:16" x14ac:dyDescent="0.3">
      <c r="I103" s="6"/>
      <c r="P103" s="10"/>
    </row>
    <row r="104" spans="9:16" x14ac:dyDescent="0.3">
      <c r="I104" s="6"/>
      <c r="P104" s="10"/>
    </row>
    <row r="105" spans="9:16" x14ac:dyDescent="0.3">
      <c r="I105" s="6"/>
      <c r="P105" s="10"/>
    </row>
    <row r="106" spans="9:16" x14ac:dyDescent="0.3">
      <c r="I106" s="6"/>
      <c r="P106" s="10"/>
    </row>
    <row r="107" spans="9:16" x14ac:dyDescent="0.3">
      <c r="I107" s="6"/>
      <c r="P107" s="10"/>
    </row>
    <row r="108" spans="9:16" x14ac:dyDescent="0.3">
      <c r="I108" s="6">
        <v>1565</v>
      </c>
      <c r="J108">
        <v>1.6</v>
      </c>
      <c r="K108">
        <v>4.5519999999999998E-2</v>
      </c>
      <c r="L108">
        <f t="shared" ref="L108:L113" si="9">I108-1/K108</f>
        <v>1543.0316344463972</v>
      </c>
      <c r="M108">
        <f t="shared" ref="M108:M113" si="10">I108+6130.64+708.7</f>
        <v>8404.34</v>
      </c>
      <c r="N108">
        <f t="shared" ref="N108:N113" si="11">L108+6130.64+708.7</f>
        <v>8382.3716344463974</v>
      </c>
      <c r="O108" s="11" t="s">
        <v>61</v>
      </c>
      <c r="P108" s="12" t="s">
        <v>62</v>
      </c>
    </row>
    <row r="109" spans="9:16" x14ac:dyDescent="0.3">
      <c r="I109" s="6">
        <v>1709</v>
      </c>
      <c r="J109">
        <v>2.2999999999999998</v>
      </c>
      <c r="K109">
        <v>4.5519999999999998E-2</v>
      </c>
      <c r="L109">
        <f t="shared" si="9"/>
        <v>1687.0316344463972</v>
      </c>
      <c r="M109">
        <f t="shared" si="10"/>
        <v>8548.34</v>
      </c>
      <c r="N109">
        <f t="shared" si="11"/>
        <v>8526.3716344463974</v>
      </c>
      <c r="O109" s="11" t="s">
        <v>63</v>
      </c>
      <c r="P109" s="12"/>
    </row>
    <row r="110" spans="9:16" x14ac:dyDescent="0.3">
      <c r="I110" s="6">
        <v>1854</v>
      </c>
      <c r="J110">
        <v>7.1</v>
      </c>
      <c r="K110">
        <v>4.5519999999999998E-2</v>
      </c>
      <c r="L110">
        <f t="shared" si="9"/>
        <v>1832.0316344463972</v>
      </c>
      <c r="M110">
        <f t="shared" si="10"/>
        <v>8693.34</v>
      </c>
      <c r="N110">
        <f t="shared" si="11"/>
        <v>8671.3716344463974</v>
      </c>
      <c r="O110" s="11" t="s">
        <v>64</v>
      </c>
      <c r="P110" s="12"/>
    </row>
    <row r="111" spans="9:16" x14ac:dyDescent="0.3">
      <c r="I111" s="6">
        <v>1980</v>
      </c>
      <c r="J111">
        <v>28.1</v>
      </c>
      <c r="K111">
        <v>4.5519999999999998E-2</v>
      </c>
      <c r="L111">
        <f t="shared" si="9"/>
        <v>1958.0316344463972</v>
      </c>
      <c r="M111">
        <f t="shared" si="10"/>
        <v>8819.34</v>
      </c>
      <c r="N111">
        <f t="shared" si="11"/>
        <v>8797.3716344463974</v>
      </c>
      <c r="O111" s="11" t="s">
        <v>65</v>
      </c>
      <c r="P111" s="12"/>
    </row>
    <row r="112" spans="9:16" x14ac:dyDescent="0.3">
      <c r="I112" s="6">
        <v>2105</v>
      </c>
      <c r="J112">
        <v>15.7</v>
      </c>
      <c r="K112">
        <v>4.5519999999999998E-2</v>
      </c>
      <c r="L112">
        <f t="shared" si="9"/>
        <v>2083.0316344463972</v>
      </c>
      <c r="M112">
        <f t="shared" si="10"/>
        <v>8944.34</v>
      </c>
      <c r="N112">
        <f t="shared" si="11"/>
        <v>8922.3716344463974</v>
      </c>
      <c r="O112" s="11" t="s">
        <v>66</v>
      </c>
      <c r="P112" s="12"/>
    </row>
    <row r="113" spans="9:16" ht="15" thickBot="1" x14ac:dyDescent="0.35">
      <c r="I113" s="7">
        <v>2468</v>
      </c>
      <c r="J113" s="8">
        <v>5</v>
      </c>
      <c r="K113" s="8">
        <v>0.38740000000000002</v>
      </c>
      <c r="L113" s="8">
        <f t="shared" si="9"/>
        <v>2465.4186886938564</v>
      </c>
      <c r="M113" s="8">
        <f t="shared" si="10"/>
        <v>9307.34</v>
      </c>
      <c r="N113" s="8">
        <f t="shared" si="11"/>
        <v>9304.758688693857</v>
      </c>
      <c r="O113" s="14" t="s">
        <v>67</v>
      </c>
      <c r="P113" s="13"/>
    </row>
  </sheetData>
  <mergeCells count="29">
    <mergeCell ref="H18:H19"/>
    <mergeCell ref="I18:I19"/>
    <mergeCell ref="A17:F17"/>
    <mergeCell ref="A22:G22"/>
    <mergeCell ref="O1:P1"/>
    <mergeCell ref="A1:G1"/>
    <mergeCell ref="L1:M1"/>
    <mergeCell ref="H15:H16"/>
    <mergeCell ref="I15:I16"/>
    <mergeCell ref="B18:B19"/>
    <mergeCell ref="C18:C19"/>
    <mergeCell ref="D18:D19"/>
    <mergeCell ref="E18:E19"/>
    <mergeCell ref="H37:H38"/>
    <mergeCell ref="B40:B41"/>
    <mergeCell ref="C40:C41"/>
    <mergeCell ref="D40:D41"/>
    <mergeCell ref="E40:E41"/>
    <mergeCell ref="H40:H41"/>
    <mergeCell ref="A73:G73"/>
    <mergeCell ref="A75:G75"/>
    <mergeCell ref="A42:G42"/>
    <mergeCell ref="A44:G44"/>
    <mergeCell ref="H68:H69"/>
    <mergeCell ref="B71:B72"/>
    <mergeCell ref="C71:C72"/>
    <mergeCell ref="D71:D72"/>
    <mergeCell ref="E71:E72"/>
    <mergeCell ref="H71:H7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47"/>
  <sheetViews>
    <sheetView zoomScale="50" zoomScaleNormal="50" workbookViewId="0">
      <selection activeCell="U113" sqref="U113"/>
    </sheetView>
  </sheetViews>
  <sheetFormatPr defaultColWidth="9.109375" defaultRowHeight="14.4" x14ac:dyDescent="0.3"/>
  <cols>
    <col min="1" max="1" width="24.6640625" bestFit="1" customWidth="1"/>
    <col min="2" max="2" width="11.44140625" bestFit="1" customWidth="1"/>
    <col min="3" max="3" width="12.109375" bestFit="1" customWidth="1"/>
    <col min="4" max="5" width="11.109375" bestFit="1" customWidth="1"/>
    <col min="6" max="6" width="9.44140625" bestFit="1" customWidth="1"/>
    <col min="7" max="7" width="12" bestFit="1" customWidth="1"/>
    <col min="8" max="8" width="12.6640625" bestFit="1" customWidth="1"/>
    <col min="9" max="9" width="11.33203125" bestFit="1" customWidth="1"/>
    <col min="10" max="10" width="14.88671875" bestFit="1" customWidth="1"/>
    <col min="11" max="11" width="9.44140625" bestFit="1" customWidth="1"/>
    <col min="12" max="12" width="14.6640625" customWidth="1"/>
    <col min="13" max="13" width="14.33203125" customWidth="1"/>
    <col min="14" max="14" width="15" customWidth="1"/>
    <col min="15" max="16" width="11" bestFit="1" customWidth="1"/>
  </cols>
  <sheetData>
    <row r="1" spans="1:16" x14ac:dyDescent="0.3">
      <c r="B1" t="s">
        <v>4</v>
      </c>
      <c r="C1" t="s">
        <v>5</v>
      </c>
      <c r="D1" t="s">
        <v>45</v>
      </c>
      <c r="E1" t="s">
        <v>46</v>
      </c>
      <c r="F1" t="s">
        <v>8</v>
      </c>
      <c r="G1" t="s">
        <v>9</v>
      </c>
      <c r="H1" t="s">
        <v>18</v>
      </c>
    </row>
    <row r="2" spans="1:16" x14ac:dyDescent="0.3">
      <c r="A2" t="s">
        <v>20</v>
      </c>
      <c r="B2">
        <v>1448</v>
      </c>
      <c r="C2">
        <v>1459</v>
      </c>
      <c r="D2">
        <v>1449</v>
      </c>
      <c r="E2">
        <v>1460</v>
      </c>
      <c r="F2">
        <v>44329</v>
      </c>
      <c r="G2">
        <f>SQRT(F2)</f>
        <v>210.54453210663058</v>
      </c>
      <c r="H2" s="144">
        <f>F2/F3</f>
        <v>0.85333410333410331</v>
      </c>
    </row>
    <row r="3" spans="1:16" x14ac:dyDescent="0.3">
      <c r="A3" t="s">
        <v>21</v>
      </c>
      <c r="B3">
        <v>1475</v>
      </c>
      <c r="C3">
        <v>1491</v>
      </c>
      <c r="D3">
        <v>1476</v>
      </c>
      <c r="E3">
        <v>1492</v>
      </c>
      <c r="F3">
        <v>51948</v>
      </c>
      <c r="G3">
        <f>SQRT(F3)</f>
        <v>227.92103895867095</v>
      </c>
      <c r="H3" s="144"/>
    </row>
    <row r="4" spans="1:16" x14ac:dyDescent="0.3">
      <c r="H4" s="1"/>
    </row>
    <row r="5" spans="1:16" x14ac:dyDescent="0.3">
      <c r="A5" t="s">
        <v>79</v>
      </c>
    </row>
    <row r="7" spans="1:16" ht="15" thickBot="1" x14ac:dyDescent="0.35">
      <c r="A7" s="143" t="s">
        <v>83</v>
      </c>
      <c r="B7" s="143"/>
      <c r="C7" s="143"/>
      <c r="D7" s="143"/>
      <c r="E7" s="143"/>
      <c r="F7" s="143"/>
      <c r="G7" s="143"/>
    </row>
    <row r="8" spans="1:16" x14ac:dyDescent="0.3"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58</v>
      </c>
      <c r="I8" s="2"/>
      <c r="J8" s="3"/>
      <c r="K8" s="3"/>
      <c r="L8" s="3"/>
      <c r="M8" s="4" t="s">
        <v>60</v>
      </c>
      <c r="N8" s="4"/>
      <c r="O8" s="4" t="s">
        <v>44</v>
      </c>
      <c r="P8" s="5"/>
    </row>
    <row r="9" spans="1:16" x14ac:dyDescent="0.3">
      <c r="A9" t="s">
        <v>0</v>
      </c>
      <c r="B9">
        <v>760</v>
      </c>
      <c r="C9">
        <v>900</v>
      </c>
      <c r="D9">
        <v>761</v>
      </c>
      <c r="E9">
        <v>901</v>
      </c>
      <c r="F9">
        <v>159</v>
      </c>
      <c r="G9">
        <f t="shared" ref="G9:G14" si="0">SQRT(F9)</f>
        <v>12.609520212918492</v>
      </c>
      <c r="I9" s="6" t="s">
        <v>25</v>
      </c>
      <c r="J9" t="s">
        <v>26</v>
      </c>
      <c r="K9" t="s">
        <v>59</v>
      </c>
      <c r="L9" t="s">
        <v>29</v>
      </c>
      <c r="M9" t="s">
        <v>32</v>
      </c>
      <c r="N9" t="s">
        <v>33</v>
      </c>
      <c r="O9" t="s">
        <v>32</v>
      </c>
      <c r="P9" s="10" t="s">
        <v>33</v>
      </c>
    </row>
    <row r="10" spans="1:16" x14ac:dyDescent="0.3">
      <c r="A10" t="s">
        <v>1</v>
      </c>
      <c r="B10">
        <v>901</v>
      </c>
      <c r="C10">
        <v>1100</v>
      </c>
      <c r="D10">
        <v>902</v>
      </c>
      <c r="E10">
        <v>1101</v>
      </c>
      <c r="F10">
        <v>433</v>
      </c>
      <c r="G10">
        <f t="shared" si="0"/>
        <v>20.808652046684813</v>
      </c>
      <c r="I10" s="6">
        <v>832.8</v>
      </c>
      <c r="J10">
        <v>2.2000000000000002</v>
      </c>
      <c r="K10">
        <v>7.0900000000000005E-2</v>
      </c>
      <c r="L10">
        <f t="shared" ref="L10:L15" si="1">I10-1/K10</f>
        <v>818.69562764456975</v>
      </c>
      <c r="M10">
        <f t="shared" ref="M10:M15" si="2">I10+6130.64+1454.23</f>
        <v>8417.67</v>
      </c>
      <c r="N10">
        <f t="shared" ref="N10:N15" si="3">L10+6130.64+1454.23</f>
        <v>8403.5656276445698</v>
      </c>
      <c r="O10" s="11" t="s">
        <v>61</v>
      </c>
      <c r="P10" s="12" t="s">
        <v>62</v>
      </c>
    </row>
    <row r="11" spans="1:16" x14ac:dyDescent="0.3">
      <c r="A11" t="s">
        <v>2</v>
      </c>
      <c r="B11">
        <v>1120</v>
      </c>
      <c r="C11">
        <v>1300</v>
      </c>
      <c r="D11">
        <v>1121</v>
      </c>
      <c r="E11">
        <v>1301</v>
      </c>
      <c r="F11">
        <v>1396</v>
      </c>
      <c r="G11">
        <f t="shared" si="0"/>
        <v>37.363083384538811</v>
      </c>
      <c r="I11" s="6">
        <v>976.2</v>
      </c>
      <c r="J11">
        <v>1.4</v>
      </c>
      <c r="K11">
        <v>7.0900000000000005E-2</v>
      </c>
      <c r="L11">
        <f t="shared" si="1"/>
        <v>962.09562764456984</v>
      </c>
      <c r="M11">
        <f t="shared" si="2"/>
        <v>8561.07</v>
      </c>
      <c r="N11">
        <f t="shared" si="3"/>
        <v>8546.9656276445694</v>
      </c>
      <c r="O11" s="11" t="s">
        <v>63</v>
      </c>
      <c r="P11" s="12"/>
    </row>
    <row r="12" spans="1:16" x14ac:dyDescent="0.3">
      <c r="A12" t="s">
        <v>3</v>
      </c>
      <c r="B12">
        <v>1301</v>
      </c>
      <c r="C12">
        <v>1450</v>
      </c>
      <c r="D12">
        <v>1302</v>
      </c>
      <c r="E12">
        <v>1451</v>
      </c>
      <c r="F12">
        <v>499</v>
      </c>
      <c r="G12">
        <f t="shared" si="0"/>
        <v>22.338307903688676</v>
      </c>
      <c r="I12" s="6">
        <v>1225</v>
      </c>
      <c r="J12">
        <v>0.8</v>
      </c>
      <c r="K12">
        <v>7.0900000000000005E-2</v>
      </c>
      <c r="L12">
        <f t="shared" si="1"/>
        <v>1210.8956276445699</v>
      </c>
      <c r="M12">
        <f t="shared" si="2"/>
        <v>8809.8700000000008</v>
      </c>
      <c r="N12">
        <f t="shared" si="3"/>
        <v>8795.7656276445705</v>
      </c>
      <c r="O12" s="11" t="s">
        <v>65</v>
      </c>
      <c r="P12" s="12" t="s">
        <v>80</v>
      </c>
    </row>
    <row r="13" spans="1:16" x14ac:dyDescent="0.3">
      <c r="A13" t="s">
        <v>10</v>
      </c>
      <c r="B13">
        <v>1570</v>
      </c>
      <c r="C13">
        <v>1740</v>
      </c>
      <c r="D13">
        <v>1571</v>
      </c>
      <c r="E13">
        <v>1741</v>
      </c>
      <c r="F13">
        <v>354</v>
      </c>
      <c r="G13">
        <f t="shared" si="0"/>
        <v>18.814887722226779</v>
      </c>
      <c r="I13" s="6">
        <v>1375</v>
      </c>
      <c r="J13">
        <v>1.5</v>
      </c>
      <c r="K13">
        <v>7.0900000000000005E-2</v>
      </c>
      <c r="L13">
        <f t="shared" si="1"/>
        <v>1360.8956276445699</v>
      </c>
      <c r="M13">
        <f t="shared" si="2"/>
        <v>8959.8700000000008</v>
      </c>
      <c r="N13">
        <f t="shared" si="3"/>
        <v>8945.7656276445705</v>
      </c>
      <c r="O13" s="11" t="s">
        <v>66</v>
      </c>
      <c r="P13" s="12"/>
    </row>
    <row r="14" spans="1:16" x14ac:dyDescent="0.3">
      <c r="A14" t="s">
        <v>11</v>
      </c>
      <c r="B14">
        <v>1750</v>
      </c>
      <c r="C14">
        <v>1870</v>
      </c>
      <c r="D14">
        <v>1751</v>
      </c>
      <c r="E14">
        <v>1871</v>
      </c>
      <c r="F14">
        <v>79</v>
      </c>
      <c r="G14">
        <f t="shared" si="0"/>
        <v>8.8881944173155887</v>
      </c>
      <c r="I14" s="6">
        <v>1643</v>
      </c>
      <c r="J14">
        <v>1.8</v>
      </c>
      <c r="K14">
        <v>7.0900000000000005E-2</v>
      </c>
      <c r="L14">
        <f t="shared" si="1"/>
        <v>1628.8956276445699</v>
      </c>
      <c r="M14">
        <f t="shared" si="2"/>
        <v>9227.8700000000008</v>
      </c>
      <c r="N14">
        <f t="shared" si="3"/>
        <v>9213.7656276445705</v>
      </c>
      <c r="O14" s="11" t="s">
        <v>81</v>
      </c>
      <c r="P14" s="12"/>
    </row>
    <row r="15" spans="1:16" x14ac:dyDescent="0.3">
      <c r="I15" s="6">
        <v>1810</v>
      </c>
      <c r="J15">
        <v>4.8</v>
      </c>
      <c r="K15">
        <v>7.0900000000000005E-2</v>
      </c>
      <c r="L15">
        <f t="shared" si="1"/>
        <v>1795.8956276445699</v>
      </c>
      <c r="M15">
        <f t="shared" si="2"/>
        <v>9394.8700000000008</v>
      </c>
      <c r="N15">
        <f t="shared" si="3"/>
        <v>9380.7656276445705</v>
      </c>
      <c r="O15" s="11"/>
      <c r="P15" s="12"/>
    </row>
    <row r="16" spans="1:16" x14ac:dyDescent="0.3">
      <c r="I16" s="6" t="s">
        <v>25</v>
      </c>
      <c r="J16" t="s">
        <v>26</v>
      </c>
      <c r="K16" t="s">
        <v>59</v>
      </c>
      <c r="L16" t="s">
        <v>29</v>
      </c>
      <c r="M16" t="s">
        <v>32</v>
      </c>
      <c r="N16" t="s">
        <v>33</v>
      </c>
      <c r="O16" t="s">
        <v>32</v>
      </c>
      <c r="P16" s="10" t="s">
        <v>33</v>
      </c>
    </row>
    <row r="17" spans="9:16" x14ac:dyDescent="0.3">
      <c r="I17" s="6"/>
      <c r="O17" s="11"/>
      <c r="P17" s="12"/>
    </row>
    <row r="18" spans="9:16" x14ac:dyDescent="0.3">
      <c r="I18" s="6"/>
      <c r="O18" s="11"/>
      <c r="P18" s="12"/>
    </row>
    <row r="19" spans="9:16" x14ac:dyDescent="0.3">
      <c r="I19" s="6"/>
      <c r="O19" s="11"/>
      <c r="P19" s="12"/>
    </row>
    <row r="20" spans="9:16" x14ac:dyDescent="0.3">
      <c r="I20" s="6"/>
      <c r="O20" s="11"/>
      <c r="P20" s="12"/>
    </row>
    <row r="21" spans="9:16" x14ac:dyDescent="0.3">
      <c r="I21" s="6"/>
      <c r="O21" s="11"/>
      <c r="P21" s="12"/>
    </row>
    <row r="22" spans="9:16" ht="15" thickBot="1" x14ac:dyDescent="0.35">
      <c r="I22" s="7"/>
      <c r="J22" s="8"/>
      <c r="K22" s="8"/>
      <c r="L22" s="8"/>
      <c r="M22" s="8"/>
      <c r="N22" s="8"/>
      <c r="O22" s="8"/>
      <c r="P22" s="13"/>
    </row>
    <row r="23" spans="9:16" x14ac:dyDescent="0.3">
      <c r="I23" s="2"/>
      <c r="J23" s="3"/>
      <c r="K23" s="3"/>
      <c r="L23" s="3"/>
      <c r="M23" s="4" t="s">
        <v>60</v>
      </c>
      <c r="N23" s="4"/>
      <c r="O23" s="4" t="s">
        <v>44</v>
      </c>
      <c r="P23" s="5"/>
    </row>
    <row r="24" spans="9:16" x14ac:dyDescent="0.3">
      <c r="I24" s="6" t="s">
        <v>25</v>
      </c>
      <c r="J24" t="s">
        <v>26</v>
      </c>
      <c r="K24" t="s">
        <v>59</v>
      </c>
      <c r="L24" t="s">
        <v>29</v>
      </c>
      <c r="M24" t="s">
        <v>32</v>
      </c>
      <c r="N24" t="s">
        <v>33</v>
      </c>
      <c r="O24" t="s">
        <v>32</v>
      </c>
      <c r="P24" s="10" t="s">
        <v>33</v>
      </c>
    </row>
    <row r="25" spans="9:16" x14ac:dyDescent="0.3">
      <c r="I25" s="6"/>
      <c r="O25" s="11"/>
      <c r="P25" s="12"/>
    </row>
    <row r="26" spans="9:16" x14ac:dyDescent="0.3">
      <c r="I26" s="6"/>
      <c r="O26" s="11"/>
      <c r="P26" s="12"/>
    </row>
    <row r="27" spans="9:16" x14ac:dyDescent="0.3">
      <c r="I27" s="6"/>
      <c r="O27" s="11"/>
      <c r="P27" s="12"/>
    </row>
    <row r="28" spans="9:16" x14ac:dyDescent="0.3">
      <c r="I28" s="6"/>
      <c r="O28" s="11"/>
      <c r="P28" s="12"/>
    </row>
    <row r="29" spans="9:16" x14ac:dyDescent="0.3">
      <c r="I29" s="6"/>
      <c r="O29" s="11"/>
      <c r="P29" s="12"/>
    </row>
    <row r="30" spans="9:16" ht="15" thickBot="1" x14ac:dyDescent="0.35">
      <c r="I30" s="7"/>
      <c r="J30" s="8"/>
      <c r="K30" s="8"/>
      <c r="L30" s="8"/>
      <c r="M30" s="8"/>
      <c r="N30" s="8"/>
      <c r="O30" s="14"/>
      <c r="P30" s="13"/>
    </row>
    <row r="32" spans="9:16" s="15" customFormat="1" x14ac:dyDescent="0.3"/>
    <row r="34" spans="1:16" x14ac:dyDescent="0.3">
      <c r="B34" t="s">
        <v>4</v>
      </c>
      <c r="C34" t="s">
        <v>5</v>
      </c>
      <c r="D34" t="s">
        <v>45</v>
      </c>
      <c r="E34" t="s">
        <v>46</v>
      </c>
      <c r="F34" t="s">
        <v>8</v>
      </c>
      <c r="G34" t="s">
        <v>9</v>
      </c>
      <c r="H34" t="s">
        <v>18</v>
      </c>
    </row>
    <row r="35" spans="1:16" x14ac:dyDescent="0.3">
      <c r="A35" t="s">
        <v>20</v>
      </c>
      <c r="B35">
        <v>1448</v>
      </c>
      <c r="C35">
        <v>1459</v>
      </c>
      <c r="D35">
        <v>1449</v>
      </c>
      <c r="E35">
        <v>1460</v>
      </c>
      <c r="F35">
        <v>44329</v>
      </c>
      <c r="G35">
        <f>SQRT(F35)</f>
        <v>210.54453210663058</v>
      </c>
      <c r="H35" s="144">
        <f>F35/F36</f>
        <v>0.85333410333410331</v>
      </c>
    </row>
    <row r="36" spans="1:16" x14ac:dyDescent="0.3">
      <c r="A36" t="s">
        <v>21</v>
      </c>
      <c r="B36">
        <v>1475</v>
      </c>
      <c r="C36">
        <v>1491</v>
      </c>
      <c r="D36">
        <v>1476</v>
      </c>
      <c r="E36">
        <v>1492</v>
      </c>
      <c r="F36">
        <v>51948</v>
      </c>
      <c r="G36">
        <f>SQRT(F36)</f>
        <v>227.92103895867095</v>
      </c>
      <c r="H36" s="144"/>
    </row>
    <row r="37" spans="1:16" ht="15" thickBot="1" x14ac:dyDescent="0.35">
      <c r="H37" s="1"/>
    </row>
    <row r="38" spans="1:16" x14ac:dyDescent="0.3">
      <c r="A38" s="2" t="s">
        <v>49</v>
      </c>
      <c r="B38" s="145">
        <v>1000</v>
      </c>
      <c r="C38" s="145">
        <v>1040</v>
      </c>
      <c r="D38" s="145">
        <v>1001</v>
      </c>
      <c r="E38" s="145">
        <v>1041</v>
      </c>
      <c r="F38" s="3">
        <v>266</v>
      </c>
      <c r="G38" s="3">
        <f>SQRT(F38)</f>
        <v>16.30950643030009</v>
      </c>
      <c r="H38" s="147">
        <f>F38/F39</f>
        <v>1.3434343434343434</v>
      </c>
    </row>
    <row r="39" spans="1:16" ht="15" thickBot="1" x14ac:dyDescent="0.35">
      <c r="A39" s="7" t="s">
        <v>52</v>
      </c>
      <c r="B39" s="146"/>
      <c r="C39" s="146"/>
      <c r="D39" s="146"/>
      <c r="E39" s="146"/>
      <c r="F39" s="8">
        <v>198</v>
      </c>
      <c r="G39" s="8">
        <f>SQRT(F39)</f>
        <v>14.071247279470288</v>
      </c>
      <c r="H39" s="141"/>
    </row>
    <row r="41" spans="1:16" ht="15" thickBot="1" x14ac:dyDescent="0.35">
      <c r="A41" s="143" t="s">
        <v>83</v>
      </c>
      <c r="B41" s="143"/>
      <c r="C41" s="143"/>
      <c r="D41" s="143"/>
      <c r="E41" s="143"/>
      <c r="F41" s="143"/>
      <c r="G41" s="143"/>
    </row>
    <row r="42" spans="1:16" x14ac:dyDescent="0.3">
      <c r="B42" t="s">
        <v>4</v>
      </c>
      <c r="C42" t="s">
        <v>5</v>
      </c>
      <c r="D42" t="s">
        <v>6</v>
      </c>
      <c r="E42" t="s">
        <v>7</v>
      </c>
      <c r="F42" t="s">
        <v>8</v>
      </c>
      <c r="G42" t="s">
        <v>9</v>
      </c>
      <c r="H42" t="s">
        <v>58</v>
      </c>
      <c r="I42" s="2"/>
      <c r="J42" s="3"/>
      <c r="K42" s="3"/>
      <c r="L42" s="3"/>
      <c r="M42" s="4" t="s">
        <v>60</v>
      </c>
      <c r="N42" s="4"/>
      <c r="O42" s="4" t="s">
        <v>44</v>
      </c>
      <c r="P42" s="5"/>
    </row>
    <row r="43" spans="1:16" x14ac:dyDescent="0.3">
      <c r="A43" t="s">
        <v>0</v>
      </c>
      <c r="B43">
        <v>760</v>
      </c>
      <c r="C43">
        <v>900</v>
      </c>
      <c r="D43">
        <v>761</v>
      </c>
      <c r="E43">
        <v>901</v>
      </c>
      <c r="F43">
        <v>135.30303000000001</v>
      </c>
      <c r="G43">
        <f t="shared" ref="G43:G48" si="4">SQRT(F43)</f>
        <v>11.631983063949157</v>
      </c>
      <c r="I43" s="6" t="s">
        <v>25</v>
      </c>
      <c r="J43" t="s">
        <v>26</v>
      </c>
      <c r="K43" t="s">
        <v>59</v>
      </c>
      <c r="L43" t="s">
        <v>29</v>
      </c>
      <c r="M43" t="s">
        <v>32</v>
      </c>
      <c r="N43" t="s">
        <v>33</v>
      </c>
      <c r="O43" t="s">
        <v>32</v>
      </c>
      <c r="P43" s="10" t="s">
        <v>33</v>
      </c>
    </row>
    <row r="44" spans="1:16" x14ac:dyDescent="0.3">
      <c r="A44" t="s">
        <v>1</v>
      </c>
      <c r="B44">
        <v>901</v>
      </c>
      <c r="C44">
        <v>1014</v>
      </c>
      <c r="D44">
        <v>902</v>
      </c>
      <c r="E44">
        <v>1015</v>
      </c>
      <c r="F44">
        <v>357.66667000000001</v>
      </c>
      <c r="G44">
        <f t="shared" si="4"/>
        <v>18.912077358132819</v>
      </c>
      <c r="I44" s="6">
        <v>831.9</v>
      </c>
      <c r="J44">
        <v>2</v>
      </c>
      <c r="K44">
        <v>0.4491</v>
      </c>
      <c r="L44">
        <f t="shared" ref="L44:L49" si="5">I44-1/K44</f>
        <v>829.67332442663098</v>
      </c>
      <c r="M44">
        <f t="shared" ref="M44:M49" si="6">I44+6130.64+1454.23</f>
        <v>8416.77</v>
      </c>
      <c r="N44">
        <f t="shared" ref="N44:N49" si="7">L44+6130.64+1454.23</f>
        <v>8414.5433244266314</v>
      </c>
      <c r="O44" s="11"/>
      <c r="P44" s="12"/>
    </row>
    <row r="45" spans="1:16" x14ac:dyDescent="0.3">
      <c r="A45" t="s">
        <v>2</v>
      </c>
      <c r="B45">
        <v>1150</v>
      </c>
      <c r="C45">
        <v>1300</v>
      </c>
      <c r="D45">
        <v>1151</v>
      </c>
      <c r="E45">
        <v>1301</v>
      </c>
      <c r="F45">
        <v>1359.9798000000001</v>
      </c>
      <c r="G45">
        <f t="shared" si="4"/>
        <v>36.877903953451586</v>
      </c>
      <c r="I45" s="6">
        <v>970.2</v>
      </c>
      <c r="J45">
        <v>1.3</v>
      </c>
      <c r="K45">
        <v>0.4491</v>
      </c>
      <c r="L45">
        <f t="shared" si="5"/>
        <v>967.97332442663105</v>
      </c>
      <c r="M45">
        <f t="shared" si="6"/>
        <v>8555.07</v>
      </c>
      <c r="N45">
        <f t="shared" si="7"/>
        <v>8552.8433244266307</v>
      </c>
      <c r="O45" s="11"/>
      <c r="P45" s="12"/>
    </row>
    <row r="46" spans="1:16" x14ac:dyDescent="0.3">
      <c r="A46" t="s">
        <v>3</v>
      </c>
      <c r="B46">
        <v>1310</v>
      </c>
      <c r="C46">
        <v>1450</v>
      </c>
      <c r="D46">
        <v>1311</v>
      </c>
      <c r="E46">
        <v>1451</v>
      </c>
      <c r="F46">
        <v>492.28282999999999</v>
      </c>
      <c r="G46">
        <f t="shared" si="4"/>
        <v>22.18744757740286</v>
      </c>
      <c r="I46" s="6">
        <v>1224</v>
      </c>
      <c r="J46">
        <v>0.7</v>
      </c>
      <c r="K46">
        <v>0.4491</v>
      </c>
      <c r="L46">
        <f t="shared" si="5"/>
        <v>1221.773324426631</v>
      </c>
      <c r="M46">
        <f t="shared" si="6"/>
        <v>8808.8700000000008</v>
      </c>
      <c r="N46">
        <f t="shared" si="7"/>
        <v>8806.6433244266318</v>
      </c>
      <c r="O46" s="11"/>
      <c r="P46" s="12"/>
    </row>
    <row r="47" spans="1:16" x14ac:dyDescent="0.3">
      <c r="A47" t="s">
        <v>10</v>
      </c>
      <c r="B47">
        <v>1570</v>
      </c>
      <c r="C47">
        <v>1740</v>
      </c>
      <c r="D47">
        <v>1571</v>
      </c>
      <c r="E47">
        <v>1741</v>
      </c>
      <c r="F47">
        <v>347.13130999999998</v>
      </c>
      <c r="G47">
        <f t="shared" si="4"/>
        <v>18.631460221893505</v>
      </c>
      <c r="I47" s="6">
        <v>1374</v>
      </c>
      <c r="J47">
        <v>1.4</v>
      </c>
      <c r="K47">
        <v>0.4491</v>
      </c>
      <c r="L47">
        <f t="shared" si="5"/>
        <v>1371.773324426631</v>
      </c>
      <c r="M47">
        <f t="shared" si="6"/>
        <v>8958.8700000000008</v>
      </c>
      <c r="N47">
        <f t="shared" si="7"/>
        <v>8956.6433244266318</v>
      </c>
      <c r="O47" s="11"/>
      <c r="P47" s="12"/>
    </row>
    <row r="48" spans="1:16" x14ac:dyDescent="0.3">
      <c r="A48" t="s">
        <v>11</v>
      </c>
      <c r="B48">
        <v>1750</v>
      </c>
      <c r="C48">
        <v>1870</v>
      </c>
      <c r="D48">
        <v>1751</v>
      </c>
      <c r="E48">
        <v>1871</v>
      </c>
      <c r="F48">
        <v>76.939393999999993</v>
      </c>
      <c r="G48">
        <f t="shared" si="4"/>
        <v>8.7715103602515345</v>
      </c>
      <c r="I48" s="6">
        <v>1643</v>
      </c>
      <c r="J48">
        <v>1.9</v>
      </c>
      <c r="K48">
        <v>0.4491</v>
      </c>
      <c r="L48">
        <f t="shared" si="5"/>
        <v>1640.773324426631</v>
      </c>
      <c r="M48">
        <f t="shared" si="6"/>
        <v>9227.8700000000008</v>
      </c>
      <c r="N48">
        <f t="shared" si="7"/>
        <v>9225.6433244266318</v>
      </c>
      <c r="O48" s="11"/>
      <c r="P48" s="12"/>
    </row>
    <row r="49" spans="1:16" x14ac:dyDescent="0.3">
      <c r="I49" s="6">
        <v>1809</v>
      </c>
      <c r="J49">
        <v>4.9000000000000004</v>
      </c>
      <c r="K49">
        <v>0.4491</v>
      </c>
      <c r="L49">
        <f t="shared" si="5"/>
        <v>1806.773324426631</v>
      </c>
      <c r="M49">
        <f t="shared" si="6"/>
        <v>9393.8700000000008</v>
      </c>
      <c r="N49">
        <f t="shared" si="7"/>
        <v>9391.6433244266318</v>
      </c>
      <c r="O49" s="11"/>
      <c r="P49" s="12"/>
    </row>
    <row r="50" spans="1:16" x14ac:dyDescent="0.3">
      <c r="A50" t="s">
        <v>16</v>
      </c>
      <c r="I50" s="6"/>
      <c r="O50" s="11"/>
      <c r="P50" s="12"/>
    </row>
    <row r="51" spans="1:16" x14ac:dyDescent="0.3">
      <c r="A51" t="s">
        <v>82</v>
      </c>
      <c r="I51" s="6"/>
      <c r="O51" s="11"/>
      <c r="P51" s="12"/>
    </row>
    <row r="52" spans="1:16" x14ac:dyDescent="0.3">
      <c r="I52" s="6"/>
      <c r="O52" s="11"/>
      <c r="P52" s="12"/>
    </row>
    <row r="53" spans="1:16" x14ac:dyDescent="0.3">
      <c r="I53" s="6"/>
      <c r="O53" s="11"/>
      <c r="P53" s="12"/>
    </row>
    <row r="54" spans="1:16" ht="15" thickBot="1" x14ac:dyDescent="0.35">
      <c r="I54" s="7"/>
      <c r="J54" s="8"/>
      <c r="K54" s="8"/>
      <c r="L54" s="8"/>
      <c r="M54" s="8"/>
      <c r="N54" s="8"/>
      <c r="O54" s="8"/>
      <c r="P54" s="13"/>
    </row>
    <row r="55" spans="1:16" x14ac:dyDescent="0.3">
      <c r="I55" s="6" t="s">
        <v>25</v>
      </c>
      <c r="J55" t="s">
        <v>26</v>
      </c>
      <c r="K55" t="s">
        <v>59</v>
      </c>
      <c r="L55" t="s">
        <v>29</v>
      </c>
      <c r="M55" t="s">
        <v>32</v>
      </c>
      <c r="N55" t="s">
        <v>33</v>
      </c>
      <c r="O55" t="s">
        <v>32</v>
      </c>
      <c r="P55" s="10" t="s">
        <v>33</v>
      </c>
    </row>
    <row r="56" spans="1:16" x14ac:dyDescent="0.3">
      <c r="I56" s="6"/>
      <c r="P56" s="10"/>
    </row>
    <row r="57" spans="1:16" x14ac:dyDescent="0.3">
      <c r="I57" s="6"/>
      <c r="P57" s="10"/>
    </row>
    <row r="58" spans="1:16" x14ac:dyDescent="0.3">
      <c r="I58" s="6"/>
      <c r="P58" s="10"/>
    </row>
    <row r="59" spans="1:16" x14ac:dyDescent="0.3">
      <c r="I59" s="6"/>
      <c r="P59" s="10"/>
    </row>
    <row r="60" spans="1:16" x14ac:dyDescent="0.3">
      <c r="I60" s="6"/>
      <c r="P60" s="10"/>
    </row>
    <row r="61" spans="1:16" ht="15" thickBot="1" x14ac:dyDescent="0.35">
      <c r="I61" s="6"/>
      <c r="O61" s="11"/>
      <c r="P61" s="12"/>
    </row>
    <row r="62" spans="1:16" x14ac:dyDescent="0.3">
      <c r="I62" s="2"/>
      <c r="J62" s="3"/>
      <c r="K62" s="3"/>
      <c r="L62" s="3"/>
      <c r="M62" s="4" t="s">
        <v>60</v>
      </c>
      <c r="N62" s="4"/>
      <c r="O62" s="4" t="s">
        <v>44</v>
      </c>
      <c r="P62" s="5"/>
    </row>
    <row r="63" spans="1:16" x14ac:dyDescent="0.3">
      <c r="I63" s="6" t="s">
        <v>25</v>
      </c>
      <c r="J63" t="s">
        <v>26</v>
      </c>
      <c r="K63" t="s">
        <v>59</v>
      </c>
      <c r="L63" t="s">
        <v>29</v>
      </c>
      <c r="M63" t="s">
        <v>32</v>
      </c>
      <c r="N63" t="s">
        <v>33</v>
      </c>
      <c r="O63" t="s">
        <v>32</v>
      </c>
      <c r="P63" s="10" t="s">
        <v>33</v>
      </c>
    </row>
    <row r="64" spans="1:16" x14ac:dyDescent="0.3">
      <c r="I64" s="6"/>
      <c r="O64" s="11"/>
      <c r="P64" s="12"/>
    </row>
    <row r="65" spans="1:16" x14ac:dyDescent="0.3">
      <c r="I65" s="6"/>
      <c r="O65" s="11"/>
      <c r="P65" s="12"/>
    </row>
    <row r="66" spans="1:16" x14ac:dyDescent="0.3">
      <c r="I66" s="6"/>
      <c r="O66" s="11"/>
      <c r="P66" s="12"/>
    </row>
    <row r="67" spans="1:16" x14ac:dyDescent="0.3">
      <c r="I67" s="6"/>
      <c r="O67" s="11"/>
      <c r="P67" s="12"/>
    </row>
    <row r="68" spans="1:16" x14ac:dyDescent="0.3">
      <c r="I68" s="6"/>
      <c r="O68" s="11"/>
      <c r="P68" s="12"/>
    </row>
    <row r="69" spans="1:16" ht="15" thickBot="1" x14ac:dyDescent="0.35">
      <c r="I69" s="7"/>
      <c r="J69" s="8"/>
      <c r="K69" s="8"/>
      <c r="L69" s="8"/>
      <c r="M69" s="8"/>
      <c r="N69" s="8"/>
      <c r="O69" s="14"/>
      <c r="P69" s="13"/>
    </row>
    <row r="71" spans="1:16" s="15" customFormat="1" x14ac:dyDescent="0.3"/>
    <row r="73" spans="1:16" x14ac:dyDescent="0.3">
      <c r="B73" t="s">
        <v>4</v>
      </c>
      <c r="C73" t="s">
        <v>5</v>
      </c>
      <c r="D73" t="s">
        <v>45</v>
      </c>
      <c r="E73" t="s">
        <v>46</v>
      </c>
      <c r="F73" t="s">
        <v>8</v>
      </c>
      <c r="G73" t="s">
        <v>9</v>
      </c>
      <c r="H73" t="s">
        <v>18</v>
      </c>
    </row>
    <row r="74" spans="1:16" x14ac:dyDescent="0.3">
      <c r="A74" t="s">
        <v>20</v>
      </c>
      <c r="B74">
        <v>1448</v>
      </c>
      <c r="C74">
        <v>1459</v>
      </c>
      <c r="D74">
        <v>1449</v>
      </c>
      <c r="E74">
        <v>1460</v>
      </c>
      <c r="F74">
        <v>44329</v>
      </c>
      <c r="G74">
        <f>SQRT(F74)</f>
        <v>210.54453210663058</v>
      </c>
      <c r="H74" s="144">
        <f>F74/F75</f>
        <v>0.85333410333410331</v>
      </c>
    </row>
    <row r="75" spans="1:16" x14ac:dyDescent="0.3">
      <c r="A75" t="s">
        <v>21</v>
      </c>
      <c r="B75">
        <v>1475</v>
      </c>
      <c r="C75">
        <v>1491</v>
      </c>
      <c r="D75">
        <v>1476</v>
      </c>
      <c r="E75">
        <v>1492</v>
      </c>
      <c r="F75">
        <v>51948</v>
      </c>
      <c r="G75">
        <f>SQRT(F75)</f>
        <v>227.92103895867095</v>
      </c>
      <c r="H75" s="144"/>
    </row>
    <row r="76" spans="1:16" ht="15" thickBot="1" x14ac:dyDescent="0.35">
      <c r="H76" s="1"/>
    </row>
    <row r="77" spans="1:16" x14ac:dyDescent="0.3">
      <c r="A77" s="2" t="s">
        <v>49</v>
      </c>
      <c r="B77" s="145">
        <v>1000</v>
      </c>
      <c r="C77" s="145">
        <v>1040</v>
      </c>
      <c r="D77" s="145">
        <v>1001</v>
      </c>
      <c r="E77" s="145">
        <v>1041</v>
      </c>
      <c r="F77" s="3">
        <v>266</v>
      </c>
      <c r="G77" s="3">
        <f>SQRT(F77)</f>
        <v>16.30950643030009</v>
      </c>
      <c r="H77" s="147">
        <f>F77/F78</f>
        <v>0.73480662983425415</v>
      </c>
    </row>
    <row r="78" spans="1:16" ht="15" thickBot="1" x14ac:dyDescent="0.35">
      <c r="A78" s="7" t="s">
        <v>52</v>
      </c>
      <c r="B78" s="146"/>
      <c r="C78" s="146"/>
      <c r="D78" s="146"/>
      <c r="E78" s="146"/>
      <c r="F78" s="8">
        <v>362</v>
      </c>
      <c r="G78" s="8">
        <f>SQRT(F78)</f>
        <v>19.026297590440446</v>
      </c>
      <c r="H78" s="141"/>
    </row>
    <row r="80" spans="1:16" ht="15" thickBot="1" x14ac:dyDescent="0.35">
      <c r="A80" s="143" t="s">
        <v>83</v>
      </c>
      <c r="B80" s="143"/>
      <c r="C80" s="143"/>
      <c r="D80" s="143"/>
      <c r="E80" s="143"/>
      <c r="F80" s="143"/>
      <c r="G80" s="143"/>
    </row>
    <row r="81" spans="1:16" x14ac:dyDescent="0.3">
      <c r="B81" t="s">
        <v>4</v>
      </c>
      <c r="C81" t="s">
        <v>5</v>
      </c>
      <c r="D81" t="s">
        <v>6</v>
      </c>
      <c r="E81" t="s">
        <v>7</v>
      </c>
      <c r="F81" t="s">
        <v>8</v>
      </c>
      <c r="G81" t="s">
        <v>9</v>
      </c>
      <c r="H81" t="s">
        <v>58</v>
      </c>
      <c r="I81" s="2"/>
      <c r="J81" s="3"/>
      <c r="K81" s="3"/>
      <c r="L81" s="3"/>
      <c r="M81" s="4" t="s">
        <v>60</v>
      </c>
      <c r="N81" s="4"/>
      <c r="O81" s="4" t="s">
        <v>44</v>
      </c>
      <c r="P81" s="5"/>
    </row>
    <row r="82" spans="1:16" x14ac:dyDescent="0.3">
      <c r="A82" t="s">
        <v>0</v>
      </c>
      <c r="B82">
        <v>760</v>
      </c>
      <c r="C82">
        <v>900</v>
      </c>
      <c r="D82">
        <v>761</v>
      </c>
      <c r="E82">
        <v>901</v>
      </c>
      <c r="F82">
        <v>138.35359</v>
      </c>
      <c r="G82">
        <f t="shared" ref="G82:G87" si="8">SQRT(F82)</f>
        <v>11.762380286319601</v>
      </c>
      <c r="I82" s="6" t="s">
        <v>25</v>
      </c>
      <c r="J82" t="s">
        <v>26</v>
      </c>
      <c r="K82" t="s">
        <v>59</v>
      </c>
      <c r="L82" t="s">
        <v>29</v>
      </c>
      <c r="M82" t="s">
        <v>32</v>
      </c>
      <c r="N82" t="s">
        <v>33</v>
      </c>
      <c r="O82" t="s">
        <v>32</v>
      </c>
      <c r="P82" s="10" t="s">
        <v>33</v>
      </c>
    </row>
    <row r="83" spans="1:16" x14ac:dyDescent="0.3">
      <c r="A83" t="s">
        <v>1</v>
      </c>
      <c r="B83">
        <v>901</v>
      </c>
      <c r="C83">
        <v>1014</v>
      </c>
      <c r="D83">
        <v>902</v>
      </c>
      <c r="E83">
        <v>1015</v>
      </c>
      <c r="F83">
        <v>357.68508000000003</v>
      </c>
      <c r="G83">
        <f t="shared" si="8"/>
        <v>18.912564077882195</v>
      </c>
      <c r="I83" s="6">
        <v>832.1</v>
      </c>
      <c r="J83">
        <v>2</v>
      </c>
      <c r="K83">
        <v>0.4365</v>
      </c>
      <c r="L83">
        <f t="shared" ref="L83:L88" si="9">I83-1/K83</f>
        <v>829.80904925544098</v>
      </c>
      <c r="M83">
        <f t="shared" ref="M83:M88" si="10">I83+6130.64+1454.23</f>
        <v>8416.9700000000012</v>
      </c>
      <c r="N83">
        <f t="shared" ref="N83:N88" si="11">L83+6130.64+1454.23</f>
        <v>8414.679049255441</v>
      </c>
      <c r="O83" s="11"/>
      <c r="P83" s="12"/>
    </row>
    <row r="84" spans="1:16" x14ac:dyDescent="0.3">
      <c r="A84" t="s">
        <v>2</v>
      </c>
      <c r="B84">
        <v>1150</v>
      </c>
      <c r="C84">
        <v>1300</v>
      </c>
      <c r="D84">
        <v>1151</v>
      </c>
      <c r="E84">
        <v>1301</v>
      </c>
      <c r="F84">
        <v>1360.7072000000001</v>
      </c>
      <c r="G84">
        <f t="shared" si="8"/>
        <v>36.887764909248702</v>
      </c>
      <c r="I84" s="6">
        <v>970.3</v>
      </c>
      <c r="J84">
        <v>1.2</v>
      </c>
      <c r="K84">
        <v>0.4365</v>
      </c>
      <c r="L84">
        <f t="shared" si="9"/>
        <v>968.00904925544091</v>
      </c>
      <c r="M84">
        <f t="shared" si="10"/>
        <v>8555.17</v>
      </c>
      <c r="N84">
        <f t="shared" si="11"/>
        <v>8552.8790492554417</v>
      </c>
      <c r="O84" s="11"/>
      <c r="P84" s="12"/>
    </row>
    <row r="85" spans="1:16" x14ac:dyDescent="0.3">
      <c r="A85" t="s">
        <v>3</v>
      </c>
      <c r="B85">
        <v>1310</v>
      </c>
      <c r="C85">
        <v>1450</v>
      </c>
      <c r="D85">
        <v>1311</v>
      </c>
      <c r="E85">
        <v>1451</v>
      </c>
      <c r="F85">
        <v>490.18232</v>
      </c>
      <c r="G85">
        <f t="shared" si="8"/>
        <v>22.140061427195725</v>
      </c>
      <c r="I85" s="6">
        <v>1224</v>
      </c>
      <c r="J85">
        <v>0.7</v>
      </c>
      <c r="K85">
        <v>0.4365</v>
      </c>
      <c r="L85">
        <f t="shared" si="9"/>
        <v>1221.709049255441</v>
      </c>
      <c r="M85">
        <f t="shared" si="10"/>
        <v>8808.8700000000008</v>
      </c>
      <c r="N85">
        <f t="shared" si="11"/>
        <v>8806.5790492554406</v>
      </c>
      <c r="O85" s="11"/>
      <c r="P85" s="12"/>
    </row>
    <row r="86" spans="1:16" x14ac:dyDescent="0.3">
      <c r="A86" t="s">
        <v>10</v>
      </c>
      <c r="B86">
        <v>1570</v>
      </c>
      <c r="C86">
        <v>1740</v>
      </c>
      <c r="D86">
        <v>1571</v>
      </c>
      <c r="E86">
        <v>1741</v>
      </c>
      <c r="F86">
        <v>348.28176999999999</v>
      </c>
      <c r="G86">
        <f t="shared" si="8"/>
        <v>18.662308806790225</v>
      </c>
      <c r="I86" s="6">
        <v>1374</v>
      </c>
      <c r="J86">
        <v>1.4</v>
      </c>
      <c r="K86">
        <v>0.4365</v>
      </c>
      <c r="L86">
        <f t="shared" si="9"/>
        <v>1371.709049255441</v>
      </c>
      <c r="M86">
        <f t="shared" si="10"/>
        <v>8958.8700000000008</v>
      </c>
      <c r="N86">
        <f t="shared" si="11"/>
        <v>8956.5790492554406</v>
      </c>
      <c r="O86" s="11"/>
      <c r="P86" s="12"/>
    </row>
    <row r="87" spans="1:16" x14ac:dyDescent="0.3">
      <c r="A87" t="s">
        <v>11</v>
      </c>
      <c r="B87">
        <v>1750</v>
      </c>
      <c r="C87">
        <v>1870</v>
      </c>
      <c r="D87">
        <v>1751</v>
      </c>
      <c r="E87">
        <v>1871</v>
      </c>
      <c r="F87">
        <v>76.182320000000004</v>
      </c>
      <c r="G87">
        <f t="shared" si="8"/>
        <v>8.7282483924324712</v>
      </c>
      <c r="I87" s="6">
        <v>1643</v>
      </c>
      <c r="J87">
        <v>1.8</v>
      </c>
      <c r="K87">
        <v>0.4365</v>
      </c>
      <c r="L87">
        <f t="shared" si="9"/>
        <v>1640.709049255441</v>
      </c>
      <c r="M87">
        <f t="shared" si="10"/>
        <v>9227.8700000000008</v>
      </c>
      <c r="N87">
        <f t="shared" si="11"/>
        <v>9225.5790492554406</v>
      </c>
      <c r="O87" s="11"/>
      <c r="P87" s="12"/>
    </row>
    <row r="88" spans="1:16" x14ac:dyDescent="0.3">
      <c r="I88" s="6">
        <v>1807</v>
      </c>
      <c r="J88">
        <v>4.9000000000000004</v>
      </c>
      <c r="K88">
        <v>0.4365</v>
      </c>
      <c r="L88">
        <f t="shared" si="9"/>
        <v>1804.709049255441</v>
      </c>
      <c r="M88">
        <f t="shared" si="10"/>
        <v>9391.8700000000008</v>
      </c>
      <c r="N88">
        <f t="shared" si="11"/>
        <v>9389.5790492554406</v>
      </c>
      <c r="O88" s="11"/>
      <c r="P88" s="12"/>
    </row>
    <row r="89" spans="1:16" x14ac:dyDescent="0.3">
      <c r="A89" t="s">
        <v>16</v>
      </c>
      <c r="I89" s="6"/>
      <c r="O89" s="11"/>
      <c r="P89" s="12"/>
    </row>
    <row r="90" spans="1:16" x14ac:dyDescent="0.3">
      <c r="A90" t="s">
        <v>82</v>
      </c>
      <c r="I90" s="6"/>
      <c r="O90" s="11"/>
      <c r="P90" s="12"/>
    </row>
    <row r="91" spans="1:16" x14ac:dyDescent="0.3">
      <c r="I91" s="6"/>
      <c r="O91" s="11"/>
      <c r="P91" s="12"/>
    </row>
    <row r="92" spans="1:16" x14ac:dyDescent="0.3">
      <c r="I92" s="6"/>
      <c r="O92" s="11"/>
      <c r="P92" s="12"/>
    </row>
    <row r="93" spans="1:16" ht="15" thickBot="1" x14ac:dyDescent="0.35">
      <c r="I93" s="7"/>
      <c r="J93" s="8"/>
      <c r="K93" s="8"/>
      <c r="L93" s="8"/>
      <c r="M93" s="8"/>
      <c r="N93" s="8"/>
      <c r="O93" s="8"/>
      <c r="P93" s="13"/>
    </row>
    <row r="94" spans="1:16" x14ac:dyDescent="0.3">
      <c r="I94" s="6" t="s">
        <v>25</v>
      </c>
      <c r="J94" t="s">
        <v>26</v>
      </c>
      <c r="K94" t="s">
        <v>59</v>
      </c>
      <c r="L94" t="s">
        <v>29</v>
      </c>
      <c r="M94" t="s">
        <v>32</v>
      </c>
      <c r="N94" t="s">
        <v>33</v>
      </c>
      <c r="O94" t="s">
        <v>32</v>
      </c>
      <c r="P94" s="10" t="s">
        <v>33</v>
      </c>
    </row>
    <row r="95" spans="1:16" x14ac:dyDescent="0.3">
      <c r="I95" s="6"/>
      <c r="P95" s="10"/>
    </row>
    <row r="96" spans="1:16" x14ac:dyDescent="0.3">
      <c r="I96" s="6"/>
      <c r="P96" s="10"/>
    </row>
    <row r="97" spans="2:16" x14ac:dyDescent="0.3">
      <c r="I97" s="6"/>
      <c r="P97" s="10"/>
    </row>
    <row r="98" spans="2:16" x14ac:dyDescent="0.3">
      <c r="I98" s="6"/>
      <c r="P98" s="10"/>
    </row>
    <row r="99" spans="2:16" x14ac:dyDescent="0.3">
      <c r="I99" s="6"/>
      <c r="P99" s="10"/>
    </row>
    <row r="100" spans="2:16" ht="15" thickBot="1" x14ac:dyDescent="0.35">
      <c r="I100" s="6"/>
      <c r="O100" s="11"/>
      <c r="P100" s="12"/>
    </row>
    <row r="101" spans="2:16" x14ac:dyDescent="0.3">
      <c r="I101" s="2"/>
      <c r="J101" s="3"/>
      <c r="K101" s="3"/>
      <c r="L101" s="3"/>
      <c r="M101" s="4" t="s">
        <v>60</v>
      </c>
      <c r="N101" s="4"/>
      <c r="O101" s="4" t="s">
        <v>44</v>
      </c>
      <c r="P101" s="5"/>
    </row>
    <row r="102" spans="2:16" x14ac:dyDescent="0.3">
      <c r="I102" s="6" t="s">
        <v>25</v>
      </c>
      <c r="J102" t="s">
        <v>26</v>
      </c>
      <c r="K102" t="s">
        <v>59</v>
      </c>
      <c r="L102" t="s">
        <v>29</v>
      </c>
      <c r="M102" t="s">
        <v>32</v>
      </c>
      <c r="N102" t="s">
        <v>33</v>
      </c>
      <c r="O102" t="s">
        <v>32</v>
      </c>
      <c r="P102" s="10" t="s">
        <v>33</v>
      </c>
    </row>
    <row r="103" spans="2:16" x14ac:dyDescent="0.3">
      <c r="I103" s="6"/>
      <c r="O103" s="11"/>
      <c r="P103" s="12"/>
    </row>
    <row r="104" spans="2:16" x14ac:dyDescent="0.3">
      <c r="I104" s="6"/>
      <c r="O104" s="11"/>
      <c r="P104" s="12"/>
    </row>
    <row r="105" spans="2:16" x14ac:dyDescent="0.3">
      <c r="I105" s="6"/>
      <c r="O105" s="11"/>
      <c r="P105" s="12"/>
    </row>
    <row r="106" spans="2:16" x14ac:dyDescent="0.3">
      <c r="I106" s="6"/>
      <c r="O106" s="11"/>
      <c r="P106" s="12"/>
    </row>
    <row r="107" spans="2:16" x14ac:dyDescent="0.3">
      <c r="I107" s="6"/>
      <c r="O107" s="11"/>
      <c r="P107" s="12"/>
    </row>
    <row r="108" spans="2:16" ht="15" thickBot="1" x14ac:dyDescent="0.35">
      <c r="I108" s="7"/>
      <c r="J108" s="8"/>
      <c r="K108" s="8"/>
      <c r="L108" s="8"/>
      <c r="M108" s="8"/>
      <c r="N108" s="8"/>
      <c r="O108" s="14"/>
      <c r="P108" s="13"/>
    </row>
    <row r="110" spans="2:16" s="15" customFormat="1" x14ac:dyDescent="0.3"/>
    <row r="112" spans="2:16" x14ac:dyDescent="0.3">
      <c r="B112" t="s">
        <v>4</v>
      </c>
      <c r="C112" t="s">
        <v>5</v>
      </c>
      <c r="D112" t="s">
        <v>45</v>
      </c>
      <c r="E112" t="s">
        <v>46</v>
      </c>
      <c r="F112" t="s">
        <v>8</v>
      </c>
      <c r="G112" t="s">
        <v>9</v>
      </c>
      <c r="H112" t="s">
        <v>18</v>
      </c>
    </row>
    <row r="113" spans="1:16" x14ac:dyDescent="0.3">
      <c r="A113" t="s">
        <v>20</v>
      </c>
      <c r="B113">
        <v>740</v>
      </c>
      <c r="C113">
        <v>751</v>
      </c>
      <c r="D113">
        <v>741</v>
      </c>
      <c r="E113">
        <v>751</v>
      </c>
      <c r="F113">
        <v>68484</v>
      </c>
      <c r="G113">
        <f>SQRT(F113)</f>
        <v>261.69447835214254</v>
      </c>
      <c r="H113" s="144">
        <f>F113/F114</f>
        <v>1.0293083235638922</v>
      </c>
    </row>
    <row r="114" spans="1:16" x14ac:dyDescent="0.3">
      <c r="A114" t="s">
        <v>21</v>
      </c>
      <c r="B114">
        <v>760</v>
      </c>
      <c r="C114">
        <v>771</v>
      </c>
      <c r="D114">
        <v>761</v>
      </c>
      <c r="E114">
        <v>772</v>
      </c>
      <c r="F114">
        <v>66534</v>
      </c>
      <c r="G114">
        <f>SQRT(F114)</f>
        <v>257.94185391285379</v>
      </c>
      <c r="H114" s="144"/>
    </row>
    <row r="115" spans="1:16" ht="15" thickBot="1" x14ac:dyDescent="0.35">
      <c r="H115" s="1"/>
    </row>
    <row r="116" spans="1:16" x14ac:dyDescent="0.3">
      <c r="A116" s="2" t="s">
        <v>49</v>
      </c>
      <c r="B116" s="145">
        <v>1000</v>
      </c>
      <c r="C116" s="145">
        <v>1040</v>
      </c>
      <c r="D116" s="145">
        <v>1001</v>
      </c>
      <c r="E116" s="145">
        <v>1041</v>
      </c>
      <c r="F116" s="3">
        <v>564</v>
      </c>
      <c r="G116" s="3">
        <f>SQRT(F116)</f>
        <v>23.748684174075834</v>
      </c>
      <c r="H116" s="147">
        <f>F116/F117</f>
        <v>1.0561797752808988</v>
      </c>
    </row>
    <row r="117" spans="1:16" ht="15" thickBot="1" x14ac:dyDescent="0.35">
      <c r="A117" s="7" t="s">
        <v>52</v>
      </c>
      <c r="B117" s="146"/>
      <c r="C117" s="146"/>
      <c r="D117" s="146"/>
      <c r="E117" s="146"/>
      <c r="F117" s="8">
        <v>534</v>
      </c>
      <c r="G117" s="8">
        <f>SQRT(F117)</f>
        <v>23.108440016582687</v>
      </c>
      <c r="H117" s="141"/>
    </row>
    <row r="119" spans="1:16" ht="15" thickBot="1" x14ac:dyDescent="0.35">
      <c r="A119" s="143" t="s">
        <v>83</v>
      </c>
      <c r="B119" s="143"/>
      <c r="C119" s="143"/>
      <c r="D119" s="143"/>
      <c r="E119" s="143"/>
      <c r="F119" s="143"/>
      <c r="G119" s="143"/>
    </row>
    <row r="120" spans="1:16" x14ac:dyDescent="0.3">
      <c r="B120" t="s">
        <v>4</v>
      </c>
      <c r="C120" t="s">
        <v>5</v>
      </c>
      <c r="D120" t="s">
        <v>6</v>
      </c>
      <c r="E120" t="s">
        <v>7</v>
      </c>
      <c r="F120" t="s">
        <v>8</v>
      </c>
      <c r="G120" t="s">
        <v>9</v>
      </c>
      <c r="H120" t="s">
        <v>58</v>
      </c>
      <c r="I120" s="2"/>
      <c r="J120" s="3"/>
      <c r="K120" s="3"/>
      <c r="L120" s="3"/>
      <c r="M120" s="4" t="s">
        <v>60</v>
      </c>
      <c r="N120" s="4"/>
      <c r="O120" s="4" t="s">
        <v>44</v>
      </c>
      <c r="P120" s="5"/>
    </row>
    <row r="121" spans="1:16" x14ac:dyDescent="0.3">
      <c r="A121" t="s">
        <v>0</v>
      </c>
      <c r="B121">
        <v>760</v>
      </c>
      <c r="C121">
        <v>900</v>
      </c>
      <c r="D121">
        <v>761</v>
      </c>
      <c r="E121">
        <v>901</v>
      </c>
      <c r="I121" s="6" t="s">
        <v>25</v>
      </c>
      <c r="J121" t="s">
        <v>26</v>
      </c>
      <c r="K121" t="s">
        <v>59</v>
      </c>
      <c r="L121" t="s">
        <v>29</v>
      </c>
      <c r="M121" t="s">
        <v>32</v>
      </c>
      <c r="N121" t="s">
        <v>33</v>
      </c>
      <c r="O121" t="s">
        <v>32</v>
      </c>
      <c r="P121" s="10" t="s">
        <v>33</v>
      </c>
    </row>
    <row r="122" spans="1:16" x14ac:dyDescent="0.3">
      <c r="A122" t="s">
        <v>1</v>
      </c>
      <c r="B122">
        <v>901</v>
      </c>
      <c r="C122">
        <v>1014</v>
      </c>
      <c r="D122">
        <v>902</v>
      </c>
      <c r="E122">
        <v>1015</v>
      </c>
      <c r="I122" s="6"/>
      <c r="O122" s="11"/>
      <c r="P122" s="12"/>
    </row>
    <row r="123" spans="1:16" x14ac:dyDescent="0.3">
      <c r="A123" t="s">
        <v>2</v>
      </c>
      <c r="B123">
        <v>1150</v>
      </c>
      <c r="C123">
        <v>1300</v>
      </c>
      <c r="D123">
        <v>1151</v>
      </c>
      <c r="E123">
        <v>1301</v>
      </c>
      <c r="I123" s="6"/>
      <c r="O123" s="11"/>
      <c r="P123" s="12"/>
    </row>
    <row r="124" spans="1:16" x14ac:dyDescent="0.3">
      <c r="A124" t="s">
        <v>3</v>
      </c>
      <c r="B124">
        <v>1310</v>
      </c>
      <c r="C124">
        <v>1450</v>
      </c>
      <c r="D124">
        <v>1311</v>
      </c>
      <c r="E124">
        <v>1451</v>
      </c>
      <c r="I124" s="6"/>
      <c r="O124" s="11"/>
      <c r="P124" s="12"/>
    </row>
    <row r="125" spans="1:16" x14ac:dyDescent="0.3">
      <c r="A125" t="s">
        <v>10</v>
      </c>
      <c r="B125">
        <v>1570</v>
      </c>
      <c r="C125">
        <v>1740</v>
      </c>
      <c r="D125">
        <v>1571</v>
      </c>
      <c r="E125">
        <v>1741</v>
      </c>
      <c r="I125" s="6"/>
      <c r="O125" s="11"/>
      <c r="P125" s="12"/>
    </row>
    <row r="126" spans="1:16" x14ac:dyDescent="0.3">
      <c r="A126" t="s">
        <v>11</v>
      </c>
      <c r="B126">
        <v>1750</v>
      </c>
      <c r="C126">
        <v>1870</v>
      </c>
      <c r="D126">
        <v>1751</v>
      </c>
      <c r="E126">
        <v>1871</v>
      </c>
      <c r="I126" s="6"/>
      <c r="O126" s="11"/>
      <c r="P126" s="12"/>
    </row>
    <row r="127" spans="1:16" x14ac:dyDescent="0.3">
      <c r="I127" s="6"/>
      <c r="O127" s="11"/>
      <c r="P127" s="12"/>
    </row>
    <row r="128" spans="1:16" x14ac:dyDescent="0.3">
      <c r="A128" t="s">
        <v>16</v>
      </c>
      <c r="I128" s="6"/>
      <c r="O128" s="11"/>
      <c r="P128" s="12"/>
    </row>
    <row r="129" spans="1:16" x14ac:dyDescent="0.3">
      <c r="A129" t="s">
        <v>82</v>
      </c>
      <c r="I129" s="6"/>
      <c r="O129" s="11"/>
      <c r="P129" s="12"/>
    </row>
    <row r="130" spans="1:16" x14ac:dyDescent="0.3">
      <c r="I130" s="6"/>
      <c r="O130" s="11"/>
      <c r="P130" s="12"/>
    </row>
    <row r="131" spans="1:16" x14ac:dyDescent="0.3">
      <c r="I131" s="6"/>
      <c r="O131" s="11"/>
      <c r="P131" s="12"/>
    </row>
    <row r="132" spans="1:16" ht="15" thickBot="1" x14ac:dyDescent="0.35">
      <c r="I132" s="7"/>
      <c r="J132" s="8"/>
      <c r="K132" s="8"/>
      <c r="L132" s="8"/>
      <c r="M132" s="8"/>
      <c r="N132" s="8"/>
      <c r="O132" s="8"/>
      <c r="P132" s="13"/>
    </row>
    <row r="133" spans="1:16" x14ac:dyDescent="0.3">
      <c r="I133" s="6" t="s">
        <v>25</v>
      </c>
      <c r="J133" t="s">
        <v>26</v>
      </c>
      <c r="K133" t="s">
        <v>59</v>
      </c>
      <c r="L133" t="s">
        <v>29</v>
      </c>
      <c r="M133" t="s">
        <v>32</v>
      </c>
      <c r="N133" t="s">
        <v>33</v>
      </c>
      <c r="O133" t="s">
        <v>32</v>
      </c>
      <c r="P133" s="10" t="s">
        <v>33</v>
      </c>
    </row>
    <row r="134" spans="1:16" x14ac:dyDescent="0.3">
      <c r="I134" s="6"/>
      <c r="P134" s="10"/>
    </row>
    <row r="135" spans="1:16" x14ac:dyDescent="0.3">
      <c r="I135" s="6"/>
      <c r="P135" s="10"/>
    </row>
    <row r="136" spans="1:16" x14ac:dyDescent="0.3">
      <c r="I136" s="6"/>
      <c r="P136" s="10"/>
    </row>
    <row r="137" spans="1:16" x14ac:dyDescent="0.3">
      <c r="I137" s="6"/>
      <c r="P137" s="10"/>
    </row>
    <row r="138" spans="1:16" x14ac:dyDescent="0.3">
      <c r="I138" s="6"/>
      <c r="P138" s="10"/>
    </row>
    <row r="139" spans="1:16" ht="15" thickBot="1" x14ac:dyDescent="0.35">
      <c r="I139" s="6"/>
      <c r="O139" s="11"/>
      <c r="P139" s="12"/>
    </row>
    <row r="140" spans="1:16" x14ac:dyDescent="0.3">
      <c r="I140" s="2"/>
      <c r="J140" s="3"/>
      <c r="K140" s="3"/>
      <c r="L140" s="3"/>
      <c r="M140" s="4" t="s">
        <v>60</v>
      </c>
      <c r="N140" s="4"/>
      <c r="O140" s="4" t="s">
        <v>44</v>
      </c>
      <c r="P140" s="5"/>
    </row>
    <row r="141" spans="1:16" x14ac:dyDescent="0.3">
      <c r="I141" s="6" t="s">
        <v>25</v>
      </c>
      <c r="J141" t="s">
        <v>26</v>
      </c>
      <c r="K141" t="s">
        <v>59</v>
      </c>
      <c r="L141" t="s">
        <v>29</v>
      </c>
      <c r="M141" t="s">
        <v>32</v>
      </c>
      <c r="N141" t="s">
        <v>33</v>
      </c>
      <c r="O141" t="s">
        <v>32</v>
      </c>
      <c r="P141" s="10" t="s">
        <v>33</v>
      </c>
    </row>
    <row r="142" spans="1:16" x14ac:dyDescent="0.3">
      <c r="I142" s="6"/>
      <c r="O142" s="11"/>
      <c r="P142" s="12"/>
    </row>
    <row r="143" spans="1:16" x14ac:dyDescent="0.3">
      <c r="I143" s="6"/>
      <c r="O143" s="11"/>
      <c r="P143" s="12"/>
    </row>
    <row r="144" spans="1:16" x14ac:dyDescent="0.3">
      <c r="I144" s="6"/>
      <c r="O144" s="11"/>
      <c r="P144" s="12"/>
    </row>
    <row r="145" spans="9:16" x14ac:dyDescent="0.3">
      <c r="I145" s="6"/>
      <c r="O145" s="11"/>
      <c r="P145" s="12"/>
    </row>
    <row r="146" spans="9:16" x14ac:dyDescent="0.3">
      <c r="I146" s="6"/>
      <c r="O146" s="11"/>
      <c r="P146" s="12"/>
    </row>
    <row r="147" spans="9:16" ht="15" thickBot="1" x14ac:dyDescent="0.35">
      <c r="I147" s="7"/>
      <c r="J147" s="8"/>
      <c r="K147" s="8"/>
      <c r="L147" s="8"/>
      <c r="M147" s="8"/>
      <c r="N147" s="8"/>
      <c r="O147" s="14"/>
      <c r="P147" s="13"/>
    </row>
  </sheetData>
  <mergeCells count="23">
    <mergeCell ref="A7:G7"/>
    <mergeCell ref="H2:H3"/>
    <mergeCell ref="H35:H36"/>
    <mergeCell ref="B38:B39"/>
    <mergeCell ref="C38:C39"/>
    <mergeCell ref="D38:D39"/>
    <mergeCell ref="E38:E39"/>
    <mergeCell ref="H38:H39"/>
    <mergeCell ref="A41:G41"/>
    <mergeCell ref="H74:H75"/>
    <mergeCell ref="B77:B78"/>
    <mergeCell ref="C77:C78"/>
    <mergeCell ref="D77:D78"/>
    <mergeCell ref="E77:E78"/>
    <mergeCell ref="H77:H78"/>
    <mergeCell ref="A119:G119"/>
    <mergeCell ref="A80:G80"/>
    <mergeCell ref="H113:H114"/>
    <mergeCell ref="B116:B117"/>
    <mergeCell ref="C116:C117"/>
    <mergeCell ref="D116:D117"/>
    <mergeCell ref="E116:E117"/>
    <mergeCell ref="H116:H117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41"/>
  <sheetViews>
    <sheetView zoomScale="90" zoomScaleNormal="90" workbookViewId="0">
      <selection activeCell="G23" sqref="G23"/>
    </sheetView>
  </sheetViews>
  <sheetFormatPr defaultColWidth="9.109375" defaultRowHeight="14.4" x14ac:dyDescent="0.3"/>
  <cols>
    <col min="1" max="1" width="24.6640625" bestFit="1" customWidth="1"/>
    <col min="2" max="2" width="11.44140625" bestFit="1" customWidth="1"/>
    <col min="3" max="3" width="12.109375" bestFit="1" customWidth="1"/>
    <col min="4" max="5" width="11.109375" bestFit="1" customWidth="1"/>
    <col min="6" max="6" width="9.44140625" bestFit="1" customWidth="1"/>
    <col min="7" max="7" width="12" bestFit="1" customWidth="1"/>
    <col min="8" max="8" width="12.6640625" bestFit="1" customWidth="1"/>
    <col min="9" max="9" width="11.33203125" bestFit="1" customWidth="1"/>
    <col min="10" max="10" width="14.88671875" bestFit="1" customWidth="1"/>
    <col min="11" max="11" width="9.44140625" bestFit="1" customWidth="1"/>
    <col min="12" max="12" width="14.6640625" customWidth="1"/>
    <col min="13" max="13" width="14.33203125" customWidth="1"/>
    <col min="14" max="14" width="15" customWidth="1"/>
    <col min="15" max="16" width="11" bestFit="1" customWidth="1"/>
  </cols>
  <sheetData>
    <row r="1" spans="1:8" x14ac:dyDescent="0.3">
      <c r="A1" s="143" t="s">
        <v>84</v>
      </c>
      <c r="B1" s="143"/>
      <c r="C1" s="143"/>
      <c r="D1" s="143"/>
      <c r="E1" s="143"/>
      <c r="F1" s="143"/>
      <c r="G1" s="143"/>
      <c r="H1" s="143"/>
    </row>
    <row r="2" spans="1:8" x14ac:dyDescent="0.3">
      <c r="B2" t="s">
        <v>4</v>
      </c>
      <c r="C2" t="s">
        <v>5</v>
      </c>
      <c r="D2" t="s">
        <v>45</v>
      </c>
      <c r="E2" t="s">
        <v>46</v>
      </c>
      <c r="F2" t="s">
        <v>8</v>
      </c>
      <c r="G2" t="s">
        <v>9</v>
      </c>
      <c r="H2" t="s">
        <v>18</v>
      </c>
    </row>
    <row r="3" spans="1:8" x14ac:dyDescent="0.3">
      <c r="A3" t="s">
        <v>20</v>
      </c>
      <c r="B3">
        <v>1262</v>
      </c>
      <c r="C3">
        <v>1269</v>
      </c>
      <c r="D3">
        <v>1263</v>
      </c>
      <c r="E3">
        <v>1270</v>
      </c>
      <c r="F3">
        <v>45063</v>
      </c>
      <c r="G3">
        <f>SQRT(F3)</f>
        <v>212.28047484401387</v>
      </c>
      <c r="H3" s="144">
        <f>F3/F4</f>
        <v>1.0105850956471036</v>
      </c>
    </row>
    <row r="4" spans="1:8" x14ac:dyDescent="0.3">
      <c r="A4" t="s">
        <v>21</v>
      </c>
      <c r="B4">
        <v>1280</v>
      </c>
      <c r="C4">
        <v>1293</v>
      </c>
      <c r="D4">
        <v>1281</v>
      </c>
      <c r="E4">
        <v>1284</v>
      </c>
      <c r="F4">
        <v>44591</v>
      </c>
      <c r="G4">
        <f>SQRT(F4)</f>
        <v>211.16581162678773</v>
      </c>
      <c r="H4" s="144"/>
    </row>
    <row r="5" spans="1:8" ht="15" thickBot="1" x14ac:dyDescent="0.35">
      <c r="H5" s="1"/>
    </row>
    <row r="6" spans="1:8" x14ac:dyDescent="0.3">
      <c r="A6" s="2" t="s">
        <v>49</v>
      </c>
      <c r="B6" s="145">
        <v>950</v>
      </c>
      <c r="C6" s="145">
        <v>1080</v>
      </c>
      <c r="D6" s="145">
        <v>951</v>
      </c>
      <c r="E6" s="145">
        <v>1081</v>
      </c>
      <c r="F6" s="3">
        <v>253</v>
      </c>
      <c r="G6" s="3">
        <f>SQRT(F6)</f>
        <v>15.905973720586866</v>
      </c>
      <c r="H6" s="147">
        <f>F6/F7</f>
        <v>0.71468926553672318</v>
      </c>
    </row>
    <row r="7" spans="1:8" ht="15" thickBot="1" x14ac:dyDescent="0.35">
      <c r="A7" s="7" t="s">
        <v>52</v>
      </c>
      <c r="B7" s="146"/>
      <c r="C7" s="146"/>
      <c r="D7" s="146"/>
      <c r="E7" s="146"/>
      <c r="F7" s="8">
        <v>354</v>
      </c>
      <c r="G7" s="8">
        <f>SQRT(F7)</f>
        <v>18.814887722226779</v>
      </c>
      <c r="H7" s="141"/>
    </row>
    <row r="8" spans="1:8" x14ac:dyDescent="0.3">
      <c r="A8" t="s">
        <v>87</v>
      </c>
      <c r="B8" s="1"/>
      <c r="C8" s="1"/>
      <c r="D8" s="1"/>
      <c r="E8" s="1"/>
      <c r="H8" s="1"/>
    </row>
    <row r="9" spans="1:8" x14ac:dyDescent="0.3">
      <c r="A9" s="143" t="s">
        <v>92</v>
      </c>
      <c r="B9" s="143"/>
      <c r="C9" s="143"/>
      <c r="D9" s="143"/>
      <c r="E9" s="143"/>
      <c r="F9" s="143"/>
      <c r="G9" s="143"/>
      <c r="H9" s="143"/>
    </row>
    <row r="10" spans="1:8" x14ac:dyDescent="0.3">
      <c r="B10" t="s">
        <v>4</v>
      </c>
      <c r="C10" t="s">
        <v>5</v>
      </c>
      <c r="D10" t="s">
        <v>45</v>
      </c>
      <c r="E10" t="s">
        <v>46</v>
      </c>
      <c r="F10" t="s">
        <v>8</v>
      </c>
      <c r="G10" t="s">
        <v>9</v>
      </c>
      <c r="H10" t="s">
        <v>18</v>
      </c>
    </row>
    <row r="11" spans="1:8" x14ac:dyDescent="0.3">
      <c r="A11" t="s">
        <v>20</v>
      </c>
      <c r="B11">
        <v>1966</v>
      </c>
      <c r="C11">
        <v>1980</v>
      </c>
      <c r="D11">
        <v>1967</v>
      </c>
      <c r="E11">
        <v>1981</v>
      </c>
      <c r="F11">
        <v>73072</v>
      </c>
      <c r="G11">
        <f>SQRT(F11)</f>
        <v>270.31833086196724</v>
      </c>
      <c r="H11" s="144">
        <f>F11/F12</f>
        <v>1.0082095009451275</v>
      </c>
    </row>
    <row r="12" spans="1:8" x14ac:dyDescent="0.3">
      <c r="A12" t="s">
        <v>21</v>
      </c>
      <c r="B12">
        <v>2120</v>
      </c>
      <c r="C12">
        <v>2165</v>
      </c>
      <c r="D12">
        <v>2121</v>
      </c>
      <c r="E12">
        <v>2166</v>
      </c>
      <c r="F12">
        <v>72477</v>
      </c>
      <c r="G12">
        <f>SQRT(F12)</f>
        <v>269.21552704106796</v>
      </c>
      <c r="H12" s="144"/>
    </row>
    <row r="13" spans="1:8" ht="15" thickBot="1" x14ac:dyDescent="0.35">
      <c r="H13" s="1"/>
    </row>
    <row r="14" spans="1:8" x14ac:dyDescent="0.3">
      <c r="A14" s="2" t="s">
        <v>49</v>
      </c>
      <c r="B14" s="145">
        <v>950</v>
      </c>
      <c r="C14" s="145">
        <v>1080</v>
      </c>
      <c r="D14" s="145">
        <v>951</v>
      </c>
      <c r="E14" s="145">
        <v>1081</v>
      </c>
      <c r="F14" s="3">
        <v>272</v>
      </c>
      <c r="G14" s="3">
        <f>SQRT(F14)</f>
        <v>16.492422502470642</v>
      </c>
      <c r="H14" s="147">
        <f>F14/F15</f>
        <v>0.8</v>
      </c>
    </row>
    <row r="15" spans="1:8" ht="15" thickBot="1" x14ac:dyDescent="0.35">
      <c r="A15" s="7" t="s">
        <v>52</v>
      </c>
      <c r="B15" s="146"/>
      <c r="C15" s="146"/>
      <c r="D15" s="146"/>
      <c r="E15" s="146"/>
      <c r="F15" s="8">
        <v>340</v>
      </c>
      <c r="G15" s="8">
        <f>SQRT(F15)</f>
        <v>18.439088914585774</v>
      </c>
      <c r="H15" s="141"/>
    </row>
    <row r="16" spans="1:8" ht="15" thickBot="1" x14ac:dyDescent="0.35">
      <c r="A16" t="s">
        <v>86</v>
      </c>
      <c r="B16" s="1"/>
      <c r="C16" s="1"/>
      <c r="D16" s="1"/>
      <c r="E16" s="1"/>
      <c r="H16" s="1"/>
    </row>
    <row r="17" spans="1:16" x14ac:dyDescent="0.3">
      <c r="B17" s="1"/>
      <c r="C17" s="1"/>
      <c r="D17" s="1"/>
      <c r="E17" s="1"/>
      <c r="H17" s="1"/>
      <c r="I17" s="2"/>
      <c r="J17" s="3"/>
      <c r="K17" s="3"/>
      <c r="L17" s="3"/>
      <c r="M17" s="4" t="s">
        <v>60</v>
      </c>
      <c r="N17" s="4"/>
      <c r="O17" s="4" t="s">
        <v>44</v>
      </c>
      <c r="P17" s="5"/>
    </row>
    <row r="18" spans="1:16" x14ac:dyDescent="0.3">
      <c r="B18" t="s">
        <v>4</v>
      </c>
      <c r="C18" t="s">
        <v>5</v>
      </c>
      <c r="D18" t="s">
        <v>6</v>
      </c>
      <c r="E18" t="s">
        <v>7</v>
      </c>
      <c r="F18" t="s">
        <v>8</v>
      </c>
      <c r="G18" t="s">
        <v>9</v>
      </c>
      <c r="H18" t="s">
        <v>58</v>
      </c>
      <c r="I18" s="6" t="s">
        <v>25</v>
      </c>
      <c r="J18" t="s">
        <v>26</v>
      </c>
      <c r="K18" t="s">
        <v>59</v>
      </c>
      <c r="L18" t="s">
        <v>29</v>
      </c>
      <c r="M18" t="s">
        <v>32</v>
      </c>
      <c r="N18" t="s">
        <v>33</v>
      </c>
      <c r="O18" t="s">
        <v>32</v>
      </c>
      <c r="P18" s="10" t="s">
        <v>33</v>
      </c>
    </row>
    <row r="19" spans="1:16" x14ac:dyDescent="0.3">
      <c r="A19" t="s">
        <v>0</v>
      </c>
      <c r="B19">
        <v>1080</v>
      </c>
      <c r="C19">
        <v>1190</v>
      </c>
      <c r="D19">
        <v>1081</v>
      </c>
      <c r="E19">
        <v>1191</v>
      </c>
      <c r="F19">
        <v>381.90620999999999</v>
      </c>
      <c r="G19">
        <f>SQRT(F19)</f>
        <v>19.542420781469218</v>
      </c>
      <c r="H19">
        <f>F19*5</f>
        <v>1909.5310500000001</v>
      </c>
      <c r="I19" s="6">
        <v>1128</v>
      </c>
      <c r="J19">
        <v>1.5</v>
      </c>
      <c r="K19">
        <v>0.81789999999999996</v>
      </c>
      <c r="L19">
        <f>I19-1/K19</f>
        <v>1126.7773566450667</v>
      </c>
      <c r="M19">
        <f>I19+6130.64+1973.27</f>
        <v>9231.91</v>
      </c>
      <c r="N19">
        <f>L19+6130.64+1973.27</f>
        <v>9230.6873566450668</v>
      </c>
      <c r="O19" s="11" t="s">
        <v>81</v>
      </c>
      <c r="P19" s="12"/>
    </row>
    <row r="20" spans="1:16" x14ac:dyDescent="0.3">
      <c r="A20" t="s">
        <v>1</v>
      </c>
      <c r="B20">
        <v>1195</v>
      </c>
      <c r="C20">
        <v>1260</v>
      </c>
      <c r="D20">
        <v>1196</v>
      </c>
      <c r="E20">
        <v>1261</v>
      </c>
      <c r="F20">
        <v>212.48643999999999</v>
      </c>
      <c r="G20">
        <f>SQRT(F20)</f>
        <v>14.576914625530328</v>
      </c>
      <c r="H20">
        <f>F20*5</f>
        <v>1062.4322</v>
      </c>
      <c r="I20" s="6">
        <v>1224</v>
      </c>
      <c r="J20">
        <v>6.3</v>
      </c>
      <c r="K20">
        <v>0.81789999999999996</v>
      </c>
      <c r="L20">
        <f>I20-1/K20</f>
        <v>1222.7773566450667</v>
      </c>
      <c r="M20">
        <f>I20+6130.64+1973.27</f>
        <v>9327.91</v>
      </c>
      <c r="N20">
        <f>L20+6130.64+1973.27</f>
        <v>9326.6873566450668</v>
      </c>
      <c r="O20" s="11" t="s">
        <v>67</v>
      </c>
      <c r="P20" s="12"/>
    </row>
    <row r="21" spans="1:16" x14ac:dyDescent="0.3">
      <c r="A21" t="s">
        <v>2</v>
      </c>
      <c r="B21">
        <v>1265</v>
      </c>
      <c r="C21">
        <v>1345</v>
      </c>
      <c r="D21">
        <v>1266</v>
      </c>
      <c r="E21">
        <v>1346</v>
      </c>
      <c r="F21">
        <v>231.42089999999999</v>
      </c>
      <c r="G21">
        <f>SQRT(F21)</f>
        <v>15.212524445337795</v>
      </c>
      <c r="H21">
        <f>F21*5</f>
        <v>1157.1044999999999</v>
      </c>
      <c r="I21" s="6">
        <v>1297</v>
      </c>
      <c r="J21">
        <v>6.2</v>
      </c>
      <c r="K21">
        <v>0.81789999999999996</v>
      </c>
      <c r="L21">
        <f>I21-1/K21</f>
        <v>1295.7773566450667</v>
      </c>
      <c r="M21">
        <f>I21+6130.64+1973.27</f>
        <v>9400.91</v>
      </c>
      <c r="N21">
        <f>L21+6130.64+1973.27</f>
        <v>9399.6873566450668</v>
      </c>
      <c r="O21" s="11" t="s">
        <v>85</v>
      </c>
      <c r="P21" s="12"/>
    </row>
    <row r="22" spans="1:16" x14ac:dyDescent="0.3">
      <c r="I22" s="6"/>
      <c r="O22" s="11"/>
      <c r="P22" s="12"/>
    </row>
    <row r="23" spans="1:16" x14ac:dyDescent="0.3">
      <c r="A23" t="s">
        <v>16</v>
      </c>
      <c r="I23" s="6"/>
      <c r="O23" s="11"/>
      <c r="P23" s="12"/>
    </row>
    <row r="24" spans="1:16" x14ac:dyDescent="0.3">
      <c r="A24" t="s">
        <v>82</v>
      </c>
      <c r="I24" s="6"/>
      <c r="O24" s="11"/>
      <c r="P24" s="12"/>
    </row>
    <row r="25" spans="1:16" x14ac:dyDescent="0.3">
      <c r="I25" s="6"/>
      <c r="O25" s="11"/>
      <c r="P25" s="12"/>
    </row>
    <row r="26" spans="1:16" ht="15" thickBot="1" x14ac:dyDescent="0.35">
      <c r="I26" s="7"/>
      <c r="J26" s="8"/>
      <c r="K26" s="8"/>
      <c r="L26" s="8"/>
      <c r="M26" s="8"/>
      <c r="N26" s="8"/>
      <c r="O26" s="8"/>
      <c r="P26" s="13"/>
    </row>
    <row r="27" spans="1:16" x14ac:dyDescent="0.3">
      <c r="I27" s="6" t="s">
        <v>25</v>
      </c>
      <c r="J27" t="s">
        <v>26</v>
      </c>
      <c r="K27" t="s">
        <v>59</v>
      </c>
      <c r="L27" t="s">
        <v>29</v>
      </c>
      <c r="M27" t="s">
        <v>32</v>
      </c>
      <c r="N27" t="s">
        <v>33</v>
      </c>
      <c r="O27" t="s">
        <v>32</v>
      </c>
      <c r="P27" s="10" t="s">
        <v>33</v>
      </c>
    </row>
    <row r="28" spans="1:16" x14ac:dyDescent="0.3">
      <c r="I28" s="6"/>
      <c r="P28" s="10"/>
    </row>
    <row r="29" spans="1:16" x14ac:dyDescent="0.3">
      <c r="I29" s="6"/>
      <c r="P29" s="10"/>
    </row>
    <row r="30" spans="1:16" x14ac:dyDescent="0.3">
      <c r="I30" s="6"/>
      <c r="P30" s="10"/>
    </row>
    <row r="31" spans="1:16" x14ac:dyDescent="0.3">
      <c r="I31" s="6"/>
      <c r="P31" s="10"/>
    </row>
    <row r="32" spans="1:16" x14ac:dyDescent="0.3">
      <c r="I32" s="6"/>
      <c r="P32" s="10"/>
    </row>
    <row r="33" spans="9:16" ht="15" thickBot="1" x14ac:dyDescent="0.35">
      <c r="I33" s="6"/>
      <c r="O33" s="11"/>
      <c r="P33" s="12"/>
    </row>
    <row r="34" spans="9:16" x14ac:dyDescent="0.3">
      <c r="I34" s="2"/>
      <c r="J34" s="3"/>
      <c r="K34" s="3"/>
      <c r="L34" s="3"/>
      <c r="M34" s="4" t="s">
        <v>60</v>
      </c>
      <c r="N34" s="4"/>
      <c r="O34" s="4" t="s">
        <v>44</v>
      </c>
      <c r="P34" s="5"/>
    </row>
    <row r="35" spans="9:16" x14ac:dyDescent="0.3">
      <c r="I35" s="6" t="s">
        <v>25</v>
      </c>
      <c r="J35" t="s">
        <v>26</v>
      </c>
      <c r="K35" t="s">
        <v>59</v>
      </c>
      <c r="L35" t="s">
        <v>29</v>
      </c>
      <c r="M35" t="s">
        <v>32</v>
      </c>
      <c r="N35" t="s">
        <v>33</v>
      </c>
      <c r="O35" t="s">
        <v>32</v>
      </c>
      <c r="P35" s="10" t="s">
        <v>33</v>
      </c>
    </row>
    <row r="36" spans="9:16" x14ac:dyDescent="0.3">
      <c r="I36" s="6"/>
      <c r="O36" s="11"/>
      <c r="P36" s="12"/>
    </row>
    <row r="37" spans="9:16" x14ac:dyDescent="0.3">
      <c r="I37" s="6"/>
      <c r="O37" s="11"/>
      <c r="P37" s="12"/>
    </row>
    <row r="38" spans="9:16" x14ac:dyDescent="0.3">
      <c r="I38" s="6"/>
      <c r="O38" s="11"/>
      <c r="P38" s="12"/>
    </row>
    <row r="39" spans="9:16" x14ac:dyDescent="0.3">
      <c r="I39" s="6"/>
      <c r="O39" s="11"/>
      <c r="P39" s="12"/>
    </row>
    <row r="40" spans="9:16" x14ac:dyDescent="0.3">
      <c r="I40" s="6"/>
      <c r="O40" s="11"/>
      <c r="P40" s="12"/>
    </row>
    <row r="41" spans="9:16" ht="15" thickBot="1" x14ac:dyDescent="0.35">
      <c r="I41" s="7"/>
      <c r="J41" s="8"/>
      <c r="K41" s="8"/>
      <c r="L41" s="8"/>
      <c r="M41" s="8"/>
      <c r="N41" s="8"/>
      <c r="O41" s="14"/>
      <c r="P41" s="13"/>
    </row>
  </sheetData>
  <mergeCells count="14">
    <mergeCell ref="A1:H1"/>
    <mergeCell ref="A9:H9"/>
    <mergeCell ref="H11:H12"/>
    <mergeCell ref="B14:B15"/>
    <mergeCell ref="C14:C15"/>
    <mergeCell ref="D14:D15"/>
    <mergeCell ref="E14:E15"/>
    <mergeCell ref="H14:H15"/>
    <mergeCell ref="H3:H4"/>
    <mergeCell ref="B6:B7"/>
    <mergeCell ref="C6:C7"/>
    <mergeCell ref="D6:D7"/>
    <mergeCell ref="E6:E7"/>
    <mergeCell ref="H6:H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9169-193E-42B2-B29B-DD86C305B9DF}">
  <dimension ref="A1:G24"/>
  <sheetViews>
    <sheetView workbookViewId="0">
      <selection activeCell="G44" sqref="G44"/>
    </sheetView>
  </sheetViews>
  <sheetFormatPr defaultRowHeight="14.4" x14ac:dyDescent="0.3"/>
  <cols>
    <col min="1" max="1" width="33.88671875" bestFit="1" customWidth="1"/>
  </cols>
  <sheetData>
    <row r="1" spans="1:7" x14ac:dyDescent="0.3">
      <c r="B1" t="s">
        <v>93</v>
      </c>
      <c r="C1" t="s">
        <v>94</v>
      </c>
      <c r="D1" t="s">
        <v>100</v>
      </c>
      <c r="E1" t="s">
        <v>95</v>
      </c>
      <c r="F1" t="s">
        <v>96</v>
      </c>
      <c r="G1" t="s">
        <v>97</v>
      </c>
    </row>
    <row r="2" spans="1:7" x14ac:dyDescent="0.3">
      <c r="A2" t="s">
        <v>99</v>
      </c>
      <c r="C2">
        <v>0</v>
      </c>
      <c r="E2">
        <v>725</v>
      </c>
      <c r="F2">
        <v>17.5</v>
      </c>
    </row>
    <row r="3" spans="1:7" x14ac:dyDescent="0.3">
      <c r="A3" t="s">
        <v>98</v>
      </c>
      <c r="C3">
        <v>0</v>
      </c>
      <c r="E3">
        <v>725</v>
      </c>
      <c r="G3">
        <v>0.81789999999999996</v>
      </c>
    </row>
    <row r="4" spans="1:7" x14ac:dyDescent="0.3">
      <c r="A4" t="s">
        <v>101</v>
      </c>
      <c r="C4">
        <v>0</v>
      </c>
      <c r="F4">
        <v>20</v>
      </c>
      <c r="G4">
        <v>0.81789999999999996</v>
      </c>
    </row>
    <row r="5" spans="1:7" x14ac:dyDescent="0.3">
      <c r="A5" t="s">
        <v>98</v>
      </c>
      <c r="C5">
        <v>0</v>
      </c>
      <c r="E5">
        <v>725</v>
      </c>
      <c r="G5">
        <v>0.04</v>
      </c>
    </row>
    <row r="7" spans="1:7" x14ac:dyDescent="0.3">
      <c r="A7" t="s">
        <v>102</v>
      </c>
      <c r="B7" t="s">
        <v>105</v>
      </c>
      <c r="C7" t="s">
        <v>106</v>
      </c>
    </row>
    <row r="8" spans="1:7" x14ac:dyDescent="0.3">
      <c r="A8" t="s">
        <v>103</v>
      </c>
      <c r="B8">
        <v>745</v>
      </c>
      <c r="C8">
        <v>5</v>
      </c>
    </row>
    <row r="9" spans="1:7" x14ac:dyDescent="0.3">
      <c r="A9" t="s">
        <v>104</v>
      </c>
      <c r="B9">
        <v>730</v>
      </c>
      <c r="C9">
        <v>5</v>
      </c>
    </row>
    <row r="11" spans="1:7" x14ac:dyDescent="0.3">
      <c r="A11" t="s">
        <v>107</v>
      </c>
      <c r="B11" t="s">
        <v>111</v>
      </c>
      <c r="C11" t="s">
        <v>112</v>
      </c>
      <c r="D11" t="s">
        <v>19</v>
      </c>
      <c r="E11" t="s">
        <v>113</v>
      </c>
    </row>
    <row r="12" spans="1:7" x14ac:dyDescent="0.3">
      <c r="A12" t="s">
        <v>108</v>
      </c>
      <c r="D12">
        <v>14.69</v>
      </c>
    </row>
    <row r="13" spans="1:7" x14ac:dyDescent="0.3">
      <c r="A13" t="s">
        <v>109</v>
      </c>
      <c r="B13">
        <v>70</v>
      </c>
      <c r="C13">
        <v>4.0999999999999996</v>
      </c>
      <c r="D13">
        <f>B13/5</f>
        <v>14</v>
      </c>
      <c r="E13">
        <f>C13/5</f>
        <v>0.82</v>
      </c>
    </row>
    <row r="14" spans="1:7" x14ac:dyDescent="0.3">
      <c r="A14" t="s">
        <v>110</v>
      </c>
      <c r="B14">
        <v>57.37</v>
      </c>
      <c r="C14">
        <v>20.54</v>
      </c>
      <c r="D14">
        <f>B14/5</f>
        <v>11.474</v>
      </c>
      <c r="E14">
        <f>C14/5</f>
        <v>4.1079999999999997</v>
      </c>
    </row>
    <row r="16" spans="1:7" x14ac:dyDescent="0.3">
      <c r="B16" t="s">
        <v>105</v>
      </c>
      <c r="C16" t="s">
        <v>115</v>
      </c>
      <c r="D16" t="s">
        <v>19</v>
      </c>
      <c r="E16" t="s">
        <v>113</v>
      </c>
    </row>
    <row r="17" spans="1:5" x14ac:dyDescent="0.3">
      <c r="A17" t="s">
        <v>114</v>
      </c>
      <c r="B17">
        <v>740</v>
      </c>
      <c r="C17">
        <v>10</v>
      </c>
      <c r="D17">
        <v>14</v>
      </c>
      <c r="E17">
        <v>4</v>
      </c>
    </row>
    <row r="19" spans="1:5" x14ac:dyDescent="0.3">
      <c r="A19" t="s">
        <v>116</v>
      </c>
      <c r="B19" t="s">
        <v>88</v>
      </c>
      <c r="C19" t="s">
        <v>90</v>
      </c>
    </row>
    <row r="20" spans="1:5" x14ac:dyDescent="0.3">
      <c r="A20" t="s">
        <v>117</v>
      </c>
      <c r="B20">
        <v>2.7408200000000001E-2</v>
      </c>
      <c r="C20">
        <v>100</v>
      </c>
    </row>
    <row r="21" spans="1:5" x14ac:dyDescent="0.3">
      <c r="A21" t="s">
        <v>118</v>
      </c>
      <c r="B21">
        <v>3.4374399999999999E-2</v>
      </c>
      <c r="C21">
        <v>3.23</v>
      </c>
    </row>
    <row r="23" spans="1:5" x14ac:dyDescent="0.3">
      <c r="B23">
        <f>B20/B21</f>
        <v>0.79734337181158077</v>
      </c>
    </row>
    <row r="24" spans="1:5" x14ac:dyDescent="0.3">
      <c r="B24">
        <f>100/3.23/B23</f>
        <v>38.828631950172507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D5F80-FA18-4E2F-A522-C0FA9AD00B5D}">
  <dimension ref="A1:BE120"/>
  <sheetViews>
    <sheetView zoomScale="90" zoomScaleNormal="90" workbookViewId="0">
      <selection activeCell="AJ27" sqref="AJ27"/>
    </sheetView>
  </sheetViews>
  <sheetFormatPr defaultRowHeight="14.4" x14ac:dyDescent="0.3"/>
  <cols>
    <col min="5" max="5" width="19.109375" bestFit="1" customWidth="1"/>
    <col min="6" max="6" width="15.88671875" bestFit="1" customWidth="1"/>
    <col min="7" max="8" width="12" customWidth="1"/>
    <col min="13" max="13" width="19.109375" bestFit="1" customWidth="1"/>
    <col min="14" max="16" width="12" bestFit="1" customWidth="1"/>
    <col min="17" max="17" width="15.88671875" bestFit="1" customWidth="1"/>
    <col min="18" max="18" width="12" bestFit="1" customWidth="1"/>
    <col min="19" max="19" width="12" customWidth="1"/>
    <col min="20" max="20" width="11" customWidth="1"/>
    <col min="22" max="22" width="15.88671875" bestFit="1" customWidth="1"/>
    <col min="24" max="25" width="19.109375" bestFit="1" customWidth="1"/>
    <col min="26" max="27" width="19.109375" customWidth="1"/>
    <col min="32" max="33" width="19.109375" bestFit="1" customWidth="1"/>
    <col min="34" max="34" width="25.6640625" bestFit="1" customWidth="1"/>
    <col min="35" max="38" width="25.6640625" customWidth="1"/>
    <col min="43" max="44" width="19.109375" bestFit="1" customWidth="1"/>
    <col min="45" max="46" width="19.109375" customWidth="1"/>
    <col min="51" max="52" width="19.109375" bestFit="1" customWidth="1"/>
    <col min="53" max="53" width="12" bestFit="1" customWidth="1"/>
    <col min="54" max="54" width="25.6640625" bestFit="1" customWidth="1"/>
    <col min="55" max="55" width="15.6640625" bestFit="1" customWidth="1"/>
    <col min="56" max="57" width="12" bestFit="1" customWidth="1"/>
  </cols>
  <sheetData>
    <row r="1" spans="1:57" x14ac:dyDescent="0.3">
      <c r="A1" s="143" t="s">
        <v>298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  <c r="AE1" s="143"/>
      <c r="AF1" s="143"/>
    </row>
    <row r="2" spans="1:57" ht="15" thickBot="1" x14ac:dyDescent="0.35">
      <c r="B2" s="143" t="s">
        <v>267</v>
      </c>
      <c r="C2" s="143"/>
      <c r="D2" s="143"/>
      <c r="E2">
        <f>6.0196883/100</f>
        <v>6.0196883000000007E-2</v>
      </c>
      <c r="J2" s="143" t="s">
        <v>268</v>
      </c>
      <c r="K2" s="143"/>
      <c r="L2" s="143"/>
      <c r="M2">
        <f>5.8912661/100</f>
        <v>5.8912661000000005E-2</v>
      </c>
      <c r="U2" s="143" t="s">
        <v>269</v>
      </c>
      <c r="V2" s="143"/>
      <c r="W2" s="143"/>
      <c r="X2">
        <f>3.9806205/100</f>
        <v>3.9806205000000004E-2</v>
      </c>
      <c r="AC2" s="143" t="s">
        <v>270</v>
      </c>
      <c r="AD2" s="143"/>
      <c r="AE2" s="143"/>
      <c r="AF2">
        <f>4.3299133/100</f>
        <v>4.3299133000000004E-2</v>
      </c>
      <c r="AN2" s="143" t="s">
        <v>271</v>
      </c>
      <c r="AO2" s="143"/>
      <c r="AP2" s="143"/>
      <c r="AQ2" s="8">
        <f>3.2689565/100</f>
        <v>3.2689564999999997E-2</v>
      </c>
      <c r="AV2" s="143" t="s">
        <v>272</v>
      </c>
      <c r="AW2" s="143"/>
      <c r="AX2" s="143"/>
      <c r="AY2">
        <f>5.7495488/100</f>
        <v>5.7495488000000004E-2</v>
      </c>
    </row>
    <row r="3" spans="1:57" x14ac:dyDescent="0.3">
      <c r="A3" t="s">
        <v>93</v>
      </c>
      <c r="B3">
        <v>1.3778999999999999</v>
      </c>
      <c r="C3">
        <v>9.1800000000000007E-2</v>
      </c>
      <c r="D3" t="s">
        <v>273</v>
      </c>
      <c r="E3">
        <v>3.3453343000000003E-2</v>
      </c>
      <c r="F3">
        <v>6.1434752000000002E-2</v>
      </c>
      <c r="I3" t="s">
        <v>93</v>
      </c>
      <c r="J3">
        <v>0.91610000000000003</v>
      </c>
      <c r="K3">
        <v>0.11650000000000001</v>
      </c>
      <c r="L3" t="s">
        <v>273</v>
      </c>
      <c r="M3">
        <v>3.2604092000000001E-2</v>
      </c>
      <c r="N3">
        <v>5.9875161000000003E-2</v>
      </c>
      <c r="T3" t="s">
        <v>93</v>
      </c>
      <c r="U3">
        <v>0.59250000000000003</v>
      </c>
      <c r="V3">
        <v>6.93E-2</v>
      </c>
      <c r="W3" t="s">
        <v>273</v>
      </c>
      <c r="X3">
        <v>2.1646753000000001E-2</v>
      </c>
      <c r="Y3">
        <v>3.9752766000000002E-2</v>
      </c>
      <c r="AB3" t="s">
        <v>93</v>
      </c>
      <c r="AC3">
        <v>0.7147</v>
      </c>
      <c r="AD3">
        <v>6.5699999999999995E-2</v>
      </c>
      <c r="AE3" t="s">
        <v>273</v>
      </c>
      <c r="AF3">
        <v>2.3498415000000002E-2</v>
      </c>
      <c r="AG3">
        <v>4.3153215000000002E-2</v>
      </c>
      <c r="AM3" t="s">
        <v>93</v>
      </c>
      <c r="AN3">
        <v>0.57799999999999996</v>
      </c>
      <c r="AO3">
        <v>7.7600000000000002E-2</v>
      </c>
      <c r="AP3" t="s">
        <v>273</v>
      </c>
      <c r="AQ3">
        <v>1.7927269999999999E-2</v>
      </c>
      <c r="AR3">
        <v>3.2922193000000002E-2</v>
      </c>
      <c r="AU3" t="s">
        <v>93</v>
      </c>
      <c r="AV3">
        <v>0.2155</v>
      </c>
      <c r="AW3">
        <v>7.5700000000000003E-2</v>
      </c>
      <c r="AX3" t="s">
        <v>273</v>
      </c>
      <c r="AY3">
        <v>3.1690241000000001E-2</v>
      </c>
      <c r="AZ3">
        <v>5.8196936999999997E-2</v>
      </c>
    </row>
    <row r="4" spans="1:57" x14ac:dyDescent="0.3">
      <c r="A4" t="s">
        <v>94</v>
      </c>
      <c r="B4">
        <v>0</v>
      </c>
      <c r="C4">
        <v>0</v>
      </c>
      <c r="I4" t="s">
        <v>94</v>
      </c>
      <c r="J4">
        <v>0</v>
      </c>
      <c r="K4">
        <v>0</v>
      </c>
      <c r="T4" t="s">
        <v>94</v>
      </c>
      <c r="U4">
        <v>0</v>
      </c>
      <c r="V4">
        <v>0</v>
      </c>
      <c r="AB4" t="s">
        <v>94</v>
      </c>
      <c r="AC4">
        <v>0</v>
      </c>
      <c r="AD4">
        <v>0</v>
      </c>
      <c r="AM4" t="s">
        <v>94</v>
      </c>
      <c r="AN4">
        <v>0</v>
      </c>
      <c r="AO4">
        <v>0</v>
      </c>
      <c r="AU4" t="s">
        <v>94</v>
      </c>
      <c r="AV4">
        <v>0</v>
      </c>
      <c r="AW4">
        <v>0</v>
      </c>
    </row>
    <row r="5" spans="1:57" x14ac:dyDescent="0.3">
      <c r="A5" t="s">
        <v>141</v>
      </c>
      <c r="B5" t="s">
        <v>274</v>
      </c>
      <c r="C5">
        <v>10.8896</v>
      </c>
      <c r="D5">
        <v>4.6494999999999997</v>
      </c>
      <c r="I5" t="s">
        <v>141</v>
      </c>
      <c r="J5" t="s">
        <v>274</v>
      </c>
      <c r="K5">
        <v>-0.42649999999999999</v>
      </c>
      <c r="L5">
        <v>2.9542000000000002</v>
      </c>
      <c r="O5" s="11" t="s">
        <v>275</v>
      </c>
      <c r="P5" s="11"/>
      <c r="Q5" s="11"/>
      <c r="R5" s="11"/>
      <c r="S5" s="11"/>
      <c r="T5" t="s">
        <v>141</v>
      </c>
      <c r="U5" t="s">
        <v>274</v>
      </c>
      <c r="V5">
        <v>5.1024000000000003</v>
      </c>
      <c r="W5">
        <v>2.8675000000000002</v>
      </c>
      <c r="AB5" t="s">
        <v>141</v>
      </c>
      <c r="AC5" t="s">
        <v>274</v>
      </c>
      <c r="AD5">
        <v>5.3860000000000001</v>
      </c>
      <c r="AE5">
        <v>13.236700000000001</v>
      </c>
      <c r="AM5" t="s">
        <v>141</v>
      </c>
      <c r="AN5" t="s">
        <v>274</v>
      </c>
      <c r="AO5">
        <v>71.308400000000006</v>
      </c>
      <c r="AP5">
        <v>23.0459</v>
      </c>
      <c r="AU5" t="s">
        <v>141</v>
      </c>
      <c r="AV5" t="s">
        <v>274</v>
      </c>
      <c r="AW5">
        <v>54.59</v>
      </c>
      <c r="AX5">
        <v>12.15</v>
      </c>
    </row>
    <row r="6" spans="1:57" x14ac:dyDescent="0.3">
      <c r="A6" t="s">
        <v>141</v>
      </c>
      <c r="B6" t="s">
        <v>276</v>
      </c>
      <c r="C6">
        <v>9.9000000000000008E-3</v>
      </c>
      <c r="D6">
        <v>3.0000000000000001E-3</v>
      </c>
      <c r="E6" t="s">
        <v>277</v>
      </c>
      <c r="F6" t="s">
        <v>278</v>
      </c>
      <c r="G6" t="s">
        <v>279</v>
      </c>
      <c r="H6" t="s">
        <v>280</v>
      </c>
      <c r="I6" t="s">
        <v>141</v>
      </c>
      <c r="J6" t="s">
        <v>276</v>
      </c>
      <c r="K6">
        <v>2.01E-2</v>
      </c>
      <c r="L6">
        <v>2.2000000000000001E-3</v>
      </c>
      <c r="M6" t="s">
        <v>277</v>
      </c>
      <c r="N6" t="s">
        <v>281</v>
      </c>
      <c r="O6" t="s">
        <v>282</v>
      </c>
      <c r="P6" t="s">
        <v>283</v>
      </c>
      <c r="Q6" t="s">
        <v>278</v>
      </c>
      <c r="R6" t="s">
        <v>279</v>
      </c>
      <c r="S6" t="s">
        <v>280</v>
      </c>
      <c r="T6" t="s">
        <v>141</v>
      </c>
      <c r="U6" t="s">
        <v>276</v>
      </c>
      <c r="V6">
        <v>1.47E-2</v>
      </c>
      <c r="W6">
        <v>2.3E-3</v>
      </c>
      <c r="X6" t="s">
        <v>277</v>
      </c>
      <c r="Y6" t="s">
        <v>278</v>
      </c>
      <c r="Z6" t="s">
        <v>279</v>
      </c>
      <c r="AA6" t="s">
        <v>280</v>
      </c>
      <c r="AB6" t="s">
        <v>141</v>
      </c>
      <c r="AC6" t="s">
        <v>276</v>
      </c>
      <c r="AD6">
        <v>1.35E-2</v>
      </c>
      <c r="AE6">
        <v>1.12E-2</v>
      </c>
      <c r="AF6" t="s">
        <v>277</v>
      </c>
      <c r="AG6" t="s">
        <v>284</v>
      </c>
      <c r="AH6" t="s">
        <v>282</v>
      </c>
      <c r="AI6" t="s">
        <v>283</v>
      </c>
      <c r="AJ6" t="s">
        <v>278</v>
      </c>
      <c r="AK6" t="s">
        <v>279</v>
      </c>
      <c r="AL6" t="s">
        <v>280</v>
      </c>
      <c r="AM6" t="s">
        <v>141</v>
      </c>
      <c r="AN6" t="s">
        <v>276</v>
      </c>
      <c r="AO6">
        <v>-4.02E-2</v>
      </c>
      <c r="AP6">
        <v>1.9099999999999999E-2</v>
      </c>
      <c r="AQ6" t="s">
        <v>277</v>
      </c>
      <c r="AR6" t="s">
        <v>278</v>
      </c>
      <c r="AS6" t="s">
        <v>279</v>
      </c>
      <c r="AT6" t="s">
        <v>280</v>
      </c>
      <c r="AU6" t="s">
        <v>141</v>
      </c>
      <c r="AV6" t="s">
        <v>276</v>
      </c>
      <c r="AW6">
        <v>-1.422E-2</v>
      </c>
      <c r="AX6">
        <v>9.6699999999999998E-3</v>
      </c>
      <c r="AY6" t="s">
        <v>277</v>
      </c>
      <c r="AZ6" t="s">
        <v>284</v>
      </c>
      <c r="BA6" t="s">
        <v>285</v>
      </c>
      <c r="BB6" t="s">
        <v>283</v>
      </c>
      <c r="BC6" t="s">
        <v>25</v>
      </c>
      <c r="BD6" t="s">
        <v>279</v>
      </c>
      <c r="BE6" t="s">
        <v>280</v>
      </c>
    </row>
    <row r="7" spans="1:57" x14ac:dyDescent="0.3">
      <c r="A7" t="s">
        <v>111</v>
      </c>
      <c r="B7">
        <v>1</v>
      </c>
      <c r="C7">
        <v>2245.5428999999999</v>
      </c>
      <c r="D7">
        <v>112.2567</v>
      </c>
      <c r="E7" s="46">
        <f>C7/5/E$2</f>
        <v>7460.6617090124073</v>
      </c>
      <c r="F7">
        <v>1211.6622</v>
      </c>
      <c r="I7" t="s">
        <v>111</v>
      </c>
      <c r="J7">
        <v>1</v>
      </c>
      <c r="K7">
        <v>359.73820000000001</v>
      </c>
      <c r="L7">
        <v>49.7423</v>
      </c>
      <c r="M7" s="23">
        <f>K7/5/M$2</f>
        <v>1221.259382596892</v>
      </c>
      <c r="Q7">
        <v>868.37530000000004</v>
      </c>
      <c r="T7" t="s">
        <v>111</v>
      </c>
      <c r="U7">
        <v>1</v>
      </c>
      <c r="V7">
        <v>679.47500000000002</v>
      </c>
      <c r="W7">
        <v>61.198500000000003</v>
      </c>
      <c r="X7" s="23">
        <f>V7/5/X$2</f>
        <v>3413.9149913939295</v>
      </c>
      <c r="Y7">
        <v>832.81439999999998</v>
      </c>
      <c r="AB7" t="s">
        <v>111</v>
      </c>
      <c r="AC7">
        <v>1</v>
      </c>
      <c r="AD7">
        <v>1217.3280999999999</v>
      </c>
      <c r="AE7">
        <v>83.470399999999998</v>
      </c>
      <c r="AF7" s="23">
        <f>AD7/5/AF$2</f>
        <v>5622.8751739671088</v>
      </c>
      <c r="AG7">
        <f>$AQ$7*100/81.8</f>
        <v>6194.1384638045929</v>
      </c>
      <c r="AH7">
        <f>$AQ$7*100/76</f>
        <v>6666.8490307791535</v>
      </c>
      <c r="AI7">
        <f>$AQ$7*100/71.1</f>
        <v>7126.3083873307414</v>
      </c>
      <c r="AJ7">
        <v>1124.125</v>
      </c>
      <c r="AM7" t="s">
        <v>111</v>
      </c>
      <c r="AN7">
        <v>1</v>
      </c>
      <c r="AO7">
        <v>828.15830000000005</v>
      </c>
      <c r="AP7">
        <v>73.377300000000005</v>
      </c>
      <c r="AQ7" s="23">
        <f>AO7/5/AQ$2</f>
        <v>5066.805263392157</v>
      </c>
      <c r="AR7">
        <v>1127.9485</v>
      </c>
      <c r="AU7" t="s">
        <v>111</v>
      </c>
      <c r="AV7">
        <v>1</v>
      </c>
      <c r="AW7">
        <v>202.4</v>
      </c>
      <c r="AX7">
        <v>51.3</v>
      </c>
      <c r="AY7" s="23">
        <f>AW7/10/AY$2</f>
        <v>352.02762345455699</v>
      </c>
      <c r="AZ7">
        <f>$X$7*4.6/100</f>
        <v>157.04008960412074</v>
      </c>
      <c r="BA7">
        <f>$X$7*9/100</f>
        <v>307.25234922545366</v>
      </c>
      <c r="BB7">
        <f>$X$7*2.4/100</f>
        <v>81.933959793454306</v>
      </c>
    </row>
    <row r="8" spans="1:57" x14ac:dyDescent="0.3">
      <c r="A8" t="s">
        <v>29</v>
      </c>
      <c r="B8">
        <v>1</v>
      </c>
      <c r="C8" s="46">
        <v>1201.0306</v>
      </c>
      <c r="D8">
        <v>1.3672</v>
      </c>
      <c r="F8">
        <f>C8+1/0.07846</f>
        <v>1213.7759479479989</v>
      </c>
      <c r="G8" s="23">
        <f>F8+6130.65+677.01</f>
        <v>8021.435947947999</v>
      </c>
      <c r="H8" s="23">
        <v>8022</v>
      </c>
      <c r="I8" t="s">
        <v>29</v>
      </c>
      <c r="J8">
        <v>1</v>
      </c>
      <c r="K8" s="23">
        <v>858.58140000000003</v>
      </c>
      <c r="L8">
        <v>3.2435</v>
      </c>
      <c r="Q8">
        <f>K8+1/0.07846</f>
        <v>871.32674794799902</v>
      </c>
      <c r="R8" s="28">
        <f>Q8+6130.65+708.7</f>
        <v>7710.6767479479986</v>
      </c>
      <c r="S8" s="28"/>
      <c r="T8" t="s">
        <v>29</v>
      </c>
      <c r="U8">
        <v>1</v>
      </c>
      <c r="V8" s="23">
        <v>822.96860000000004</v>
      </c>
      <c r="W8">
        <v>1.9005000000000001</v>
      </c>
      <c r="Y8">
        <f>V8+1/0.07846</f>
        <v>835.71394794799903</v>
      </c>
      <c r="Z8" s="46">
        <f>Y8+6130.65+1454.23</f>
        <v>8420.5939479479985</v>
      </c>
      <c r="AA8" s="46">
        <v>8426</v>
      </c>
      <c r="AB8" t="s">
        <v>29</v>
      </c>
      <c r="AC8">
        <v>1</v>
      </c>
      <c r="AD8" s="23">
        <v>1113.7684999999999</v>
      </c>
      <c r="AE8">
        <v>1.7926</v>
      </c>
      <c r="AG8" s="46">
        <f>$AF$7/AG7</f>
        <v>0.90777356799889808</v>
      </c>
      <c r="AH8" s="46">
        <f>$AF$7/AH7</f>
        <v>0.8434082049867514</v>
      </c>
      <c r="AI8" s="46">
        <f>$AF$7/AI7</f>
        <v>0.78903057071786864</v>
      </c>
      <c r="AJ8">
        <f>AD8+1/0.07846</f>
        <v>1126.5138479479988</v>
      </c>
      <c r="AK8" s="23">
        <f>AJ8+6130.65+1973.27</f>
        <v>9230.4338479479993</v>
      </c>
      <c r="AL8" s="23">
        <v>9226</v>
      </c>
      <c r="AM8" t="s">
        <v>29</v>
      </c>
      <c r="AN8">
        <v>1</v>
      </c>
      <c r="AO8" s="23">
        <v>1116.9478999999999</v>
      </c>
      <c r="AP8">
        <v>2.9975000000000001</v>
      </c>
      <c r="AR8">
        <f>AO8+1/0.07846</f>
        <v>1129.6932479479988</v>
      </c>
      <c r="AS8" s="23">
        <f>AR8+6130.65+1973.27</f>
        <v>9233.6132479479984</v>
      </c>
      <c r="AT8" s="23">
        <v>9226</v>
      </c>
      <c r="AU8" t="s">
        <v>29</v>
      </c>
      <c r="AV8">
        <v>1</v>
      </c>
      <c r="AW8" s="23">
        <v>819.6</v>
      </c>
      <c r="AX8">
        <v>12.2</v>
      </c>
      <c r="AZ8">
        <f>$AY$7/AZ7</f>
        <v>2.241641763844993</v>
      </c>
      <c r="BA8" s="46">
        <f>$AY$7/BA7</f>
        <v>1.1457280126318852</v>
      </c>
      <c r="BB8">
        <f>$AY$7/BB7</f>
        <v>4.2964800473695695</v>
      </c>
      <c r="BC8">
        <f>AW8+1/0.07846</f>
        <v>832.34534794799902</v>
      </c>
      <c r="BD8" s="28">
        <f>BC8+6130.65+1454.23</f>
        <v>8417.2253479479987</v>
      </c>
      <c r="BE8">
        <v>8426</v>
      </c>
    </row>
    <row r="9" spans="1:57" x14ac:dyDescent="0.3">
      <c r="A9" t="s">
        <v>111</v>
      </c>
      <c r="B9">
        <v>2</v>
      </c>
      <c r="C9">
        <v>8267.9428000000007</v>
      </c>
      <c r="D9">
        <v>207.70330000000001</v>
      </c>
      <c r="E9" s="27">
        <f>C9/5/E$2</f>
        <v>27469.670813354238</v>
      </c>
      <c r="F9">
        <v>1598.9505999999999</v>
      </c>
      <c r="H9">
        <v>3</v>
      </c>
      <c r="I9" t="s">
        <v>111</v>
      </c>
      <c r="J9">
        <v>2</v>
      </c>
      <c r="K9">
        <v>407.28559999999999</v>
      </c>
      <c r="L9">
        <v>52.7134</v>
      </c>
      <c r="M9" s="23">
        <f>K9/5/M$2</f>
        <v>1382.6759582290808</v>
      </c>
      <c r="Q9">
        <v>955.17460000000005</v>
      </c>
      <c r="T9" t="s">
        <v>111</v>
      </c>
      <c r="U9">
        <v>2</v>
      </c>
      <c r="V9">
        <v>1945.2869000000001</v>
      </c>
      <c r="W9">
        <v>101.9683</v>
      </c>
      <c r="X9" s="23">
        <f>V9/5/X$2</f>
        <v>9773.7872776367403</v>
      </c>
      <c r="Y9">
        <v>970.08799999999997</v>
      </c>
      <c r="AA9">
        <v>4</v>
      </c>
      <c r="AB9" t="s">
        <v>111</v>
      </c>
      <c r="AC9">
        <v>2</v>
      </c>
      <c r="AD9">
        <v>1215.473</v>
      </c>
      <c r="AE9">
        <v>88.578699999999998</v>
      </c>
      <c r="AF9" s="46">
        <f>AD9/5/AF$2</f>
        <v>5614.3064111699414</v>
      </c>
      <c r="AG9">
        <f>$AQ$9*100/81.8</f>
        <v>3092.914043668879</v>
      </c>
      <c r="AH9">
        <f>$AQ$9*100/76</f>
        <v>3328.9522206857141</v>
      </c>
      <c r="AI9">
        <f>$AQ$9*100/71.1</f>
        <v>3558.3736817456302</v>
      </c>
      <c r="AJ9">
        <v>1221.9540999999999</v>
      </c>
      <c r="AL9">
        <v>25</v>
      </c>
      <c r="AM9" t="s">
        <v>111</v>
      </c>
      <c r="AN9">
        <v>2</v>
      </c>
      <c r="AO9">
        <v>413.52359999999999</v>
      </c>
      <c r="AP9">
        <v>57.700800000000001</v>
      </c>
      <c r="AQ9" s="46">
        <f>AO9/5/AQ$2</f>
        <v>2530.0036877211428</v>
      </c>
      <c r="AR9">
        <v>1233.3751</v>
      </c>
      <c r="AT9">
        <v>25</v>
      </c>
      <c r="AU9" t="s">
        <v>111</v>
      </c>
      <c r="AV9">
        <v>2</v>
      </c>
      <c r="AW9">
        <v>674.8</v>
      </c>
      <c r="AX9">
        <v>89.4</v>
      </c>
      <c r="AY9" s="23">
        <f>AW9/10/AY$2</f>
        <v>1173.6573137704299</v>
      </c>
      <c r="AZ9">
        <f>$X$9*4.6/100</f>
        <v>449.59421477129001</v>
      </c>
      <c r="BA9">
        <f>$X$9*9/100</f>
        <v>879.64085498730662</v>
      </c>
      <c r="BB9">
        <f>$X$9*2.4/100</f>
        <v>234.57089466328176</v>
      </c>
      <c r="BE9">
        <v>4</v>
      </c>
    </row>
    <row r="10" spans="1:57" x14ac:dyDescent="0.3">
      <c r="A10" t="s">
        <v>29</v>
      </c>
      <c r="B10">
        <v>2</v>
      </c>
      <c r="C10" s="27">
        <v>1587.9425000000001</v>
      </c>
      <c r="D10">
        <v>0.75790000000000002</v>
      </c>
      <c r="F10">
        <f>C10+1/0.07846</f>
        <v>1600.687847947999</v>
      </c>
      <c r="G10" s="28">
        <f>F10+6130.65+677.01</f>
        <v>8408.3478479479982</v>
      </c>
      <c r="H10" s="28"/>
      <c r="I10" t="s">
        <v>29</v>
      </c>
      <c r="J10">
        <v>2</v>
      </c>
      <c r="K10" s="23">
        <v>945.24720000000002</v>
      </c>
      <c r="L10">
        <v>3.3818000000000001</v>
      </c>
      <c r="Q10">
        <f>K10+1/0.07846</f>
        <v>957.99254794799901</v>
      </c>
      <c r="R10" s="28">
        <f>Q10+6130.65+708.7</f>
        <v>7797.3425479479984</v>
      </c>
      <c r="S10" s="28"/>
      <c r="T10" t="s">
        <v>29</v>
      </c>
      <c r="U10">
        <v>2</v>
      </c>
      <c r="V10" s="23">
        <v>959.91790000000003</v>
      </c>
      <c r="W10">
        <v>1.2485999999999999</v>
      </c>
      <c r="Y10">
        <f>V10+1/0.07846</f>
        <v>972.66324794799903</v>
      </c>
      <c r="Z10" s="23">
        <f>Y10+6130.65+1454.23</f>
        <v>8557.5432479479987</v>
      </c>
      <c r="AA10" s="23">
        <v>8562</v>
      </c>
      <c r="AB10" t="s">
        <v>29</v>
      </c>
      <c r="AC10">
        <v>2</v>
      </c>
      <c r="AD10" s="46">
        <v>1211.3475000000001</v>
      </c>
      <c r="AE10">
        <v>2.2439</v>
      </c>
      <c r="AG10" s="28">
        <f>$AF$9/AG9</f>
        <v>1.815215790643226</v>
      </c>
      <c r="AH10" s="28">
        <f>$AF$9/AH9</f>
        <v>1.6865085585438286</v>
      </c>
      <c r="AI10" s="28">
        <f>$AF$9/AI9</f>
        <v>1.5777731383219238</v>
      </c>
      <c r="AJ10">
        <f>AD10+1/0.07846</f>
        <v>1224.092847947999</v>
      </c>
      <c r="AK10" s="23">
        <f>AJ10+6130.65+1973.27</f>
        <v>9328.012847947999</v>
      </c>
      <c r="AL10" s="23">
        <v>9332</v>
      </c>
      <c r="AM10" t="s">
        <v>29</v>
      </c>
      <c r="AN10">
        <v>2</v>
      </c>
      <c r="AO10" s="46">
        <v>1222.7447</v>
      </c>
      <c r="AP10">
        <v>4.5960000000000001</v>
      </c>
      <c r="AR10">
        <f>AO10+1/0.07846</f>
        <v>1235.4900479479988</v>
      </c>
      <c r="AS10" s="23">
        <f>AR10+6130.65+1973.27</f>
        <v>9339.4100479479985</v>
      </c>
      <c r="AT10" s="23">
        <v>9332</v>
      </c>
      <c r="AU10" t="s">
        <v>29</v>
      </c>
      <c r="AV10">
        <v>2</v>
      </c>
      <c r="AW10" s="23">
        <v>983.6</v>
      </c>
      <c r="AX10">
        <v>6.7</v>
      </c>
      <c r="AZ10">
        <f>$AY$9/AZ9</f>
        <v>2.6104813523178296</v>
      </c>
      <c r="BA10" s="28">
        <f>$AY$9/BA9</f>
        <v>1.3342460245180017</v>
      </c>
      <c r="BB10">
        <f>$AY$9/BB9</f>
        <v>5.003422591942507</v>
      </c>
      <c r="BC10">
        <f>AW10+1/0.07846</f>
        <v>996.34534794799902</v>
      </c>
      <c r="BD10" s="28">
        <f>BC10+6130.65+1454.23</f>
        <v>8581.2253479479987</v>
      </c>
      <c r="BE10">
        <v>8562</v>
      </c>
    </row>
    <row r="11" spans="1:57" x14ac:dyDescent="0.3">
      <c r="A11" t="s">
        <v>111</v>
      </c>
      <c r="B11">
        <v>3</v>
      </c>
      <c r="C11">
        <v>280.12950000000001</v>
      </c>
      <c r="D11">
        <v>49.5212</v>
      </c>
      <c r="E11" s="27">
        <f>C11/5/E$2</f>
        <v>930.71098050043543</v>
      </c>
      <c r="F11">
        <v>1850.0181</v>
      </c>
      <c r="I11" t="s">
        <v>111</v>
      </c>
      <c r="J11">
        <v>3</v>
      </c>
      <c r="K11">
        <v>1822.0806</v>
      </c>
      <c r="L11">
        <v>110.8028</v>
      </c>
      <c r="M11" s="23">
        <f>K11/5/M$2</f>
        <v>6185.701236615334</v>
      </c>
      <c r="Q11">
        <v>1061.8471999999999</v>
      </c>
      <c r="T11" t="s">
        <v>111</v>
      </c>
      <c r="U11">
        <v>3</v>
      </c>
      <c r="V11">
        <v>7125.0964999999997</v>
      </c>
      <c r="W11">
        <v>191.39940000000001</v>
      </c>
      <c r="X11" s="46">
        <f>V11/5/X$2</f>
        <v>35798.923810998807</v>
      </c>
      <c r="Y11">
        <v>1222.9084</v>
      </c>
      <c r="AA11">
        <v>8</v>
      </c>
      <c r="AB11" t="s">
        <v>111</v>
      </c>
      <c r="AC11">
        <v>3</v>
      </c>
      <c r="AD11">
        <v>984.89329999999995</v>
      </c>
      <c r="AE11">
        <v>82.177000000000007</v>
      </c>
      <c r="AF11" s="46">
        <f>AD11/5/AF$2</f>
        <v>4549.2518291301576</v>
      </c>
      <c r="AG11">
        <f>$AQ$11*100/81.8</f>
        <v>2515.4090720343997</v>
      </c>
      <c r="AH11">
        <f>$AQ$11*100/76</f>
        <v>2707.374501215972</v>
      </c>
      <c r="AI11">
        <f>$AQ$11*100/71.1</f>
        <v>2893.9586792181985</v>
      </c>
      <c r="AJ11">
        <v>1300.693</v>
      </c>
      <c r="AL11">
        <v>30</v>
      </c>
      <c r="AM11" t="s">
        <v>111</v>
      </c>
      <c r="AN11">
        <v>3</v>
      </c>
      <c r="AO11">
        <v>336.31099999999998</v>
      </c>
      <c r="AP11">
        <v>54.081400000000002</v>
      </c>
      <c r="AQ11" s="46">
        <f>AO11/5/AQ$2</f>
        <v>2057.604620924139</v>
      </c>
      <c r="AR11">
        <v>1297.9531999999999</v>
      </c>
      <c r="AT11">
        <v>30</v>
      </c>
      <c r="AU11" t="s">
        <v>111</v>
      </c>
      <c r="AV11">
        <v>3</v>
      </c>
      <c r="AW11">
        <v>2029</v>
      </c>
      <c r="AX11">
        <v>148.5</v>
      </c>
      <c r="AY11" s="46">
        <f>AW11/10/AY$2</f>
        <v>3528.9725691170756</v>
      </c>
      <c r="AZ11">
        <f>$X$11*4.6/100</f>
        <v>1646.7504953059449</v>
      </c>
      <c r="BA11">
        <f>$X$11*9/100</f>
        <v>3221.9031429898923</v>
      </c>
      <c r="BB11">
        <f>$X$11*2.4/100</f>
        <v>859.17417146397133</v>
      </c>
      <c r="BE11">
        <v>8</v>
      </c>
    </row>
    <row r="12" spans="1:57" x14ac:dyDescent="0.3">
      <c r="A12" t="s">
        <v>29</v>
      </c>
      <c r="B12">
        <v>3</v>
      </c>
      <c r="C12" s="27">
        <v>1838.8148000000001</v>
      </c>
      <c r="D12">
        <v>6.8571</v>
      </c>
      <c r="F12">
        <f>C12+1/0.07846</f>
        <v>1851.560147947999</v>
      </c>
      <c r="G12" s="28">
        <f>F12+6130.65+677.01</f>
        <v>8659.2201479479991</v>
      </c>
      <c r="H12" s="28"/>
      <c r="I12" t="s">
        <v>29</v>
      </c>
      <c r="J12">
        <v>3</v>
      </c>
      <c r="K12" s="23">
        <v>1050.8580999999999</v>
      </c>
      <c r="L12">
        <v>1.661</v>
      </c>
      <c r="Q12">
        <f>K12+1/0.07846</f>
        <v>1063.6034479479988</v>
      </c>
      <c r="R12" s="46">
        <f>Q12+6130.65+708.7</f>
        <v>7902.953447947998</v>
      </c>
      <c r="S12" s="46">
        <v>7907</v>
      </c>
      <c r="T12" t="s">
        <v>29</v>
      </c>
      <c r="U12">
        <v>3</v>
      </c>
      <c r="V12" s="46">
        <v>1212.2585999999999</v>
      </c>
      <c r="W12">
        <v>0.72119999999999995</v>
      </c>
      <c r="Y12">
        <f>V12+1/0.07846</f>
        <v>1225.0039479479988</v>
      </c>
      <c r="Z12" s="23">
        <f>Y12+6130.65+1454.23</f>
        <v>8809.8839479479975</v>
      </c>
      <c r="AA12" s="23">
        <v>8813</v>
      </c>
      <c r="AB12" t="s">
        <v>29</v>
      </c>
      <c r="AC12">
        <v>3</v>
      </c>
      <c r="AD12" s="46">
        <v>1291.1949</v>
      </c>
      <c r="AE12">
        <v>2.6568000000000001</v>
      </c>
      <c r="AG12" s="28">
        <f>$AF$11/AG11</f>
        <v>1.808553479315727</v>
      </c>
      <c r="AH12" s="28">
        <f>$AF$11/AH11</f>
        <v>1.6803186360390618</v>
      </c>
      <c r="AI12" s="28">
        <f>$AF$11/AI11</f>
        <v>1.5719823029260167</v>
      </c>
      <c r="AJ12">
        <f>AD12+1/0.07846</f>
        <v>1303.9402479479988</v>
      </c>
      <c r="AK12" s="46">
        <f>AJ12+6130.65+1973.27</f>
        <v>9407.8602479479978</v>
      </c>
      <c r="AL12" s="46">
        <v>9423</v>
      </c>
      <c r="AM12" t="s">
        <v>29</v>
      </c>
      <c r="AN12">
        <v>3</v>
      </c>
      <c r="AO12" s="46">
        <v>1289.962</v>
      </c>
      <c r="AP12">
        <v>4.7995000000000001</v>
      </c>
      <c r="AR12">
        <f>AO12+1/0.07846</f>
        <v>1302.7073479479989</v>
      </c>
      <c r="AS12" s="46">
        <f>AR12+6130.65+1973.27</f>
        <v>9406.6273479479987</v>
      </c>
      <c r="AT12" s="46">
        <v>9423</v>
      </c>
      <c r="AU12" t="s">
        <v>29</v>
      </c>
      <c r="AV12">
        <v>3</v>
      </c>
      <c r="AW12" s="46">
        <v>1206</v>
      </c>
      <c r="AX12">
        <v>3.3</v>
      </c>
      <c r="AZ12">
        <f>$AY$11/AZ11</f>
        <v>2.1429916548842076</v>
      </c>
      <c r="BA12" s="23">
        <f>$AY$11/BA11</f>
        <v>1.0953068458297062</v>
      </c>
      <c r="BB12">
        <f>$AY$11/BB11</f>
        <v>4.1074006718613978</v>
      </c>
      <c r="BC12">
        <f>AW12+1/0.07846</f>
        <v>1218.7453479479989</v>
      </c>
      <c r="BD12" s="23">
        <f>BC12+6130.65+1454.23</f>
        <v>8803.6253479479983</v>
      </c>
      <c r="BE12">
        <v>8813</v>
      </c>
    </row>
    <row r="13" spans="1:57" x14ac:dyDescent="0.3">
      <c r="A13" t="s">
        <v>111</v>
      </c>
      <c r="B13">
        <v>4</v>
      </c>
      <c r="C13">
        <v>856.39329999999995</v>
      </c>
      <c r="D13">
        <v>75.469200000000001</v>
      </c>
      <c r="E13" s="69">
        <f>C13/5/E$2</f>
        <v>2845.3077877803071</v>
      </c>
      <c r="F13">
        <v>2128.1374000000001</v>
      </c>
      <c r="I13" t="s">
        <v>111</v>
      </c>
      <c r="J13">
        <v>4</v>
      </c>
      <c r="K13">
        <v>1892.6042</v>
      </c>
      <c r="L13">
        <v>116.8027</v>
      </c>
      <c r="M13" s="23">
        <f>K13/5/M$2</f>
        <v>6425.1187024127121</v>
      </c>
      <c r="N13">
        <f>AQ7*100/81.8</f>
        <v>6194.1384638045929</v>
      </c>
      <c r="O13">
        <f>AQ7*100/76</f>
        <v>6666.8490307791535</v>
      </c>
      <c r="P13">
        <f>AQ7*100/71.1</f>
        <v>7126.3083873307414</v>
      </c>
      <c r="Q13">
        <v>1133.0019</v>
      </c>
      <c r="S13">
        <v>3</v>
      </c>
      <c r="T13" t="s">
        <v>111</v>
      </c>
      <c r="U13">
        <v>4</v>
      </c>
      <c r="V13">
        <v>2514.2835</v>
      </c>
      <c r="W13">
        <v>115.5998</v>
      </c>
      <c r="X13" s="46">
        <f>V13/5/X$2</f>
        <v>12632.620969519699</v>
      </c>
      <c r="Y13">
        <v>1372.6361999999999</v>
      </c>
      <c r="AA13">
        <v>15</v>
      </c>
      <c r="AL13">
        <v>7</v>
      </c>
      <c r="AT13">
        <v>7</v>
      </c>
      <c r="AU13" t="s">
        <v>111</v>
      </c>
      <c r="AV13">
        <v>4</v>
      </c>
      <c r="AW13">
        <v>580.20000000000005</v>
      </c>
      <c r="AX13">
        <v>83.2</v>
      </c>
      <c r="AY13" s="46">
        <f>AW13/10/AY$2</f>
        <v>1009.1226636775393</v>
      </c>
      <c r="AZ13">
        <f>$X$13*4.6/100</f>
        <v>581.1005645979061</v>
      </c>
      <c r="BA13">
        <f>$X$13*9/100</f>
        <v>1136.935887256773</v>
      </c>
      <c r="BB13">
        <f>$X$13*2.4/100</f>
        <v>303.18290326847278</v>
      </c>
      <c r="BE13">
        <v>15</v>
      </c>
    </row>
    <row r="14" spans="1:57" x14ac:dyDescent="0.3">
      <c r="A14" t="s">
        <v>29</v>
      </c>
      <c r="B14">
        <v>4</v>
      </c>
      <c r="C14" s="69">
        <v>2116.7516999999998</v>
      </c>
      <c r="D14">
        <v>3.3115000000000001</v>
      </c>
      <c r="F14">
        <f>C14+1/0.07846</f>
        <v>2129.4970479479989</v>
      </c>
      <c r="G14" s="28">
        <f>F14+6130.65+677.01</f>
        <v>8937.1570479479979</v>
      </c>
      <c r="H14" s="28"/>
      <c r="I14" t="s">
        <v>29</v>
      </c>
      <c r="J14">
        <v>4</v>
      </c>
      <c r="K14" s="23">
        <v>1123.405</v>
      </c>
      <c r="L14">
        <v>2.1800000000000002</v>
      </c>
      <c r="N14" s="23">
        <f>$M$13/N13</f>
        <v>1.0372901316232839</v>
      </c>
      <c r="O14" s="23">
        <f>$M$13/O13</f>
        <v>0.96374144258398031</v>
      </c>
      <c r="P14" s="23">
        <f>$M$13/P13</f>
        <v>0.90160548115422356</v>
      </c>
      <c r="Q14">
        <f>K14+1/0.07846</f>
        <v>1136.1503479479989</v>
      </c>
      <c r="R14">
        <f>Q14+6130.65+708.7</f>
        <v>7975.5003479479983</v>
      </c>
      <c r="S14">
        <v>9226</v>
      </c>
      <c r="T14" t="s">
        <v>29</v>
      </c>
      <c r="U14">
        <v>4</v>
      </c>
      <c r="V14" s="46">
        <v>1361.7754</v>
      </c>
      <c r="W14">
        <v>1.3602000000000001</v>
      </c>
      <c r="Y14">
        <f>V14+1/0.07846</f>
        <v>1374.5207479479989</v>
      </c>
      <c r="Z14" s="23">
        <f>Y14+6130.65+1454.23</f>
        <v>8959.4007479479988</v>
      </c>
      <c r="AA14" s="23">
        <v>8969</v>
      </c>
      <c r="AU14" t="s">
        <v>29</v>
      </c>
      <c r="AV14">
        <v>4</v>
      </c>
      <c r="AW14" s="46">
        <v>1356</v>
      </c>
      <c r="AX14">
        <v>6</v>
      </c>
      <c r="AZ14">
        <f>$AY$13/AZ13</f>
        <v>1.73657147343473</v>
      </c>
      <c r="BA14" s="46">
        <f>$AY$13/BA13</f>
        <v>0.88758097531108415</v>
      </c>
      <c r="BB14">
        <f>$AY$13/BB13</f>
        <v>3.3284286574165654</v>
      </c>
      <c r="BC14">
        <f>AW14+1/0.07846</f>
        <v>1368.7453479479989</v>
      </c>
      <c r="BD14" s="23">
        <f>BC14+6130.65+1454.23</f>
        <v>8953.6253479479983</v>
      </c>
      <c r="BE14">
        <v>8969</v>
      </c>
    </row>
    <row r="15" spans="1:57" x14ac:dyDescent="0.3">
      <c r="C15">
        <f>$C$5+$C$6*C8</f>
        <v>22.779802940000003</v>
      </c>
      <c r="D15">
        <f>C8+C15</f>
        <v>1223.8104029400001</v>
      </c>
      <c r="I15" t="s">
        <v>111</v>
      </c>
      <c r="J15">
        <v>5</v>
      </c>
      <c r="K15">
        <v>2456.7514000000001</v>
      </c>
      <c r="L15">
        <v>127.9875</v>
      </c>
      <c r="M15" s="46">
        <f>K15/5/M$2</f>
        <v>8340.3172027826058</v>
      </c>
      <c r="N15">
        <f>$AQ$9*100/81.8</f>
        <v>3092.914043668879</v>
      </c>
      <c r="O15">
        <f>$AQ$9*100/76</f>
        <v>3328.9522206857141</v>
      </c>
      <c r="P15">
        <f>$AQ$9*100/71.1</f>
        <v>3558.3736817456302</v>
      </c>
      <c r="Q15">
        <v>1218.0681</v>
      </c>
      <c r="R15" s="23">
        <f>Q14+6130.65+1973.27</f>
        <v>9240.070347947998</v>
      </c>
      <c r="S15" s="23">
        <v>25</v>
      </c>
      <c r="T15" t="s">
        <v>111</v>
      </c>
      <c r="U15">
        <v>5</v>
      </c>
      <c r="V15">
        <v>1720.5171</v>
      </c>
      <c r="W15">
        <v>96.078199999999995</v>
      </c>
      <c r="X15" s="27">
        <f>V15/5/X$2</f>
        <v>8644.4668613850536</v>
      </c>
      <c r="Y15">
        <v>1641.2040999999999</v>
      </c>
      <c r="AA15">
        <v>20</v>
      </c>
      <c r="AI15">
        <f>AD7+AO7</f>
        <v>2045.4864</v>
      </c>
      <c r="AJ15">
        <f>SQRT(AE7^2+AP7^2)</f>
        <v>111.13746367202197</v>
      </c>
      <c r="AU15" t="s">
        <v>111</v>
      </c>
      <c r="AV15">
        <v>5</v>
      </c>
      <c r="AW15">
        <v>370.1</v>
      </c>
      <c r="AX15">
        <v>67</v>
      </c>
      <c r="AY15" s="27">
        <f>AW15/10/AY$2</f>
        <v>643.70268498286339</v>
      </c>
      <c r="AZ15">
        <f>$X$15*4.6/100</f>
        <v>397.6454756237124</v>
      </c>
      <c r="BA15">
        <f>$X$15*9/100</f>
        <v>778.00201752465478</v>
      </c>
      <c r="BB15">
        <f>$X$15*2.4/100</f>
        <v>207.4672046732413</v>
      </c>
      <c r="BE15">
        <v>20</v>
      </c>
    </row>
    <row r="16" spans="1:57" x14ac:dyDescent="0.3">
      <c r="I16" t="s">
        <v>29</v>
      </c>
      <c r="J16">
        <v>5</v>
      </c>
      <c r="K16" s="46">
        <v>1207.7697000000001</v>
      </c>
      <c r="L16">
        <v>1.9468000000000001</v>
      </c>
      <c r="N16" s="28">
        <f>$M$15/N15</f>
        <v>2.6965887460904501</v>
      </c>
      <c r="O16" s="28">
        <f>$M$15/O15</f>
        <v>2.5053880770522521</v>
      </c>
      <c r="P16" s="28">
        <f>$M$15/P15</f>
        <v>2.343856477347567</v>
      </c>
      <c r="Q16">
        <f>K16+1/0.07846</f>
        <v>1220.5150479479989</v>
      </c>
      <c r="R16">
        <f>Q16+6130.65+708.7</f>
        <v>8059.8650479479984</v>
      </c>
      <c r="S16">
        <v>9332</v>
      </c>
      <c r="T16" t="s">
        <v>29</v>
      </c>
      <c r="U16">
        <v>5</v>
      </c>
      <c r="V16" s="27">
        <v>1630.0002999999999</v>
      </c>
      <c r="W16">
        <v>1.8185</v>
      </c>
      <c r="Y16">
        <f>V16+1/0.07846</f>
        <v>1642.7456479479988</v>
      </c>
      <c r="Z16" s="23">
        <f>Y16+6130.65+1454.23</f>
        <v>9227.625647947998</v>
      </c>
      <c r="AA16" s="23">
        <v>9226</v>
      </c>
      <c r="AI16">
        <f>AD9+AO9</f>
        <v>1628.9965999999999</v>
      </c>
      <c r="AJ16">
        <f>SQRT(AE9^2+AP9^2)</f>
        <v>105.71456103266947</v>
      </c>
      <c r="AU16" t="s">
        <v>29</v>
      </c>
      <c r="AV16">
        <v>5</v>
      </c>
      <c r="AW16" s="27">
        <v>1624</v>
      </c>
      <c r="AX16">
        <v>6.6</v>
      </c>
      <c r="AZ16">
        <f>$AY$15/AZ15</f>
        <v>1.6187853865889128</v>
      </c>
      <c r="BA16" s="28">
        <f>$AY$15/BA15</f>
        <v>0.82737919758988865</v>
      </c>
      <c r="BB16">
        <f>$AY$15/BB15</f>
        <v>3.1026719909620821</v>
      </c>
      <c r="BC16">
        <f>AW16+1/0.07846</f>
        <v>1636.7453479479989</v>
      </c>
      <c r="BD16" s="23">
        <f>BC16+6130.65+1454.23</f>
        <v>9221.6253479479983</v>
      </c>
      <c r="BE16">
        <v>9226</v>
      </c>
    </row>
    <row r="17" spans="3:57" x14ac:dyDescent="0.3">
      <c r="C17">
        <f>$C$5+$C$6*C10</f>
        <v>26.610230749999999</v>
      </c>
      <c r="D17">
        <f>C10+C17</f>
        <v>1614.5527307500001</v>
      </c>
      <c r="I17" t="s">
        <v>111</v>
      </c>
      <c r="J17">
        <v>6</v>
      </c>
      <c r="K17">
        <v>1457.5078000000001</v>
      </c>
      <c r="L17">
        <v>99.986900000000006</v>
      </c>
      <c r="M17" s="46">
        <f>K17/5/M$2</f>
        <v>4948.0290832559749</v>
      </c>
      <c r="N17">
        <f>$AQ$11*100/81.8</f>
        <v>2515.4090720343997</v>
      </c>
      <c r="O17">
        <f>$AQ$11*100/76</f>
        <v>2707.374501215972</v>
      </c>
      <c r="P17">
        <f>$AQ$11*100/71.1</f>
        <v>2893.9586792181985</v>
      </c>
      <c r="Q17">
        <v>1311.3494000000001</v>
      </c>
      <c r="R17" s="23">
        <f>Q16+6130.65+1973.27</f>
        <v>9324.4350479479981</v>
      </c>
      <c r="S17" s="23">
        <v>30</v>
      </c>
      <c r="T17" t="s">
        <v>111</v>
      </c>
      <c r="U17">
        <v>6</v>
      </c>
      <c r="V17">
        <v>339.48689999999999</v>
      </c>
      <c r="W17">
        <v>47.460500000000003</v>
      </c>
      <c r="X17" s="27">
        <f>V17/5/X$2</f>
        <v>1705.6983955139656</v>
      </c>
      <c r="Y17">
        <v>1807.7201</v>
      </c>
      <c r="AA17">
        <v>25</v>
      </c>
      <c r="AI17">
        <f>AD11+AO11</f>
        <v>1321.2042999999999</v>
      </c>
      <c r="AJ17">
        <f>SQRT(AE11^2+AP11^2)</f>
        <v>98.376100527313042</v>
      </c>
      <c r="AU17" t="s">
        <v>111</v>
      </c>
      <c r="AV17">
        <v>6</v>
      </c>
      <c r="AW17">
        <v>39.51</v>
      </c>
      <c r="AX17">
        <v>26.43</v>
      </c>
      <c r="AY17" s="27">
        <f>AW17/10/AY$2</f>
        <v>68.718435784039244</v>
      </c>
      <c r="AZ17">
        <f>$X$17*4.6/100</f>
        <v>78.462126193642405</v>
      </c>
      <c r="BA17">
        <f>$X$17*9/100</f>
        <v>153.51285559625691</v>
      </c>
      <c r="BB17">
        <f>$X$17*2.4/100</f>
        <v>40.936761492335172</v>
      </c>
      <c r="BE17">
        <v>25</v>
      </c>
    </row>
    <row r="18" spans="3:57" x14ac:dyDescent="0.3">
      <c r="I18" t="s">
        <v>29</v>
      </c>
      <c r="J18">
        <v>6</v>
      </c>
      <c r="K18" s="46">
        <v>1301.3652</v>
      </c>
      <c r="L18">
        <v>2.7557</v>
      </c>
      <c r="N18" s="28">
        <f>$M$17/N17</f>
        <v>1.9670872377247701</v>
      </c>
      <c r="O18" s="28">
        <f>$M$17/O17</f>
        <v>1.8276116145120116</v>
      </c>
      <c r="P18" s="28">
        <f>$M$17/P17</f>
        <v>1.7097787604184738</v>
      </c>
      <c r="Q18">
        <f>K18+1/0.07846</f>
        <v>1314.1105479479988</v>
      </c>
      <c r="R18">
        <f>Q18+6130.65+708.7</f>
        <v>8153.4605479479987</v>
      </c>
      <c r="S18">
        <v>9423</v>
      </c>
      <c r="T18" t="s">
        <v>29</v>
      </c>
      <c r="U18">
        <v>6</v>
      </c>
      <c r="V18" s="27">
        <v>1796.3868</v>
      </c>
      <c r="W18">
        <v>5.0997000000000003</v>
      </c>
      <c r="Y18">
        <f>V18+1/0.07846</f>
        <v>1809.1321479479989</v>
      </c>
      <c r="Z18" s="28">
        <f>Y18+6130.65+1454.23</f>
        <v>9394.0121479479985</v>
      </c>
      <c r="AA18" s="28"/>
      <c r="AU18" t="s">
        <v>29</v>
      </c>
      <c r="AV18">
        <v>6</v>
      </c>
      <c r="AW18" s="27">
        <v>1809</v>
      </c>
      <c r="AX18">
        <v>21.5</v>
      </c>
      <c r="AZ18">
        <f>$AY$17/AZ17</f>
        <v>0.87581664068653964</v>
      </c>
      <c r="BA18" s="28">
        <f>$AY$17/BA17</f>
        <v>0.44763961635089794</v>
      </c>
      <c r="BB18">
        <f>$AY$17/BB17</f>
        <v>1.6786485613158675</v>
      </c>
      <c r="BC18">
        <f>AW18+1/0.07846</f>
        <v>1821.7453479479989</v>
      </c>
      <c r="BD18" s="28">
        <f>BC18+6130.65+1454.23</f>
        <v>9406.6253479479983</v>
      </c>
      <c r="BE18">
        <v>9423</v>
      </c>
    </row>
    <row r="19" spans="3:57" x14ac:dyDescent="0.3">
      <c r="C19">
        <f>$C$5+$C$6*C12</f>
        <v>29.093866519999999</v>
      </c>
      <c r="D19">
        <f>C12+C19</f>
        <v>1867.90866652</v>
      </c>
      <c r="I19" t="s">
        <v>111</v>
      </c>
      <c r="J19">
        <v>7</v>
      </c>
      <c r="K19">
        <v>3961.8571999999999</v>
      </c>
      <c r="L19">
        <v>147.84190000000001</v>
      </c>
      <c r="M19" s="27">
        <f>K19/5/M$2</f>
        <v>13449.934641383792</v>
      </c>
      <c r="Q19">
        <v>1566.4348</v>
      </c>
      <c r="R19" s="23">
        <f>Q18+6130.65+1973.27</f>
        <v>9418.0305479479994</v>
      </c>
      <c r="S19" s="23">
        <v>7</v>
      </c>
      <c r="BE19">
        <v>7</v>
      </c>
    </row>
    <row r="20" spans="3:57" x14ac:dyDescent="0.3">
      <c r="I20" t="s">
        <v>29</v>
      </c>
      <c r="J20">
        <v>7</v>
      </c>
      <c r="K20" s="27">
        <v>1555.0797</v>
      </c>
      <c r="L20">
        <v>1.3482000000000001</v>
      </c>
      <c r="N20">
        <f>K20+1/0.07846</f>
        <v>1567.8250479479989</v>
      </c>
      <c r="Q20">
        <f>K20+1/0.07846</f>
        <v>1567.8250479479989</v>
      </c>
      <c r="R20" s="28">
        <f>Q20+6130.65+708.7</f>
        <v>8407.1750479479997</v>
      </c>
      <c r="S20" s="28"/>
    </row>
    <row r="21" spans="3:57" x14ac:dyDescent="0.3">
      <c r="C21">
        <f>$C$5+$C$6*C14</f>
        <v>31.845441829999999</v>
      </c>
      <c r="D21">
        <f>C14+C21</f>
        <v>2148.5971418299996</v>
      </c>
      <c r="I21" t="s">
        <v>111</v>
      </c>
      <c r="J21">
        <v>8</v>
      </c>
      <c r="K21">
        <v>2397.7952</v>
      </c>
      <c r="L21">
        <v>118.4435</v>
      </c>
      <c r="M21" s="27">
        <f>K21/5/M$2</f>
        <v>8140.1693941477188</v>
      </c>
      <c r="Q21">
        <v>1704.7959000000001</v>
      </c>
    </row>
    <row r="22" spans="3:57" x14ac:dyDescent="0.3">
      <c r="I22" t="s">
        <v>29</v>
      </c>
      <c r="J22">
        <v>8</v>
      </c>
      <c r="K22" s="27">
        <v>1693.4629</v>
      </c>
      <c r="L22">
        <v>2.0295999999999998</v>
      </c>
      <c r="N22">
        <f>K22+1/0.07846</f>
        <v>1706.2082479479989</v>
      </c>
      <c r="Q22">
        <f>K22+1/0.07846</f>
        <v>1706.2082479479989</v>
      </c>
      <c r="R22" s="28">
        <f>Q22+6130.65+708.7</f>
        <v>8545.5582479479981</v>
      </c>
      <c r="S22" s="28"/>
    </row>
    <row r="23" spans="3:57" x14ac:dyDescent="0.3">
      <c r="I23" t="s">
        <v>111</v>
      </c>
      <c r="J23">
        <v>9</v>
      </c>
      <c r="K23">
        <v>412.77670000000001</v>
      </c>
      <c r="L23">
        <v>56.5428</v>
      </c>
      <c r="M23" s="27">
        <f>K23/5/M$2</f>
        <v>1401.3174519480624</v>
      </c>
      <c r="Q23">
        <v>1857.5628999999999</v>
      </c>
    </row>
    <row r="24" spans="3:57" x14ac:dyDescent="0.3">
      <c r="I24" t="s">
        <v>29</v>
      </c>
      <c r="J24">
        <v>9</v>
      </c>
      <c r="K24" s="27">
        <v>1846.3348000000001</v>
      </c>
      <c r="L24">
        <v>6.0540000000000003</v>
      </c>
      <c r="N24">
        <f>K24+1/0.07846</f>
        <v>1859.080147947999</v>
      </c>
      <c r="Q24">
        <f>K24+1/0.07846</f>
        <v>1859.080147947999</v>
      </c>
      <c r="R24" s="23">
        <f>Q24+6130.65+708.7</f>
        <v>8698.4301479479982</v>
      </c>
      <c r="S24" s="23">
        <v>8702</v>
      </c>
    </row>
    <row r="25" spans="3:57" x14ac:dyDescent="0.3">
      <c r="I25" t="s">
        <v>93</v>
      </c>
      <c r="J25">
        <v>0.94179999999999997</v>
      </c>
      <c r="K25">
        <v>9.1899999999999996E-2</v>
      </c>
      <c r="S25">
        <v>17</v>
      </c>
    </row>
    <row r="26" spans="3:57" x14ac:dyDescent="0.3">
      <c r="I26" t="s">
        <v>94</v>
      </c>
      <c r="J26">
        <v>0</v>
      </c>
      <c r="K26">
        <v>0</v>
      </c>
    </row>
    <row r="27" spans="3:57" x14ac:dyDescent="0.3">
      <c r="I27" t="s">
        <v>141</v>
      </c>
      <c r="J27" t="s">
        <v>274</v>
      </c>
      <c r="K27">
        <v>-7.3899999999999993E-2</v>
      </c>
      <c r="L27">
        <v>8.1849000000000007</v>
      </c>
    </row>
    <row r="28" spans="3:57" x14ac:dyDescent="0.3">
      <c r="I28" t="s">
        <v>141</v>
      </c>
      <c r="J28" t="s">
        <v>276</v>
      </c>
      <c r="K28">
        <v>1.9599999999999999E-2</v>
      </c>
      <c r="L28">
        <v>5.0000000000000001E-3</v>
      </c>
      <c r="Q28" t="s">
        <v>278</v>
      </c>
    </row>
    <row r="29" spans="3:57" x14ac:dyDescent="0.3">
      <c r="I29" t="s">
        <v>111</v>
      </c>
      <c r="J29">
        <v>1</v>
      </c>
      <c r="K29">
        <v>3955.0772000000002</v>
      </c>
      <c r="L29">
        <v>147.42789999999999</v>
      </c>
      <c r="M29">
        <f>K29/5/M$2</f>
        <v>13426.917517781108</v>
      </c>
      <c r="Q29">
        <v>1566.4161999999999</v>
      </c>
    </row>
    <row r="30" spans="3:57" x14ac:dyDescent="0.3">
      <c r="I30" t="s">
        <v>29</v>
      </c>
      <c r="J30">
        <v>1</v>
      </c>
      <c r="K30">
        <v>1555.0959</v>
      </c>
      <c r="L30">
        <v>1.3409</v>
      </c>
      <c r="N30">
        <f>K30+1/0.07846</f>
        <v>1567.8412479479989</v>
      </c>
      <c r="Q30">
        <f>K30+1/0.07846</f>
        <v>1567.8412479479989</v>
      </c>
      <c r="R30" s="28">
        <f>Q30+6130.65+708.7</f>
        <v>8407.1912479479997</v>
      </c>
      <c r="S30" s="28"/>
    </row>
    <row r="31" spans="3:57" x14ac:dyDescent="0.3">
      <c r="I31" t="s">
        <v>111</v>
      </c>
      <c r="J31">
        <v>2</v>
      </c>
      <c r="K31">
        <v>2391.6242000000002</v>
      </c>
      <c r="L31">
        <v>118.1859</v>
      </c>
      <c r="M31">
        <f>K31/5/M$2</f>
        <v>8119.2197378420915</v>
      </c>
      <c r="Q31">
        <v>1704.7681</v>
      </c>
    </row>
    <row r="32" spans="3:57" x14ac:dyDescent="0.3">
      <c r="I32" t="s">
        <v>29</v>
      </c>
      <c r="J32">
        <v>2</v>
      </c>
      <c r="K32">
        <v>1693.4460999999999</v>
      </c>
      <c r="L32">
        <v>2.0240999999999998</v>
      </c>
      <c r="N32">
        <f>K32+1/0.07846</f>
        <v>1706.1914479479988</v>
      </c>
      <c r="Q32">
        <f>K32+1/0.07846</f>
        <v>1706.1914479479988</v>
      </c>
      <c r="R32" s="28">
        <f>Q32+6130.65+708.7</f>
        <v>8545.5414479479987</v>
      </c>
      <c r="S32" s="28"/>
    </row>
    <row r="33" spans="9:25" x14ac:dyDescent="0.3">
      <c r="I33" t="s">
        <v>111</v>
      </c>
      <c r="J33">
        <v>3</v>
      </c>
      <c r="K33">
        <v>408.99759999999998</v>
      </c>
      <c r="L33">
        <v>55.625100000000003</v>
      </c>
      <c r="M33">
        <f>K33/5/M$2</f>
        <v>1388.4879516815579</v>
      </c>
      <c r="Q33">
        <v>1857.2663</v>
      </c>
    </row>
    <row r="34" spans="9:25" x14ac:dyDescent="0.3">
      <c r="I34" t="s">
        <v>29</v>
      </c>
      <c r="J34">
        <v>3</v>
      </c>
      <c r="K34">
        <v>1846.0188000000001</v>
      </c>
      <c r="L34">
        <v>5.9847999999999999</v>
      </c>
      <c r="N34">
        <f>K34+1/0.07846</f>
        <v>1858.7641479479989</v>
      </c>
      <c r="Q34">
        <f>K34+1/0.07846</f>
        <v>1858.7641479479989</v>
      </c>
      <c r="R34" s="23">
        <f>Q34+6130.65+708.7</f>
        <v>8698.1141479479993</v>
      </c>
      <c r="S34" s="23"/>
    </row>
    <row r="35" spans="9:25" x14ac:dyDescent="0.3">
      <c r="I35" t="s">
        <v>111</v>
      </c>
      <c r="J35">
        <v>4</v>
      </c>
      <c r="K35">
        <v>655.18140000000005</v>
      </c>
      <c r="L35">
        <v>71.355000000000004</v>
      </c>
      <c r="M35" s="69">
        <f>K35/5/M$2</f>
        <v>2224.2464994069778</v>
      </c>
      <c r="Q35">
        <v>2471.5162</v>
      </c>
    </row>
    <row r="36" spans="9:25" x14ac:dyDescent="0.3">
      <c r="I36" t="s">
        <v>29</v>
      </c>
      <c r="J36">
        <v>4</v>
      </c>
      <c r="K36" s="69">
        <v>2459.4875000000002</v>
      </c>
      <c r="L36">
        <v>5.7950999999999997</v>
      </c>
      <c r="N36">
        <f>K36+1/0.07846</f>
        <v>2472.2328479479993</v>
      </c>
      <c r="Q36">
        <f>K36+1/0.07846</f>
        <v>2472.2328479479993</v>
      </c>
      <c r="R36" s="28">
        <f>Q36+6130.65+708.7</f>
        <v>9311.5828479480006</v>
      </c>
      <c r="S36" s="28"/>
    </row>
    <row r="37" spans="9:25" x14ac:dyDescent="0.3">
      <c r="V37" t="s">
        <v>286</v>
      </c>
      <c r="W37">
        <f>E7+X11+AF9+AQ9+AY11</f>
        <v>54932.868188019376</v>
      </c>
      <c r="Y37">
        <f>X11+X13</f>
        <v>48431.54478051851</v>
      </c>
    </row>
    <row r="38" spans="9:25" x14ac:dyDescent="0.3">
      <c r="V38" t="s">
        <v>287</v>
      </c>
      <c r="W38">
        <f>AF11+AQ11</f>
        <v>6606.8564500542961</v>
      </c>
      <c r="Y38">
        <f>AF9+AF11</f>
        <v>10163.558240300099</v>
      </c>
    </row>
    <row r="39" spans="9:25" x14ac:dyDescent="0.3">
      <c r="V39" t="s">
        <v>288</v>
      </c>
      <c r="W39">
        <f>X13+AY13</f>
        <v>13641.743633197239</v>
      </c>
      <c r="Y39">
        <f>AQ9+AQ11</f>
        <v>4587.6083086452818</v>
      </c>
    </row>
    <row r="40" spans="9:25" x14ac:dyDescent="0.3">
      <c r="Y40">
        <f>E7</f>
        <v>7460.6617090124073</v>
      </c>
    </row>
    <row r="41" spans="9:25" x14ac:dyDescent="0.3">
      <c r="Y41">
        <f>SUM(Y37:Y40)</f>
        <v>70643.373038476304</v>
      </c>
    </row>
    <row r="67" spans="1:32" s="15" customFormat="1" x14ac:dyDescent="0.3"/>
    <row r="68" spans="1:32" x14ac:dyDescent="0.3">
      <c r="A68" s="143" t="s">
        <v>297</v>
      </c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  <c r="AE68" s="143"/>
      <c r="AF68" s="143"/>
    </row>
    <row r="70" spans="1:32" x14ac:dyDescent="0.3">
      <c r="A70" t="s">
        <v>289</v>
      </c>
      <c r="H70" t="s">
        <v>290</v>
      </c>
      <c r="O70" t="s">
        <v>291</v>
      </c>
      <c r="V70" t="s">
        <v>292</v>
      </c>
      <c r="AC70" t="s">
        <v>293</v>
      </c>
    </row>
    <row r="71" spans="1:32" x14ac:dyDescent="0.3">
      <c r="A71" t="s">
        <v>93</v>
      </c>
      <c r="B71">
        <v>5.1870000000000003</v>
      </c>
      <c r="C71">
        <v>0.43669999999999998</v>
      </c>
      <c r="H71" t="s">
        <v>93</v>
      </c>
      <c r="I71">
        <v>0.92900000000000005</v>
      </c>
      <c r="J71">
        <v>0.26629999999999998</v>
      </c>
      <c r="O71" t="s">
        <v>93</v>
      </c>
      <c r="P71">
        <v>0.75780000000000003</v>
      </c>
      <c r="Q71">
        <v>7.9699999999999993E-2</v>
      </c>
      <c r="V71" t="s">
        <v>93</v>
      </c>
      <c r="W71">
        <v>2.0983999999999998</v>
      </c>
      <c r="X71">
        <v>0.2601</v>
      </c>
      <c r="AC71" t="s">
        <v>93</v>
      </c>
      <c r="AD71">
        <v>1.2914000000000001</v>
      </c>
      <c r="AE71">
        <v>9.2999999999999999E-2</v>
      </c>
    </row>
    <row r="72" spans="1:32" x14ac:dyDescent="0.3">
      <c r="A72" t="s">
        <v>94</v>
      </c>
      <c r="B72">
        <v>-1.9E-3</v>
      </c>
      <c r="C72">
        <v>2.0000000000000001E-4</v>
      </c>
      <c r="H72" t="s">
        <v>94</v>
      </c>
      <c r="I72">
        <v>-1E-4</v>
      </c>
      <c r="J72">
        <v>2.0000000000000001E-4</v>
      </c>
      <c r="O72" t="s">
        <v>94</v>
      </c>
      <c r="P72">
        <v>0</v>
      </c>
      <c r="Q72">
        <v>0</v>
      </c>
      <c r="V72" t="s">
        <v>94</v>
      </c>
      <c r="W72">
        <v>-1E-3</v>
      </c>
      <c r="X72">
        <v>2.0000000000000001E-4</v>
      </c>
      <c r="AC72" t="s">
        <v>94</v>
      </c>
      <c r="AD72">
        <v>-4.0000000000000002E-4</v>
      </c>
      <c r="AE72">
        <v>0</v>
      </c>
    </row>
    <row r="73" spans="1:32" x14ac:dyDescent="0.3">
      <c r="A73" t="s">
        <v>141</v>
      </c>
      <c r="B73" t="s">
        <v>274</v>
      </c>
      <c r="C73">
        <v>1.8677999999999999</v>
      </c>
      <c r="D73">
        <v>4.6402999999999999</v>
      </c>
      <c r="H73" t="s">
        <v>141</v>
      </c>
      <c r="I73" t="s">
        <v>274</v>
      </c>
      <c r="J73">
        <v>-7.7953999999999999</v>
      </c>
      <c r="K73">
        <v>4.3193000000000001</v>
      </c>
      <c r="O73" t="s">
        <v>141</v>
      </c>
      <c r="P73" t="s">
        <v>274</v>
      </c>
      <c r="Q73">
        <v>9.9756</v>
      </c>
      <c r="R73">
        <v>2.7035999999999998</v>
      </c>
      <c r="V73" t="s">
        <v>141</v>
      </c>
      <c r="W73" t="s">
        <v>274</v>
      </c>
      <c r="X73">
        <v>27.810600000000001</v>
      </c>
      <c r="Y73">
        <v>16.095800000000001</v>
      </c>
      <c r="AC73" t="s">
        <v>141</v>
      </c>
      <c r="AD73" t="s">
        <v>274</v>
      </c>
      <c r="AE73">
        <v>84.185900000000004</v>
      </c>
      <c r="AF73">
        <v>20.212499999999999</v>
      </c>
    </row>
    <row r="74" spans="1:32" x14ac:dyDescent="0.3">
      <c r="A74" t="s">
        <v>141</v>
      </c>
      <c r="B74" t="s">
        <v>276</v>
      </c>
      <c r="C74">
        <v>1.52E-2</v>
      </c>
      <c r="D74">
        <v>2.8999999999999998E-3</v>
      </c>
      <c r="E74" t="s">
        <v>296</v>
      </c>
      <c r="F74" t="s">
        <v>294</v>
      </c>
      <c r="H74" t="s">
        <v>141</v>
      </c>
      <c r="I74" t="s">
        <v>276</v>
      </c>
      <c r="J74">
        <v>1.9699999999999999E-2</v>
      </c>
      <c r="K74">
        <v>3.0999999999999999E-3</v>
      </c>
      <c r="L74" t="s">
        <v>296</v>
      </c>
      <c r="M74" t="s">
        <v>294</v>
      </c>
      <c r="O74" t="s">
        <v>141</v>
      </c>
      <c r="P74" t="s">
        <v>276</v>
      </c>
      <c r="Q74">
        <v>1.3100000000000001E-2</v>
      </c>
      <c r="R74">
        <v>2.0999999999999999E-3</v>
      </c>
      <c r="S74" t="s">
        <v>296</v>
      </c>
      <c r="T74" t="s">
        <v>294</v>
      </c>
      <c r="V74" t="s">
        <v>141</v>
      </c>
      <c r="W74" t="s">
        <v>276</v>
      </c>
      <c r="X74">
        <v>-7.6E-3</v>
      </c>
      <c r="Y74">
        <v>1.4E-2</v>
      </c>
      <c r="AC74" t="s">
        <v>141</v>
      </c>
      <c r="AD74" t="s">
        <v>276</v>
      </c>
      <c r="AE74">
        <v>-4.7600000000000003E-2</v>
      </c>
      <c r="AF74">
        <v>1.67E-2</v>
      </c>
    </row>
    <row r="75" spans="1:32" x14ac:dyDescent="0.3">
      <c r="A75" t="s">
        <v>111</v>
      </c>
      <c r="B75">
        <v>1</v>
      </c>
      <c r="C75">
        <v>2026.134</v>
      </c>
      <c r="D75">
        <v>113.1823</v>
      </c>
      <c r="H75" t="s">
        <v>111</v>
      </c>
      <c r="I75">
        <v>1</v>
      </c>
      <c r="J75">
        <v>490.49020000000002</v>
      </c>
      <c r="K75">
        <v>63.081699999999998</v>
      </c>
      <c r="O75" t="s">
        <v>111</v>
      </c>
      <c r="P75">
        <v>1</v>
      </c>
      <c r="Q75">
        <v>707.15309999999999</v>
      </c>
      <c r="R75">
        <v>63.568199999999997</v>
      </c>
      <c r="V75" t="s">
        <v>111</v>
      </c>
      <c r="W75">
        <v>1</v>
      </c>
      <c r="X75">
        <v>1247.8467000000001</v>
      </c>
      <c r="Y75">
        <v>91.326700000000002</v>
      </c>
      <c r="AC75" t="s">
        <v>111</v>
      </c>
      <c r="AD75">
        <v>1</v>
      </c>
      <c r="AE75">
        <v>834.72529999999995</v>
      </c>
      <c r="AF75">
        <v>75.597499999999997</v>
      </c>
    </row>
    <row r="76" spans="1:32" x14ac:dyDescent="0.3">
      <c r="A76" t="s">
        <v>29</v>
      </c>
      <c r="B76">
        <v>1</v>
      </c>
      <c r="C76">
        <v>1201.7439999999999</v>
      </c>
      <c r="D76">
        <v>2.6642000000000001</v>
      </c>
      <c r="E76">
        <v>20.134308799999999</v>
      </c>
      <c r="F76">
        <v>1221.8783088</v>
      </c>
      <c r="H76" t="s">
        <v>29</v>
      </c>
      <c r="I76">
        <v>1</v>
      </c>
      <c r="J76">
        <v>842.08690000000001</v>
      </c>
      <c r="K76">
        <v>3.2494999999999998</v>
      </c>
      <c r="L76">
        <v>8.7937119299999971</v>
      </c>
      <c r="M76">
        <v>850.88061192999999</v>
      </c>
      <c r="O76" t="s">
        <v>29</v>
      </c>
      <c r="P76">
        <v>1</v>
      </c>
      <c r="Q76">
        <v>831.77369999999996</v>
      </c>
      <c r="R76">
        <v>4.6257999999999999</v>
      </c>
      <c r="S76">
        <v>20.871835470000001</v>
      </c>
      <c r="T76">
        <v>852.64553546999991</v>
      </c>
      <c r="V76" t="s">
        <v>29</v>
      </c>
      <c r="W76">
        <v>1</v>
      </c>
      <c r="X76">
        <v>1109.0944</v>
      </c>
      <c r="Y76">
        <v>2.9967999999999999</v>
      </c>
      <c r="AC76" t="s">
        <v>29</v>
      </c>
      <c r="AD76">
        <v>1</v>
      </c>
      <c r="AE76">
        <v>1124.4271000000001</v>
      </c>
      <c r="AF76">
        <v>12.7254</v>
      </c>
    </row>
    <row r="77" spans="1:32" x14ac:dyDescent="0.3">
      <c r="A77" t="s">
        <v>295</v>
      </c>
      <c r="B77">
        <v>1211.7116000000001</v>
      </c>
      <c r="C77">
        <v>0</v>
      </c>
      <c r="H77" t="s">
        <v>295</v>
      </c>
      <c r="I77">
        <v>850.85360000000003</v>
      </c>
      <c r="J77">
        <v>0</v>
      </c>
      <c r="O77" t="s">
        <v>295</v>
      </c>
      <c r="P77">
        <v>834.09649999999999</v>
      </c>
      <c r="Q77">
        <v>0</v>
      </c>
      <c r="V77" t="s">
        <v>295</v>
      </c>
      <c r="W77">
        <v>1122.8597</v>
      </c>
      <c r="X77">
        <v>0</v>
      </c>
      <c r="AC77" t="s">
        <v>295</v>
      </c>
      <c r="AD77">
        <v>1126.0458000000001</v>
      </c>
      <c r="AE77">
        <v>0</v>
      </c>
    </row>
    <row r="78" spans="1:32" x14ac:dyDescent="0.3">
      <c r="A78" t="s">
        <v>111</v>
      </c>
      <c r="B78">
        <v>2</v>
      </c>
      <c r="C78">
        <v>8117.6841999999997</v>
      </c>
      <c r="D78">
        <v>209.36680000000001</v>
      </c>
      <c r="H78" t="s">
        <v>111</v>
      </c>
      <c r="I78">
        <v>2</v>
      </c>
      <c r="J78">
        <v>421.60230000000001</v>
      </c>
      <c r="K78">
        <v>59.234400000000001</v>
      </c>
      <c r="O78" t="s">
        <v>111</v>
      </c>
      <c r="P78">
        <v>2</v>
      </c>
      <c r="Q78">
        <v>1948.4385</v>
      </c>
      <c r="R78">
        <v>102.6036</v>
      </c>
      <c r="V78" t="s">
        <v>111</v>
      </c>
      <c r="W78">
        <v>2</v>
      </c>
      <c r="X78">
        <v>1220.7145</v>
      </c>
      <c r="Y78">
        <v>91.535399999999996</v>
      </c>
      <c r="AC78" t="s">
        <v>111</v>
      </c>
      <c r="AD78">
        <v>2</v>
      </c>
      <c r="AE78">
        <v>401.4194</v>
      </c>
      <c r="AF78">
        <v>58.2196</v>
      </c>
    </row>
    <row r="79" spans="1:32" x14ac:dyDescent="0.3">
      <c r="A79" t="s">
        <v>29</v>
      </c>
      <c r="B79">
        <v>2</v>
      </c>
      <c r="C79">
        <v>1588.4304999999999</v>
      </c>
      <c r="D79">
        <v>2.5988000000000002</v>
      </c>
      <c r="E79">
        <v>26.011943599999999</v>
      </c>
      <c r="F79">
        <v>1614.4424435999999</v>
      </c>
      <c r="H79" t="s">
        <v>29</v>
      </c>
      <c r="I79">
        <v>2</v>
      </c>
      <c r="J79">
        <v>932.95870000000002</v>
      </c>
      <c r="K79">
        <v>4.9892000000000003</v>
      </c>
      <c r="L79">
        <v>10.58388639</v>
      </c>
      <c r="M79">
        <v>943.54258639</v>
      </c>
      <c r="O79" t="s">
        <v>29</v>
      </c>
      <c r="P79">
        <v>2</v>
      </c>
      <c r="Q79">
        <v>968.47159999999997</v>
      </c>
      <c r="R79">
        <v>4.3653000000000004</v>
      </c>
      <c r="S79">
        <v>22.66257796</v>
      </c>
      <c r="T79">
        <v>991.13417795999999</v>
      </c>
      <c r="V79" t="s">
        <v>29</v>
      </c>
      <c r="W79">
        <v>2</v>
      </c>
      <c r="X79">
        <v>1208.4096999999999</v>
      </c>
      <c r="Y79">
        <v>2.6587000000000001</v>
      </c>
      <c r="AC79" t="s">
        <v>29</v>
      </c>
      <c r="AD79">
        <v>2</v>
      </c>
      <c r="AE79">
        <v>1232.5026</v>
      </c>
      <c r="AF79">
        <v>13.2944</v>
      </c>
    </row>
    <row r="80" spans="1:32" x14ac:dyDescent="0.3">
      <c r="A80" t="s">
        <v>295</v>
      </c>
      <c r="B80">
        <v>1599.0182</v>
      </c>
      <c r="C80">
        <v>0</v>
      </c>
      <c r="H80" t="s">
        <v>295</v>
      </c>
      <c r="I80">
        <v>943.5127</v>
      </c>
      <c r="J80">
        <v>0</v>
      </c>
      <c r="O80" t="s">
        <v>295</v>
      </c>
      <c r="P80">
        <v>970.79840000000002</v>
      </c>
      <c r="Q80">
        <v>0</v>
      </c>
      <c r="V80" t="s">
        <v>295</v>
      </c>
      <c r="W80">
        <v>1221.5355</v>
      </c>
      <c r="X80">
        <v>0</v>
      </c>
      <c r="AC80" t="s">
        <v>295</v>
      </c>
      <c r="AD80">
        <v>1234.8311000000001</v>
      </c>
      <c r="AE80">
        <v>0</v>
      </c>
    </row>
    <row r="81" spans="1:32" x14ac:dyDescent="0.3">
      <c r="A81" t="s">
        <v>111</v>
      </c>
      <c r="B81">
        <v>3</v>
      </c>
      <c r="C81">
        <v>288.31529999999998</v>
      </c>
      <c r="D81">
        <v>52.822899999999997</v>
      </c>
      <c r="H81" t="s">
        <v>111</v>
      </c>
      <c r="I81">
        <v>3</v>
      </c>
      <c r="J81">
        <v>2208.7815000000001</v>
      </c>
      <c r="K81">
        <v>144.6242</v>
      </c>
      <c r="O81" t="s">
        <v>111</v>
      </c>
      <c r="P81">
        <v>3</v>
      </c>
      <c r="Q81">
        <v>7088.3780999999999</v>
      </c>
      <c r="R81">
        <v>191.31710000000001</v>
      </c>
      <c r="V81" t="s">
        <v>111</v>
      </c>
      <c r="W81">
        <v>3</v>
      </c>
      <c r="X81">
        <v>918.2758</v>
      </c>
      <c r="Y81">
        <v>86.054100000000005</v>
      </c>
      <c r="AC81" t="s">
        <v>111</v>
      </c>
      <c r="AD81">
        <v>3</v>
      </c>
      <c r="AE81">
        <v>321.86919999999998</v>
      </c>
      <c r="AF81">
        <v>54.032800000000002</v>
      </c>
    </row>
    <row r="82" spans="1:32" x14ac:dyDescent="0.3">
      <c r="A82" t="s">
        <v>29</v>
      </c>
      <c r="B82">
        <v>3</v>
      </c>
      <c r="C82">
        <v>1843.0142000000001</v>
      </c>
      <c r="D82">
        <v>7.556</v>
      </c>
      <c r="E82">
        <v>29.881615839999998</v>
      </c>
      <c r="F82">
        <v>1872.8958158400001</v>
      </c>
      <c r="H82" t="s">
        <v>29</v>
      </c>
      <c r="I82">
        <v>3</v>
      </c>
      <c r="J82">
        <v>1041.8502000000001</v>
      </c>
      <c r="K82">
        <v>1.5582</v>
      </c>
      <c r="L82">
        <v>12.729048939999998</v>
      </c>
      <c r="M82">
        <v>1054.5792489400001</v>
      </c>
      <c r="O82" t="s">
        <v>29</v>
      </c>
      <c r="P82">
        <v>3</v>
      </c>
      <c r="Q82">
        <v>1222.0592999999999</v>
      </c>
      <c r="R82">
        <v>4.2518000000000002</v>
      </c>
      <c r="S82">
        <v>25.984576829999998</v>
      </c>
      <c r="T82">
        <v>1248.0438768299998</v>
      </c>
      <c r="V82" t="s">
        <v>29</v>
      </c>
      <c r="W82">
        <v>3</v>
      </c>
      <c r="X82">
        <v>1286.7671</v>
      </c>
      <c r="Y82">
        <v>3.5076999999999998</v>
      </c>
      <c r="AC82" t="s">
        <v>29</v>
      </c>
      <c r="AD82">
        <v>3</v>
      </c>
      <c r="AE82">
        <v>1299.6615999999999</v>
      </c>
      <c r="AF82">
        <v>13.3009</v>
      </c>
    </row>
    <row r="83" spans="1:32" x14ac:dyDescent="0.3">
      <c r="A83" t="s">
        <v>295</v>
      </c>
      <c r="B83">
        <v>1853.3688</v>
      </c>
      <c r="C83">
        <v>0</v>
      </c>
      <c r="H83" t="s">
        <v>295</v>
      </c>
      <c r="I83">
        <v>1054.5459000000001</v>
      </c>
      <c r="J83">
        <v>0</v>
      </c>
      <c r="O83" t="s">
        <v>295</v>
      </c>
      <c r="P83">
        <v>1224.3919000000001</v>
      </c>
      <c r="Q83">
        <v>0</v>
      </c>
      <c r="V83" t="s">
        <v>295</v>
      </c>
      <c r="W83">
        <v>1298.4981</v>
      </c>
      <c r="X83">
        <v>0</v>
      </c>
      <c r="AC83" t="s">
        <v>295</v>
      </c>
      <c r="AD83">
        <v>1299.6615999999999</v>
      </c>
      <c r="AE83">
        <v>0</v>
      </c>
    </row>
    <row r="84" spans="1:32" x14ac:dyDescent="0.3">
      <c r="A84" t="s">
        <v>111</v>
      </c>
      <c r="B84">
        <v>4</v>
      </c>
      <c r="C84">
        <v>903.76520000000005</v>
      </c>
      <c r="D84">
        <v>76.394999999999996</v>
      </c>
      <c r="H84" t="s">
        <v>111</v>
      </c>
      <c r="I84">
        <v>4</v>
      </c>
      <c r="J84">
        <v>1883.7882</v>
      </c>
      <c r="K84">
        <v>134.12989999999999</v>
      </c>
      <c r="O84" t="s">
        <v>111</v>
      </c>
      <c r="P84">
        <v>4</v>
      </c>
      <c r="Q84">
        <v>2506.5855000000001</v>
      </c>
      <c r="R84">
        <v>115.899</v>
      </c>
      <c r="V84" t="s">
        <v>59</v>
      </c>
      <c r="W84">
        <v>0.05</v>
      </c>
      <c r="X84">
        <v>1.06E-2</v>
      </c>
      <c r="AC84" t="s">
        <v>59</v>
      </c>
      <c r="AD84">
        <v>0.6079</v>
      </c>
      <c r="AE84">
        <v>4.6323999999999996</v>
      </c>
    </row>
    <row r="85" spans="1:32" x14ac:dyDescent="0.3">
      <c r="A85" t="s">
        <v>29</v>
      </c>
      <c r="B85">
        <v>4</v>
      </c>
      <c r="C85">
        <v>2118.0365000000002</v>
      </c>
      <c r="D85">
        <v>4.2214</v>
      </c>
      <c r="E85">
        <v>34.061954800000002</v>
      </c>
      <c r="F85">
        <v>2152.0984548000001</v>
      </c>
      <c r="H85" t="s">
        <v>29</v>
      </c>
      <c r="I85">
        <v>4</v>
      </c>
      <c r="J85">
        <v>1116.1887999999999</v>
      </c>
      <c r="K85">
        <v>2.2858000000000001</v>
      </c>
      <c r="L85">
        <v>14.193519359999996</v>
      </c>
      <c r="M85">
        <v>1130.3823193599999</v>
      </c>
      <c r="O85" t="s">
        <v>29</v>
      </c>
      <c r="P85">
        <v>4</v>
      </c>
      <c r="Q85">
        <v>1371.1880000000001</v>
      </c>
      <c r="R85">
        <v>4.4084000000000003</v>
      </c>
      <c r="S85">
        <v>27.938162800000001</v>
      </c>
      <c r="T85">
        <v>1399.1261628000002</v>
      </c>
    </row>
    <row r="86" spans="1:32" x14ac:dyDescent="0.3">
      <c r="A86" t="s">
        <v>295</v>
      </c>
      <c r="B86">
        <v>2128.9063000000001</v>
      </c>
      <c r="C86">
        <v>0</v>
      </c>
      <c r="H86" t="s">
        <v>295</v>
      </c>
      <c r="I86">
        <v>1129.8305</v>
      </c>
      <c r="J86">
        <v>0</v>
      </c>
      <c r="O86" t="s">
        <v>295</v>
      </c>
      <c r="P86">
        <v>1373.5228999999999</v>
      </c>
      <c r="Q86">
        <v>0</v>
      </c>
    </row>
    <row r="87" spans="1:32" x14ac:dyDescent="0.3">
      <c r="A87" t="s">
        <v>59</v>
      </c>
      <c r="B87">
        <v>8.1900000000000001E-2</v>
      </c>
      <c r="C87">
        <v>1.8499999999999999E-2</v>
      </c>
      <c r="H87" t="s">
        <v>111</v>
      </c>
      <c r="I87">
        <v>5</v>
      </c>
      <c r="J87">
        <v>2414.3521000000001</v>
      </c>
      <c r="K87">
        <v>141.25059999999999</v>
      </c>
      <c r="O87" t="s">
        <v>111</v>
      </c>
      <c r="P87">
        <v>5</v>
      </c>
      <c r="Q87">
        <v>1720.7838999999999</v>
      </c>
      <c r="R87">
        <v>97.267099999999999</v>
      </c>
    </row>
    <row r="88" spans="1:32" x14ac:dyDescent="0.3">
      <c r="H88" t="s">
        <v>29</v>
      </c>
      <c r="I88">
        <v>5</v>
      </c>
      <c r="J88">
        <v>1198.4521999999999</v>
      </c>
      <c r="K88">
        <v>2.1970999999999998</v>
      </c>
      <c r="L88">
        <v>15.814108339999997</v>
      </c>
      <c r="M88">
        <v>1214.26630834</v>
      </c>
      <c r="O88" t="s">
        <v>29</v>
      </c>
      <c r="P88">
        <v>5</v>
      </c>
      <c r="Q88">
        <v>1638.9395</v>
      </c>
      <c r="R88">
        <v>4.601</v>
      </c>
      <c r="S88">
        <v>31.44570745</v>
      </c>
      <c r="T88">
        <v>1670.3852074500001</v>
      </c>
    </row>
    <row r="89" spans="1:32" x14ac:dyDescent="0.3">
      <c r="H89" t="s">
        <v>295</v>
      </c>
      <c r="I89">
        <v>1213.7501999999999</v>
      </c>
      <c r="J89">
        <v>0</v>
      </c>
      <c r="O89" t="s">
        <v>295</v>
      </c>
      <c r="P89">
        <v>1641.2779</v>
      </c>
      <c r="Q89">
        <v>0</v>
      </c>
    </row>
    <row r="90" spans="1:32" x14ac:dyDescent="0.3">
      <c r="H90" t="s">
        <v>111</v>
      </c>
      <c r="I90">
        <v>6</v>
      </c>
      <c r="J90">
        <v>1239.883</v>
      </c>
      <c r="K90">
        <v>114.4238</v>
      </c>
      <c r="O90" t="s">
        <v>111</v>
      </c>
      <c r="P90">
        <v>6</v>
      </c>
      <c r="Q90">
        <v>338.27980000000002</v>
      </c>
      <c r="R90">
        <v>48.943199999999997</v>
      </c>
    </row>
    <row r="91" spans="1:32" x14ac:dyDescent="0.3">
      <c r="H91" t="s">
        <v>29</v>
      </c>
      <c r="I91">
        <v>6</v>
      </c>
      <c r="J91">
        <v>1289.7520999999999</v>
      </c>
      <c r="K91">
        <v>3.2970000000000002</v>
      </c>
      <c r="L91">
        <v>17.612716369999998</v>
      </c>
      <c r="M91">
        <v>1307.36481637</v>
      </c>
      <c r="O91" t="s">
        <v>29</v>
      </c>
      <c r="P91">
        <v>6</v>
      </c>
      <c r="Q91">
        <v>1806.8576</v>
      </c>
      <c r="R91">
        <v>6.8061999999999996</v>
      </c>
      <c r="S91">
        <v>33.645434559999998</v>
      </c>
      <c r="T91">
        <v>1840.5030345600001</v>
      </c>
    </row>
    <row r="92" spans="1:32" x14ac:dyDescent="0.3">
      <c r="H92" t="s">
        <v>295</v>
      </c>
      <c r="I92">
        <v>1303.5806</v>
      </c>
      <c r="J92">
        <v>0</v>
      </c>
      <c r="O92" t="s">
        <v>295</v>
      </c>
      <c r="P92">
        <v>1809.1967</v>
      </c>
      <c r="Q92">
        <v>0</v>
      </c>
    </row>
    <row r="93" spans="1:32" x14ac:dyDescent="0.3">
      <c r="H93" t="s">
        <v>111</v>
      </c>
      <c r="I93">
        <v>7</v>
      </c>
      <c r="J93">
        <v>4255.1815999999999</v>
      </c>
      <c r="K93">
        <v>168.35390000000001</v>
      </c>
      <c r="O93" t="s">
        <v>59</v>
      </c>
      <c r="P93">
        <v>0.42530000000000001</v>
      </c>
      <c r="Q93">
        <v>0.76429999999999998</v>
      </c>
    </row>
    <row r="94" spans="1:32" x14ac:dyDescent="0.3">
      <c r="H94" t="s">
        <v>29</v>
      </c>
      <c r="I94">
        <v>7</v>
      </c>
      <c r="J94">
        <v>1539.3743999999999</v>
      </c>
      <c r="K94">
        <v>2.0939000000000001</v>
      </c>
      <c r="L94">
        <v>22.530275679999995</v>
      </c>
      <c r="M94">
        <v>1561.9046756799999</v>
      </c>
    </row>
    <row r="95" spans="1:32" x14ac:dyDescent="0.3">
      <c r="H95" t="s">
        <v>295</v>
      </c>
      <c r="I95">
        <v>1559.9272000000001</v>
      </c>
      <c r="J95">
        <v>0</v>
      </c>
    </row>
    <row r="96" spans="1:32" x14ac:dyDescent="0.3">
      <c r="H96" t="s">
        <v>111</v>
      </c>
      <c r="I96">
        <v>8</v>
      </c>
      <c r="J96">
        <v>2258.3498</v>
      </c>
      <c r="K96">
        <v>123.8265</v>
      </c>
    </row>
    <row r="97" spans="8:13" x14ac:dyDescent="0.3">
      <c r="H97" t="s">
        <v>29</v>
      </c>
      <c r="I97">
        <v>8</v>
      </c>
      <c r="J97">
        <v>1682.4254000000001</v>
      </c>
      <c r="K97">
        <v>2.3953000000000002</v>
      </c>
      <c r="L97">
        <v>25.348380380000002</v>
      </c>
      <c r="M97">
        <v>1707.7737803800001</v>
      </c>
    </row>
    <row r="98" spans="8:13" x14ac:dyDescent="0.3">
      <c r="H98" t="s">
        <v>295</v>
      </c>
      <c r="I98">
        <v>1702.2862</v>
      </c>
      <c r="J98">
        <v>0</v>
      </c>
    </row>
    <row r="99" spans="8:13" x14ac:dyDescent="0.3">
      <c r="H99" t="s">
        <v>111</v>
      </c>
      <c r="I99">
        <v>9</v>
      </c>
      <c r="J99">
        <v>400.25900000000001</v>
      </c>
      <c r="K99">
        <v>65.196100000000001</v>
      </c>
    </row>
    <row r="100" spans="8:13" x14ac:dyDescent="0.3">
      <c r="H100" t="s">
        <v>29</v>
      </c>
      <c r="I100">
        <v>9</v>
      </c>
      <c r="J100">
        <v>1841.2289000000001</v>
      </c>
      <c r="K100">
        <v>6.1863000000000001</v>
      </c>
      <c r="L100">
        <v>28.476809330000002</v>
      </c>
      <c r="M100">
        <v>1869.70570933</v>
      </c>
    </row>
    <row r="101" spans="8:13" x14ac:dyDescent="0.3">
      <c r="H101" t="s">
        <v>295</v>
      </c>
      <c r="I101">
        <v>1858.6822999999999</v>
      </c>
      <c r="J101">
        <v>0</v>
      </c>
    </row>
    <row r="102" spans="8:13" x14ac:dyDescent="0.3">
      <c r="H102" t="s">
        <v>59</v>
      </c>
      <c r="I102">
        <v>2.76E-2</v>
      </c>
      <c r="J102">
        <v>2.5999999999999999E-3</v>
      </c>
    </row>
    <row r="104" spans="8:13" x14ac:dyDescent="0.3">
      <c r="H104" t="s">
        <v>93</v>
      </c>
      <c r="I104">
        <v>3.5512999999999999</v>
      </c>
      <c r="J104">
        <v>9.7100000000000006E-2</v>
      </c>
    </row>
    <row r="105" spans="8:13" x14ac:dyDescent="0.3">
      <c r="H105" t="s">
        <v>94</v>
      </c>
      <c r="I105">
        <v>-1.1999999999999999E-3</v>
      </c>
      <c r="J105">
        <v>0</v>
      </c>
    </row>
    <row r="106" spans="8:13" x14ac:dyDescent="0.3">
      <c r="H106" t="s">
        <v>141</v>
      </c>
      <c r="I106" t="s">
        <v>274</v>
      </c>
      <c r="J106">
        <v>-17.802399999999999</v>
      </c>
      <c r="K106">
        <v>9.1280999999999999</v>
      </c>
    </row>
    <row r="107" spans="8:13" x14ac:dyDescent="0.3">
      <c r="H107" t="s">
        <v>141</v>
      </c>
      <c r="I107" t="s">
        <v>276</v>
      </c>
      <c r="J107">
        <v>0.03</v>
      </c>
      <c r="K107">
        <v>5.5999999999999999E-3</v>
      </c>
    </row>
    <row r="108" spans="8:13" x14ac:dyDescent="0.3">
      <c r="H108" t="s">
        <v>111</v>
      </c>
      <c r="I108">
        <v>1</v>
      </c>
      <c r="J108">
        <v>3830.2213000000002</v>
      </c>
      <c r="K108">
        <v>153.39230000000001</v>
      </c>
    </row>
    <row r="109" spans="8:13" x14ac:dyDescent="0.3">
      <c r="H109" t="s">
        <v>29</v>
      </c>
      <c r="I109">
        <v>1</v>
      </c>
      <c r="J109">
        <v>1554.3033</v>
      </c>
      <c r="K109">
        <v>6.5989000000000004</v>
      </c>
    </row>
    <row r="110" spans="8:13" x14ac:dyDescent="0.3">
      <c r="H110" t="s">
        <v>295</v>
      </c>
      <c r="I110">
        <v>1566.17</v>
      </c>
      <c r="J110">
        <v>0</v>
      </c>
    </row>
    <row r="111" spans="8:13" x14ac:dyDescent="0.3">
      <c r="H111" t="s">
        <v>111</v>
      </c>
      <c r="I111">
        <v>2</v>
      </c>
      <c r="J111">
        <v>2336.0500999999999</v>
      </c>
      <c r="K111">
        <v>123.6875</v>
      </c>
    </row>
    <row r="112" spans="8:13" x14ac:dyDescent="0.3">
      <c r="H112" t="s">
        <v>29</v>
      </c>
      <c r="I112">
        <v>2</v>
      </c>
      <c r="J112">
        <v>1692.2873999999999</v>
      </c>
      <c r="K112">
        <v>5.9423000000000004</v>
      </c>
    </row>
    <row r="113" spans="8:11" x14ac:dyDescent="0.3">
      <c r="H113" t="s">
        <v>295</v>
      </c>
      <c r="I113">
        <v>1704.2623000000001</v>
      </c>
      <c r="J113">
        <v>0</v>
      </c>
    </row>
    <row r="114" spans="8:11" x14ac:dyDescent="0.3">
      <c r="H114" t="s">
        <v>111</v>
      </c>
      <c r="I114">
        <v>3</v>
      </c>
      <c r="J114">
        <v>405.08890000000002</v>
      </c>
      <c r="K114">
        <v>59.639000000000003</v>
      </c>
    </row>
    <row r="115" spans="8:11" x14ac:dyDescent="0.3">
      <c r="H115" t="s">
        <v>29</v>
      </c>
      <c r="I115">
        <v>3</v>
      </c>
      <c r="J115">
        <v>1845.7190000000001</v>
      </c>
      <c r="K115">
        <v>7.9210000000000003</v>
      </c>
    </row>
    <row r="116" spans="8:11" x14ac:dyDescent="0.3">
      <c r="H116" t="s">
        <v>295</v>
      </c>
      <c r="I116">
        <v>1857.1719000000001</v>
      </c>
      <c r="J116">
        <v>0</v>
      </c>
    </row>
    <row r="117" spans="8:11" x14ac:dyDescent="0.3">
      <c r="H117" t="s">
        <v>111</v>
      </c>
      <c r="I117">
        <v>4</v>
      </c>
      <c r="J117">
        <v>796.03089999999997</v>
      </c>
      <c r="K117">
        <v>77.583299999999994</v>
      </c>
    </row>
    <row r="118" spans="8:11" x14ac:dyDescent="0.3">
      <c r="H118" t="s">
        <v>29</v>
      </c>
      <c r="I118">
        <v>4</v>
      </c>
      <c r="J118">
        <v>2459.5072</v>
      </c>
      <c r="K118">
        <v>9.0741999999999994</v>
      </c>
    </row>
    <row r="119" spans="8:11" x14ac:dyDescent="0.3">
      <c r="H119" t="s">
        <v>295</v>
      </c>
      <c r="I119">
        <v>2471.8065000000001</v>
      </c>
      <c r="J119">
        <v>0</v>
      </c>
    </row>
    <row r="120" spans="8:11" x14ac:dyDescent="0.3">
      <c r="H120" t="s">
        <v>59</v>
      </c>
      <c r="I120">
        <v>7.2900000000000006E-2</v>
      </c>
      <c r="J120">
        <v>4.0599999999999997E-2</v>
      </c>
    </row>
  </sheetData>
  <mergeCells count="8">
    <mergeCell ref="AN2:AP2"/>
    <mergeCell ref="AV2:AX2"/>
    <mergeCell ref="A1:AF1"/>
    <mergeCell ref="A68:AF68"/>
    <mergeCell ref="B2:D2"/>
    <mergeCell ref="J2:L2"/>
    <mergeCell ref="U2:W2"/>
    <mergeCell ref="AC2:AE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2FE55-8A44-4C2B-8E85-250DBE81BFE9}">
  <dimension ref="A1:W201"/>
  <sheetViews>
    <sheetView zoomScale="70" zoomScaleNormal="70" workbookViewId="0">
      <selection activeCell="F12" sqref="F12"/>
    </sheetView>
  </sheetViews>
  <sheetFormatPr defaultRowHeight="14.4" x14ac:dyDescent="0.3"/>
  <cols>
    <col min="1" max="1" width="15.109375" customWidth="1"/>
    <col min="2" max="2" width="33.21875" bestFit="1" customWidth="1"/>
    <col min="3" max="3" width="28.77734375" bestFit="1" customWidth="1"/>
    <col min="4" max="4" width="21.77734375" bestFit="1" customWidth="1"/>
    <col min="5" max="5" width="30.6640625" customWidth="1"/>
    <col min="6" max="6" width="35.21875" customWidth="1"/>
    <col min="7" max="7" width="27.6640625" bestFit="1" customWidth="1"/>
    <col min="8" max="8" width="22.21875" bestFit="1" customWidth="1"/>
    <col min="9" max="9" width="28.5546875" bestFit="1" customWidth="1"/>
    <col min="10" max="10" width="21.33203125" bestFit="1" customWidth="1"/>
    <col min="11" max="11" width="24.6640625" bestFit="1" customWidth="1"/>
    <col min="12" max="12" width="22.33203125" bestFit="1" customWidth="1"/>
    <col min="13" max="13" width="34.109375" bestFit="1" customWidth="1"/>
    <col min="14" max="14" width="19" bestFit="1" customWidth="1"/>
    <col min="15" max="15" width="17.6640625" bestFit="1" customWidth="1"/>
    <col min="16" max="16" width="23.77734375" bestFit="1" customWidth="1"/>
    <col min="19" max="19" width="22.33203125" bestFit="1" customWidth="1"/>
    <col min="20" max="21" width="24.44140625" bestFit="1" customWidth="1"/>
    <col min="22" max="22" width="24.109375" bestFit="1" customWidth="1"/>
  </cols>
  <sheetData>
    <row r="1" spans="1:23" x14ac:dyDescent="0.3">
      <c r="A1" s="143" t="s">
        <v>159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</row>
    <row r="2" spans="1:23" ht="16.2" x14ac:dyDescent="0.3">
      <c r="A2" s="25" t="s">
        <v>131</v>
      </c>
      <c r="B2" s="25" t="s">
        <v>132</v>
      </c>
      <c r="C2" s="25" t="s">
        <v>133</v>
      </c>
      <c r="D2" s="25" t="s">
        <v>134</v>
      </c>
      <c r="E2" s="25" t="s">
        <v>135</v>
      </c>
      <c r="F2" s="25" t="s">
        <v>136</v>
      </c>
      <c r="G2" s="25" t="s">
        <v>137</v>
      </c>
      <c r="H2" s="25" t="s">
        <v>138</v>
      </c>
      <c r="I2" s="25" t="s">
        <v>139</v>
      </c>
      <c r="J2" s="25" t="s">
        <v>140</v>
      </c>
      <c r="K2" s="25" t="s">
        <v>141</v>
      </c>
      <c r="L2" s="25" t="s">
        <v>142</v>
      </c>
      <c r="M2" s="25" t="s">
        <v>143</v>
      </c>
      <c r="N2" s="25" t="s">
        <v>144</v>
      </c>
      <c r="O2" s="25" t="s">
        <v>145</v>
      </c>
      <c r="P2" s="25" t="s">
        <v>146</v>
      </c>
      <c r="Q2" s="25" t="s">
        <v>147</v>
      </c>
      <c r="R2" s="25" t="s">
        <v>148</v>
      </c>
      <c r="S2" s="25" t="s">
        <v>149</v>
      </c>
      <c r="T2" s="25" t="s">
        <v>150</v>
      </c>
      <c r="U2" s="25" t="s">
        <v>151</v>
      </c>
      <c r="V2" s="25" t="s">
        <v>152</v>
      </c>
      <c r="W2" s="25" t="s">
        <v>126</v>
      </c>
    </row>
    <row r="3" spans="1:23" x14ac:dyDescent="0.3">
      <c r="A3" s="26">
        <v>1248.4000000000001</v>
      </c>
      <c r="B3" s="26">
        <v>0.2</v>
      </c>
      <c r="C3">
        <v>169853.8634</v>
      </c>
      <c r="D3">
        <v>448.86779999999999</v>
      </c>
      <c r="E3" s="23">
        <v>1249.6205</v>
      </c>
      <c r="F3" s="23">
        <v>5.7000000000000002E-3</v>
      </c>
      <c r="G3">
        <v>12758.122100000001</v>
      </c>
      <c r="H3">
        <v>191.8372</v>
      </c>
      <c r="I3">
        <v>1267.2472</v>
      </c>
      <c r="J3">
        <v>3.3799999999999997E-2</v>
      </c>
      <c r="K3" s="23">
        <f>-0.7654+SQRT(E3)*0.07115</f>
        <v>1.7497504872693503</v>
      </c>
      <c r="L3" s="23"/>
      <c r="M3">
        <f>919.3/73</f>
        <v>12.593150684931507</v>
      </c>
      <c r="N3">
        <f>D3*SQRT(M3)</f>
        <v>1592.889508999888</v>
      </c>
      <c r="O3">
        <f>C3</f>
        <v>169853.8634</v>
      </c>
      <c r="P3">
        <v>169345.571</v>
      </c>
      <c r="Q3">
        <f>ABS(O3-P3)</f>
        <v>508.29240000000573</v>
      </c>
      <c r="R3">
        <f>SQRT(N3^2+Q3^2)</f>
        <v>1672.0221744282192</v>
      </c>
      <c r="S3" s="23">
        <v>13.864088545409601</v>
      </c>
      <c r="T3" s="23">
        <v>0.67285298468629229</v>
      </c>
      <c r="U3">
        <f>($S$3/$O$3)*(O3/S3)</f>
        <v>1</v>
      </c>
      <c r="V3">
        <v>0</v>
      </c>
    </row>
    <row r="4" spans="1:23" x14ac:dyDescent="0.3">
      <c r="A4">
        <v>1827.93</v>
      </c>
      <c r="B4">
        <v>0.25</v>
      </c>
      <c r="C4">
        <v>1842.5378000000001</v>
      </c>
      <c r="D4">
        <v>174.11600000000001</v>
      </c>
      <c r="E4" s="23">
        <v>1829.3039000000001</v>
      </c>
      <c r="F4" s="23">
        <v>0.27700000000000002</v>
      </c>
      <c r="G4">
        <v>1858.6985</v>
      </c>
      <c r="H4">
        <v>176.19659999999999</v>
      </c>
      <c r="I4">
        <v>1852.5189</v>
      </c>
      <c r="J4">
        <v>0.3024</v>
      </c>
      <c r="K4" s="23">
        <f>-0.7654+SQRT(E4)*0.07115</f>
        <v>2.2777112849036185</v>
      </c>
      <c r="L4" s="23"/>
      <c r="M4">
        <f>149/133</f>
        <v>1.1203007518796992</v>
      </c>
      <c r="N4">
        <f>D4*SQRT(M4)</f>
        <v>184.29179292477616</v>
      </c>
      <c r="O4">
        <f>C4</f>
        <v>1842.5378000000001</v>
      </c>
      <c r="P4">
        <v>1653.2854</v>
      </c>
      <c r="Q4">
        <f t="shared" ref="Q4:Q15" si="0">ABS(O4-P4)</f>
        <v>189.25240000000008</v>
      </c>
      <c r="R4">
        <f t="shared" ref="R4:R14" si="1">SQRT(N4^2+Q4^2)</f>
        <v>264.15892157030885</v>
      </c>
      <c r="S4" s="23">
        <v>0.20684436243151899</v>
      </c>
      <c r="T4" s="23">
        <v>1.2237480322301741E-2</v>
      </c>
      <c r="U4">
        <f>($S$3/$O$3)*(O4/S4)</f>
        <v>0.72709073639349531</v>
      </c>
      <c r="V4">
        <f>U4*SQRT($T$3^2/$S$3^2+$R$3^2/$O$3^2+T4^2/S4^2+R4^2/O4^2)</f>
        <v>0.11837644825796738</v>
      </c>
    </row>
    <row r="5" spans="1:23" x14ac:dyDescent="0.3">
      <c r="A5">
        <v>2035.24</v>
      </c>
      <c r="B5">
        <v>0.2</v>
      </c>
      <c r="C5">
        <v>39215.903899999998</v>
      </c>
      <c r="D5">
        <v>271.34620000000001</v>
      </c>
      <c r="E5" s="23">
        <v>2035.8574000000001</v>
      </c>
      <c r="F5" s="23">
        <v>2.1299999999999999E-2</v>
      </c>
      <c r="G5">
        <v>1325.3414</v>
      </c>
      <c r="H5">
        <v>169.26650000000001</v>
      </c>
      <c r="I5">
        <v>2055.6111999999998</v>
      </c>
      <c r="J5">
        <v>0.37359999999999999</v>
      </c>
      <c r="K5" s="23">
        <f>-0.7654+SQRT(E5)*0.07115</f>
        <v>2.4449219033005867</v>
      </c>
      <c r="L5" s="23"/>
      <c r="M5">
        <f>299.4/94</f>
        <v>3.1851063829787232</v>
      </c>
      <c r="N5">
        <f>D5*SQRT(M5)</f>
        <v>484.26793643315574</v>
      </c>
      <c r="O5">
        <f>C5</f>
        <v>39215.903899999998</v>
      </c>
      <c r="P5">
        <v>38550.311600000001</v>
      </c>
      <c r="Q5">
        <f t="shared" si="0"/>
        <v>665.59229999999661</v>
      </c>
      <c r="R5">
        <f t="shared" si="1"/>
        <v>823.1212207667304</v>
      </c>
      <c r="S5" s="23">
        <v>4.4975020627016402</v>
      </c>
      <c r="T5" s="23">
        <v>0.26608456882669229</v>
      </c>
      <c r="U5">
        <f t="shared" ref="U5:U16" si="2">($S$3/$O$3)*(O5/S5)</f>
        <v>0.71171603781429649</v>
      </c>
      <c r="V5">
        <f t="shared" ref="V5:V16" si="3">U5*SQRT($T$3^2/$S$3^2+$R$3^2/$O$3^2+T5^2/S5^2+R5^2/O5^2)</f>
        <v>5.6906372267787698E-2</v>
      </c>
    </row>
    <row r="6" spans="1:23" x14ac:dyDescent="0.3">
      <c r="A6">
        <v>1049.6600000000001</v>
      </c>
      <c r="B6">
        <v>0.21</v>
      </c>
      <c r="C6">
        <v>17714.330300000001</v>
      </c>
      <c r="D6">
        <v>217.22300000000001</v>
      </c>
      <c r="E6" s="23">
        <v>1050.8933999999999</v>
      </c>
      <c r="F6" s="23">
        <v>2.7799999999999998E-2</v>
      </c>
      <c r="K6" s="23">
        <f>-0.7654+SQRT(E6)*0.07115</f>
        <v>1.5411041304800435</v>
      </c>
      <c r="L6" s="23"/>
      <c r="M6">
        <f>74.91/36</f>
        <v>2.0808333333333331</v>
      </c>
      <c r="N6">
        <f>D6*SQRT(M6)</f>
        <v>313.34621670408092</v>
      </c>
      <c r="O6">
        <f>C6</f>
        <v>17714.330300000001</v>
      </c>
      <c r="P6">
        <v>18370.443599999999</v>
      </c>
      <c r="Q6">
        <f t="shared" si="0"/>
        <v>656.11329999999725</v>
      </c>
      <c r="R6">
        <f>SQRT(N6^2+Q6^2)</f>
        <v>727.09732083102006</v>
      </c>
      <c r="S6" s="23">
        <v>1.43571226660962</v>
      </c>
      <c r="T6" s="23">
        <v>6.967809535945732E-2</v>
      </c>
      <c r="U6">
        <f t="shared" si="2"/>
        <v>1.0071014497315935</v>
      </c>
      <c r="V6">
        <f t="shared" si="3"/>
        <v>8.1147490861986124E-2</v>
      </c>
    </row>
    <row r="7" spans="1:23" x14ac:dyDescent="0.3">
      <c r="A7">
        <v>1852.19</v>
      </c>
      <c r="B7">
        <v>0.25</v>
      </c>
      <c r="C7">
        <v>1842.5378000000001</v>
      </c>
      <c r="D7">
        <v>174.11600000000001</v>
      </c>
      <c r="E7">
        <v>1829.3039000000001</v>
      </c>
      <c r="F7">
        <v>0.27700000000000002</v>
      </c>
      <c r="G7">
        <v>1858.6985</v>
      </c>
      <c r="H7">
        <v>176.19659999999999</v>
      </c>
      <c r="I7" s="24">
        <v>1852.5189</v>
      </c>
      <c r="J7" s="24">
        <v>0.3024</v>
      </c>
      <c r="K7" s="24"/>
      <c r="L7" s="24"/>
      <c r="M7">
        <f>149/133</f>
        <v>1.1203007518796992</v>
      </c>
      <c r="N7">
        <f>H7*SQRT(M7)</f>
        <v>186.49398861247451</v>
      </c>
      <c r="O7">
        <f>G7</f>
        <v>1858.6985</v>
      </c>
      <c r="P7">
        <v>1627.2004999999999</v>
      </c>
      <c r="Q7">
        <f t="shared" si="0"/>
        <v>231.49800000000005</v>
      </c>
      <c r="R7">
        <f t="shared" si="1"/>
        <v>297.27316022908929</v>
      </c>
      <c r="S7" s="24">
        <v>0.211743466321727</v>
      </c>
      <c r="T7" s="24">
        <v>1.2527324757743794E-2</v>
      </c>
      <c r="U7">
        <f t="shared" si="2"/>
        <v>0.71649773850514487</v>
      </c>
      <c r="V7">
        <f t="shared" si="3"/>
        <v>0.12723047139619345</v>
      </c>
    </row>
    <row r="8" spans="1:23" x14ac:dyDescent="0.3">
      <c r="A8">
        <v>4519.28</v>
      </c>
      <c r="B8">
        <v>0.32</v>
      </c>
      <c r="C8">
        <v>4371.5946000000004</v>
      </c>
      <c r="D8">
        <v>85.940600000000003</v>
      </c>
      <c r="E8" s="23">
        <v>4522.2516999999998</v>
      </c>
      <c r="F8" s="23">
        <v>0.1171</v>
      </c>
      <c r="G8">
        <v>335.41059999999999</v>
      </c>
      <c r="H8">
        <v>56.4161</v>
      </c>
      <c r="I8">
        <v>4557.4301999999998</v>
      </c>
      <c r="J8">
        <v>0.93340000000000001</v>
      </c>
      <c r="K8" s="23">
        <f>-0.7654+SQRT(E8)*0.07115</f>
        <v>4.0192730851306084</v>
      </c>
      <c r="L8" s="23"/>
      <c r="M8">
        <f>240.3/144</f>
        <v>1.6687500000000002</v>
      </c>
      <c r="N8">
        <f>D8*SQRT(M8)</f>
        <v>111.0181588883132</v>
      </c>
      <c r="O8">
        <f>C8</f>
        <v>4371.5946000000004</v>
      </c>
      <c r="P8">
        <v>4898.5677999999998</v>
      </c>
      <c r="Q8">
        <f t="shared" si="0"/>
        <v>526.97319999999945</v>
      </c>
      <c r="R8">
        <f t="shared" si="1"/>
        <v>538.5404210652996</v>
      </c>
      <c r="S8" s="27">
        <v>1.19959210556864</v>
      </c>
      <c r="T8" s="27">
        <v>7.6450410271956828E-2</v>
      </c>
      <c r="U8">
        <f t="shared" si="2"/>
        <v>0.29745561791526448</v>
      </c>
      <c r="V8">
        <f t="shared" si="3"/>
        <v>4.3807653313859635E-2</v>
      </c>
    </row>
    <row r="9" spans="1:23" x14ac:dyDescent="0.3">
      <c r="A9">
        <v>4717.34</v>
      </c>
      <c r="B9">
        <v>0.32</v>
      </c>
      <c r="C9">
        <v>2818.6968000000002</v>
      </c>
      <c r="D9">
        <v>75.905100000000004</v>
      </c>
      <c r="E9" s="23">
        <v>4720.7254999999996</v>
      </c>
      <c r="F9" s="23">
        <v>0.1424</v>
      </c>
      <c r="K9" s="23">
        <f>-0.7654+SQRT(E9)*0.07115</f>
        <v>4.1231411847476291</v>
      </c>
      <c r="L9" s="23"/>
      <c r="M9">
        <f>170.6/166</f>
        <v>1.0277108433734938</v>
      </c>
      <c r="N9">
        <f>D9*SQRT(M9)</f>
        <v>76.949610548240841</v>
      </c>
      <c r="O9">
        <f>C9</f>
        <v>2818.6968000000002</v>
      </c>
      <c r="P9">
        <v>2899.8832000000002</v>
      </c>
      <c r="Q9">
        <f t="shared" si="0"/>
        <v>81.186400000000049</v>
      </c>
      <c r="R9">
        <f t="shared" si="1"/>
        <v>111.85917087340647</v>
      </c>
      <c r="S9" s="23">
        <v>0.61901918578779103</v>
      </c>
      <c r="T9" s="23">
        <v>3.9450301898457496E-2</v>
      </c>
      <c r="U9">
        <f t="shared" si="2"/>
        <v>0.37167225843632379</v>
      </c>
      <c r="V9">
        <f t="shared" si="3"/>
        <v>3.3427155639838294E-2</v>
      </c>
    </row>
    <row r="10" spans="1:23" x14ac:dyDescent="0.3">
      <c r="A10">
        <v>2483.6</v>
      </c>
      <c r="B10">
        <v>0.22</v>
      </c>
      <c r="C10">
        <v>2088.2984000000001</v>
      </c>
      <c r="D10">
        <v>98.123500000000007</v>
      </c>
      <c r="E10">
        <v>2448.1664999999998</v>
      </c>
      <c r="F10">
        <v>0.189</v>
      </c>
      <c r="G10">
        <v>3343.0907999999999</v>
      </c>
      <c r="H10">
        <v>106.33669999999999</v>
      </c>
      <c r="I10" s="23">
        <v>2483.7260999999999</v>
      </c>
      <c r="J10" s="23">
        <v>0.123</v>
      </c>
      <c r="K10" s="23">
        <f>-0.7654+SQRT(I10)*0.07115</f>
        <v>2.7805022152150856</v>
      </c>
      <c r="L10" s="23"/>
      <c r="M10">
        <f>198.7/174</f>
        <v>1.1419540229885057</v>
      </c>
      <c r="N10">
        <f>H10*SQRT(M10)</f>
        <v>113.6337889758917</v>
      </c>
      <c r="O10">
        <f>G10</f>
        <v>3343.0907999999999</v>
      </c>
      <c r="P10">
        <v>3430.6781000000001</v>
      </c>
      <c r="Q10">
        <f t="shared" si="0"/>
        <v>87.587300000000141</v>
      </c>
      <c r="R10">
        <f t="shared" si="1"/>
        <v>143.47185479496497</v>
      </c>
      <c r="S10" s="23">
        <v>0.47299635937020701</v>
      </c>
      <c r="T10" s="23">
        <v>2.798376311672323E-2</v>
      </c>
      <c r="U10">
        <f t="shared" si="2"/>
        <v>0.57690761065320373</v>
      </c>
      <c r="V10">
        <f t="shared" si="3"/>
        <v>5.0932388900910418E-2</v>
      </c>
    </row>
    <row r="11" spans="1:23" x14ac:dyDescent="0.3">
      <c r="A11">
        <v>5155.7</v>
      </c>
      <c r="B11">
        <v>0.6</v>
      </c>
      <c r="C11">
        <v>1668.5116</v>
      </c>
      <c r="D11">
        <v>59.866199999999999</v>
      </c>
      <c r="E11">
        <v>5144.3413</v>
      </c>
      <c r="F11">
        <v>0.20580000000000001</v>
      </c>
      <c r="G11">
        <v>3550.6929</v>
      </c>
      <c r="H11">
        <v>74.956699999999998</v>
      </c>
      <c r="I11" s="23">
        <v>5158.424</v>
      </c>
      <c r="J11" s="23">
        <v>0.11700000000000001</v>
      </c>
      <c r="K11" s="23">
        <f>-0.7654+SQRT(I11)*0.07115</f>
        <v>4.3447473442299103</v>
      </c>
      <c r="L11" s="23"/>
      <c r="M11">
        <f>142.2/144</f>
        <v>0.98749999999999993</v>
      </c>
      <c r="N11" s="28">
        <f>H11*SQRT(M11)</f>
        <v>74.486747404849638</v>
      </c>
      <c r="O11">
        <f>G11</f>
        <v>3550.6929</v>
      </c>
      <c r="P11">
        <v>3537.5907999999999</v>
      </c>
      <c r="Q11">
        <f t="shared" si="0"/>
        <v>13.102100000000064</v>
      </c>
      <c r="R11">
        <f>SQRT(Q11^2+H11^2)</f>
        <v>76.093179058966911</v>
      </c>
      <c r="S11" s="27">
        <v>0.84072657804557205</v>
      </c>
      <c r="T11" s="27">
        <v>8.2561431577870478E-2</v>
      </c>
      <c r="U11">
        <f t="shared" si="2"/>
        <v>0.3447261495760221</v>
      </c>
      <c r="V11">
        <f t="shared" si="3"/>
        <v>3.86266499478519E-2</v>
      </c>
    </row>
    <row r="12" spans="1:23" x14ac:dyDescent="0.3">
      <c r="A12">
        <v>6254.3</v>
      </c>
      <c r="B12">
        <v>0.6</v>
      </c>
      <c r="C12">
        <v>1832.3253</v>
      </c>
      <c r="D12">
        <v>48.750700000000002</v>
      </c>
      <c r="E12" s="24">
        <v>6256.0509000000002</v>
      </c>
      <c r="F12" s="24">
        <v>0.16689999999999999</v>
      </c>
      <c r="G12">
        <v>10877.8863</v>
      </c>
      <c r="H12">
        <v>107.19119999999999</v>
      </c>
      <c r="I12">
        <v>6279.4156999999996</v>
      </c>
      <c r="J12">
        <v>4.9700000000000001E-2</v>
      </c>
      <c r="K12" s="24"/>
      <c r="L12" s="24"/>
      <c r="M12">
        <f>240/174</f>
        <v>1.3793103448275863</v>
      </c>
      <c r="N12">
        <f>D12*SQRT(M12)</f>
        <v>57.254793510990915</v>
      </c>
      <c r="O12">
        <f>C12</f>
        <v>1832.3253</v>
      </c>
      <c r="P12">
        <v>1826.1523999999999</v>
      </c>
      <c r="Q12">
        <f t="shared" si="0"/>
        <v>6.1729000000000269</v>
      </c>
      <c r="R12">
        <f t="shared" si="1"/>
        <v>57.586596308483173</v>
      </c>
      <c r="S12" s="23">
        <v>0.45734233667406998</v>
      </c>
      <c r="T12" s="23">
        <v>4.4912149827304404E-2</v>
      </c>
      <c r="U12">
        <f t="shared" si="2"/>
        <v>0.32702207188336746</v>
      </c>
      <c r="V12">
        <f t="shared" si="3"/>
        <v>3.7406121137485648E-2</v>
      </c>
    </row>
    <row r="13" spans="1:23" x14ac:dyDescent="0.3">
      <c r="A13">
        <v>6278.4</v>
      </c>
      <c r="B13">
        <v>0.6</v>
      </c>
      <c r="C13">
        <v>1832.3253</v>
      </c>
      <c r="D13">
        <v>48.750700000000002</v>
      </c>
      <c r="E13">
        <v>6256.0509000000002</v>
      </c>
      <c r="F13">
        <v>0.16689999999999999</v>
      </c>
      <c r="G13">
        <v>10877.8863</v>
      </c>
      <c r="H13">
        <v>107.19119999999999</v>
      </c>
      <c r="I13" s="23">
        <v>6279.4156999999996</v>
      </c>
      <c r="J13" s="23">
        <v>4.9700000000000001E-2</v>
      </c>
      <c r="K13" s="23">
        <f>-0.7654+SQRT(I13)*0.07115</f>
        <v>4.8727226826811121</v>
      </c>
      <c r="L13" s="23"/>
      <c r="M13">
        <f>240/174</f>
        <v>1.3793103448275863</v>
      </c>
      <c r="N13">
        <f>H13*SQRT(M13)</f>
        <v>125.88967998808896</v>
      </c>
      <c r="O13">
        <f>G13</f>
        <v>10877.8863</v>
      </c>
      <c r="P13">
        <v>10870.134400000001</v>
      </c>
      <c r="Q13">
        <f t="shared" si="0"/>
        <v>7.7518999999992957</v>
      </c>
      <c r="R13">
        <f t="shared" si="1"/>
        <v>126.12812327595077</v>
      </c>
      <c r="S13" s="23">
        <v>3.15238529657509</v>
      </c>
      <c r="T13" s="23">
        <v>0.30957204133513366</v>
      </c>
      <c r="U13">
        <f t="shared" si="2"/>
        <v>0.28165736744621772</v>
      </c>
      <c r="V13">
        <f t="shared" si="3"/>
        <v>3.1148850621115214E-2</v>
      </c>
    </row>
    <row r="14" spans="1:23" x14ac:dyDescent="0.3">
      <c r="A14">
        <v>5030.1000000000004</v>
      </c>
      <c r="B14">
        <v>0.6</v>
      </c>
      <c r="C14">
        <v>8137.7489999999998</v>
      </c>
      <c r="D14">
        <v>100.486</v>
      </c>
      <c r="E14" s="23">
        <v>5032.8653000000004</v>
      </c>
      <c r="F14" s="23">
        <v>6.3799999999999996E-2</v>
      </c>
      <c r="K14" s="23">
        <f>-0.7654+SQRT(E14)*0.07115</f>
        <v>4.2821724113339128</v>
      </c>
      <c r="L14" s="23"/>
      <c r="M14">
        <f>222.7/136</f>
        <v>1.6375</v>
      </c>
      <c r="N14">
        <f>D14*SQRT(M14)</f>
        <v>128.58674803785186</v>
      </c>
      <c r="O14">
        <f>C14</f>
        <v>8137.7489999999998</v>
      </c>
      <c r="P14">
        <v>8296.7628000000004</v>
      </c>
      <c r="Q14">
        <f t="shared" si="0"/>
        <v>159.01380000000063</v>
      </c>
      <c r="R14">
        <f t="shared" si="1"/>
        <v>204.49924293598301</v>
      </c>
      <c r="S14" s="24">
        <v>1.9384951501657799</v>
      </c>
      <c r="T14" s="24">
        <v>0.19036502340213943</v>
      </c>
      <c r="U14">
        <f t="shared" si="2"/>
        <v>0.34265373135053329</v>
      </c>
      <c r="V14">
        <f t="shared" si="3"/>
        <v>3.8656888624230792E-2</v>
      </c>
    </row>
    <row r="15" spans="1:23" ht="15" thickBot="1" x14ac:dyDescent="0.35">
      <c r="A15">
        <v>6389.5</v>
      </c>
      <c r="B15">
        <v>0.7</v>
      </c>
      <c r="C15">
        <v>683.67819999999995</v>
      </c>
      <c r="D15">
        <v>29.897200000000002</v>
      </c>
      <c r="E15" s="23">
        <v>6390.5078000000003</v>
      </c>
      <c r="F15" s="23">
        <v>0.2404</v>
      </c>
      <c r="K15" s="23">
        <f>-0.7654+SQRT(E15)*0.07115</f>
        <v>4.9223773710268857</v>
      </c>
      <c r="L15" s="23"/>
      <c r="M15">
        <f>239.4/176</f>
        <v>1.3602272727272728</v>
      </c>
      <c r="N15">
        <f>D15*SQRT(M15)</f>
        <v>34.868740130675008</v>
      </c>
      <c r="O15">
        <f>C15</f>
        <v>683.67819999999995</v>
      </c>
      <c r="P15">
        <v>679.41110000000003</v>
      </c>
      <c r="Q15">
        <f t="shared" si="0"/>
        <v>4.267099999999914</v>
      </c>
      <c r="R15">
        <f>SQRT(N15^2+Q15^2)</f>
        <v>35.128865349033767</v>
      </c>
      <c r="S15" s="23">
        <v>0.18131393683952601</v>
      </c>
      <c r="T15" s="23">
        <v>1.7805477525511731E-2</v>
      </c>
      <c r="U15">
        <f t="shared" si="2"/>
        <v>0.30777719562209521</v>
      </c>
      <c r="V15">
        <f t="shared" si="3"/>
        <v>3.7361815844435521E-2</v>
      </c>
    </row>
    <row r="16" spans="1:23" ht="15" thickBot="1" x14ac:dyDescent="0.35">
      <c r="A16" s="29">
        <v>7049.2</v>
      </c>
      <c r="B16" s="30">
        <v>0.8</v>
      </c>
      <c r="C16" s="30">
        <f>510.8/5</f>
        <v>102.16</v>
      </c>
      <c r="D16" s="30">
        <f>66.7/5</f>
        <v>13.34</v>
      </c>
      <c r="E16" s="31">
        <v>7048</v>
      </c>
      <c r="F16" s="31">
        <v>0.8</v>
      </c>
      <c r="G16" s="30"/>
      <c r="H16" s="30"/>
      <c r="I16" s="30"/>
      <c r="J16" s="30"/>
      <c r="K16" s="31">
        <f>-0.7654+SQRT(E16)*0.07115</f>
        <v>5.2078109438726514</v>
      </c>
      <c r="L16" s="31"/>
      <c r="M16" s="30">
        <f>305.7/449</f>
        <v>0.6808463251670378</v>
      </c>
      <c r="N16" s="32">
        <f>D16*SQRT(M16)</f>
        <v>11.007289234997657</v>
      </c>
      <c r="O16" s="30">
        <f>C16</f>
        <v>102.16</v>
      </c>
      <c r="P16" s="30">
        <v>84.695300000000003</v>
      </c>
      <c r="Q16" s="30">
        <f>ABS(O16-P16)</f>
        <v>17.464699999999993</v>
      </c>
      <c r="R16" s="30">
        <f>SQRT(Q16^2+D16^2)</f>
        <v>21.97660906714227</v>
      </c>
      <c r="S16" s="31">
        <v>4.7466110211103398E-2</v>
      </c>
      <c r="T16" s="31">
        <v>4.66128954739581E-3</v>
      </c>
      <c r="U16" s="30">
        <f t="shared" si="2"/>
        <v>0.17567628335886826</v>
      </c>
      <c r="V16" s="30">
        <f t="shared" si="3"/>
        <v>4.244405682450611E-2</v>
      </c>
      <c r="W16" s="33" t="s">
        <v>153</v>
      </c>
    </row>
    <row r="17" spans="1:22" x14ac:dyDescent="0.3">
      <c r="A17">
        <v>745.53</v>
      </c>
      <c r="B17">
        <v>0.04</v>
      </c>
      <c r="U17">
        <f>I22/4.687</f>
        <v>1.2350857295223543</v>
      </c>
      <c r="V17">
        <f>U17*SQRT(J22^2/I22^2+0.4373^2/4.687^2)</f>
        <v>0.16202650490701287</v>
      </c>
    </row>
    <row r="18" spans="1:22" x14ac:dyDescent="0.3">
      <c r="A18" s="143" t="s">
        <v>222</v>
      </c>
      <c r="B18" s="143"/>
      <c r="C18" s="143"/>
      <c r="D18" s="143"/>
      <c r="E18" s="143"/>
      <c r="F18" s="143"/>
      <c r="G18" s="143"/>
      <c r="H18" s="143"/>
      <c r="I18" s="143"/>
      <c r="J18" s="143"/>
    </row>
    <row r="19" spans="1:22" x14ac:dyDescent="0.3">
      <c r="A19" s="25" t="s">
        <v>131</v>
      </c>
      <c r="B19" s="34" t="s">
        <v>154</v>
      </c>
      <c r="C19" s="35" t="s">
        <v>155</v>
      </c>
      <c r="D19" s="35" t="s">
        <v>156</v>
      </c>
      <c r="E19" s="35" t="s">
        <v>157</v>
      </c>
      <c r="F19" s="35" t="s">
        <v>148</v>
      </c>
      <c r="G19" s="35" t="s">
        <v>90</v>
      </c>
      <c r="H19" s="35" t="s">
        <v>158</v>
      </c>
      <c r="I19" s="35" t="s">
        <v>88</v>
      </c>
      <c r="J19" s="35" t="s">
        <v>147</v>
      </c>
      <c r="K19" s="35"/>
    </row>
    <row r="20" spans="1:22" x14ac:dyDescent="0.3">
      <c r="A20">
        <v>677.01</v>
      </c>
      <c r="B20">
        <v>5.3489158999999997</v>
      </c>
    </row>
    <row r="21" spans="1:22" x14ac:dyDescent="0.3">
      <c r="A21">
        <v>708.7</v>
      </c>
      <c r="B21">
        <v>5.3080021000000004</v>
      </c>
    </row>
    <row r="22" spans="1:22" x14ac:dyDescent="0.3">
      <c r="A22">
        <v>745.53</v>
      </c>
      <c r="B22">
        <v>5.2549884000000002</v>
      </c>
      <c r="C22">
        <v>71.41</v>
      </c>
      <c r="D22">
        <v>32</v>
      </c>
      <c r="E22">
        <v>12.59</v>
      </c>
      <c r="F22">
        <f>SQRT(D22^2+E22^2)</f>
        <v>34.387615503259312</v>
      </c>
      <c r="G22">
        <v>100</v>
      </c>
      <c r="H22">
        <v>8</v>
      </c>
      <c r="I22">
        <f>G22/G23*C22*B23/C23</f>
        <v>5.7888468142712748</v>
      </c>
      <c r="J22">
        <f>ABS(I22-B22)</f>
        <v>0.53385841427127456</v>
      </c>
    </row>
    <row r="23" spans="1:22" x14ac:dyDescent="0.3">
      <c r="A23">
        <v>1454.23</v>
      </c>
      <c r="B23">
        <v>4.0102821999999998</v>
      </c>
      <c r="C23">
        <v>989.4</v>
      </c>
      <c r="D23">
        <v>12.3</v>
      </c>
      <c r="E23">
        <v>26.2</v>
      </c>
      <c r="F23">
        <f>SQRT(D23^2+E23^2)</f>
        <v>28.943565778942993</v>
      </c>
      <c r="G23">
        <v>5</v>
      </c>
      <c r="H23">
        <v>8</v>
      </c>
    </row>
    <row r="24" spans="1:22" x14ac:dyDescent="0.3">
      <c r="A24">
        <v>1264.57</v>
      </c>
      <c r="B24">
        <v>4.3270097999999999</v>
      </c>
    </row>
    <row r="25" spans="1:22" x14ac:dyDescent="0.3">
      <c r="A25">
        <v>1973.27</v>
      </c>
      <c r="B25">
        <v>3.2988906</v>
      </c>
    </row>
    <row r="27" spans="1:22" x14ac:dyDescent="0.3">
      <c r="A27" s="143" t="s">
        <v>221</v>
      </c>
      <c r="B27" s="143"/>
      <c r="C27" s="143"/>
      <c r="D27" s="143"/>
      <c r="E27" s="143"/>
      <c r="F27" s="143"/>
      <c r="G27" s="143"/>
      <c r="H27" s="143"/>
      <c r="I27" s="143"/>
      <c r="J27" s="143"/>
    </row>
    <row r="28" spans="1:22" x14ac:dyDescent="0.3">
      <c r="A28" s="25" t="s">
        <v>131</v>
      </c>
      <c r="B28" s="34" t="s">
        <v>154</v>
      </c>
      <c r="C28" s="35" t="s">
        <v>155</v>
      </c>
      <c r="D28" s="35" t="s">
        <v>156</v>
      </c>
      <c r="E28" s="35" t="s">
        <v>157</v>
      </c>
      <c r="F28" s="35" t="s">
        <v>148</v>
      </c>
      <c r="G28" s="35" t="s">
        <v>90</v>
      </c>
      <c r="H28" s="35" t="s">
        <v>158</v>
      </c>
      <c r="I28" s="35" t="s">
        <v>88</v>
      </c>
      <c r="J28" s="35" t="s">
        <v>147</v>
      </c>
    </row>
    <row r="29" spans="1:22" x14ac:dyDescent="0.3">
      <c r="A29">
        <v>677.01</v>
      </c>
      <c r="B29">
        <v>6.0196883000000003</v>
      </c>
    </row>
    <row r="30" spans="1:22" x14ac:dyDescent="0.3">
      <c r="A30">
        <v>708.7</v>
      </c>
      <c r="B30">
        <v>5.8912661000000002</v>
      </c>
    </row>
    <row r="31" spans="1:22" x14ac:dyDescent="0.3">
      <c r="A31">
        <v>745.53</v>
      </c>
      <c r="B31">
        <v>5.7495488000000003</v>
      </c>
      <c r="C31">
        <v>71.41</v>
      </c>
      <c r="D31">
        <v>32</v>
      </c>
      <c r="E31">
        <v>12.59</v>
      </c>
      <c r="F31">
        <f>SQRT(D31^2+E31^2)</f>
        <v>34.387615503259312</v>
      </c>
      <c r="G31">
        <v>100</v>
      </c>
      <c r="H31">
        <v>8</v>
      </c>
      <c r="I31">
        <f>G31/G32*C31*B32/C32</f>
        <v>5.7460301173438451</v>
      </c>
      <c r="J31">
        <f>ABS(I31-B31)</f>
        <v>3.518682656155292E-3</v>
      </c>
    </row>
    <row r="32" spans="1:22" x14ac:dyDescent="0.3">
      <c r="A32">
        <v>1454.23</v>
      </c>
      <c r="B32">
        <v>3.9806205000000001</v>
      </c>
      <c r="C32">
        <v>989.4</v>
      </c>
      <c r="D32">
        <v>12.3</v>
      </c>
      <c r="E32">
        <v>26.2</v>
      </c>
      <c r="F32">
        <f>SQRT(D32^2+E32^2)</f>
        <v>28.943565778942993</v>
      </c>
      <c r="G32">
        <v>5</v>
      </c>
      <c r="H32">
        <v>8</v>
      </c>
    </row>
    <row r="33" spans="1:22" x14ac:dyDescent="0.3">
      <c r="A33">
        <v>1264.57</v>
      </c>
      <c r="B33">
        <v>4.3299133000000003</v>
      </c>
    </row>
    <row r="34" spans="1:22" x14ac:dyDescent="0.3">
      <c r="A34">
        <v>1973.27</v>
      </c>
      <c r="B34">
        <v>3.2689564999999998</v>
      </c>
    </row>
    <row r="41" spans="1:22" s="15" customFormat="1" x14ac:dyDescent="0.3"/>
    <row r="42" spans="1:22" x14ac:dyDescent="0.3">
      <c r="A42" s="143" t="s">
        <v>160</v>
      </c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</row>
    <row r="43" spans="1:22" ht="16.2" x14ac:dyDescent="0.3">
      <c r="A43" s="25" t="s">
        <v>131</v>
      </c>
      <c r="B43" s="25" t="s">
        <v>132</v>
      </c>
      <c r="C43" s="25" t="s">
        <v>133</v>
      </c>
      <c r="D43" s="25" t="s">
        <v>134</v>
      </c>
      <c r="E43" s="25" t="s">
        <v>135</v>
      </c>
      <c r="F43" s="25" t="s">
        <v>136</v>
      </c>
      <c r="G43" s="25" t="s">
        <v>137</v>
      </c>
      <c r="H43" s="25" t="s">
        <v>138</v>
      </c>
      <c r="I43" s="25" t="s">
        <v>139</v>
      </c>
      <c r="J43" s="25" t="s">
        <v>140</v>
      </c>
      <c r="K43" s="25" t="s">
        <v>141</v>
      </c>
      <c r="L43" s="25" t="s">
        <v>142</v>
      </c>
      <c r="M43" s="25" t="s">
        <v>143</v>
      </c>
      <c r="N43" s="25" t="s">
        <v>144</v>
      </c>
      <c r="O43" s="25" t="s">
        <v>145</v>
      </c>
      <c r="P43" s="25" t="s">
        <v>146</v>
      </c>
      <c r="Q43" s="25" t="s">
        <v>147</v>
      </c>
      <c r="R43" s="25" t="s">
        <v>148</v>
      </c>
      <c r="S43" s="25" t="s">
        <v>149</v>
      </c>
      <c r="T43" s="25" t="s">
        <v>150</v>
      </c>
      <c r="U43" s="25" t="s">
        <v>151</v>
      </c>
      <c r="V43" s="25" t="s">
        <v>152</v>
      </c>
    </row>
    <row r="44" spans="1:22" x14ac:dyDescent="0.3">
      <c r="A44" s="26">
        <v>1248.4000000000001</v>
      </c>
      <c r="B44" s="26">
        <v>0.2</v>
      </c>
      <c r="C44">
        <v>169853.8634</v>
      </c>
      <c r="D44">
        <v>448.86779999999999</v>
      </c>
      <c r="E44" s="23">
        <v>1249.6205</v>
      </c>
      <c r="F44" s="23">
        <v>5.7000000000000002E-3</v>
      </c>
      <c r="G44">
        <v>12758.122100000001</v>
      </c>
      <c r="H44">
        <v>191.8372</v>
      </c>
      <c r="I44">
        <v>1267.2472</v>
      </c>
      <c r="J44">
        <v>3.3799999999999997E-2</v>
      </c>
      <c r="K44" s="23">
        <f>-0.7654+SQRT(E44)*0.07115</f>
        <v>1.7497504872693503</v>
      </c>
      <c r="L44" s="23"/>
      <c r="M44">
        <f>919.3/73</f>
        <v>12.593150684931507</v>
      </c>
      <c r="N44">
        <f>D44*SQRT(M44)</f>
        <v>1592.889508999888</v>
      </c>
      <c r="O44">
        <f>C44</f>
        <v>169853.8634</v>
      </c>
      <c r="P44">
        <v>169345.571</v>
      </c>
      <c r="Q44">
        <f>ABS(O44-P44)</f>
        <v>508.29240000000573</v>
      </c>
      <c r="R44">
        <f>SQRT(N44^2+Q44^2)</f>
        <v>1672.0221744282192</v>
      </c>
      <c r="S44" s="23">
        <v>13.864088545409601</v>
      </c>
      <c r="T44" s="23">
        <v>0.67285298468629229</v>
      </c>
      <c r="U44">
        <f>($S$44/$O$44)*(O44/S44)</f>
        <v>1</v>
      </c>
      <c r="V44">
        <v>0</v>
      </c>
    </row>
    <row r="45" spans="1:22" x14ac:dyDescent="0.3">
      <c r="A45">
        <v>1827.93</v>
      </c>
      <c r="B45">
        <v>0.25</v>
      </c>
      <c r="C45">
        <v>1842.5378000000001</v>
      </c>
      <c r="D45">
        <v>174.11600000000001</v>
      </c>
      <c r="E45" s="23">
        <v>1829.3039000000001</v>
      </c>
      <c r="F45" s="23">
        <v>0.27700000000000002</v>
      </c>
      <c r="G45">
        <v>1858.6985</v>
      </c>
      <c r="H45">
        <v>176.19659999999999</v>
      </c>
      <c r="I45">
        <v>1852.5189</v>
      </c>
      <c r="J45">
        <v>0.3024</v>
      </c>
      <c r="K45" s="23">
        <f>-0.7654+SQRT(E45)*0.07115</f>
        <v>2.2777112849036185</v>
      </c>
      <c r="L45" s="23"/>
      <c r="M45">
        <f>149/133</f>
        <v>1.1203007518796992</v>
      </c>
      <c r="N45">
        <f>D45*SQRT(M45)</f>
        <v>184.29179292477616</v>
      </c>
      <c r="O45">
        <f>C45</f>
        <v>1842.5378000000001</v>
      </c>
      <c r="P45">
        <v>1653.2854</v>
      </c>
      <c r="Q45">
        <f t="shared" ref="Q45:Q60" si="4">ABS(O45-P45)</f>
        <v>189.25240000000008</v>
      </c>
      <c r="R45">
        <f t="shared" ref="R45:R60" si="5">SQRT(N45^2+Q45^2)</f>
        <v>264.15892157030885</v>
      </c>
      <c r="S45" s="23">
        <v>0.20684436243151899</v>
      </c>
      <c r="T45" s="23">
        <v>1.2237480322301741E-2</v>
      </c>
      <c r="U45">
        <f>($S$44/$O$44)*(O45/S45)</f>
        <v>0.72709073639349531</v>
      </c>
      <c r="V45">
        <f>U45*SQRT($T$44^2/$S$44^2+$R$44^2/$O$44^2+T45^2/S45^2+R45^2/O45^2)</f>
        <v>0.11837644825796738</v>
      </c>
    </row>
    <row r="46" spans="1:22" x14ac:dyDescent="0.3">
      <c r="A46">
        <v>2035.24</v>
      </c>
      <c r="B46">
        <v>0.2</v>
      </c>
      <c r="C46">
        <v>39215.903899999998</v>
      </c>
      <c r="D46">
        <v>271.34620000000001</v>
      </c>
      <c r="E46" s="23">
        <v>2035.8574000000001</v>
      </c>
      <c r="F46" s="23">
        <v>2.1299999999999999E-2</v>
      </c>
      <c r="G46">
        <v>1325.3414</v>
      </c>
      <c r="H46">
        <v>169.26650000000001</v>
      </c>
      <c r="I46">
        <v>2055.6111999999998</v>
      </c>
      <c r="J46">
        <v>0.37359999999999999</v>
      </c>
      <c r="K46" s="23">
        <f>-0.7654+SQRT(E46)*0.07115</f>
        <v>2.4449219033005867</v>
      </c>
      <c r="L46" s="23"/>
      <c r="M46">
        <f>299.4/94</f>
        <v>3.1851063829787232</v>
      </c>
      <c r="N46">
        <f>D46*SQRT(M46)</f>
        <v>484.26793643315574</v>
      </c>
      <c r="O46">
        <f>C46</f>
        <v>39215.903899999998</v>
      </c>
      <c r="P46">
        <v>38550.311600000001</v>
      </c>
      <c r="Q46">
        <f t="shared" si="4"/>
        <v>665.59229999999661</v>
      </c>
      <c r="R46">
        <f t="shared" si="5"/>
        <v>823.1212207667304</v>
      </c>
      <c r="S46" s="23">
        <v>4.4975020627016402</v>
      </c>
      <c r="T46" s="23">
        <v>0.26608456882669229</v>
      </c>
      <c r="U46">
        <f t="shared" ref="U46:U60" si="6">($S$44/$O$44)*(O46/S46)</f>
        <v>0.71171603781429649</v>
      </c>
      <c r="V46">
        <f t="shared" ref="V46:V60" si="7">U46*SQRT($T$44^2/$S$44^2+$R$44^2/$O$44^2+T46^2/S46^2+R46^2/O46^2)</f>
        <v>5.6906372267787698E-2</v>
      </c>
    </row>
    <row r="47" spans="1:22" x14ac:dyDescent="0.3">
      <c r="A47">
        <v>1049.6600000000001</v>
      </c>
      <c r="B47">
        <v>0.21</v>
      </c>
      <c r="C47">
        <v>17714.330300000001</v>
      </c>
      <c r="D47">
        <v>217.22300000000001</v>
      </c>
      <c r="E47" s="23">
        <v>1050.8933999999999</v>
      </c>
      <c r="F47" s="23">
        <v>2.7799999999999998E-2</v>
      </c>
      <c r="K47" s="23">
        <f>-0.7654+SQRT(E47)*0.07115</f>
        <v>1.5411041304800435</v>
      </c>
      <c r="L47" s="23"/>
      <c r="M47">
        <f>74.91/36</f>
        <v>2.0808333333333331</v>
      </c>
      <c r="N47">
        <f>D47*SQRT(M47)</f>
        <v>313.34621670408092</v>
      </c>
      <c r="O47">
        <f>C47</f>
        <v>17714.330300000001</v>
      </c>
      <c r="P47">
        <v>18370.443599999999</v>
      </c>
      <c r="Q47">
        <f t="shared" si="4"/>
        <v>656.11329999999725</v>
      </c>
      <c r="R47">
        <f>SQRT(N47^2+Q47^2)</f>
        <v>727.09732083102006</v>
      </c>
      <c r="S47" s="23">
        <v>1.43571226660962</v>
      </c>
      <c r="T47" s="23">
        <v>6.967809535945732E-2</v>
      </c>
      <c r="U47">
        <f t="shared" si="6"/>
        <v>1.0071014497315935</v>
      </c>
      <c r="V47">
        <f t="shared" si="7"/>
        <v>8.1147490861986124E-2</v>
      </c>
    </row>
    <row r="48" spans="1:22" x14ac:dyDescent="0.3">
      <c r="A48">
        <v>1852.19</v>
      </c>
      <c r="B48">
        <v>0.25</v>
      </c>
      <c r="C48">
        <v>1842.5378000000001</v>
      </c>
      <c r="D48">
        <v>174.11600000000001</v>
      </c>
      <c r="E48">
        <v>1829.3039000000001</v>
      </c>
      <c r="F48">
        <v>0.27700000000000002</v>
      </c>
      <c r="G48">
        <v>1858.6985</v>
      </c>
      <c r="H48">
        <v>176.19659999999999</v>
      </c>
      <c r="I48" s="24">
        <v>1852.5189</v>
      </c>
      <c r="J48" s="24">
        <v>0.3024</v>
      </c>
      <c r="K48" s="24"/>
      <c r="L48" s="24"/>
      <c r="M48">
        <f>149/133</f>
        <v>1.1203007518796992</v>
      </c>
      <c r="N48">
        <f>H48*SQRT(M48)</f>
        <v>186.49398861247451</v>
      </c>
      <c r="O48">
        <f>G48</f>
        <v>1858.6985</v>
      </c>
      <c r="P48">
        <v>1627.2004999999999</v>
      </c>
      <c r="Q48">
        <f t="shared" si="4"/>
        <v>231.49800000000005</v>
      </c>
      <c r="R48">
        <f t="shared" si="5"/>
        <v>297.27316022908929</v>
      </c>
      <c r="S48" s="24">
        <v>0.211743466321727</v>
      </c>
      <c r="T48" s="24">
        <v>1.2527324757743794E-2</v>
      </c>
      <c r="U48">
        <f t="shared" si="6"/>
        <v>0.71649773850514487</v>
      </c>
      <c r="V48">
        <f t="shared" si="7"/>
        <v>0.12723047139619345</v>
      </c>
    </row>
    <row r="49" spans="1:22" x14ac:dyDescent="0.3">
      <c r="A49">
        <v>2959.09</v>
      </c>
      <c r="B49">
        <v>0.31</v>
      </c>
      <c r="C49">
        <v>11716.23</v>
      </c>
      <c r="D49">
        <v>154.27760000000001</v>
      </c>
      <c r="E49" s="23">
        <v>2959.3445000000002</v>
      </c>
      <c r="F49" s="23">
        <v>4.7699999999999999E-2</v>
      </c>
      <c r="G49">
        <v>128.01900000000001</v>
      </c>
      <c r="H49">
        <v>125.9418</v>
      </c>
      <c r="I49">
        <v>2972.2386999999999</v>
      </c>
      <c r="J49">
        <v>1.5228999999999999</v>
      </c>
      <c r="K49" s="23">
        <f>-0.7654+SQRT(E49)*0.07115</f>
        <v>3.105149863727537</v>
      </c>
      <c r="L49" s="23"/>
      <c r="M49">
        <f>211.6/44</f>
        <v>4.8090909090909086</v>
      </c>
      <c r="N49">
        <f>D49*SQRT(M49)</f>
        <v>338.32521590477029</v>
      </c>
      <c r="O49">
        <f>C49</f>
        <v>11716.23</v>
      </c>
      <c r="P49">
        <v>12058.710300000001</v>
      </c>
      <c r="Q49">
        <f t="shared" si="4"/>
        <v>342.48030000000108</v>
      </c>
      <c r="R49">
        <f t="shared" si="5"/>
        <v>481.41116273420602</v>
      </c>
      <c r="S49" s="23">
        <v>1.78509239417126</v>
      </c>
      <c r="T49" s="23">
        <v>0.10561096657586519</v>
      </c>
      <c r="U49">
        <f t="shared" si="6"/>
        <v>0.53572644259896907</v>
      </c>
      <c r="V49">
        <f t="shared" si="7"/>
        <v>4.6828809384813562E-2</v>
      </c>
    </row>
    <row r="50" spans="1:22" x14ac:dyDescent="0.3">
      <c r="A50">
        <v>4519.28</v>
      </c>
      <c r="B50">
        <v>0.32</v>
      </c>
      <c r="C50">
        <v>4371.5946000000004</v>
      </c>
      <c r="D50">
        <v>85.940600000000003</v>
      </c>
      <c r="E50" s="23">
        <v>4522.2516999999998</v>
      </c>
      <c r="F50" s="23">
        <v>0.1171</v>
      </c>
      <c r="G50">
        <v>335.41059999999999</v>
      </c>
      <c r="H50">
        <v>56.4161</v>
      </c>
      <c r="I50">
        <v>4557.4301999999998</v>
      </c>
      <c r="J50">
        <v>0.93340000000000001</v>
      </c>
      <c r="K50" s="23">
        <f>-0.7654+SQRT(E50)*0.07115</f>
        <v>4.0192730851306084</v>
      </c>
      <c r="L50" s="23"/>
      <c r="M50">
        <f>240.3/144</f>
        <v>1.6687500000000002</v>
      </c>
      <c r="N50">
        <f>D50*SQRT(M50)</f>
        <v>111.0181588883132</v>
      </c>
      <c r="O50">
        <f>C50</f>
        <v>4371.5946000000004</v>
      </c>
      <c r="P50">
        <v>4898.5677999999998</v>
      </c>
      <c r="Q50">
        <f t="shared" si="4"/>
        <v>526.97319999999945</v>
      </c>
      <c r="R50">
        <f t="shared" si="5"/>
        <v>538.5404210652996</v>
      </c>
      <c r="S50" s="27">
        <v>1.19959210556864</v>
      </c>
      <c r="T50" s="27">
        <v>7.6450410271956828E-2</v>
      </c>
      <c r="U50">
        <f t="shared" si="6"/>
        <v>0.29745561791526448</v>
      </c>
      <c r="V50">
        <f t="shared" si="7"/>
        <v>4.3807653313859635E-2</v>
      </c>
    </row>
    <row r="51" spans="1:22" x14ac:dyDescent="0.3">
      <c r="A51">
        <v>4717.34</v>
      </c>
      <c r="B51">
        <v>0.32</v>
      </c>
      <c r="C51">
        <v>2818.6968000000002</v>
      </c>
      <c r="D51">
        <v>75.905100000000004</v>
      </c>
      <c r="E51" s="23">
        <v>4720.7254999999996</v>
      </c>
      <c r="F51" s="23">
        <v>0.1424</v>
      </c>
      <c r="K51" s="23">
        <f>-0.7654+SQRT(E51)*0.07115</f>
        <v>4.1231411847476291</v>
      </c>
      <c r="L51" s="23"/>
      <c r="M51">
        <f>170.6/166</f>
        <v>1.0277108433734938</v>
      </c>
      <c r="N51">
        <f>D51*SQRT(M51)</f>
        <v>76.949610548240841</v>
      </c>
      <c r="O51">
        <f>C51</f>
        <v>2818.6968000000002</v>
      </c>
      <c r="P51">
        <v>2899.8832000000002</v>
      </c>
      <c r="Q51">
        <f t="shared" si="4"/>
        <v>81.186400000000049</v>
      </c>
      <c r="R51">
        <f t="shared" si="5"/>
        <v>111.85917087340647</v>
      </c>
      <c r="S51" s="23">
        <v>0.61901918578779103</v>
      </c>
      <c r="T51" s="23">
        <v>3.9450301898457496E-2</v>
      </c>
      <c r="U51">
        <f t="shared" si="6"/>
        <v>0.37167225843632379</v>
      </c>
      <c r="V51">
        <f t="shared" si="7"/>
        <v>3.3427155639838294E-2</v>
      </c>
    </row>
    <row r="52" spans="1:22" x14ac:dyDescent="0.3">
      <c r="A52">
        <v>2483.6</v>
      </c>
      <c r="B52">
        <v>0.22</v>
      </c>
      <c r="C52">
        <v>2088.2984000000001</v>
      </c>
      <c r="D52">
        <v>98.123500000000007</v>
      </c>
      <c r="E52">
        <v>2448.1664999999998</v>
      </c>
      <c r="F52">
        <v>0.189</v>
      </c>
      <c r="G52">
        <v>3343.0907999999999</v>
      </c>
      <c r="H52">
        <v>106.33669999999999</v>
      </c>
      <c r="I52" s="23">
        <v>2483.7260999999999</v>
      </c>
      <c r="J52" s="23">
        <v>0.123</v>
      </c>
      <c r="K52" s="23">
        <f>-0.7654+SQRT(I52)*0.07115</f>
        <v>2.7805022152150856</v>
      </c>
      <c r="L52" s="23"/>
      <c r="M52">
        <f>198.7/174</f>
        <v>1.1419540229885057</v>
      </c>
      <c r="N52">
        <f>H52*SQRT(M52)</f>
        <v>113.6337889758917</v>
      </c>
      <c r="O52">
        <f>G52</f>
        <v>3343.0907999999999</v>
      </c>
      <c r="P52">
        <v>3430.6781000000001</v>
      </c>
      <c r="Q52">
        <f>ABS(O52-P52)</f>
        <v>87.587300000000141</v>
      </c>
      <c r="R52">
        <f>SQRT(N52^2+Q52^2)</f>
        <v>143.47185479496497</v>
      </c>
      <c r="S52" s="23">
        <v>0.47299635937020701</v>
      </c>
      <c r="T52" s="23">
        <v>2.798376311672323E-2</v>
      </c>
      <c r="U52">
        <f t="shared" si="6"/>
        <v>0.57690761065320373</v>
      </c>
      <c r="V52">
        <f t="shared" si="7"/>
        <v>5.0932388900910418E-2</v>
      </c>
    </row>
    <row r="53" spans="1:22" x14ac:dyDescent="0.3">
      <c r="A53">
        <v>5155.7</v>
      </c>
      <c r="B53">
        <v>0.6</v>
      </c>
      <c r="C53">
        <v>1668.5116</v>
      </c>
      <c r="D53">
        <v>59.866199999999999</v>
      </c>
      <c r="E53">
        <v>5144.3413</v>
      </c>
      <c r="F53">
        <v>0.20580000000000001</v>
      </c>
      <c r="G53">
        <v>3550.6929</v>
      </c>
      <c r="H53">
        <v>74.956699999999998</v>
      </c>
      <c r="I53" s="23">
        <v>5158.424</v>
      </c>
      <c r="J53" s="23">
        <v>0.11700000000000001</v>
      </c>
      <c r="K53" s="23">
        <f>-0.7654+SQRT(I53)*0.07115</f>
        <v>4.3447473442299103</v>
      </c>
      <c r="L53" s="23"/>
      <c r="M53">
        <f>142.2/144</f>
        <v>0.98749999999999993</v>
      </c>
      <c r="N53" s="28">
        <f>H53*SQRT(M53)</f>
        <v>74.486747404849638</v>
      </c>
      <c r="O53">
        <f>G53</f>
        <v>3550.6929</v>
      </c>
      <c r="P53">
        <v>3537.5907999999999</v>
      </c>
      <c r="Q53">
        <f t="shared" si="4"/>
        <v>13.102100000000064</v>
      </c>
      <c r="R53">
        <f>SQRT(Q53^2+H53^2)</f>
        <v>76.093179058966911</v>
      </c>
      <c r="S53" s="27">
        <v>0.84072657804557205</v>
      </c>
      <c r="T53" s="27">
        <v>8.2561431577870478E-2</v>
      </c>
      <c r="U53">
        <f t="shared" si="6"/>
        <v>0.3447261495760221</v>
      </c>
      <c r="V53">
        <f t="shared" si="7"/>
        <v>3.86266499478519E-2</v>
      </c>
    </row>
    <row r="54" spans="1:22" x14ac:dyDescent="0.3">
      <c r="A54">
        <v>6254.3</v>
      </c>
      <c r="B54">
        <v>0.6</v>
      </c>
      <c r="C54">
        <v>1832.3253</v>
      </c>
      <c r="D54">
        <v>48.750700000000002</v>
      </c>
      <c r="E54" s="24">
        <v>6256.0509000000002</v>
      </c>
      <c r="F54" s="24">
        <v>0.16689999999999999</v>
      </c>
      <c r="G54">
        <v>10877.8863</v>
      </c>
      <c r="H54">
        <v>107.19119999999999</v>
      </c>
      <c r="I54">
        <v>6279.4156999999996</v>
      </c>
      <c r="J54">
        <v>4.9700000000000001E-2</v>
      </c>
      <c r="K54" s="24"/>
      <c r="L54" s="24"/>
      <c r="M54">
        <f>240/174</f>
        <v>1.3793103448275863</v>
      </c>
      <c r="N54">
        <f>D54*SQRT(M54)</f>
        <v>57.254793510990915</v>
      </c>
      <c r="O54">
        <f>C54</f>
        <v>1832.3253</v>
      </c>
      <c r="P54">
        <v>1826.1523999999999</v>
      </c>
      <c r="Q54">
        <f t="shared" si="4"/>
        <v>6.1729000000000269</v>
      </c>
      <c r="R54">
        <f t="shared" si="5"/>
        <v>57.586596308483173</v>
      </c>
      <c r="S54" s="23">
        <v>0.45734233667406998</v>
      </c>
      <c r="T54" s="23">
        <v>4.4912149827304404E-2</v>
      </c>
      <c r="U54">
        <f t="shared" si="6"/>
        <v>0.32702207188336746</v>
      </c>
      <c r="V54">
        <f t="shared" si="7"/>
        <v>3.7406121137485648E-2</v>
      </c>
    </row>
    <row r="55" spans="1:22" x14ac:dyDescent="0.3">
      <c r="A55">
        <v>6278.4</v>
      </c>
      <c r="B55">
        <v>0.6</v>
      </c>
      <c r="C55">
        <v>1832.3253</v>
      </c>
      <c r="D55">
        <v>48.750700000000002</v>
      </c>
      <c r="E55">
        <v>6256.0509000000002</v>
      </c>
      <c r="F55">
        <v>0.16689999999999999</v>
      </c>
      <c r="G55">
        <v>10877.8863</v>
      </c>
      <c r="H55">
        <v>107.19119999999999</v>
      </c>
      <c r="I55" s="23">
        <v>6279.4156999999996</v>
      </c>
      <c r="J55" s="23">
        <v>4.9700000000000001E-2</v>
      </c>
      <c r="K55" s="23">
        <f>-0.7654+SQRT(I55)*0.07115</f>
        <v>4.8727226826811121</v>
      </c>
      <c r="L55" s="23"/>
      <c r="M55">
        <f>240/174</f>
        <v>1.3793103448275863</v>
      </c>
      <c r="N55">
        <f>H55*SQRT(M55)</f>
        <v>125.88967998808896</v>
      </c>
      <c r="O55">
        <f>G55</f>
        <v>10877.8863</v>
      </c>
      <c r="P55">
        <v>10870.134400000001</v>
      </c>
      <c r="Q55">
        <f t="shared" si="4"/>
        <v>7.7518999999992957</v>
      </c>
      <c r="R55">
        <f t="shared" si="5"/>
        <v>126.12812327595077</v>
      </c>
      <c r="S55" s="23">
        <v>3.15238529657509</v>
      </c>
      <c r="T55" s="23">
        <v>0.30957204133513366</v>
      </c>
      <c r="U55">
        <f t="shared" si="6"/>
        <v>0.28165736744621772</v>
      </c>
      <c r="V55">
        <f t="shared" si="7"/>
        <v>3.1148850621115214E-2</v>
      </c>
    </row>
    <row r="56" spans="1:22" x14ac:dyDescent="0.3">
      <c r="A56">
        <v>5030.1000000000004</v>
      </c>
      <c r="B56">
        <v>0.6</v>
      </c>
      <c r="C56">
        <v>8137.7489999999998</v>
      </c>
      <c r="D56">
        <v>100.486</v>
      </c>
      <c r="E56" s="23">
        <v>5032.8653000000004</v>
      </c>
      <c r="F56" s="23">
        <v>6.3799999999999996E-2</v>
      </c>
      <c r="K56" s="23">
        <f>-0.7654+SQRT(E56)*0.07115</f>
        <v>4.2821724113339128</v>
      </c>
      <c r="L56" s="23"/>
      <c r="M56">
        <f>222.7/136</f>
        <v>1.6375</v>
      </c>
      <c r="N56">
        <f>D56*SQRT(M56)</f>
        <v>128.58674803785186</v>
      </c>
      <c r="O56">
        <f>C56</f>
        <v>8137.7489999999998</v>
      </c>
      <c r="P56">
        <v>8296.7628000000004</v>
      </c>
      <c r="Q56">
        <f t="shared" si="4"/>
        <v>159.01380000000063</v>
      </c>
      <c r="R56">
        <f t="shared" si="5"/>
        <v>204.49924293598301</v>
      </c>
      <c r="S56" s="24">
        <v>1.9384951501657799</v>
      </c>
      <c r="T56" s="24">
        <v>0.19036502340213943</v>
      </c>
      <c r="U56">
        <f t="shared" si="6"/>
        <v>0.34265373135053329</v>
      </c>
      <c r="V56">
        <f t="shared" si="7"/>
        <v>3.8656888624230792E-2</v>
      </c>
    </row>
    <row r="57" spans="1:22" x14ac:dyDescent="0.3">
      <c r="A57">
        <v>6389.5</v>
      </c>
      <c r="B57">
        <v>0.7</v>
      </c>
      <c r="C57">
        <v>683.67819999999995</v>
      </c>
      <c r="D57">
        <v>29.897200000000002</v>
      </c>
      <c r="E57" s="23">
        <v>6390.5078000000003</v>
      </c>
      <c r="F57" s="23">
        <v>0.2404</v>
      </c>
      <c r="K57" s="23">
        <f>-0.7654+SQRT(E57)*0.07115</f>
        <v>4.9223773710268857</v>
      </c>
      <c r="L57" s="23"/>
      <c r="M57">
        <f>239.4/176</f>
        <v>1.3602272727272728</v>
      </c>
      <c r="N57">
        <f>D57*SQRT(M57)</f>
        <v>34.868740130675008</v>
      </c>
      <c r="O57">
        <f>C57</f>
        <v>683.67819999999995</v>
      </c>
      <c r="P57">
        <v>679.41110000000003</v>
      </c>
      <c r="Q57">
        <f t="shared" si="4"/>
        <v>4.267099999999914</v>
      </c>
      <c r="R57">
        <f t="shared" si="5"/>
        <v>35.128865349033767</v>
      </c>
      <c r="S57" s="23">
        <v>0.18131393683952601</v>
      </c>
      <c r="T57" s="23">
        <v>1.7805477525511731E-2</v>
      </c>
      <c r="U57">
        <f t="shared" si="6"/>
        <v>0.30777719562209521</v>
      </c>
      <c r="V57">
        <f t="shared" si="7"/>
        <v>3.7361815844435521E-2</v>
      </c>
    </row>
    <row r="58" spans="1:22" x14ac:dyDescent="0.3">
      <c r="A58">
        <v>7049.2</v>
      </c>
      <c r="B58">
        <v>0.8</v>
      </c>
      <c r="C58">
        <v>87.612300000000005</v>
      </c>
      <c r="D58">
        <v>11.7272</v>
      </c>
      <c r="E58" s="23">
        <v>7048.2089999999998</v>
      </c>
      <c r="F58" s="23">
        <v>0.71109999999999995</v>
      </c>
      <c r="K58" s="23">
        <f>-0.7654+SQRT(E58)*0.07115</f>
        <v>5.2078995074248962</v>
      </c>
      <c r="L58" s="23"/>
      <c r="M58">
        <f>305.7/449</f>
        <v>0.6808463251670378</v>
      </c>
      <c r="N58" s="28">
        <f>D58*SQRT(M58)</f>
        <v>9.676512917291193</v>
      </c>
      <c r="O58">
        <f>C58</f>
        <v>87.612300000000005</v>
      </c>
      <c r="P58">
        <v>84.695300000000003</v>
      </c>
      <c r="Q58">
        <f t="shared" si="4"/>
        <v>2.9170000000000016</v>
      </c>
      <c r="R58">
        <f>SQRT(N58^2+D58^2)</f>
        <v>15.204016642930357</v>
      </c>
      <c r="S58" s="23">
        <v>4.7466110211103398E-2</v>
      </c>
      <c r="T58" s="23">
        <v>4.6612895473958057E-3</v>
      </c>
      <c r="U58">
        <f t="shared" si="6"/>
        <v>0.15065978113275424</v>
      </c>
      <c r="V58">
        <f t="shared" si="7"/>
        <v>3.0953616951402845E-2</v>
      </c>
    </row>
    <row r="59" spans="1:22" x14ac:dyDescent="0.3">
      <c r="A59">
        <v>3283.57</v>
      </c>
      <c r="B59">
        <v>0.31</v>
      </c>
      <c r="C59">
        <v>6265.1749</v>
      </c>
      <c r="D59">
        <v>119.4577</v>
      </c>
      <c r="E59" s="23">
        <v>3284.2737999999999</v>
      </c>
      <c r="F59" s="23">
        <v>8.9499999999999996E-2</v>
      </c>
      <c r="G59">
        <v>2314.9126000000001</v>
      </c>
      <c r="H59">
        <v>99.255899999999997</v>
      </c>
      <c r="I59">
        <v>3314.8438999999998</v>
      </c>
      <c r="J59">
        <v>0.21479999999999999</v>
      </c>
      <c r="K59" s="23">
        <f>-0.7654+SQRT(E59)*0.07115</f>
        <v>3.3121057515472008</v>
      </c>
      <c r="L59" s="23"/>
      <c r="M59">
        <f>373.8/174</f>
        <v>2.1482758620689655</v>
      </c>
      <c r="N59">
        <f>D59*SQRT(M59)</f>
        <v>175.08912530113372</v>
      </c>
      <c r="O59">
        <f>C59</f>
        <v>6265.1749</v>
      </c>
      <c r="P59">
        <v>7035.1918999999998</v>
      </c>
      <c r="Q59">
        <f t="shared" si="4"/>
        <v>770.01699999999983</v>
      </c>
      <c r="R59">
        <f t="shared" si="5"/>
        <v>789.67232577045263</v>
      </c>
      <c r="S59" s="27">
        <v>1.1395175048561099</v>
      </c>
      <c r="T59" s="27">
        <v>6.7416983855249038E-2</v>
      </c>
      <c r="U59">
        <f t="shared" si="6"/>
        <v>0.44877441781782124</v>
      </c>
      <c r="V59">
        <f t="shared" si="7"/>
        <v>6.6319940502889849E-2</v>
      </c>
    </row>
    <row r="60" spans="1:22" x14ac:dyDescent="0.3">
      <c r="A60">
        <v>3313.56</v>
      </c>
      <c r="B60">
        <v>0.33</v>
      </c>
      <c r="C60">
        <v>6265.1749</v>
      </c>
      <c r="D60">
        <v>119.4577</v>
      </c>
      <c r="E60">
        <v>3284.2737999999999</v>
      </c>
      <c r="F60">
        <v>8.9499999999999996E-2</v>
      </c>
      <c r="G60">
        <v>2314.9126000000001</v>
      </c>
      <c r="H60">
        <v>99.255899999999997</v>
      </c>
      <c r="I60" s="24">
        <v>3314.8438999999998</v>
      </c>
      <c r="J60" s="24">
        <v>0.21479999999999999</v>
      </c>
      <c r="K60" s="24"/>
      <c r="L60" s="24"/>
      <c r="M60">
        <f>373.8/174</f>
        <v>2.1482758620689655</v>
      </c>
      <c r="N60">
        <f>H60*SQRT(M60)</f>
        <v>145.47935136853295</v>
      </c>
      <c r="O60">
        <f>G60</f>
        <v>2314.9126000000001</v>
      </c>
      <c r="P60">
        <v>2684.0716000000002</v>
      </c>
      <c r="Q60">
        <f t="shared" si="4"/>
        <v>369.15900000000011</v>
      </c>
      <c r="R60">
        <f t="shared" si="5"/>
        <v>396.79038415214796</v>
      </c>
      <c r="S60" s="27">
        <v>0.39860986946000398</v>
      </c>
      <c r="T60" s="27">
        <v>2.3582854163632556E-2</v>
      </c>
      <c r="U60">
        <f t="shared" si="6"/>
        <v>0.47402630789068922</v>
      </c>
      <c r="V60">
        <f t="shared" si="7"/>
        <v>8.9102549972233075E-2</v>
      </c>
    </row>
    <row r="61" spans="1:22" x14ac:dyDescent="0.3">
      <c r="A61">
        <v>745.53</v>
      </c>
      <c r="B61">
        <v>0.04</v>
      </c>
      <c r="U61">
        <f>I66/4.775</f>
        <v>1.1950079728980596</v>
      </c>
      <c r="V61">
        <f>U61*SQRT(J66^2/I66^2+0.4373^2/4.687^2)</f>
        <v>0.15163504347785678</v>
      </c>
    </row>
    <row r="62" spans="1:22" x14ac:dyDescent="0.3">
      <c r="A62" s="143" t="s">
        <v>219</v>
      </c>
      <c r="B62" s="143"/>
      <c r="C62" s="143"/>
      <c r="D62" s="143"/>
      <c r="E62" s="143"/>
      <c r="F62" s="143"/>
      <c r="G62" s="143"/>
      <c r="H62" s="143"/>
      <c r="I62" s="143"/>
      <c r="J62" s="143"/>
    </row>
    <row r="63" spans="1:22" x14ac:dyDescent="0.3">
      <c r="A63" s="25" t="s">
        <v>131</v>
      </c>
      <c r="B63" s="34" t="s">
        <v>154</v>
      </c>
      <c r="C63" s="35" t="s">
        <v>155</v>
      </c>
      <c r="D63" s="35" t="s">
        <v>156</v>
      </c>
      <c r="E63" s="35" t="s">
        <v>157</v>
      </c>
      <c r="F63" s="35" t="s">
        <v>148</v>
      </c>
      <c r="G63" s="35" t="s">
        <v>90</v>
      </c>
      <c r="H63" s="35" t="s">
        <v>158</v>
      </c>
      <c r="I63" s="35" t="s">
        <v>88</v>
      </c>
      <c r="J63" s="35" t="s">
        <v>147</v>
      </c>
      <c r="K63" s="35"/>
    </row>
    <row r="64" spans="1:22" x14ac:dyDescent="0.3">
      <c r="A64">
        <v>677.01</v>
      </c>
      <c r="B64">
        <v>6.6844891000000004</v>
      </c>
    </row>
    <row r="65" spans="1:10" x14ac:dyDescent="0.3">
      <c r="A65">
        <v>708.7</v>
      </c>
      <c r="B65">
        <v>6.4456376000000004</v>
      </c>
    </row>
    <row r="66" spans="1:10" x14ac:dyDescent="0.3">
      <c r="A66">
        <v>745.53</v>
      </c>
      <c r="B66">
        <v>6.1968987000000002</v>
      </c>
      <c r="C66">
        <v>71.41</v>
      </c>
      <c r="D66">
        <v>32</v>
      </c>
      <c r="E66">
        <v>12.59</v>
      </c>
      <c r="F66">
        <f>SQRT(D66^2+E66^2)</f>
        <v>34.387615503259312</v>
      </c>
      <c r="G66">
        <v>100</v>
      </c>
      <c r="H66">
        <v>8</v>
      </c>
      <c r="I66">
        <f>G66/G67*C66*B67/C67</f>
        <v>5.7061630705882349</v>
      </c>
      <c r="J66">
        <f>ABS(I66-B66)</f>
        <v>0.4907356294117653</v>
      </c>
    </row>
    <row r="67" spans="1:10" x14ac:dyDescent="0.3">
      <c r="A67">
        <v>1454.23</v>
      </c>
      <c r="B67">
        <v>3.9530021999999998</v>
      </c>
      <c r="C67">
        <v>989.4</v>
      </c>
      <c r="D67">
        <v>12.3</v>
      </c>
      <c r="E67">
        <v>26.2</v>
      </c>
      <c r="F67">
        <f>SQRT(D67^2+E67^2)</f>
        <v>28.943565778942993</v>
      </c>
      <c r="G67">
        <v>5</v>
      </c>
      <c r="H67">
        <v>8</v>
      </c>
    </row>
    <row r="68" spans="1:10" x14ac:dyDescent="0.3">
      <c r="A68">
        <v>1264.57</v>
      </c>
      <c r="B68">
        <v>4.3095476000000001</v>
      </c>
    </row>
    <row r="69" spans="1:10" x14ac:dyDescent="0.3">
      <c r="A69">
        <v>1973.27</v>
      </c>
      <c r="B69">
        <v>3.2842247000000002</v>
      </c>
    </row>
    <row r="71" spans="1:10" x14ac:dyDescent="0.3">
      <c r="A71" s="143" t="s">
        <v>220</v>
      </c>
      <c r="B71" s="143"/>
      <c r="C71" s="143"/>
      <c r="D71" s="143"/>
      <c r="E71" s="143"/>
      <c r="F71" s="143"/>
      <c r="G71" s="143"/>
      <c r="H71" s="143"/>
      <c r="I71" s="143"/>
      <c r="J71" s="143"/>
    </row>
    <row r="72" spans="1:10" x14ac:dyDescent="0.3">
      <c r="A72" s="25" t="s">
        <v>131</v>
      </c>
      <c r="B72" s="34" t="s">
        <v>154</v>
      </c>
      <c r="C72" s="35" t="s">
        <v>155</v>
      </c>
      <c r="D72" s="35" t="s">
        <v>156</v>
      </c>
      <c r="E72" s="35" t="s">
        <v>157</v>
      </c>
      <c r="F72" s="35" t="s">
        <v>148</v>
      </c>
      <c r="G72" s="35" t="s">
        <v>90</v>
      </c>
      <c r="H72" s="35" t="s">
        <v>158</v>
      </c>
      <c r="I72" s="35" t="s">
        <v>88</v>
      </c>
      <c r="J72" s="35" t="s">
        <v>147</v>
      </c>
    </row>
    <row r="73" spans="1:10" x14ac:dyDescent="0.3">
      <c r="A73">
        <v>677.01</v>
      </c>
      <c r="B73">
        <v>6.1864004000000001</v>
      </c>
    </row>
    <row r="74" spans="1:10" x14ac:dyDescent="0.3">
      <c r="A74">
        <v>708.7</v>
      </c>
      <c r="B74">
        <v>6.0161816000000004</v>
      </c>
    </row>
    <row r="75" spans="1:10" x14ac:dyDescent="0.3">
      <c r="A75">
        <v>745.53</v>
      </c>
      <c r="B75">
        <v>5.8351766999999999</v>
      </c>
      <c r="C75">
        <v>71.41</v>
      </c>
      <c r="D75">
        <v>32</v>
      </c>
      <c r="E75">
        <v>12.59</v>
      </c>
      <c r="F75">
        <f>SQRT(D75^2+E75^2)</f>
        <v>34.387615503259312</v>
      </c>
      <c r="G75">
        <v>100</v>
      </c>
      <c r="H75">
        <v>8</v>
      </c>
      <c r="I75">
        <f>G75/G76*C75*B76/C76</f>
        <v>5.732034796664645</v>
      </c>
      <c r="J75">
        <f>ABS(I75-B75)</f>
        <v>0.10314190333535489</v>
      </c>
    </row>
    <row r="76" spans="1:10" x14ac:dyDescent="0.3">
      <c r="A76">
        <v>1454.23</v>
      </c>
      <c r="B76">
        <v>3.9709251000000001</v>
      </c>
      <c r="C76">
        <v>989.4</v>
      </c>
      <c r="D76">
        <v>12.3</v>
      </c>
      <c r="E76">
        <v>26.2</v>
      </c>
      <c r="F76">
        <f>SQRT(D76^2+E76^2)</f>
        <v>28.943565778942993</v>
      </c>
      <c r="G76">
        <v>5</v>
      </c>
      <c r="H76">
        <v>8</v>
      </c>
    </row>
    <row r="77" spans="1:10" x14ac:dyDescent="0.3">
      <c r="A77">
        <v>1264.57</v>
      </c>
      <c r="B77">
        <v>4.3010470999999999</v>
      </c>
    </row>
    <row r="78" spans="1:10" x14ac:dyDescent="0.3">
      <c r="A78">
        <v>1973.27</v>
      </c>
      <c r="B78">
        <v>3.3142893999999998</v>
      </c>
    </row>
    <row r="84" spans="1:23" s="15" customFormat="1" x14ac:dyDescent="0.3"/>
    <row r="85" spans="1:23" x14ac:dyDescent="0.3">
      <c r="A85" s="143" t="s">
        <v>165</v>
      </c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</row>
    <row r="86" spans="1:23" ht="16.2" x14ac:dyDescent="0.3">
      <c r="A86" s="25" t="s">
        <v>131</v>
      </c>
      <c r="B86" s="25" t="s">
        <v>132</v>
      </c>
      <c r="C86" s="25" t="s">
        <v>133</v>
      </c>
      <c r="D86" s="25" t="s">
        <v>134</v>
      </c>
      <c r="E86" s="25" t="s">
        <v>135</v>
      </c>
      <c r="F86" s="25" t="s">
        <v>136</v>
      </c>
      <c r="G86" s="25" t="s">
        <v>137</v>
      </c>
      <c r="H86" s="25" t="s">
        <v>138</v>
      </c>
      <c r="I86" s="25" t="s">
        <v>139</v>
      </c>
      <c r="J86" s="25" t="s">
        <v>140</v>
      </c>
      <c r="K86" s="25" t="s">
        <v>141</v>
      </c>
      <c r="L86" s="25" t="s">
        <v>142</v>
      </c>
      <c r="M86" s="25" t="s">
        <v>143</v>
      </c>
      <c r="N86" s="25" t="s">
        <v>161</v>
      </c>
      <c r="O86" s="25" t="s">
        <v>162</v>
      </c>
      <c r="P86" s="25" t="s">
        <v>144</v>
      </c>
      <c r="Q86" s="34" t="s">
        <v>163</v>
      </c>
      <c r="R86" s="25" t="s">
        <v>147</v>
      </c>
      <c r="S86" s="25" t="s">
        <v>148</v>
      </c>
      <c r="T86" s="25" t="s">
        <v>149</v>
      </c>
      <c r="U86" s="25" t="s">
        <v>150</v>
      </c>
      <c r="V86" s="25" t="s">
        <v>151</v>
      </c>
      <c r="W86" s="25" t="s">
        <v>152</v>
      </c>
    </row>
    <row r="87" spans="1:23" x14ac:dyDescent="0.3">
      <c r="A87" s="26">
        <v>1248.4000000000001</v>
      </c>
      <c r="B87" s="26">
        <v>0.2</v>
      </c>
      <c r="C87">
        <v>169345.571</v>
      </c>
      <c r="D87">
        <v>456.48930000000001</v>
      </c>
      <c r="E87" s="23">
        <v>1249.6204</v>
      </c>
      <c r="F87" s="23">
        <v>5.7000000000000002E-3</v>
      </c>
      <c r="G87">
        <v>12561.2909</v>
      </c>
      <c r="H87">
        <v>191.0513</v>
      </c>
      <c r="I87">
        <v>1267.2508</v>
      </c>
      <c r="J87">
        <v>3.3599999999999998E-2</v>
      </c>
      <c r="K87" s="23">
        <v>1.7219</v>
      </c>
      <c r="L87" s="23">
        <v>5.7000000000000002E-3</v>
      </c>
      <c r="M87">
        <f>887.6/72</f>
        <v>12.327777777777778</v>
      </c>
      <c r="N87">
        <f>L87*SQRT(M87)</f>
        <v>2.0013233122111979E-2</v>
      </c>
      <c r="O87">
        <f>C87</f>
        <v>169345.571</v>
      </c>
      <c r="P87">
        <f>D87*SQRT(M87)</f>
        <v>1602.7766278332829</v>
      </c>
      <c r="Q87">
        <v>169853.8634</v>
      </c>
      <c r="R87">
        <f>ABS(O87-Q87)</f>
        <v>508.29240000000573</v>
      </c>
      <c r="S87">
        <f>SQRT(P87^2+R87^2)</f>
        <v>1681.4440468318878</v>
      </c>
      <c r="T87" s="23">
        <v>13.864088545409601</v>
      </c>
      <c r="U87" s="23">
        <v>0.67285298468629229</v>
      </c>
      <c r="V87">
        <f>($T$87/$O$87)*(O87/T87)</f>
        <v>0.99999999999999989</v>
      </c>
      <c r="W87">
        <v>0</v>
      </c>
    </row>
    <row r="88" spans="1:23" x14ac:dyDescent="0.3">
      <c r="A88">
        <v>1827.93</v>
      </c>
      <c r="B88">
        <v>0.25</v>
      </c>
      <c r="C88">
        <v>1653.2854</v>
      </c>
      <c r="D88">
        <v>174.19470000000001</v>
      </c>
      <c r="E88" s="23">
        <v>1829.289</v>
      </c>
      <c r="F88" s="23">
        <v>0.24610000000000001</v>
      </c>
      <c r="G88">
        <v>1627.2004999999999</v>
      </c>
      <c r="H88">
        <v>180.31549999999999</v>
      </c>
      <c r="I88">
        <v>1852.6983</v>
      </c>
      <c r="J88">
        <v>0.28820000000000001</v>
      </c>
      <c r="K88" s="23">
        <v>1.7745</v>
      </c>
      <c r="L88" s="23">
        <v>0.20610000000000001</v>
      </c>
      <c r="M88">
        <f>145.2/132</f>
        <v>1.0999999999999999</v>
      </c>
      <c r="N88">
        <f>L88*SQRT(M88)</f>
        <v>0.2161595036078682</v>
      </c>
      <c r="O88">
        <f>C88</f>
        <v>1653.2854</v>
      </c>
      <c r="P88">
        <f>D88*SQRT(M88)</f>
        <v>182.69694266434507</v>
      </c>
      <c r="Q88">
        <v>1842.5378000000001</v>
      </c>
      <c r="R88">
        <f t="shared" ref="R88:R103" si="8">ABS(O88-Q88)</f>
        <v>189.25240000000008</v>
      </c>
      <c r="S88">
        <f t="shared" ref="S88:S103" si="9">SQRT(P88^2+R88^2)</f>
        <v>263.04874788650682</v>
      </c>
      <c r="T88" s="23">
        <v>0.20684436243151899</v>
      </c>
      <c r="U88" s="23">
        <v>1.2237480322301741E-2</v>
      </c>
      <c r="V88">
        <f>($T$87/$O$87)*(O88/T88)</f>
        <v>0.65436735106817545</v>
      </c>
      <c r="W88">
        <f>V88*SQRT($U$87^2/$T$87^2+$S$87^2/$O$87^2+U88^2/T88^2+S88^2/O88^2)</f>
        <v>0.11571226950118151</v>
      </c>
    </row>
    <row r="89" spans="1:23" x14ac:dyDescent="0.3">
      <c r="A89">
        <v>2035.24</v>
      </c>
      <c r="B89">
        <v>0.2</v>
      </c>
      <c r="C89">
        <v>38550.311600000001</v>
      </c>
      <c r="D89">
        <v>294.3442</v>
      </c>
      <c r="E89" s="23">
        <v>2035.8777</v>
      </c>
      <c r="F89" s="23">
        <v>2.1499999999999998E-2</v>
      </c>
      <c r="G89">
        <v>1177.7385999999999</v>
      </c>
      <c r="H89">
        <v>166.07919999999999</v>
      </c>
      <c r="I89">
        <v>2055.6039999999998</v>
      </c>
      <c r="J89">
        <v>0.38109999999999999</v>
      </c>
      <c r="K89" s="23">
        <v>2.3403999999999998</v>
      </c>
      <c r="L89" s="23">
        <v>2.18E-2</v>
      </c>
      <c r="M89">
        <f>278/93</f>
        <v>2.989247311827957</v>
      </c>
      <c r="N89">
        <f>L89*SQRT(M89)</f>
        <v>3.7690978926967635E-2</v>
      </c>
      <c r="O89">
        <f>C89</f>
        <v>38550.311600000001</v>
      </c>
      <c r="P89">
        <f>D89*SQRT(M89)</f>
        <v>508.90463483830951</v>
      </c>
      <c r="Q89">
        <v>39215.903899999998</v>
      </c>
      <c r="R89">
        <f t="shared" si="8"/>
        <v>665.59229999999661</v>
      </c>
      <c r="S89">
        <f t="shared" si="9"/>
        <v>837.85263452423339</v>
      </c>
      <c r="T89" s="23">
        <v>4.4975020627016402</v>
      </c>
      <c r="U89" s="23">
        <v>0.26608456882669229</v>
      </c>
      <c r="V89">
        <f t="shared" ref="V89:V103" si="10">($T$87/$O$87)*(O89/T89)</f>
        <v>0.70173639626868778</v>
      </c>
      <c r="W89">
        <f t="shared" ref="W89:W103" si="11">V89*SQRT($U$87^2/$T$87^2+$S$87^2/$O$87^2+U89^2/T89^2+S89^2/O89^2)</f>
        <v>5.6255218496775693E-2</v>
      </c>
    </row>
    <row r="90" spans="1:23" x14ac:dyDescent="0.3">
      <c r="A90">
        <v>1049.6600000000001</v>
      </c>
      <c r="B90">
        <v>0.21</v>
      </c>
      <c r="C90">
        <v>18370.443599999999</v>
      </c>
      <c r="D90">
        <v>259.81029999999998</v>
      </c>
      <c r="E90" s="23">
        <v>1050.8996</v>
      </c>
      <c r="F90" s="23">
        <v>2.8500000000000001E-2</v>
      </c>
      <c r="K90" s="23">
        <v>1.6910000000000001</v>
      </c>
      <c r="L90" s="23">
        <v>3.1600000000000003E-2</v>
      </c>
      <c r="M90">
        <f>51.18/35</f>
        <v>1.4622857142857142</v>
      </c>
      <c r="N90">
        <f t="shared" ref="N90:N102" si="12">L90*SQRT(M90)</f>
        <v>3.8212301983224499E-2</v>
      </c>
      <c r="O90">
        <f>C90</f>
        <v>18370.443599999999</v>
      </c>
      <c r="P90">
        <f>D90*SQRT(M90)</f>
        <v>314.1756215807643</v>
      </c>
      <c r="Q90">
        <v>17714.330300000001</v>
      </c>
      <c r="R90">
        <f t="shared" si="8"/>
        <v>656.11329999999725</v>
      </c>
      <c r="S90">
        <f t="shared" si="9"/>
        <v>727.45514200708351</v>
      </c>
      <c r="T90" s="23">
        <v>1.43571226660962</v>
      </c>
      <c r="U90" s="23">
        <v>6.967809535945732E-2</v>
      </c>
      <c r="V90">
        <f t="shared" si="10"/>
        <v>1.0475378240275133</v>
      </c>
      <c r="W90">
        <f t="shared" si="11"/>
        <v>8.3654988376733228E-2</v>
      </c>
    </row>
    <row r="91" spans="1:23" x14ac:dyDescent="0.3">
      <c r="A91">
        <v>1852.19</v>
      </c>
      <c r="B91">
        <v>0.25</v>
      </c>
      <c r="C91">
        <v>1653.2854</v>
      </c>
      <c r="D91">
        <v>174.19470000000001</v>
      </c>
      <c r="E91">
        <v>1829.289</v>
      </c>
      <c r="F91">
        <v>0.24610000000000001</v>
      </c>
      <c r="G91">
        <v>1627.2004999999999</v>
      </c>
      <c r="H91">
        <v>180.31549999999999</v>
      </c>
      <c r="I91" s="24">
        <v>1852.6983</v>
      </c>
      <c r="J91" s="24">
        <v>0.28820000000000001</v>
      </c>
      <c r="K91" s="24">
        <v>1.7745</v>
      </c>
      <c r="L91" s="24">
        <v>0.20610000000000001</v>
      </c>
      <c r="M91">
        <f>145.2/132</f>
        <v>1.0999999999999999</v>
      </c>
      <c r="O91">
        <f>G91</f>
        <v>1627.2004999999999</v>
      </c>
      <c r="P91">
        <f>H91*SQRT(M91)</f>
        <v>189.11649186222493</v>
      </c>
      <c r="Q91">
        <v>1858.6985</v>
      </c>
      <c r="R91">
        <f t="shared" si="8"/>
        <v>231.49800000000005</v>
      </c>
      <c r="S91">
        <f t="shared" si="9"/>
        <v>298.92536108245315</v>
      </c>
      <c r="T91" s="24">
        <v>0.211743466321727</v>
      </c>
      <c r="U91" s="24">
        <v>1.2527324757743794E-2</v>
      </c>
      <c r="V91">
        <f t="shared" si="10"/>
        <v>0.62914178662958131</v>
      </c>
      <c r="W91">
        <f t="shared" si="11"/>
        <v>0.1253584824168569</v>
      </c>
    </row>
    <row r="92" spans="1:23" x14ac:dyDescent="0.3">
      <c r="A92">
        <v>2959.09</v>
      </c>
      <c r="B92">
        <v>0.31</v>
      </c>
      <c r="C92">
        <v>12058.710300000001</v>
      </c>
      <c r="D92">
        <v>200.52969999999999</v>
      </c>
      <c r="E92" s="23">
        <v>2959.3022000000001</v>
      </c>
      <c r="F92" s="23">
        <v>5.0099999999999999E-2</v>
      </c>
      <c r="G92">
        <v>262.1182</v>
      </c>
      <c r="H92">
        <v>156.64750000000001</v>
      </c>
      <c r="I92">
        <v>2973.2871</v>
      </c>
      <c r="J92">
        <v>1.1656</v>
      </c>
      <c r="K92" s="23">
        <v>3.2850000000000001</v>
      </c>
      <c r="L92" s="23">
        <v>5.8500000000000003E-2</v>
      </c>
      <c r="M92">
        <f>201.4/43</f>
        <v>4.6837209302325586</v>
      </c>
      <c r="N92">
        <f t="shared" si="12"/>
        <v>0.12660514979055307</v>
      </c>
      <c r="O92">
        <f>C92</f>
        <v>12058.710300000001</v>
      </c>
      <c r="P92">
        <f>D92*SQRT(M92)</f>
        <v>433.98449070007973</v>
      </c>
      <c r="Q92">
        <v>11716.23</v>
      </c>
      <c r="R92">
        <f t="shared" si="8"/>
        <v>342.48030000000108</v>
      </c>
      <c r="S92">
        <f t="shared" si="9"/>
        <v>552.84291987534607</v>
      </c>
      <c r="T92" s="23">
        <v>1.78509239417126</v>
      </c>
      <c r="U92" s="23">
        <v>0.10561096657586519</v>
      </c>
      <c r="V92">
        <f t="shared" si="10"/>
        <v>0.55304139942410857</v>
      </c>
      <c r="W92">
        <f t="shared" si="11"/>
        <v>4.9638444718165191E-2</v>
      </c>
    </row>
    <row r="93" spans="1:23" x14ac:dyDescent="0.3">
      <c r="A93">
        <v>4519.28</v>
      </c>
      <c r="B93">
        <v>0.32</v>
      </c>
      <c r="C93">
        <v>4898.5677999999998</v>
      </c>
      <c r="D93">
        <v>104.34569999999999</v>
      </c>
      <c r="E93" s="23">
        <v>4522.3899000000001</v>
      </c>
      <c r="F93" s="23">
        <v>0.1193</v>
      </c>
      <c r="G93">
        <v>443.3569</v>
      </c>
      <c r="H93">
        <v>65.413499999999999</v>
      </c>
      <c r="I93">
        <v>4556.8640999999998</v>
      </c>
      <c r="J93">
        <v>1.0007999999999999</v>
      </c>
      <c r="K93" s="23">
        <v>5.1044999999999998</v>
      </c>
      <c r="L93" s="23">
        <v>0.1183</v>
      </c>
      <c r="M93">
        <f>142.1/143</f>
        <v>0.99370629370629371</v>
      </c>
      <c r="N93" s="28">
        <f t="shared" si="12"/>
        <v>0.11792713967839326</v>
      </c>
      <c r="O93">
        <f>C93</f>
        <v>4898.5677999999998</v>
      </c>
      <c r="P93">
        <v>104.34569999999999</v>
      </c>
      <c r="Q93">
        <v>4371.5946000000004</v>
      </c>
      <c r="R93">
        <f t="shared" si="8"/>
        <v>526.97319999999945</v>
      </c>
      <c r="S93">
        <f t="shared" si="9"/>
        <v>537.20459661727523</v>
      </c>
      <c r="T93" s="27">
        <v>1.19959210556864</v>
      </c>
      <c r="U93" s="27">
        <v>7.6450410271956828E-2</v>
      </c>
      <c r="V93">
        <f t="shared" si="10"/>
        <v>0.33431280004822589</v>
      </c>
      <c r="W93">
        <f t="shared" si="11"/>
        <v>4.5523115541030994E-2</v>
      </c>
    </row>
    <row r="94" spans="1:23" x14ac:dyDescent="0.3">
      <c r="A94">
        <v>4717.34</v>
      </c>
      <c r="B94">
        <v>0.32</v>
      </c>
      <c r="C94">
        <v>2899.8832000000002</v>
      </c>
      <c r="D94">
        <v>88.380399999999995</v>
      </c>
      <c r="E94" s="23">
        <v>4720.7191000000003</v>
      </c>
      <c r="F94" s="23">
        <v>0.14530000000000001</v>
      </c>
      <c r="K94" s="23">
        <v>4.4090999999999996</v>
      </c>
      <c r="L94" s="23">
        <v>0.1565</v>
      </c>
      <c r="M94">
        <f>167.1/165</f>
        <v>1.0127272727272727</v>
      </c>
      <c r="N94">
        <f t="shared" si="12"/>
        <v>0.15749276029536896</v>
      </c>
      <c r="O94">
        <f>C94</f>
        <v>2899.8832000000002</v>
      </c>
      <c r="P94">
        <f>D94*SQRT(M94)</f>
        <v>88.941042504848724</v>
      </c>
      <c r="Q94">
        <v>2818.6968000000002</v>
      </c>
      <c r="R94">
        <f t="shared" si="8"/>
        <v>81.186400000000049</v>
      </c>
      <c r="S94">
        <f t="shared" si="9"/>
        <v>120.42317296438138</v>
      </c>
      <c r="T94" s="23">
        <v>0.61901918578779103</v>
      </c>
      <c r="U94" s="23">
        <v>3.9450301898457496E-2</v>
      </c>
      <c r="V94">
        <f t="shared" si="10"/>
        <v>0.38352517514098727</v>
      </c>
      <c r="W94">
        <f t="shared" si="11"/>
        <v>3.4814260933762595E-2</v>
      </c>
    </row>
    <row r="95" spans="1:23" x14ac:dyDescent="0.3">
      <c r="A95">
        <v>2483.6</v>
      </c>
      <c r="B95">
        <v>0.22</v>
      </c>
      <c r="C95">
        <v>2156.9787000000001</v>
      </c>
      <c r="D95">
        <v>108.2608</v>
      </c>
      <c r="E95">
        <v>2448.1853000000001</v>
      </c>
      <c r="F95">
        <v>0.19259999999999999</v>
      </c>
      <c r="G95">
        <v>3430.6781000000001</v>
      </c>
      <c r="H95">
        <v>122.7993</v>
      </c>
      <c r="I95" s="23">
        <v>2483.7008000000001</v>
      </c>
      <c r="J95" s="23">
        <v>0.12570000000000001</v>
      </c>
      <c r="K95" s="23">
        <v>2.9373</v>
      </c>
      <c r="L95" s="23">
        <v>0.1067</v>
      </c>
      <c r="M95">
        <f>196.1/173</f>
        <v>1.1335260115606935</v>
      </c>
      <c r="N95">
        <f t="shared" si="12"/>
        <v>0.11360047954897561</v>
      </c>
      <c r="O95">
        <f>G95</f>
        <v>3430.6781000000001</v>
      </c>
      <c r="P95">
        <f>H95*SQRT(M95)</f>
        <v>130.74095003072651</v>
      </c>
      <c r="Q95">
        <v>3343.0907999999999</v>
      </c>
      <c r="R95">
        <f t="shared" si="8"/>
        <v>87.587300000000141</v>
      </c>
      <c r="S95">
        <f t="shared" si="9"/>
        <v>157.36813888531233</v>
      </c>
      <c r="T95" s="23">
        <v>0.47299635937020701</v>
      </c>
      <c r="U95" s="23">
        <v>2.798376311672323E-2</v>
      </c>
      <c r="V95">
        <f t="shared" si="10"/>
        <v>0.59379926108688441</v>
      </c>
      <c r="W95">
        <f t="shared" si="11"/>
        <v>5.3304240556437586E-2</v>
      </c>
    </row>
    <row r="96" spans="1:23" x14ac:dyDescent="0.3">
      <c r="A96">
        <v>5155.7</v>
      </c>
      <c r="B96">
        <v>0.6</v>
      </c>
      <c r="C96">
        <v>1668.9063000000001</v>
      </c>
      <c r="D96">
        <v>59.534100000000002</v>
      </c>
      <c r="E96">
        <v>5144.3653999999997</v>
      </c>
      <c r="F96">
        <v>0.20780000000000001</v>
      </c>
      <c r="G96">
        <v>3537.5907999999999</v>
      </c>
      <c r="H96">
        <v>77.886300000000006</v>
      </c>
      <c r="I96" s="23">
        <v>5158.4237000000003</v>
      </c>
      <c r="J96" s="23">
        <v>0.1164</v>
      </c>
      <c r="K96" s="23">
        <v>4.2934999999999999</v>
      </c>
      <c r="L96" s="23">
        <v>9.2499999999999999E-2</v>
      </c>
      <c r="M96">
        <f>141.9/143</f>
        <v>0.99230769230769234</v>
      </c>
      <c r="N96" s="28">
        <f t="shared" si="12"/>
        <v>9.21435439534843E-2</v>
      </c>
      <c r="O96">
        <f>G96</f>
        <v>3537.5907999999999</v>
      </c>
      <c r="P96">
        <f>H96</f>
        <v>77.886300000000006</v>
      </c>
      <c r="Q96">
        <v>3550.6929</v>
      </c>
      <c r="R96">
        <f t="shared" si="8"/>
        <v>13.102100000000064</v>
      </c>
      <c r="S96">
        <f t="shared" si="9"/>
        <v>78.980635298153956</v>
      </c>
      <c r="T96" s="27">
        <v>0.84072657804557205</v>
      </c>
      <c r="U96" s="27">
        <v>8.2561431577870478E-2</v>
      </c>
      <c r="V96">
        <f t="shared" si="10"/>
        <v>0.3444849867730726</v>
      </c>
      <c r="W96">
        <f t="shared" si="11"/>
        <v>3.8662405255983946E-2</v>
      </c>
    </row>
    <row r="97" spans="1:23" x14ac:dyDescent="0.3">
      <c r="A97">
        <v>6254.3</v>
      </c>
      <c r="B97">
        <v>0.6</v>
      </c>
      <c r="C97">
        <v>1826.1523999999999</v>
      </c>
      <c r="D97">
        <v>48.802199999999999</v>
      </c>
      <c r="E97" s="24">
        <v>6256.0779000000002</v>
      </c>
      <c r="F97" s="24">
        <v>0.16789999999999999</v>
      </c>
      <c r="G97">
        <v>10870.134400000001</v>
      </c>
      <c r="H97">
        <v>107.2226</v>
      </c>
      <c r="I97">
        <v>6279.4308000000001</v>
      </c>
      <c r="J97">
        <v>5.0599999999999999E-2</v>
      </c>
      <c r="K97" s="24">
        <v>4.8033999999999999</v>
      </c>
      <c r="L97" s="24">
        <v>4.0899999999999999E-2</v>
      </c>
      <c r="M97">
        <f>236.6/173</f>
        <v>1.3676300578034681</v>
      </c>
      <c r="O97">
        <f>C97</f>
        <v>1826.1523999999999</v>
      </c>
      <c r="P97">
        <f>D97*SQRT(M97)</f>
        <v>57.072082395868748</v>
      </c>
      <c r="Q97">
        <v>1832.3253</v>
      </c>
      <c r="R97">
        <f t="shared" si="8"/>
        <v>6.1729000000000269</v>
      </c>
      <c r="S97">
        <f t="shared" si="9"/>
        <v>57.404941280440582</v>
      </c>
      <c r="T97" s="23">
        <v>0.45734233667406998</v>
      </c>
      <c r="U97" s="23">
        <v>4.4912149827304404E-2</v>
      </c>
      <c r="V97">
        <f t="shared" si="10"/>
        <v>0.32689862412514109</v>
      </c>
      <c r="W97">
        <f t="shared" si="11"/>
        <v>3.739501476914206E-2</v>
      </c>
    </row>
    <row r="98" spans="1:23" x14ac:dyDescent="0.3">
      <c r="A98">
        <v>6278.4</v>
      </c>
      <c r="B98">
        <v>0.6</v>
      </c>
      <c r="C98">
        <v>1826.1523999999999</v>
      </c>
      <c r="D98">
        <v>48.802199999999999</v>
      </c>
      <c r="E98">
        <v>6256.0779000000002</v>
      </c>
      <c r="F98">
        <v>0.16789999999999999</v>
      </c>
      <c r="G98">
        <v>10870.134400000001</v>
      </c>
      <c r="H98">
        <v>107.2226</v>
      </c>
      <c r="I98" s="23">
        <v>6279.4308000000001</v>
      </c>
      <c r="J98" s="23">
        <v>5.0599999999999999E-2</v>
      </c>
      <c r="K98" s="23">
        <v>4.8033999999999999</v>
      </c>
      <c r="L98" s="23">
        <v>4.0899999999999999E-2</v>
      </c>
      <c r="M98">
        <f>236.6/173</f>
        <v>1.3676300578034681</v>
      </c>
      <c r="N98">
        <f t="shared" si="12"/>
        <v>4.7830797996627851E-2</v>
      </c>
      <c r="O98">
        <f>G98</f>
        <v>10870.134400000001</v>
      </c>
      <c r="P98">
        <f>H98*SQRT(M98)</f>
        <v>125.39223768394204</v>
      </c>
      <c r="Q98">
        <v>10877.8863</v>
      </c>
      <c r="R98">
        <f t="shared" si="8"/>
        <v>7.7518999999992957</v>
      </c>
      <c r="S98">
        <f t="shared" si="9"/>
        <v>125.63162509892246</v>
      </c>
      <c r="T98" s="23">
        <v>3.15238529657509</v>
      </c>
      <c r="U98" s="23">
        <v>0.30957204133513366</v>
      </c>
      <c r="V98">
        <f t="shared" si="10"/>
        <v>0.2823014450753496</v>
      </c>
      <c r="W98">
        <f t="shared" si="11"/>
        <v>3.1221124363548066E-2</v>
      </c>
    </row>
    <row r="99" spans="1:23" x14ac:dyDescent="0.3">
      <c r="A99">
        <v>5030.1000000000004</v>
      </c>
      <c r="B99">
        <v>0.6</v>
      </c>
      <c r="C99">
        <v>8296.7628000000004</v>
      </c>
      <c r="D99">
        <v>105.5245</v>
      </c>
      <c r="E99" s="23">
        <v>5032.8685999999998</v>
      </c>
      <c r="F99" s="23">
        <v>6.4100000000000004E-2</v>
      </c>
      <c r="K99" s="23">
        <v>4.6018999999999997</v>
      </c>
      <c r="L99" s="23">
        <v>6.3200000000000006E-2</v>
      </c>
      <c r="M99">
        <f>196.1/135</f>
        <v>1.4525925925925927</v>
      </c>
      <c r="N99">
        <f t="shared" si="12"/>
        <v>7.6170883131528921E-2</v>
      </c>
      <c r="O99">
        <f>C99</f>
        <v>8296.7628000000004</v>
      </c>
      <c r="P99">
        <f>D99*SQRT(M99)</f>
        <v>127.18187273754783</v>
      </c>
      <c r="Q99">
        <v>8137.7489999999998</v>
      </c>
      <c r="R99">
        <f t="shared" si="8"/>
        <v>159.01380000000063</v>
      </c>
      <c r="S99">
        <f t="shared" si="9"/>
        <v>203.61880400265105</v>
      </c>
      <c r="T99" s="24">
        <v>1.9384951501657799</v>
      </c>
      <c r="U99" s="24">
        <v>0.19036502340213943</v>
      </c>
      <c r="V99">
        <f t="shared" si="10"/>
        <v>0.35039785254284378</v>
      </c>
      <c r="W99">
        <f t="shared" si="11"/>
        <v>3.9487805687438621E-2</v>
      </c>
    </row>
    <row r="100" spans="1:23" x14ac:dyDescent="0.3">
      <c r="A100">
        <v>6389.5</v>
      </c>
      <c r="B100">
        <v>0.7</v>
      </c>
      <c r="C100">
        <v>679.41110000000003</v>
      </c>
      <c r="D100">
        <v>30.854600000000001</v>
      </c>
      <c r="E100" s="23">
        <v>6390.5254999999997</v>
      </c>
      <c r="F100" s="23">
        <v>0.2417</v>
      </c>
      <c r="K100" s="23">
        <v>4.7950999999999997</v>
      </c>
      <c r="L100" s="23">
        <v>0.23319999999999999</v>
      </c>
      <c r="M100">
        <f>239.1/175</f>
        <v>1.3662857142857143</v>
      </c>
      <c r="N100">
        <f t="shared" si="12"/>
        <v>0.27258334069208473</v>
      </c>
      <c r="O100">
        <f>C100</f>
        <v>679.41110000000003</v>
      </c>
      <c r="P100">
        <f>D100*SQRT(M100)</f>
        <v>36.065394269802738</v>
      </c>
      <c r="Q100">
        <v>683.67819999999995</v>
      </c>
      <c r="R100">
        <f t="shared" si="8"/>
        <v>4.267099999999914</v>
      </c>
      <c r="S100">
        <f t="shared" si="9"/>
        <v>36.316949297075041</v>
      </c>
      <c r="T100" s="23">
        <v>0.18131393683952601</v>
      </c>
      <c r="U100" s="23">
        <v>1.7805477525511731E-2</v>
      </c>
      <c r="V100">
        <f t="shared" si="10"/>
        <v>0.30677426965335358</v>
      </c>
      <c r="W100">
        <f t="shared" si="11"/>
        <v>3.7515569862017858E-2</v>
      </c>
    </row>
    <row r="101" spans="1:23" x14ac:dyDescent="0.3">
      <c r="A101">
        <v>7049.2</v>
      </c>
      <c r="B101">
        <v>0.8</v>
      </c>
      <c r="C101">
        <v>84.695300000000003</v>
      </c>
      <c r="D101">
        <v>11.6303</v>
      </c>
      <c r="E101" s="23">
        <v>7048.4607999999998</v>
      </c>
      <c r="F101" s="23">
        <v>0.68669999999999998</v>
      </c>
      <c r="K101" s="23">
        <v>4.2241</v>
      </c>
      <c r="L101" s="23">
        <v>0.59019999999999995</v>
      </c>
      <c r="M101">
        <f>303.4/448</f>
        <v>0.67723214285714284</v>
      </c>
      <c r="N101" s="28">
        <f t="shared" si="12"/>
        <v>0.48569986905863105</v>
      </c>
      <c r="O101">
        <f>C101</f>
        <v>84.695300000000003</v>
      </c>
      <c r="P101">
        <f>D101</f>
        <v>11.6303</v>
      </c>
      <c r="Q101">
        <v>87.612300000000005</v>
      </c>
      <c r="R101">
        <f t="shared" si="8"/>
        <v>2.9170000000000016</v>
      </c>
      <c r="S101">
        <f t="shared" si="9"/>
        <v>11.990528223977458</v>
      </c>
      <c r="T101" s="23">
        <v>4.7466110211103398E-2</v>
      </c>
      <c r="U101" s="23">
        <v>4.6612895473958057E-3</v>
      </c>
      <c r="V101">
        <f t="shared" si="10"/>
        <v>0.14608080318689359</v>
      </c>
      <c r="W101">
        <f t="shared" si="11"/>
        <v>2.6189015594600934E-2</v>
      </c>
    </row>
    <row r="102" spans="1:23" x14ac:dyDescent="0.3">
      <c r="A102">
        <v>3283.57</v>
      </c>
      <c r="B102">
        <v>0.31</v>
      </c>
      <c r="C102">
        <v>7035.1918999999998</v>
      </c>
      <c r="D102">
        <v>156.96889999999999</v>
      </c>
      <c r="E102" s="23">
        <v>3284.1478000000002</v>
      </c>
      <c r="F102" s="23">
        <v>0.1012</v>
      </c>
      <c r="G102">
        <v>2684.0716000000002</v>
      </c>
      <c r="H102">
        <v>119.63590000000001</v>
      </c>
      <c r="I102">
        <v>3314.6961000000001</v>
      </c>
      <c r="J102">
        <v>0.2369</v>
      </c>
      <c r="K102" s="23">
        <v>4.2569999999999997</v>
      </c>
      <c r="L102" s="23">
        <v>0.121</v>
      </c>
      <c r="M102">
        <f>299.9/173</f>
        <v>1.7335260115606934</v>
      </c>
      <c r="N102">
        <f t="shared" si="12"/>
        <v>0.15931275634819742</v>
      </c>
      <c r="O102">
        <f>C102</f>
        <v>7035.1918999999998</v>
      </c>
      <c r="P102">
        <f>D102*SQRT(M102)</f>
        <v>206.67064561937656</v>
      </c>
      <c r="Q102">
        <v>6265.1749</v>
      </c>
      <c r="R102">
        <f t="shared" si="8"/>
        <v>770.01699999999983</v>
      </c>
      <c r="S102">
        <f t="shared" si="9"/>
        <v>797.26967586239573</v>
      </c>
      <c r="T102" s="27">
        <v>1.1395175048561099</v>
      </c>
      <c r="U102" s="27">
        <v>6.7416983855249038E-2</v>
      </c>
      <c r="V102">
        <f t="shared" si="10"/>
        <v>0.50544328116640524</v>
      </c>
      <c r="W102">
        <f t="shared" si="11"/>
        <v>6.9297261736121607E-2</v>
      </c>
    </row>
    <row r="103" spans="1:23" x14ac:dyDescent="0.3">
      <c r="A103">
        <v>3313.56</v>
      </c>
      <c r="B103">
        <v>0.33</v>
      </c>
      <c r="C103">
        <v>7035.1918999999998</v>
      </c>
      <c r="D103">
        <v>156.96889999999999</v>
      </c>
      <c r="E103">
        <v>3284.1478000000002</v>
      </c>
      <c r="F103">
        <v>0.1012</v>
      </c>
      <c r="G103">
        <v>2684.0716000000002</v>
      </c>
      <c r="H103">
        <v>119.63590000000001</v>
      </c>
      <c r="I103" s="24">
        <v>3314.6961000000001</v>
      </c>
      <c r="J103" s="24">
        <v>0.2369</v>
      </c>
      <c r="K103" s="24">
        <v>4.2569999999999997</v>
      </c>
      <c r="L103" s="24">
        <v>0.121</v>
      </c>
      <c r="M103">
        <f>299.9/173</f>
        <v>1.7335260115606934</v>
      </c>
      <c r="O103">
        <f>G103</f>
        <v>2684.0716000000002</v>
      </c>
      <c r="P103">
        <f>H103*SQRT(M103)</f>
        <v>157.51673543138273</v>
      </c>
      <c r="Q103">
        <v>2314.9126000000001</v>
      </c>
      <c r="R103">
        <f t="shared" si="8"/>
        <v>369.15900000000011</v>
      </c>
      <c r="S103">
        <f t="shared" si="9"/>
        <v>401.36004935962461</v>
      </c>
      <c r="T103" s="27">
        <v>0.39860986946000398</v>
      </c>
      <c r="U103" s="27">
        <v>2.3582854163632556E-2</v>
      </c>
      <c r="V103">
        <f t="shared" si="10"/>
        <v>0.55126894783494418</v>
      </c>
      <c r="W103">
        <f t="shared" si="11"/>
        <v>9.2761719667048673E-2</v>
      </c>
    </row>
    <row r="104" spans="1:23" x14ac:dyDescent="0.3">
      <c r="A104" s="143" t="s">
        <v>164</v>
      </c>
      <c r="B104" s="143"/>
    </row>
    <row r="105" spans="1:23" x14ac:dyDescent="0.3">
      <c r="A105">
        <v>7049.2</v>
      </c>
      <c r="B105">
        <v>0.8</v>
      </c>
      <c r="C105">
        <v>510.8</v>
      </c>
      <c r="D105">
        <v>66.7</v>
      </c>
      <c r="E105">
        <v>7048</v>
      </c>
      <c r="F105">
        <v>0.8</v>
      </c>
      <c r="K105">
        <v>5.2009999999999996</v>
      </c>
      <c r="L105">
        <v>0.73099999999999998</v>
      </c>
      <c r="M105">
        <f>22.4/29</f>
        <v>0.77241379310344827</v>
      </c>
      <c r="N105">
        <v>0.48569986905863105</v>
      </c>
    </row>
    <row r="106" spans="1:23" x14ac:dyDescent="0.3">
      <c r="I106">
        <f>C105/5</f>
        <v>102.16</v>
      </c>
      <c r="J106">
        <f>D105/5</f>
        <v>13.34</v>
      </c>
    </row>
    <row r="107" spans="1:23" x14ac:dyDescent="0.3">
      <c r="A107" s="143" t="s">
        <v>219</v>
      </c>
      <c r="B107" s="143"/>
      <c r="C107" s="143"/>
      <c r="D107" s="143"/>
      <c r="E107" s="143"/>
      <c r="F107" s="143"/>
      <c r="G107" s="143"/>
      <c r="H107" s="143"/>
      <c r="I107" s="143"/>
      <c r="J107" s="143"/>
    </row>
    <row r="108" spans="1:23" x14ac:dyDescent="0.3">
      <c r="A108" s="25" t="s">
        <v>131</v>
      </c>
      <c r="B108" s="34" t="s">
        <v>154</v>
      </c>
      <c r="C108" s="35" t="s">
        <v>155</v>
      </c>
      <c r="D108" s="35" t="s">
        <v>156</v>
      </c>
      <c r="E108" s="35" t="s">
        <v>157</v>
      </c>
      <c r="F108" s="35" t="s">
        <v>148</v>
      </c>
      <c r="G108" s="35" t="s">
        <v>90</v>
      </c>
      <c r="H108" s="35" t="s">
        <v>158</v>
      </c>
      <c r="I108" s="35" t="s">
        <v>88</v>
      </c>
      <c r="J108" s="35" t="s">
        <v>147</v>
      </c>
    </row>
    <row r="109" spans="1:23" x14ac:dyDescent="0.3">
      <c r="A109">
        <v>677.01</v>
      </c>
      <c r="B109">
        <v>9.3527272000000004</v>
      </c>
    </row>
    <row r="110" spans="1:23" x14ac:dyDescent="0.3">
      <c r="A110">
        <v>708.7</v>
      </c>
      <c r="B110">
        <v>8.6468869000000002</v>
      </c>
    </row>
    <row r="111" spans="1:23" x14ac:dyDescent="0.3">
      <c r="A111">
        <v>745.53</v>
      </c>
      <c r="B111">
        <v>7.9624733000000001</v>
      </c>
      <c r="C111">
        <v>71.41</v>
      </c>
      <c r="D111">
        <v>32</v>
      </c>
      <c r="E111">
        <v>12.59</v>
      </c>
      <c r="F111">
        <f>SQRT(D111^2+E111^2)</f>
        <v>34.387615503259312</v>
      </c>
      <c r="G111">
        <v>100</v>
      </c>
      <c r="H111">
        <v>8</v>
      </c>
      <c r="I111">
        <f>G111/G112*C111*B112/C112</f>
        <v>5.5825570808368701</v>
      </c>
      <c r="J111">
        <f>ABS(I111-B111)</f>
        <v>2.37991621916313</v>
      </c>
    </row>
    <row r="112" spans="1:23" x14ac:dyDescent="0.3">
      <c r="A112">
        <v>1454.23</v>
      </c>
      <c r="B112">
        <v>3.8673728999999999</v>
      </c>
      <c r="C112">
        <v>989.4</v>
      </c>
      <c r="D112">
        <v>12.3</v>
      </c>
      <c r="E112">
        <v>26.2</v>
      </c>
      <c r="F112">
        <f>SQRT(D112^2+E112^2)</f>
        <v>28.943565778942993</v>
      </c>
      <c r="G112">
        <v>5</v>
      </c>
      <c r="H112">
        <v>8</v>
      </c>
    </row>
    <row r="113" spans="1:2" x14ac:dyDescent="0.3">
      <c r="A113">
        <v>1264.57</v>
      </c>
      <c r="B113">
        <v>4.2921461000000001</v>
      </c>
    </row>
    <row r="114" spans="1:2" x14ac:dyDescent="0.3">
      <c r="A114">
        <v>1973.27</v>
      </c>
      <c r="B114">
        <v>3.2444499000000002</v>
      </c>
    </row>
    <row r="143" spans="1:16" s="15" customFormat="1" x14ac:dyDescent="0.3"/>
    <row r="144" spans="1:16" x14ac:dyDescent="0.3">
      <c r="A144" s="144" t="s">
        <v>202</v>
      </c>
      <c r="B144" s="144"/>
      <c r="C144" s="144"/>
      <c r="D144" s="144"/>
      <c r="E144" s="144"/>
      <c r="F144" s="144"/>
      <c r="G144" s="144"/>
      <c r="H144" s="144"/>
      <c r="I144" s="144"/>
      <c r="J144" s="144"/>
      <c r="K144" s="144"/>
      <c r="L144" s="144"/>
      <c r="M144" s="144"/>
      <c r="N144" s="144"/>
      <c r="O144" s="144"/>
      <c r="P144" s="144"/>
    </row>
    <row r="145" spans="1:16" x14ac:dyDescent="0.3">
      <c r="A145" s="25" t="s">
        <v>131</v>
      </c>
      <c r="B145" s="25" t="s">
        <v>166</v>
      </c>
      <c r="C145" s="25" t="s">
        <v>167</v>
      </c>
      <c r="D145" s="25" t="s">
        <v>168</v>
      </c>
      <c r="E145" s="25" t="s">
        <v>169</v>
      </c>
      <c r="F145" s="25" t="s">
        <v>170</v>
      </c>
      <c r="G145" s="25" t="s">
        <v>171</v>
      </c>
      <c r="H145" s="25" t="s">
        <v>172</v>
      </c>
      <c r="I145" s="25" t="s">
        <v>173</v>
      </c>
      <c r="J145" s="25" t="s">
        <v>174</v>
      </c>
      <c r="K145" s="25" t="s">
        <v>175</v>
      </c>
      <c r="L145" s="25" t="s">
        <v>169</v>
      </c>
      <c r="M145" s="25" t="s">
        <v>176</v>
      </c>
      <c r="N145" s="25" t="s">
        <v>177</v>
      </c>
      <c r="O145" s="25" t="s">
        <v>178</v>
      </c>
      <c r="P145" s="25" t="s">
        <v>179</v>
      </c>
    </row>
    <row r="146" spans="1:16" x14ac:dyDescent="0.3">
      <c r="A146" s="144">
        <v>1248.4000000000001</v>
      </c>
      <c r="B146" s="36">
        <v>985.62</v>
      </c>
      <c r="C146" s="37" t="s">
        <v>180</v>
      </c>
      <c r="D146" s="36">
        <v>2871</v>
      </c>
      <c r="E146" s="36">
        <v>229.9</v>
      </c>
      <c r="F146" s="38" t="s">
        <v>181</v>
      </c>
      <c r="G146" s="36">
        <v>57030</v>
      </c>
      <c r="H146" s="38" t="s">
        <v>182</v>
      </c>
      <c r="I146" s="36">
        <v>289870</v>
      </c>
      <c r="J146" s="28">
        <f>G146/I146</f>
        <v>0.19674336771656259</v>
      </c>
      <c r="K146" s="36">
        <f>269.2/5</f>
        <v>53.839999999999996</v>
      </c>
      <c r="L146" s="36">
        <f>62.2/5</f>
        <v>12.440000000000001</v>
      </c>
      <c r="M146" s="28">
        <f>K146*15/14</f>
        <v>57.685714285714276</v>
      </c>
      <c r="N146" s="28">
        <f>L146*1.0666667</f>
        <v>13.269333748000003</v>
      </c>
      <c r="O146" s="28">
        <f>M146/D146</f>
        <v>2.0092551127033884E-2</v>
      </c>
      <c r="P146" s="28">
        <f>O146*SQRT(N146^2/M146^2+E146^2/D146^2)</f>
        <v>4.8938946792459956E-3</v>
      </c>
    </row>
    <row r="147" spans="1:16" x14ac:dyDescent="0.3">
      <c r="A147" s="144"/>
      <c r="B147" s="28">
        <v>1827.93</v>
      </c>
      <c r="C147" s="28" t="s">
        <v>183</v>
      </c>
      <c r="D147" s="28">
        <v>1641</v>
      </c>
      <c r="E147" s="28">
        <v>172.4</v>
      </c>
      <c r="F147" s="38" t="s">
        <v>184</v>
      </c>
      <c r="G147" s="28">
        <v>56706</v>
      </c>
      <c r="H147" s="38" t="s">
        <v>185</v>
      </c>
      <c r="I147" s="28">
        <v>254552</v>
      </c>
      <c r="J147" s="28">
        <f>G147/I147</f>
        <v>0.22276784311260567</v>
      </c>
      <c r="K147" s="28">
        <v>195.9</v>
      </c>
      <c r="L147" s="28">
        <v>14.4</v>
      </c>
      <c r="M147" s="28">
        <f>K147*15/14</f>
        <v>209.89285714285714</v>
      </c>
      <c r="N147" s="36">
        <f>L147*1.0666667</f>
        <v>15.360000480000002</v>
      </c>
      <c r="O147" s="28">
        <f>M147/D147</f>
        <v>0.12790545834421518</v>
      </c>
      <c r="P147" s="28">
        <f>O147*SQRT(N147^2/M147^2+E147^2/D147^2)</f>
        <v>1.6376145826353109E-2</v>
      </c>
    </row>
    <row r="148" spans="1:16" x14ac:dyDescent="0.3">
      <c r="A148" s="144"/>
      <c r="B148" s="39">
        <v>2035.24</v>
      </c>
      <c r="C148" s="39" t="s">
        <v>186</v>
      </c>
      <c r="D148" s="39">
        <v>39570</v>
      </c>
      <c r="E148" s="39">
        <v>373.5</v>
      </c>
      <c r="F148" s="11" t="s">
        <v>187</v>
      </c>
      <c r="G148" s="39">
        <v>97477</v>
      </c>
      <c r="H148" s="11" t="s">
        <v>188</v>
      </c>
      <c r="I148">
        <v>152618</v>
      </c>
      <c r="J148">
        <f>G148/I148</f>
        <v>0.63869923600099598</v>
      </c>
      <c r="K148">
        <v>1324</v>
      </c>
      <c r="L148">
        <v>36.799999999999997</v>
      </c>
      <c r="M148" s="40">
        <f>K148*15/14</f>
        <v>1418.5714285714287</v>
      </c>
      <c r="N148" s="26">
        <f>L148*1.0666667</f>
        <v>39.253334559999999</v>
      </c>
      <c r="O148">
        <f>M148/D148</f>
        <v>3.5849669663164739E-2</v>
      </c>
      <c r="P148">
        <f>O148*SQRT(N148^2/M148^2+E148^2/D148^2)</f>
        <v>1.048123269962924E-3</v>
      </c>
    </row>
    <row r="149" spans="1:16" x14ac:dyDescent="0.3">
      <c r="A149" s="144"/>
      <c r="B149">
        <v>2959.09</v>
      </c>
      <c r="C149" t="s">
        <v>189</v>
      </c>
      <c r="D149">
        <v>12620</v>
      </c>
      <c r="E149">
        <v>196.4</v>
      </c>
      <c r="F149" s="11" t="s">
        <v>190</v>
      </c>
      <c r="G149">
        <v>20003</v>
      </c>
      <c r="H149" s="11" t="s">
        <v>191</v>
      </c>
      <c r="I149">
        <v>42917</v>
      </c>
      <c r="J149">
        <f>G149/I149</f>
        <v>0.46608570030524032</v>
      </c>
      <c r="K149">
        <v>439.6</v>
      </c>
      <c r="L149">
        <v>21.3</v>
      </c>
      <c r="M149" s="40">
        <f>K149*15/14</f>
        <v>471</v>
      </c>
      <c r="N149">
        <f>L149*1.0666667</f>
        <v>22.720000710000001</v>
      </c>
      <c r="O149">
        <f>M149/D149</f>
        <v>3.7321711568938196E-2</v>
      </c>
      <c r="P149">
        <f>O149*SQRT(N149^2/M149^2+E149^2/D149^2)</f>
        <v>1.8916914421481734E-3</v>
      </c>
    </row>
    <row r="150" spans="1:16" x14ac:dyDescent="0.3">
      <c r="A150" s="144"/>
      <c r="B150">
        <v>5030.1000000000004</v>
      </c>
      <c r="C150" s="39" t="s">
        <v>192</v>
      </c>
      <c r="D150" s="26">
        <v>8340</v>
      </c>
      <c r="E150" s="26">
        <v>108.8</v>
      </c>
      <c r="F150" s="11" t="s">
        <v>193</v>
      </c>
      <c r="G150">
        <v>9241</v>
      </c>
      <c r="H150" s="11" t="s">
        <v>194</v>
      </c>
      <c r="I150">
        <v>38859</v>
      </c>
      <c r="J150">
        <f>G150/I150</f>
        <v>0.2378084870943668</v>
      </c>
      <c r="K150">
        <v>349.6</v>
      </c>
      <c r="L150">
        <v>19</v>
      </c>
      <c r="M150" s="40">
        <f>K150*15/14</f>
        <v>374.57142857142856</v>
      </c>
      <c r="N150" s="26">
        <f>L150*1.0666667</f>
        <v>20.266667300000002</v>
      </c>
      <c r="O150">
        <f>M150/D150</f>
        <v>4.491264131551901E-2</v>
      </c>
      <c r="P150">
        <f>O150*SQRT(N150^2/M150^2+E150^2/D150^2)</f>
        <v>2.499692717573936E-3</v>
      </c>
    </row>
    <row r="151" spans="1:16" x14ac:dyDescent="0.3">
      <c r="A151" s="25" t="s">
        <v>131</v>
      </c>
      <c r="B151" s="25" t="s">
        <v>166</v>
      </c>
      <c r="C151" s="25" t="s">
        <v>167</v>
      </c>
      <c r="D151" s="25" t="s">
        <v>168</v>
      </c>
      <c r="E151" s="25" t="s">
        <v>169</v>
      </c>
      <c r="F151" s="25" t="s">
        <v>170</v>
      </c>
      <c r="G151" s="25" t="s">
        <v>171</v>
      </c>
      <c r="H151" s="25" t="s">
        <v>172</v>
      </c>
      <c r="I151" s="25" t="s">
        <v>173</v>
      </c>
      <c r="J151" s="25" t="s">
        <v>174</v>
      </c>
      <c r="K151" s="25" t="s">
        <v>175</v>
      </c>
      <c r="L151" s="25" t="s">
        <v>169</v>
      </c>
      <c r="M151" s="25" t="s">
        <v>195</v>
      </c>
      <c r="N151" s="25" t="s">
        <v>177</v>
      </c>
      <c r="O151" s="25" t="s">
        <v>178</v>
      </c>
      <c r="P151" s="25" t="s">
        <v>179</v>
      </c>
    </row>
    <row r="152" spans="1:16" x14ac:dyDescent="0.3">
      <c r="A152" s="144">
        <v>2233.9699999999998</v>
      </c>
      <c r="B152">
        <v>1049.6600000000001</v>
      </c>
      <c r="C152" t="s">
        <v>196</v>
      </c>
      <c r="D152">
        <v>18320</v>
      </c>
      <c r="E152">
        <v>259.7</v>
      </c>
      <c r="F152" s="11" t="s">
        <v>197</v>
      </c>
      <c r="G152">
        <v>76059</v>
      </c>
      <c r="H152" s="11" t="s">
        <v>182</v>
      </c>
      <c r="I152">
        <v>2989870</v>
      </c>
      <c r="J152">
        <f>G152/I152</f>
        <v>2.5438898681213566E-2</v>
      </c>
      <c r="K152">
        <v>468.3</v>
      </c>
      <c r="L152">
        <v>22.3</v>
      </c>
      <c r="M152">
        <f>K152*15/14</f>
        <v>501.75</v>
      </c>
      <c r="N152">
        <f>L152*1.0666667</f>
        <v>23.786667410000003</v>
      </c>
      <c r="O152">
        <f>M152/D152</f>
        <v>2.7388100436681221E-2</v>
      </c>
      <c r="P152">
        <f>O152*SQRT(N152^2/M152^2+E152^2/D152^2)</f>
        <v>1.3552031475967848E-3</v>
      </c>
    </row>
    <row r="153" spans="1:16" x14ac:dyDescent="0.3">
      <c r="A153" s="144"/>
      <c r="B153">
        <v>1852.13</v>
      </c>
      <c r="C153" s="39" t="s">
        <v>198</v>
      </c>
      <c r="D153" s="39">
        <v>1598</v>
      </c>
      <c r="E153" s="39">
        <v>177.8</v>
      </c>
      <c r="F153" s="11" t="s">
        <v>199</v>
      </c>
      <c r="G153" s="39">
        <v>58958</v>
      </c>
      <c r="H153" s="11" t="s">
        <v>185</v>
      </c>
      <c r="I153" s="39">
        <v>254552</v>
      </c>
      <c r="J153">
        <f>G153/I153</f>
        <v>0.23161475847763915</v>
      </c>
      <c r="K153">
        <f>215.3/5</f>
        <v>43.06</v>
      </c>
      <c r="L153" s="26">
        <f>37.2/5</f>
        <v>7.44</v>
      </c>
      <c r="M153">
        <f>K153*15/14</f>
        <v>46.135714285714293</v>
      </c>
      <c r="N153">
        <f>L153*1.0666667</f>
        <v>7.9360002480000009</v>
      </c>
      <c r="O153">
        <f>M153/D153</f>
        <v>2.8870910066154127E-2</v>
      </c>
      <c r="P153">
        <f>O153*SQRT(N153^2/M153^2+E153^2/D153^2)</f>
        <v>5.9145635365746765E-3</v>
      </c>
    </row>
    <row r="154" spans="1:16" x14ac:dyDescent="0.3">
      <c r="A154" s="144"/>
      <c r="B154" s="39">
        <v>2483.6</v>
      </c>
      <c r="C154" s="39" t="s">
        <v>180</v>
      </c>
      <c r="D154" s="39">
        <v>3430</v>
      </c>
      <c r="E154" s="39">
        <v>124.9</v>
      </c>
      <c r="F154" s="11" t="s">
        <v>200</v>
      </c>
      <c r="G154" s="39">
        <v>18094</v>
      </c>
      <c r="H154" s="11" t="s">
        <v>201</v>
      </c>
      <c r="I154" s="39">
        <v>29322</v>
      </c>
      <c r="J154">
        <f>G154/I154</f>
        <v>0.61707932610326721</v>
      </c>
      <c r="K154">
        <f>357.7/5</f>
        <v>71.539999999999992</v>
      </c>
      <c r="L154" s="26">
        <f>2.3/5</f>
        <v>0.45999999999999996</v>
      </c>
      <c r="M154">
        <f>K154*15/14</f>
        <v>76.649999999999991</v>
      </c>
      <c r="N154">
        <f>L154*1.0666667</f>
        <v>0.49066668200000002</v>
      </c>
      <c r="O154">
        <f>M154/D154</f>
        <v>2.2346938775510201E-2</v>
      </c>
      <c r="P154">
        <f>O154*SQRT(N154^2/M154^2+E154^2/D154^2)</f>
        <v>8.2621948370050196E-4</v>
      </c>
    </row>
    <row r="155" spans="1:16" x14ac:dyDescent="0.3">
      <c r="A155" s="1"/>
      <c r="B155" s="39"/>
      <c r="C155" s="39"/>
      <c r="D155" s="39"/>
      <c r="E155" s="39"/>
      <c r="F155" s="11"/>
      <c r="G155" s="39"/>
      <c r="H155" s="11"/>
      <c r="I155" s="39"/>
      <c r="L155" s="26"/>
    </row>
    <row r="156" spans="1:16" x14ac:dyDescent="0.3">
      <c r="A156" s="144" t="s">
        <v>204</v>
      </c>
      <c r="B156" s="144"/>
      <c r="C156" s="144"/>
      <c r="D156" s="144"/>
      <c r="E156" s="144"/>
      <c r="F156" s="144"/>
      <c r="G156" s="144"/>
      <c r="H156" s="144"/>
      <c r="I156" s="144"/>
      <c r="J156" s="144"/>
      <c r="K156" s="144"/>
      <c r="L156" s="144"/>
      <c r="M156" s="144"/>
      <c r="N156" s="144"/>
      <c r="O156" s="144"/>
      <c r="P156" s="144"/>
    </row>
    <row r="157" spans="1:16" x14ac:dyDescent="0.3">
      <c r="A157" s="25" t="s">
        <v>131</v>
      </c>
      <c r="B157" s="25" t="s">
        <v>166</v>
      </c>
      <c r="C157" s="25" t="s">
        <v>167</v>
      </c>
      <c r="D157" s="25" t="s">
        <v>168</v>
      </c>
      <c r="E157" s="25" t="s">
        <v>169</v>
      </c>
      <c r="F157" s="25" t="s">
        <v>170</v>
      </c>
      <c r="G157" s="25" t="s">
        <v>203</v>
      </c>
      <c r="H157" s="25" t="s">
        <v>172</v>
      </c>
      <c r="I157" s="25" t="s">
        <v>173</v>
      </c>
      <c r="J157" s="25" t="s">
        <v>174</v>
      </c>
      <c r="K157" s="25" t="s">
        <v>175</v>
      </c>
      <c r="L157" s="25" t="s">
        <v>169</v>
      </c>
      <c r="M157" s="25" t="s">
        <v>176</v>
      </c>
      <c r="N157" s="25" t="s">
        <v>177</v>
      </c>
      <c r="O157" s="25" t="s">
        <v>178</v>
      </c>
      <c r="P157" s="25" t="s">
        <v>179</v>
      </c>
    </row>
    <row r="158" spans="1:16" x14ac:dyDescent="0.3">
      <c r="A158" s="144">
        <v>1248.4000000000001</v>
      </c>
      <c r="B158" s="36">
        <v>985.62</v>
      </c>
      <c r="C158" s="37" t="s">
        <v>180</v>
      </c>
      <c r="D158" s="36">
        <v>2871</v>
      </c>
      <c r="E158" s="36">
        <v>229.9</v>
      </c>
      <c r="F158" s="38" t="s">
        <v>181</v>
      </c>
      <c r="G158" s="36">
        <v>51128.095999999998</v>
      </c>
      <c r="H158" s="38" t="s">
        <v>182</v>
      </c>
      <c r="I158" s="36">
        <v>289870</v>
      </c>
      <c r="J158" s="28">
        <f>G158/I158</f>
        <v>0.17638284748335459</v>
      </c>
      <c r="K158" s="36">
        <f>378.2/5</f>
        <v>75.64</v>
      </c>
      <c r="L158" s="36">
        <f>50.3/5</f>
        <v>10.059999999999999</v>
      </c>
      <c r="M158" s="28">
        <f>K158*15/14</f>
        <v>81.04285714285713</v>
      </c>
      <c r="N158" s="28">
        <f>L158*1.0666667</f>
        <v>10.730667001999999</v>
      </c>
      <c r="O158" s="28">
        <f>M158/D158</f>
        <v>2.8228093745335119E-2</v>
      </c>
      <c r="P158" s="28">
        <f>O158*SQRT(N158^2/M158^2+E158^2/D158^2)</f>
        <v>4.3679692104277501E-3</v>
      </c>
    </row>
    <row r="159" spans="1:16" x14ac:dyDescent="0.3">
      <c r="A159" s="144"/>
      <c r="B159" s="28">
        <v>1827.93</v>
      </c>
      <c r="C159" s="28" t="s">
        <v>183</v>
      </c>
      <c r="D159" s="28">
        <v>1641</v>
      </c>
      <c r="E159" s="28">
        <v>172.4</v>
      </c>
      <c r="F159" s="38" t="s">
        <v>184</v>
      </c>
      <c r="G159" s="28">
        <v>52944.553999999996</v>
      </c>
      <c r="H159" s="38" t="s">
        <v>185</v>
      </c>
      <c r="I159" s="28">
        <v>254552</v>
      </c>
      <c r="J159" s="28">
        <f>G159/I159</f>
        <v>0.20799111379993085</v>
      </c>
      <c r="K159" s="28">
        <v>207.8</v>
      </c>
      <c r="L159" s="28">
        <v>14.9</v>
      </c>
      <c r="M159" s="28">
        <f>K159*15/14</f>
        <v>222.64285714285714</v>
      </c>
      <c r="N159" s="36">
        <f>L159*1.0666667</f>
        <v>15.893333830000001</v>
      </c>
      <c r="O159" s="28">
        <f>M159/D159</f>
        <v>0.13567511099503787</v>
      </c>
      <c r="P159" s="28">
        <f>O159*SQRT(N159^2/M159^2+E159^2/D159^2)</f>
        <v>1.7232855170776242E-2</v>
      </c>
    </row>
    <row r="160" spans="1:16" x14ac:dyDescent="0.3">
      <c r="A160" s="144"/>
      <c r="B160" s="39">
        <v>2035.24</v>
      </c>
      <c r="C160" s="39" t="s">
        <v>186</v>
      </c>
      <c r="D160" s="39">
        <v>39570</v>
      </c>
      <c r="E160" s="39">
        <v>373.5</v>
      </c>
      <c r="F160" s="11" t="s">
        <v>187</v>
      </c>
      <c r="G160">
        <v>61139.375</v>
      </c>
      <c r="H160" s="11" t="s">
        <v>188</v>
      </c>
      <c r="I160">
        <v>152618</v>
      </c>
      <c r="J160">
        <f>G160/I160</f>
        <v>0.40060395890393008</v>
      </c>
      <c r="K160">
        <v>1515</v>
      </c>
      <c r="L160">
        <v>39.700000000000003</v>
      </c>
      <c r="M160" s="26">
        <f>K160*15/14</f>
        <v>1623.2142857142858</v>
      </c>
      <c r="N160" s="26">
        <f>L160*1.0666667</f>
        <v>42.346667990000007</v>
      </c>
      <c r="O160">
        <f>M160/D160</f>
        <v>4.1021336510343336E-2</v>
      </c>
      <c r="P160">
        <f>O160*SQRT(N160^2/M160^2+E160^2/D160^2)</f>
        <v>1.1380637988036254E-3</v>
      </c>
    </row>
    <row r="161" spans="1:16" x14ac:dyDescent="0.3">
      <c r="A161" s="144"/>
      <c r="B161">
        <v>2959.09</v>
      </c>
      <c r="C161" t="s">
        <v>189</v>
      </c>
      <c r="D161">
        <v>12620</v>
      </c>
      <c r="E161">
        <v>196.4</v>
      </c>
      <c r="F161" t="s">
        <v>190</v>
      </c>
      <c r="G161">
        <v>8671.7199999999993</v>
      </c>
      <c r="H161" s="11" t="s">
        <v>191</v>
      </c>
      <c r="I161">
        <v>42917</v>
      </c>
      <c r="J161">
        <f>G161/I161</f>
        <v>0.20205792576368337</v>
      </c>
      <c r="K161">
        <v>506</v>
      </c>
      <c r="L161">
        <v>23</v>
      </c>
      <c r="M161" s="26">
        <f>K161*15/14</f>
        <v>542.14285714285711</v>
      </c>
      <c r="N161">
        <f>L161*1.0666667</f>
        <v>24.533334100000001</v>
      </c>
      <c r="O161">
        <f>M161/D161</f>
        <v>4.2959021960606747E-2</v>
      </c>
      <c r="P161">
        <f>O161*SQRT(N161^2/M161^2+E161^2/D161^2)</f>
        <v>2.055752213686366E-3</v>
      </c>
    </row>
    <row r="162" spans="1:16" x14ac:dyDescent="0.3">
      <c r="A162" s="144"/>
      <c r="B162">
        <v>5030.1000000000004</v>
      </c>
      <c r="C162" s="39" t="s">
        <v>192</v>
      </c>
      <c r="D162" s="26">
        <v>8340</v>
      </c>
      <c r="E162" s="26">
        <v>108.8</v>
      </c>
      <c r="F162" s="11" t="s">
        <v>193</v>
      </c>
      <c r="G162">
        <v>2503.5938000000001</v>
      </c>
      <c r="H162" s="11" t="s">
        <v>194</v>
      </c>
      <c r="I162">
        <v>38859</v>
      </c>
      <c r="J162">
        <f>G162/I162</f>
        <v>6.4427643531742976E-2</v>
      </c>
      <c r="K162">
        <v>359.2</v>
      </c>
      <c r="L162">
        <v>19.2</v>
      </c>
      <c r="M162" s="26">
        <f>K162*15/14</f>
        <v>384.85714285714283</v>
      </c>
      <c r="N162" s="26">
        <f>L162*1.0666667</f>
        <v>20.48000064</v>
      </c>
      <c r="O162">
        <f>M162/D162</f>
        <v>4.6145940390544704E-2</v>
      </c>
      <c r="P162">
        <f>O162*SQRT(N162^2/M162^2+E162^2/D162^2)</f>
        <v>2.5283492245326915E-3</v>
      </c>
    </row>
    <row r="163" spans="1:16" x14ac:dyDescent="0.3">
      <c r="A163" s="25" t="s">
        <v>131</v>
      </c>
      <c r="B163" s="25" t="s">
        <v>166</v>
      </c>
      <c r="C163" s="25" t="s">
        <v>167</v>
      </c>
      <c r="D163" s="25" t="s">
        <v>168</v>
      </c>
      <c r="E163" s="25" t="s">
        <v>169</v>
      </c>
      <c r="F163" s="25" t="s">
        <v>170</v>
      </c>
      <c r="G163" s="25" t="s">
        <v>203</v>
      </c>
      <c r="H163" s="25" t="s">
        <v>172</v>
      </c>
      <c r="I163" s="25" t="s">
        <v>173</v>
      </c>
      <c r="J163" s="25" t="s">
        <v>174</v>
      </c>
      <c r="K163" s="25" t="s">
        <v>175</v>
      </c>
      <c r="L163" s="25" t="s">
        <v>169</v>
      </c>
      <c r="M163" s="25" t="s">
        <v>195</v>
      </c>
      <c r="N163" s="25" t="s">
        <v>177</v>
      </c>
      <c r="O163" s="25" t="s">
        <v>178</v>
      </c>
      <c r="P163" s="25" t="s">
        <v>179</v>
      </c>
    </row>
    <row r="164" spans="1:16" x14ac:dyDescent="0.3">
      <c r="A164" s="144">
        <v>2233.9699999999998</v>
      </c>
      <c r="B164">
        <v>1049.6600000000001</v>
      </c>
      <c r="C164" t="s">
        <v>196</v>
      </c>
      <c r="D164">
        <v>18320</v>
      </c>
      <c r="E164">
        <v>259.7</v>
      </c>
      <c r="F164" s="11" t="s">
        <v>197</v>
      </c>
      <c r="G164">
        <v>57450</v>
      </c>
      <c r="H164" s="11" t="s">
        <v>182</v>
      </c>
      <c r="I164">
        <v>2989870</v>
      </c>
      <c r="J164">
        <f>G164/I164</f>
        <v>1.9214882252405623E-2</v>
      </c>
      <c r="K164">
        <v>581</v>
      </c>
      <c r="L164">
        <v>24.8</v>
      </c>
      <c r="M164">
        <f>K164*15/14</f>
        <v>622.5</v>
      </c>
      <c r="N164">
        <f>L164*1.0666667</f>
        <v>26.453334160000004</v>
      </c>
      <c r="O164">
        <f>M164/D164</f>
        <v>3.3979257641921397E-2</v>
      </c>
      <c r="P164">
        <f>O164*SQRT(N164^2/M164^2+E164^2/D164^2)</f>
        <v>1.5221813035730006E-3</v>
      </c>
    </row>
    <row r="165" spans="1:16" x14ac:dyDescent="0.3">
      <c r="A165" s="144"/>
      <c r="B165">
        <v>1852.13</v>
      </c>
      <c r="C165" s="39" t="s">
        <v>198</v>
      </c>
      <c r="D165" s="39">
        <v>1598</v>
      </c>
      <c r="E165" s="39">
        <v>177.8</v>
      </c>
      <c r="F165" s="11" t="s">
        <v>199</v>
      </c>
      <c r="G165" s="39">
        <v>54847.917000000001</v>
      </c>
      <c r="H165" s="11" t="s">
        <v>185</v>
      </c>
      <c r="I165" s="39">
        <v>254552</v>
      </c>
      <c r="J165">
        <f>G165/I165</f>
        <v>0.2154684190263679</v>
      </c>
      <c r="K165">
        <f>275.4/5</f>
        <v>55.08</v>
      </c>
      <c r="L165" s="26">
        <f>42.2/5</f>
        <v>8.4400000000000013</v>
      </c>
      <c r="M165">
        <f>K165*15/14</f>
        <v>59.014285714285712</v>
      </c>
      <c r="N165">
        <f>L165*1.0666667</f>
        <v>9.0026669480000017</v>
      </c>
      <c r="O165">
        <f>M165/D165</f>
        <v>3.6930091185410331E-2</v>
      </c>
      <c r="P165">
        <f>O165*SQRT(N165^2/M165^2+E165^2/D165^2)</f>
        <v>6.9729833815268642E-3</v>
      </c>
    </row>
    <row r="166" spans="1:16" x14ac:dyDescent="0.3">
      <c r="A166" s="144"/>
      <c r="B166" s="39">
        <v>2483.6</v>
      </c>
      <c r="C166" s="39" t="s">
        <v>189</v>
      </c>
      <c r="D166" s="39">
        <v>3442</v>
      </c>
      <c r="E166" s="39">
        <v>124.9</v>
      </c>
      <c r="F166" s="11" t="s">
        <v>200</v>
      </c>
      <c r="G166" s="39">
        <v>14273.019</v>
      </c>
      <c r="H166" s="11" t="s">
        <v>201</v>
      </c>
      <c r="I166" s="39">
        <v>29322</v>
      </c>
      <c r="J166">
        <f>G166/I166</f>
        <v>0.48676826273787599</v>
      </c>
      <c r="K166">
        <v>88.08</v>
      </c>
      <c r="L166" s="26">
        <v>9.65</v>
      </c>
      <c r="M166">
        <f>K166*15/14</f>
        <v>94.371428571428581</v>
      </c>
      <c r="N166">
        <f>L166*1.0666667</f>
        <v>10.293333655000001</v>
      </c>
      <c r="O166">
        <f>M166/D166</f>
        <v>2.7417614343820042E-2</v>
      </c>
      <c r="P166">
        <f>O166*SQRT(N166^2/M166^2+E166^2/D166^2)</f>
        <v>3.1516632482424187E-3</v>
      </c>
    </row>
    <row r="169" spans="1:16" x14ac:dyDescent="0.3">
      <c r="C169" s="143" t="s">
        <v>205</v>
      </c>
      <c r="D169" s="143"/>
      <c r="E169" s="143" t="s">
        <v>206</v>
      </c>
      <c r="F169" s="143"/>
      <c r="G169" s="23" t="s">
        <v>207</v>
      </c>
    </row>
    <row r="170" spans="1:16" ht="15" thickBot="1" x14ac:dyDescent="0.35">
      <c r="A170" t="s">
        <v>208</v>
      </c>
      <c r="B170" t="s">
        <v>209</v>
      </c>
      <c r="C170" t="s">
        <v>178</v>
      </c>
      <c r="D170" t="s">
        <v>179</v>
      </c>
      <c r="E170" t="s">
        <v>178</v>
      </c>
      <c r="F170" t="s">
        <v>179</v>
      </c>
      <c r="G170" t="s">
        <v>210</v>
      </c>
      <c r="H170" t="s">
        <v>147</v>
      </c>
      <c r="I170" t="s">
        <v>211</v>
      </c>
    </row>
    <row r="171" spans="1:16" x14ac:dyDescent="0.3">
      <c r="A171" s="151">
        <v>1248.4000000000001</v>
      </c>
      <c r="B171" s="20">
        <v>985.62</v>
      </c>
      <c r="C171" s="20">
        <v>2.8102636429118776E-2</v>
      </c>
      <c r="D171" s="20">
        <v>4.3627788026695709E-3</v>
      </c>
      <c r="E171" s="20">
        <v>2.0003251524904214E-2</v>
      </c>
      <c r="F171" s="20">
        <v>4.8915484010856238E-3</v>
      </c>
      <c r="G171" s="41"/>
    </row>
    <row r="172" spans="1:16" x14ac:dyDescent="0.3">
      <c r="A172" s="152"/>
      <c r="B172" s="18">
        <v>1827.93</v>
      </c>
      <c r="C172" s="18">
        <v>0.13507211472273006</v>
      </c>
      <c r="D172" s="18">
        <v>1.7180494034561979E-2</v>
      </c>
      <c r="E172" s="18">
        <v>0.12733699361974407</v>
      </c>
      <c r="F172" s="18">
        <v>1.632717675018704E-2</v>
      </c>
      <c r="G172" s="42"/>
    </row>
    <row r="173" spans="1:16" x14ac:dyDescent="0.3">
      <c r="A173" s="152"/>
      <c r="B173">
        <v>2035.24</v>
      </c>
      <c r="C173">
        <v>4.0839020735405608E-2</v>
      </c>
      <c r="D173">
        <v>1.1374794638058651E-3</v>
      </c>
      <c r="E173">
        <v>3.5690338913318173E-2</v>
      </c>
      <c r="F173">
        <v>1.0476387008321322E-3</v>
      </c>
      <c r="G173" s="140">
        <f>C175/E173</f>
        <v>1.2872068508335335</v>
      </c>
    </row>
    <row r="174" spans="1:16" x14ac:dyDescent="0.3">
      <c r="A174" s="152"/>
      <c r="B174">
        <v>2959.09</v>
      </c>
      <c r="C174">
        <v>4.2768094310618066E-2</v>
      </c>
      <c r="D174">
        <v>2.0547878243125039E-3</v>
      </c>
      <c r="E174">
        <v>3.7155838456418393E-2</v>
      </c>
      <c r="F174">
        <v>1.8909004427619443E-3</v>
      </c>
      <c r="G174" s="140"/>
      <c r="H174">
        <f>C175-E173</f>
        <v>1.0250509844475626E-2</v>
      </c>
      <c r="I174">
        <f>SQRT(D175*D175+H174*H174)</f>
        <v>1.0557570160183776E-2</v>
      </c>
    </row>
    <row r="175" spans="1:16" ht="15" thickBot="1" x14ac:dyDescent="0.35">
      <c r="A175" s="153"/>
      <c r="B175" s="8">
        <v>5030.1000000000004</v>
      </c>
      <c r="C175" s="8">
        <v>4.5940848757793799E-2</v>
      </c>
      <c r="D175" s="8">
        <v>2.5277135153159973E-3</v>
      </c>
      <c r="E175" s="19">
        <v>4.4713030973621101E-2</v>
      </c>
      <c r="F175" s="19">
        <v>2.4990836332140142E-3</v>
      </c>
      <c r="G175" s="141"/>
      <c r="H175" s="23">
        <f>E175-C173</f>
        <v>3.8740102382154931E-3</v>
      </c>
      <c r="I175" s="23">
        <f>SQRT(F175*F175+H175*H175)</f>
        <v>4.6101382117672588E-3</v>
      </c>
    </row>
    <row r="176" spans="1:16" x14ac:dyDescent="0.3">
      <c r="A176" s="151">
        <v>2233.9699999999998</v>
      </c>
      <c r="B176" s="3">
        <v>1049.6600000000001</v>
      </c>
      <c r="C176" s="3">
        <v>3.3930029865798267E-2</v>
      </c>
      <c r="D176" s="3">
        <v>1.5219606212966781E-3</v>
      </c>
      <c r="E176" s="3">
        <v>2.7348421662914509E-2</v>
      </c>
      <c r="F176" s="3">
        <v>1.3550421127707026E-3</v>
      </c>
      <c r="G176" s="147">
        <f>C177/E178</f>
        <v>1.6525794229087729</v>
      </c>
    </row>
    <row r="177" spans="1:10" x14ac:dyDescent="0.3">
      <c r="A177" s="152"/>
      <c r="B177">
        <v>1852.13</v>
      </c>
      <c r="C177">
        <v>3.6876588360827162E-2</v>
      </c>
      <c r="D177">
        <v>6.9694771312084468E-3</v>
      </c>
      <c r="E177">
        <v>2.8829083057683693E-2</v>
      </c>
      <c r="F177">
        <v>5.9120372501298537E-3</v>
      </c>
      <c r="G177" s="140"/>
      <c r="H177">
        <f>C177-E178</f>
        <v>1.4562024927670548E-2</v>
      </c>
      <c r="I177">
        <f>SQRT(D177*D177+H177*H177)</f>
        <v>1.6143920882999149E-2</v>
      </c>
    </row>
    <row r="178" spans="1:10" ht="15" thickBot="1" x14ac:dyDescent="0.35">
      <c r="A178" s="153"/>
      <c r="B178" s="8">
        <v>2483.6</v>
      </c>
      <c r="C178" s="19">
        <v>2.7377892811496666E-2</v>
      </c>
      <c r="D178" s="19">
        <v>3.1512085370787885E-3</v>
      </c>
      <c r="E178" s="8">
        <v>2.2314563433156614E-2</v>
      </c>
      <c r="F178" s="8">
        <v>8.2505839828708434E-4</v>
      </c>
      <c r="G178" s="141"/>
      <c r="H178" s="23">
        <f>C178-E178</f>
        <v>5.0633293783400521E-3</v>
      </c>
      <c r="I178" s="23">
        <f>SQRT(D178*D178+H178*H178)</f>
        <v>5.9638426905577998E-3</v>
      </c>
    </row>
    <row r="179" spans="1:10" x14ac:dyDescent="0.3">
      <c r="A179" s="1">
        <v>2233.9699999999998</v>
      </c>
      <c r="B179">
        <v>4044.7</v>
      </c>
      <c r="C179">
        <v>2.8841779000000001E-2</v>
      </c>
      <c r="D179">
        <v>6.7128065000000002E-4</v>
      </c>
      <c r="E179" t="s">
        <v>212</v>
      </c>
    </row>
    <row r="190" spans="1:10" s="15" customFormat="1" x14ac:dyDescent="0.3"/>
    <row r="191" spans="1:10" ht="15" thickBot="1" x14ac:dyDescent="0.35">
      <c r="C191" s="143" t="s">
        <v>218</v>
      </c>
      <c r="D191" s="143"/>
      <c r="E191" s="143"/>
      <c r="F191" s="143"/>
      <c r="G191" s="143"/>
      <c r="H191" s="143"/>
      <c r="I191" s="143"/>
    </row>
    <row r="192" spans="1:10" x14ac:dyDescent="0.3">
      <c r="A192" s="2"/>
      <c r="B192" s="142" t="s">
        <v>154</v>
      </c>
      <c r="C192" s="142"/>
      <c r="D192" s="142"/>
      <c r="E192" s="142"/>
      <c r="F192" s="3"/>
      <c r="G192" s="3"/>
      <c r="H192" s="3"/>
      <c r="I192" s="3"/>
      <c r="J192" s="9"/>
    </row>
    <row r="193" spans="1:12" x14ac:dyDescent="0.3">
      <c r="A193" s="43" t="s">
        <v>131</v>
      </c>
      <c r="B193" s="34" t="s">
        <v>223</v>
      </c>
      <c r="C193" s="34" t="s">
        <v>213</v>
      </c>
      <c r="D193" s="34" t="s">
        <v>224</v>
      </c>
      <c r="E193" s="34" t="s">
        <v>225</v>
      </c>
      <c r="F193" s="34" t="s">
        <v>226</v>
      </c>
      <c r="G193" s="34" t="s">
        <v>214</v>
      </c>
      <c r="H193" s="34" t="s">
        <v>215</v>
      </c>
      <c r="I193" s="34" t="s">
        <v>216</v>
      </c>
      <c r="J193" s="44" t="s">
        <v>217</v>
      </c>
      <c r="K193" s="34" t="s">
        <v>301</v>
      </c>
      <c r="L193" s="34" t="s">
        <v>302</v>
      </c>
    </row>
    <row r="194" spans="1:12" x14ac:dyDescent="0.3">
      <c r="A194" s="6">
        <v>677.01</v>
      </c>
      <c r="B194">
        <v>5.3489158999999997</v>
      </c>
      <c r="C194">
        <v>6.0196883000000003</v>
      </c>
      <c r="D194">
        <v>6.6844891000000004</v>
      </c>
      <c r="E194">
        <v>6.1864004000000001</v>
      </c>
      <c r="F194">
        <v>9.3527272000000004</v>
      </c>
      <c r="G194">
        <f>D194-B194</f>
        <v>1.3355732000000007</v>
      </c>
      <c r="H194">
        <f>ABS(C194-D194)</f>
        <v>0.66480080000000008</v>
      </c>
      <c r="I194">
        <v>6.1434752000000002E-2</v>
      </c>
      <c r="J194" s="10">
        <v>3.3453343000000003E-2</v>
      </c>
      <c r="K194">
        <f>ABS(D194-C194)</f>
        <v>0.66480080000000008</v>
      </c>
      <c r="L194">
        <f>K194/100</f>
        <v>6.6480080000000004E-3</v>
      </c>
    </row>
    <row r="195" spans="1:12" x14ac:dyDescent="0.3">
      <c r="A195" s="6">
        <v>708.7</v>
      </c>
      <c r="B195">
        <v>5.3080021000000004</v>
      </c>
      <c r="C195">
        <v>5.8912661000000002</v>
      </c>
      <c r="D195">
        <v>6.4456376000000004</v>
      </c>
      <c r="E195">
        <v>6.0161816000000004</v>
      </c>
      <c r="F195">
        <v>8.6468869000000002</v>
      </c>
      <c r="G195">
        <f>D195-B195</f>
        <v>1.1376355</v>
      </c>
      <c r="H195">
        <f>ABS(C195-D195)</f>
        <v>0.55437150000000024</v>
      </c>
      <c r="I195">
        <v>5.9875161000000003E-2</v>
      </c>
      <c r="J195" s="10">
        <v>3.2604092000000001E-2</v>
      </c>
      <c r="K195">
        <f t="shared" ref="K195:K201" si="13">ABS(D195-C195)</f>
        <v>0.55437150000000024</v>
      </c>
      <c r="L195">
        <f t="shared" ref="L195:L201" si="14">K195/100</f>
        <v>5.543715000000002E-3</v>
      </c>
    </row>
    <row r="196" spans="1:12" x14ac:dyDescent="0.3">
      <c r="A196" s="6">
        <v>745.53</v>
      </c>
      <c r="B196">
        <v>5.2549884000000002</v>
      </c>
      <c r="C196">
        <v>5.7495488000000003</v>
      </c>
      <c r="D196">
        <v>6.1968987000000002</v>
      </c>
      <c r="E196">
        <v>5.8351766999999999</v>
      </c>
      <c r="F196">
        <v>7.9624733000000001</v>
      </c>
      <c r="G196">
        <f>D196-B196</f>
        <v>0.94191029999999998</v>
      </c>
      <c r="H196">
        <f>ABS(C196-B196)</f>
        <v>0.49456040000000012</v>
      </c>
      <c r="I196">
        <v>5.8196936999999997E-2</v>
      </c>
      <c r="J196" s="10">
        <v>3.1690241000000001E-2</v>
      </c>
      <c r="K196">
        <f t="shared" si="13"/>
        <v>0.44734989999999986</v>
      </c>
      <c r="L196">
        <f t="shared" si="14"/>
        <v>4.4734989999999988E-3</v>
      </c>
    </row>
    <row r="197" spans="1:12" x14ac:dyDescent="0.3">
      <c r="A197" s="6">
        <v>1454.23</v>
      </c>
      <c r="B197">
        <v>4.0102821999999998</v>
      </c>
      <c r="C197">
        <v>3.9806205000000001</v>
      </c>
      <c r="D197">
        <v>3.9530021999999998</v>
      </c>
      <c r="E197">
        <v>3.9709251000000001</v>
      </c>
      <c r="F197">
        <v>3.8673728999999999</v>
      </c>
      <c r="G197">
        <f>B197-D197</f>
        <v>5.7279999999999998E-2</v>
      </c>
      <c r="H197">
        <f>ABS(C197-D197)</f>
        <v>2.7618300000000318E-2</v>
      </c>
      <c r="I197">
        <v>3.9752766000000002E-2</v>
      </c>
      <c r="J197" s="10">
        <v>2.1646753000000001E-2</v>
      </c>
      <c r="K197">
        <f t="shared" si="13"/>
        <v>2.7618300000000318E-2</v>
      </c>
      <c r="L197">
        <f t="shared" si="14"/>
        <v>2.7618300000000319E-4</v>
      </c>
    </row>
    <row r="198" spans="1:12" x14ac:dyDescent="0.3">
      <c r="A198" s="6">
        <v>1264.57</v>
      </c>
      <c r="B198">
        <v>4.3270097999999999</v>
      </c>
      <c r="C198">
        <v>4.3299133000000003</v>
      </c>
      <c r="D198">
        <v>4.3095476000000001</v>
      </c>
      <c r="E198">
        <v>4.3010470999999999</v>
      </c>
      <c r="F198">
        <v>4.2921461000000001</v>
      </c>
      <c r="G198">
        <f>C198-E198</f>
        <v>2.8866200000000397E-2</v>
      </c>
      <c r="H198">
        <f>ABS(C198-E198)</f>
        <v>2.8866200000000397E-2</v>
      </c>
      <c r="I198">
        <v>4.3153215000000002E-2</v>
      </c>
      <c r="J198" s="10">
        <v>2.3498415000000002E-2</v>
      </c>
      <c r="K198">
        <f t="shared" si="13"/>
        <v>2.0365700000000153E-2</v>
      </c>
      <c r="L198">
        <f t="shared" si="14"/>
        <v>2.0365700000000154E-4</v>
      </c>
    </row>
    <row r="199" spans="1:12" x14ac:dyDescent="0.3">
      <c r="A199" s="6">
        <v>1973.27</v>
      </c>
      <c r="B199">
        <v>3.2988906</v>
      </c>
      <c r="C199">
        <v>3.2689564999999998</v>
      </c>
      <c r="D199">
        <v>3.2842247000000002</v>
      </c>
      <c r="E199">
        <v>3.3142893999999998</v>
      </c>
      <c r="F199">
        <v>3.2444499000000002</v>
      </c>
      <c r="G199">
        <f>E199-C199</f>
        <v>4.5332900000000009E-2</v>
      </c>
      <c r="H199">
        <f>ABS(C199-E199)</f>
        <v>4.5332900000000009E-2</v>
      </c>
      <c r="I199">
        <v>3.2922193000000002E-2</v>
      </c>
      <c r="J199" s="10">
        <v>1.7927269999999999E-2</v>
      </c>
      <c r="K199">
        <f t="shared" si="13"/>
        <v>1.5268200000000398E-2</v>
      </c>
      <c r="L199">
        <f t="shared" si="14"/>
        <v>1.5268200000000397E-4</v>
      </c>
    </row>
    <row r="200" spans="1:12" x14ac:dyDescent="0.3">
      <c r="A200" s="6">
        <v>1830.2</v>
      </c>
      <c r="B200">
        <v>3.4732699999999999</v>
      </c>
      <c r="C200">
        <v>3.4374400000000001</v>
      </c>
      <c r="D200">
        <v>3.4384299999999999</v>
      </c>
      <c r="E200">
        <v>3.4695800000000001</v>
      </c>
      <c r="F200">
        <v>3.3720500000000002</v>
      </c>
      <c r="J200" s="10"/>
      <c r="K200">
        <f t="shared" si="13"/>
        <v>9.8999999999982435E-4</v>
      </c>
      <c r="L200">
        <f t="shared" si="14"/>
        <v>9.8999999999982433E-6</v>
      </c>
    </row>
    <row r="201" spans="1:12" ht="15" thickBot="1" x14ac:dyDescent="0.35">
      <c r="A201" s="7">
        <v>2538.8000000000002</v>
      </c>
      <c r="B201" s="8">
        <v>2.7044000000000001</v>
      </c>
      <c r="C201" s="8">
        <v>2.7408199999999998</v>
      </c>
      <c r="D201" s="8">
        <v>2.8010600000000001</v>
      </c>
      <c r="E201" s="8">
        <v>2.81785</v>
      </c>
      <c r="F201" s="8">
        <v>2.8732700000000002</v>
      </c>
      <c r="G201" s="8"/>
      <c r="H201" s="8"/>
      <c r="I201" s="8"/>
      <c r="J201" s="13"/>
      <c r="K201">
        <f t="shared" si="13"/>
        <v>6.0240000000000293E-2</v>
      </c>
      <c r="L201">
        <f t="shared" si="14"/>
        <v>6.0240000000000293E-4</v>
      </c>
    </row>
  </sheetData>
  <mergeCells count="23">
    <mergeCell ref="A18:J18"/>
    <mergeCell ref="A27:J27"/>
    <mergeCell ref="A1:V1"/>
    <mergeCell ref="A62:J62"/>
    <mergeCell ref="A71:J71"/>
    <mergeCell ref="A42:V42"/>
    <mergeCell ref="A104:B104"/>
    <mergeCell ref="A107:J107"/>
    <mergeCell ref="A85:W85"/>
    <mergeCell ref="A146:A150"/>
    <mergeCell ref="A152:A154"/>
    <mergeCell ref="A144:P144"/>
    <mergeCell ref="A156:P156"/>
    <mergeCell ref="C169:D169"/>
    <mergeCell ref="E169:F169"/>
    <mergeCell ref="A171:A175"/>
    <mergeCell ref="G173:G175"/>
    <mergeCell ref="A176:A178"/>
    <mergeCell ref="G176:G178"/>
    <mergeCell ref="B192:E192"/>
    <mergeCell ref="C191:I191"/>
    <mergeCell ref="A158:A162"/>
    <mergeCell ref="A164:A166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DBF4-546D-4388-B27D-CA6233974240}">
  <dimension ref="A1:AI153"/>
  <sheetViews>
    <sheetView topLeftCell="I90" zoomScale="90" zoomScaleNormal="90" workbookViewId="0">
      <selection activeCell="O65" sqref="O65"/>
    </sheetView>
  </sheetViews>
  <sheetFormatPr defaultRowHeight="14.4" x14ac:dyDescent="0.3"/>
  <cols>
    <col min="1" max="1" width="26.33203125" bestFit="1" customWidth="1"/>
    <col min="2" max="2" width="22.88671875" bestFit="1" customWidth="1"/>
    <col min="3" max="3" width="28" bestFit="1" customWidth="1"/>
    <col min="4" max="4" width="20" customWidth="1"/>
    <col min="5" max="5" width="31.44140625" customWidth="1"/>
    <col min="6" max="6" width="21.44140625" customWidth="1"/>
    <col min="7" max="7" width="20" customWidth="1"/>
    <col min="8" max="8" width="23.33203125" bestFit="1" customWidth="1"/>
    <col min="9" max="9" width="22.44140625" bestFit="1" customWidth="1"/>
    <col min="10" max="10" width="39.109375" customWidth="1"/>
    <col min="11" max="13" width="22.44140625" customWidth="1"/>
    <col min="14" max="14" width="24.5546875" bestFit="1" customWidth="1"/>
    <col min="15" max="15" width="23.5546875" customWidth="1"/>
    <col min="16" max="16" width="27.6640625" bestFit="1" customWidth="1"/>
    <col min="17" max="17" width="21.33203125" bestFit="1" customWidth="1"/>
    <col min="18" max="18" width="28" bestFit="1" customWidth="1"/>
    <col min="19" max="20" width="25" bestFit="1" customWidth="1"/>
    <col min="21" max="21" width="21.33203125" customWidth="1"/>
    <col min="22" max="22" width="24.5546875" bestFit="1" customWidth="1"/>
    <col min="23" max="23" width="24.5546875" customWidth="1"/>
    <col min="24" max="24" width="23.5546875" customWidth="1"/>
    <col min="25" max="25" width="24.5546875" bestFit="1" customWidth="1"/>
    <col min="26" max="26" width="18.6640625" bestFit="1" customWidth="1"/>
    <col min="27" max="28" width="18.6640625" customWidth="1"/>
    <col min="29" max="29" width="28.88671875" bestFit="1" customWidth="1"/>
    <col min="30" max="30" width="28.88671875" customWidth="1"/>
    <col min="31" max="31" width="27.5546875" bestFit="1" customWidth="1"/>
    <col min="32" max="32" width="9.5546875" bestFit="1" customWidth="1"/>
    <col min="33" max="33" width="27.5546875" bestFit="1" customWidth="1"/>
    <col min="34" max="34" width="9.5546875" bestFit="1" customWidth="1"/>
    <col min="35" max="36" width="11.33203125" bestFit="1" customWidth="1"/>
    <col min="37" max="37" width="11.5546875" bestFit="1" customWidth="1"/>
    <col min="38" max="39" width="11.33203125" bestFit="1" customWidth="1"/>
    <col min="40" max="40" width="11.5546875" bestFit="1" customWidth="1"/>
    <col min="41" max="41" width="30.109375" bestFit="1" customWidth="1"/>
  </cols>
  <sheetData>
    <row r="1" spans="1:35" x14ac:dyDescent="0.3">
      <c r="A1" t="s">
        <v>119</v>
      </c>
      <c r="B1" t="s">
        <v>120</v>
      </c>
      <c r="C1" t="s">
        <v>227</v>
      </c>
      <c r="D1" t="s">
        <v>228</v>
      </c>
      <c r="E1" t="s">
        <v>148</v>
      </c>
      <c r="F1" t="s">
        <v>122</v>
      </c>
    </row>
    <row r="2" spans="1:35" x14ac:dyDescent="0.3">
      <c r="A2">
        <v>677.1</v>
      </c>
      <c r="B2">
        <f>6.0196883/100</f>
        <v>6.0196883000000007E-2</v>
      </c>
      <c r="C2">
        <v>6.6480080000000004E-3</v>
      </c>
      <c r="D2">
        <f>0.561773/100</f>
        <v>5.6177299999999996E-3</v>
      </c>
      <c r="E2">
        <f t="shared" ref="E2:E9" si="0">SQRT(C2^2+D2^2)</f>
        <v>8.7037291272743546E-3</v>
      </c>
      <c r="F2">
        <v>5</v>
      </c>
    </row>
    <row r="3" spans="1:35" x14ac:dyDescent="0.3">
      <c r="A3">
        <v>708.7</v>
      </c>
      <c r="B3">
        <f>5.8912661/100</f>
        <v>5.8912661000000005E-2</v>
      </c>
      <c r="C3">
        <v>5.543715000000002E-3</v>
      </c>
      <c r="D3">
        <f>0.550048/100</f>
        <v>5.5004799999999994E-3</v>
      </c>
      <c r="E3">
        <f t="shared" si="0"/>
        <v>7.8094850170561825E-3</v>
      </c>
      <c r="F3">
        <v>5</v>
      </c>
    </row>
    <row r="4" spans="1:35" x14ac:dyDescent="0.3">
      <c r="A4">
        <v>745.6</v>
      </c>
      <c r="B4">
        <f>5.7495488/100</f>
        <v>5.7495488000000004E-2</v>
      </c>
      <c r="C4">
        <v>4.4734989999999988E-3</v>
      </c>
      <c r="D4">
        <f>0.536755/100</f>
        <v>5.3675499999999996E-3</v>
      </c>
      <c r="E4">
        <f t="shared" si="0"/>
        <v>6.9873304133625308E-3</v>
      </c>
      <c r="F4">
        <v>10</v>
      </c>
    </row>
    <row r="5" spans="1:35" x14ac:dyDescent="0.3">
      <c r="A5">
        <v>1264.5</v>
      </c>
      <c r="B5">
        <f>4.3299133/100</f>
        <v>4.3299133000000004E-2</v>
      </c>
      <c r="C5">
        <v>2.7618300000000319E-4</v>
      </c>
      <c r="D5">
        <f>0.371565/100</f>
        <v>3.7156499999999996E-3</v>
      </c>
      <c r="E5">
        <f t="shared" si="0"/>
        <v>3.7259001559339991E-3</v>
      </c>
      <c r="F5">
        <v>5</v>
      </c>
    </row>
    <row r="6" spans="1:35" x14ac:dyDescent="0.3">
      <c r="A6">
        <v>1454.24</v>
      </c>
      <c r="B6">
        <f>3.9806205/100</f>
        <v>3.9806205000000004E-2</v>
      </c>
      <c r="C6">
        <v>2.0365700000000154E-4</v>
      </c>
      <c r="D6">
        <f>0.40228/100</f>
        <v>4.0228E-3</v>
      </c>
      <c r="E6">
        <f t="shared" si="0"/>
        <v>4.0279518385463601E-3</v>
      </c>
      <c r="F6">
        <v>5</v>
      </c>
    </row>
    <row r="7" spans="1:35" x14ac:dyDescent="0.3">
      <c r="A7">
        <v>1973.24</v>
      </c>
      <c r="B7">
        <v>3.2689564999999997E-2</v>
      </c>
      <c r="C7">
        <v>1.5268200000000397E-4</v>
      </c>
      <c r="D7">
        <f>0.305147/100</f>
        <v>3.0514700000000001E-3</v>
      </c>
      <c r="E7">
        <f t="shared" si="0"/>
        <v>3.0552873766675373E-3</v>
      </c>
      <c r="F7">
        <v>5</v>
      </c>
    </row>
    <row r="8" spans="1:35" x14ac:dyDescent="0.3">
      <c r="A8">
        <v>1830.2</v>
      </c>
      <c r="B8">
        <v>3.4374399999999999E-2</v>
      </c>
      <c r="C8">
        <v>9.8999999999982433E-6</v>
      </c>
      <c r="D8">
        <f>0.320865/100</f>
        <v>3.20865E-3</v>
      </c>
      <c r="E8">
        <f t="shared" si="0"/>
        <v>3.2086652727419231E-3</v>
      </c>
      <c r="F8">
        <v>5</v>
      </c>
    </row>
    <row r="9" spans="1:35" x14ac:dyDescent="0.3">
      <c r="A9">
        <v>2538.8000000000002</v>
      </c>
      <c r="B9">
        <v>2.7408200000000001E-2</v>
      </c>
      <c r="C9">
        <v>6.0240000000000293E-4</v>
      </c>
      <c r="D9">
        <f>0.255889/100</f>
        <v>2.5588899999999999E-3</v>
      </c>
      <c r="E9">
        <f t="shared" si="0"/>
        <v>2.6288407696359252E-3</v>
      </c>
      <c r="F9">
        <v>5</v>
      </c>
    </row>
    <row r="11" spans="1:35" x14ac:dyDescent="0.3">
      <c r="D11" s="143" t="s">
        <v>303</v>
      </c>
      <c r="E11" s="143"/>
      <c r="F11" s="144" t="s">
        <v>304</v>
      </c>
      <c r="G11" s="144"/>
      <c r="N11" s="143"/>
      <c r="O11" s="143"/>
      <c r="P11" s="143" t="s">
        <v>303</v>
      </c>
      <c r="Q11" s="143"/>
      <c r="R11" s="144" t="s">
        <v>304</v>
      </c>
      <c r="S11" s="144"/>
      <c r="T11" s="1"/>
      <c r="U11" s="11"/>
      <c r="V11" s="143"/>
      <c r="W11" s="143"/>
      <c r="X11" s="143"/>
      <c r="Y11" s="144"/>
      <c r="Z11" s="144"/>
      <c r="AA11" s="11"/>
      <c r="AB11" s="11"/>
    </row>
    <row r="12" spans="1:35" ht="15" thickBot="1" x14ac:dyDescent="0.35">
      <c r="A12" t="s">
        <v>127</v>
      </c>
      <c r="B12" t="s">
        <v>128</v>
      </c>
      <c r="C12" t="s">
        <v>310</v>
      </c>
      <c r="D12" t="s">
        <v>306</v>
      </c>
      <c r="E12" t="s">
        <v>307</v>
      </c>
      <c r="F12" t="s">
        <v>308</v>
      </c>
      <c r="G12" t="s">
        <v>309</v>
      </c>
      <c r="H12" t="s">
        <v>299</v>
      </c>
      <c r="I12" t="s">
        <v>148</v>
      </c>
      <c r="J12" t="s">
        <v>119</v>
      </c>
      <c r="K12" t="s">
        <v>230</v>
      </c>
      <c r="L12" t="s">
        <v>120</v>
      </c>
      <c r="M12" t="s">
        <v>121</v>
      </c>
      <c r="N12" t="s">
        <v>277</v>
      </c>
      <c r="O12" t="s">
        <v>305</v>
      </c>
      <c r="P12" t="s">
        <v>306</v>
      </c>
      <c r="Q12" t="s">
        <v>307</v>
      </c>
      <c r="R12" t="s">
        <v>308</v>
      </c>
      <c r="S12" t="s">
        <v>309</v>
      </c>
      <c r="T12" t="s">
        <v>299</v>
      </c>
      <c r="U12" t="s">
        <v>300</v>
      </c>
      <c r="V12" t="s">
        <v>119</v>
      </c>
      <c r="W12" t="s">
        <v>230</v>
      </c>
      <c r="X12" t="s">
        <v>120</v>
      </c>
      <c r="Y12" t="s">
        <v>121</v>
      </c>
      <c r="Z12" t="s">
        <v>277</v>
      </c>
      <c r="AA12" t="s">
        <v>305</v>
      </c>
      <c r="AB12" t="s">
        <v>231</v>
      </c>
      <c r="AC12" t="s">
        <v>148</v>
      </c>
      <c r="AI12" t="s">
        <v>126</v>
      </c>
    </row>
    <row r="13" spans="1:35" s="70" customFormat="1" x14ac:dyDescent="0.3">
      <c r="A13" s="74">
        <v>677.11</v>
      </c>
      <c r="B13" s="70">
        <v>0.03</v>
      </c>
      <c r="C13" s="70">
        <v>1217.6152999999999</v>
      </c>
      <c r="D13" s="16">
        <v>2245.5428999999999</v>
      </c>
      <c r="E13" s="16">
        <v>112.2567</v>
      </c>
      <c r="F13" s="70">
        <v>2026.134</v>
      </c>
      <c r="G13" s="70">
        <v>113.1823</v>
      </c>
      <c r="H13" s="70">
        <f t="shared" ref="H13:H32" si="1">ABS(F13-D13)</f>
        <v>219.4088999999999</v>
      </c>
      <c r="I13" s="70">
        <f t="shared" ref="I13:I33" si="2">SQRT(H13^2+E13^2)</f>
        <v>246.45858088956845</v>
      </c>
      <c r="J13" s="70">
        <v>677.1</v>
      </c>
      <c r="K13" s="70">
        <v>5</v>
      </c>
      <c r="L13" s="3">
        <f>6.0196883/100</f>
        <v>6.0196883000000007E-2</v>
      </c>
      <c r="M13" s="3">
        <v>8.7037291272743546E-3</v>
      </c>
      <c r="N13" s="70">
        <f t="shared" ref="N13:N32" si="3">D13/K13/L13</f>
        <v>7460.6617090124073</v>
      </c>
      <c r="O13" s="70">
        <f t="shared" ref="O13:O34" si="4">N13*SQRT(M13^2/L13^2+I13^2/D13^2)</f>
        <v>1354.303662600018</v>
      </c>
      <c r="AB13" s="71">
        <f t="shared" ref="AB13:AB32" si="5">N13+Z13</f>
        <v>7460.6617090124073</v>
      </c>
      <c r="AC13" s="71">
        <f t="shared" ref="AC13:AC34" si="6">SQRT(O13^2+AA13^2)</f>
        <v>1354.303662600018</v>
      </c>
      <c r="AD13" s="70">
        <v>1217.6152999999999</v>
      </c>
    </row>
    <row r="14" spans="1:35" x14ac:dyDescent="0.3">
      <c r="A14" s="6">
        <v>677.11</v>
      </c>
      <c r="B14">
        <v>0.03</v>
      </c>
      <c r="C14" s="71">
        <v>1609.9907000000001</v>
      </c>
      <c r="D14" s="17">
        <v>8267.9428000000007</v>
      </c>
      <c r="E14" s="17">
        <v>207.70330000000001</v>
      </c>
      <c r="F14">
        <v>8117.6841999999997</v>
      </c>
      <c r="G14">
        <v>209.36680000000001</v>
      </c>
      <c r="H14" s="71">
        <f t="shared" si="1"/>
        <v>150.25860000000102</v>
      </c>
      <c r="I14" s="71">
        <f t="shared" si="2"/>
        <v>256.35582245162738</v>
      </c>
      <c r="J14" s="71">
        <v>677.1</v>
      </c>
      <c r="K14" s="71">
        <v>5</v>
      </c>
      <c r="L14">
        <f>6.0196883/100</f>
        <v>6.0196883000000007E-2</v>
      </c>
      <c r="M14">
        <v>8.7037291272743546E-3</v>
      </c>
      <c r="N14" s="71">
        <f t="shared" si="3"/>
        <v>27469.670813354238</v>
      </c>
      <c r="O14" s="71">
        <f t="shared" si="4"/>
        <v>4062.0739115801966</v>
      </c>
      <c r="AB14" s="71">
        <f t="shared" si="5"/>
        <v>27469.670813354238</v>
      </c>
      <c r="AC14" s="71">
        <f t="shared" si="6"/>
        <v>4062.0739115801966</v>
      </c>
      <c r="AD14" s="71">
        <v>1609.9907000000001</v>
      </c>
      <c r="AE14" s="76"/>
      <c r="AF14" s="71"/>
      <c r="AG14" s="71"/>
      <c r="AH14" s="71"/>
      <c r="AI14" t="s">
        <v>129</v>
      </c>
    </row>
    <row r="15" spans="1:35" x14ac:dyDescent="0.3">
      <c r="A15" s="6">
        <v>677.11</v>
      </c>
      <c r="B15">
        <v>0.03</v>
      </c>
      <c r="C15">
        <v>1864.356</v>
      </c>
      <c r="D15" s="17">
        <v>280.12950000000001</v>
      </c>
      <c r="E15" s="17">
        <v>49.5212</v>
      </c>
      <c r="F15">
        <v>288.31529999999998</v>
      </c>
      <c r="G15">
        <v>52.822899999999997</v>
      </c>
      <c r="H15" s="71">
        <f t="shared" si="1"/>
        <v>8.185799999999972</v>
      </c>
      <c r="I15" s="71">
        <f t="shared" si="2"/>
        <v>50.193192477466503</v>
      </c>
      <c r="J15" s="71">
        <v>677.1</v>
      </c>
      <c r="K15" s="71">
        <v>5</v>
      </c>
      <c r="L15">
        <f>6.0196883/100</f>
        <v>6.0196883000000007E-2</v>
      </c>
      <c r="M15">
        <v>8.7037291272743546E-3</v>
      </c>
      <c r="N15" s="71">
        <f t="shared" si="3"/>
        <v>930.71098050043543</v>
      </c>
      <c r="O15" s="71">
        <f t="shared" si="4"/>
        <v>214.2870838634033</v>
      </c>
      <c r="AB15" s="71">
        <f t="shared" si="5"/>
        <v>930.71098050043543</v>
      </c>
      <c r="AC15" s="71">
        <f t="shared" si="6"/>
        <v>214.2870838634033</v>
      </c>
      <c r="AD15">
        <v>1864.356</v>
      </c>
      <c r="AE15" s="76"/>
      <c r="AF15" s="81"/>
      <c r="AG15" s="81"/>
      <c r="AH15" s="81"/>
    </row>
    <row r="16" spans="1:35" s="8" customFormat="1" ht="15" thickBot="1" x14ac:dyDescent="0.35">
      <c r="A16" s="7">
        <v>677.11</v>
      </c>
      <c r="B16" s="8">
        <v>0.03</v>
      </c>
      <c r="C16" s="8">
        <v>2146.1284000000001</v>
      </c>
      <c r="D16" s="19">
        <v>856.39329999999995</v>
      </c>
      <c r="E16" s="19">
        <v>75.469200000000001</v>
      </c>
      <c r="F16" s="8">
        <v>903.76520000000005</v>
      </c>
      <c r="G16" s="8">
        <v>76.394999999999996</v>
      </c>
      <c r="H16" s="78">
        <f t="shared" si="1"/>
        <v>47.371900000000096</v>
      </c>
      <c r="I16" s="78">
        <f t="shared" si="2"/>
        <v>89.104977741145348</v>
      </c>
      <c r="J16" s="78">
        <v>677.1</v>
      </c>
      <c r="K16" s="78">
        <v>5</v>
      </c>
      <c r="L16" s="8">
        <f>6.0196883/100</f>
        <v>6.0196883000000007E-2</v>
      </c>
      <c r="M16" s="8">
        <v>8.7037291272743546E-3</v>
      </c>
      <c r="N16" s="78">
        <f t="shared" si="3"/>
        <v>2845.3077877803071</v>
      </c>
      <c r="O16" s="78">
        <f t="shared" si="4"/>
        <v>506.8430048493455</v>
      </c>
      <c r="AB16" s="71">
        <f t="shared" si="5"/>
        <v>2845.3077877803071</v>
      </c>
      <c r="AC16" s="71">
        <f t="shared" si="6"/>
        <v>506.8430048493455</v>
      </c>
      <c r="AD16" s="8">
        <v>2146.1284000000001</v>
      </c>
      <c r="AE16" s="77"/>
      <c r="AF16" s="78"/>
      <c r="AG16" s="78"/>
      <c r="AH16" s="78"/>
    </row>
    <row r="17" spans="1:35" s="3" customFormat="1" x14ac:dyDescent="0.3">
      <c r="A17" s="2">
        <v>708.7</v>
      </c>
      <c r="B17" s="3">
        <v>0.03</v>
      </c>
      <c r="C17" s="3">
        <v>869.81939999999997</v>
      </c>
      <c r="D17" s="16">
        <v>359.73820000000001</v>
      </c>
      <c r="E17" s="16">
        <v>49.7423</v>
      </c>
      <c r="F17" s="3">
        <v>490.49020000000002</v>
      </c>
      <c r="G17" s="3">
        <v>63.081699999999998</v>
      </c>
      <c r="H17" s="70">
        <f t="shared" si="1"/>
        <v>130.75200000000001</v>
      </c>
      <c r="I17" s="70">
        <f t="shared" si="2"/>
        <v>139.89418112734356</v>
      </c>
      <c r="J17" s="3">
        <v>708.7</v>
      </c>
      <c r="K17" s="70">
        <v>5</v>
      </c>
      <c r="L17" s="3">
        <f>5.8912661/100</f>
        <v>5.8912661000000005E-2</v>
      </c>
      <c r="M17" s="3">
        <v>7.8094850170561825E-3</v>
      </c>
      <c r="N17" s="70">
        <f t="shared" si="3"/>
        <v>1221.259382596892</v>
      </c>
      <c r="O17" s="70">
        <f t="shared" si="4"/>
        <v>501.75506553003254</v>
      </c>
      <c r="AB17" s="71">
        <f t="shared" si="5"/>
        <v>1221.259382596892</v>
      </c>
      <c r="AC17" s="71">
        <f t="shared" si="6"/>
        <v>501.75506553003254</v>
      </c>
      <c r="AD17" s="3">
        <v>869.81939999999997</v>
      </c>
      <c r="AE17" s="82"/>
      <c r="AF17" s="79"/>
      <c r="AG17" s="79"/>
      <c r="AH17" s="79"/>
      <c r="AI17" s="3" t="s">
        <v>130</v>
      </c>
    </row>
    <row r="18" spans="1:35" x14ac:dyDescent="0.3">
      <c r="A18" s="6">
        <v>708.7</v>
      </c>
      <c r="B18">
        <v>0.03</v>
      </c>
      <c r="C18">
        <v>957.75879999999995</v>
      </c>
      <c r="D18" s="17">
        <v>407.28559999999999</v>
      </c>
      <c r="E18" s="17">
        <v>52.7134</v>
      </c>
      <c r="F18">
        <v>421.60230000000001</v>
      </c>
      <c r="G18">
        <v>59.234400000000001</v>
      </c>
      <c r="H18" s="71">
        <f t="shared" si="1"/>
        <v>14.316700000000026</v>
      </c>
      <c r="I18" s="71">
        <f t="shared" si="2"/>
        <v>54.622984525289361</v>
      </c>
      <c r="J18">
        <v>708.7</v>
      </c>
      <c r="K18" s="71">
        <v>5</v>
      </c>
      <c r="L18">
        <f t="shared" ref="L18:L23" si="7">5.8912661/100</f>
        <v>5.8912661000000005E-2</v>
      </c>
      <c r="M18">
        <v>7.8094850170561825E-3</v>
      </c>
      <c r="N18" s="71">
        <f t="shared" si="3"/>
        <v>1382.6759582290808</v>
      </c>
      <c r="O18" s="71">
        <f t="shared" si="4"/>
        <v>260.73253440089508</v>
      </c>
      <c r="AB18" s="71">
        <f t="shared" si="5"/>
        <v>1382.6759582290808</v>
      </c>
      <c r="AC18" s="71">
        <f t="shared" si="6"/>
        <v>260.73253440089508</v>
      </c>
      <c r="AD18">
        <v>957.75879999999995</v>
      </c>
      <c r="AE18" s="81"/>
      <c r="AF18" s="76"/>
      <c r="AG18" s="76"/>
      <c r="AH18" s="76"/>
      <c r="AI18" t="s">
        <v>130</v>
      </c>
    </row>
    <row r="19" spans="1:35" x14ac:dyDescent="0.3">
      <c r="A19" s="6">
        <v>708.7</v>
      </c>
      <c r="B19">
        <v>0.03</v>
      </c>
      <c r="C19">
        <v>1065.8325</v>
      </c>
      <c r="D19" s="17">
        <v>1822.0806</v>
      </c>
      <c r="E19" s="17">
        <v>110.8028</v>
      </c>
      <c r="F19">
        <v>2208.7815000000001</v>
      </c>
      <c r="G19">
        <v>144.6242</v>
      </c>
      <c r="H19" s="71">
        <f t="shared" si="1"/>
        <v>386.70090000000005</v>
      </c>
      <c r="I19" s="71">
        <f t="shared" si="2"/>
        <v>402.26216146768024</v>
      </c>
      <c r="J19">
        <v>708.7</v>
      </c>
      <c r="K19" s="71">
        <v>5</v>
      </c>
      <c r="L19">
        <f t="shared" si="7"/>
        <v>5.8912661000000005E-2</v>
      </c>
      <c r="M19">
        <v>7.8094850170561825E-3</v>
      </c>
      <c r="N19" s="71">
        <f t="shared" si="3"/>
        <v>6185.701236615334</v>
      </c>
      <c r="O19" s="71">
        <f t="shared" si="4"/>
        <v>1592.8870638344563</v>
      </c>
      <c r="AB19" s="71">
        <f t="shared" si="5"/>
        <v>6185.701236615334</v>
      </c>
      <c r="AC19" s="71">
        <f t="shared" si="6"/>
        <v>1592.8870638344563</v>
      </c>
      <c r="AD19">
        <v>1065.8325</v>
      </c>
      <c r="AE19" s="76"/>
      <c r="AF19" s="71"/>
      <c r="AG19" s="71"/>
      <c r="AH19" s="71"/>
    </row>
    <row r="20" spans="1:35" x14ac:dyDescent="0.3">
      <c r="A20" s="6">
        <v>708.7</v>
      </c>
      <c r="B20">
        <v>0.03</v>
      </c>
      <c r="C20" s="71">
        <v>1577.029</v>
      </c>
      <c r="D20" s="17">
        <v>3955.0772000000002</v>
      </c>
      <c r="E20" s="17">
        <v>147.42789999999999</v>
      </c>
      <c r="F20">
        <v>3830.2213000000002</v>
      </c>
      <c r="G20">
        <v>153.39230000000001</v>
      </c>
      <c r="H20" s="71">
        <f t="shared" si="1"/>
        <v>124.85590000000002</v>
      </c>
      <c r="I20" s="71">
        <f t="shared" si="2"/>
        <v>193.19415483709645</v>
      </c>
      <c r="J20">
        <v>708.7</v>
      </c>
      <c r="K20" s="71">
        <v>5</v>
      </c>
      <c r="L20">
        <f t="shared" si="7"/>
        <v>5.8912661000000005E-2</v>
      </c>
      <c r="M20">
        <v>7.8094850170561825E-3</v>
      </c>
      <c r="N20" s="71">
        <f t="shared" si="3"/>
        <v>13426.917517781108</v>
      </c>
      <c r="O20" s="71">
        <f t="shared" si="4"/>
        <v>1896.8721735716927</v>
      </c>
      <c r="AB20" s="71">
        <f t="shared" si="5"/>
        <v>13426.917517781108</v>
      </c>
      <c r="AC20" s="71">
        <f t="shared" si="6"/>
        <v>1896.8721735716927</v>
      </c>
      <c r="AD20" s="71">
        <v>1577.029</v>
      </c>
      <c r="AE20" s="76"/>
      <c r="AF20" s="71"/>
      <c r="AG20" s="71"/>
      <c r="AH20" s="71"/>
      <c r="AI20" t="s">
        <v>129</v>
      </c>
    </row>
    <row r="21" spans="1:35" x14ac:dyDescent="0.3">
      <c r="A21" s="6">
        <v>708.7</v>
      </c>
      <c r="B21">
        <v>0.03</v>
      </c>
      <c r="C21">
        <v>1717.1981000000001</v>
      </c>
      <c r="D21" s="17">
        <v>2391.6242000000002</v>
      </c>
      <c r="E21" s="17">
        <v>118.1859</v>
      </c>
      <c r="F21">
        <v>2336.0500999999999</v>
      </c>
      <c r="G21">
        <v>123.6875</v>
      </c>
      <c r="H21" s="71">
        <f t="shared" si="1"/>
        <v>55.574100000000271</v>
      </c>
      <c r="I21" s="71">
        <f t="shared" si="2"/>
        <v>130.60010547323472</v>
      </c>
      <c r="J21">
        <v>708.7</v>
      </c>
      <c r="K21" s="71">
        <v>5</v>
      </c>
      <c r="L21">
        <f t="shared" si="7"/>
        <v>5.8912661000000005E-2</v>
      </c>
      <c r="M21">
        <v>7.8094850170561825E-3</v>
      </c>
      <c r="N21" s="71">
        <f t="shared" si="3"/>
        <v>8119.2197378420915</v>
      </c>
      <c r="O21" s="71">
        <f t="shared" si="4"/>
        <v>1164.031420671043</v>
      </c>
      <c r="AB21" s="71">
        <f t="shared" si="5"/>
        <v>8119.2197378420915</v>
      </c>
      <c r="AC21" s="71">
        <f t="shared" si="6"/>
        <v>1164.031420671043</v>
      </c>
      <c r="AD21">
        <v>1717.1981000000001</v>
      </c>
      <c r="AE21" s="76"/>
      <c r="AF21" s="71"/>
      <c r="AG21" s="71"/>
      <c r="AH21" s="71"/>
    </row>
    <row r="22" spans="1:35" x14ac:dyDescent="0.3">
      <c r="A22" s="6">
        <v>708.7</v>
      </c>
      <c r="B22">
        <v>0.03</v>
      </c>
      <c r="C22">
        <v>1871.6994</v>
      </c>
      <c r="D22" s="17">
        <v>408.99759999999998</v>
      </c>
      <c r="E22" s="17">
        <v>55.625100000000003</v>
      </c>
      <c r="F22">
        <v>405.08890000000002</v>
      </c>
      <c r="G22">
        <v>59.639000000000003</v>
      </c>
      <c r="H22" s="71">
        <f t="shared" si="1"/>
        <v>3.9086999999999534</v>
      </c>
      <c r="I22" s="71">
        <f t="shared" si="2"/>
        <v>55.762260407017216</v>
      </c>
      <c r="J22">
        <v>708.7</v>
      </c>
      <c r="K22" s="71">
        <v>5</v>
      </c>
      <c r="L22">
        <f t="shared" si="7"/>
        <v>5.8912661000000005E-2</v>
      </c>
      <c r="M22">
        <v>7.8094850170561825E-3</v>
      </c>
      <c r="N22" s="71">
        <f t="shared" si="3"/>
        <v>1388.4879516815579</v>
      </c>
      <c r="O22" s="71">
        <f t="shared" si="4"/>
        <v>264.0338127315473</v>
      </c>
      <c r="AB22" s="71">
        <f>N22+Z22</f>
        <v>1388.4879516815579</v>
      </c>
      <c r="AC22" s="71">
        <f t="shared" si="6"/>
        <v>264.0338127315473</v>
      </c>
      <c r="AD22">
        <v>1871.6994</v>
      </c>
      <c r="AE22" s="71"/>
      <c r="AF22" s="76"/>
      <c r="AG22" s="76"/>
      <c r="AH22" s="76"/>
    </row>
    <row r="23" spans="1:35" ht="15" thickBot="1" x14ac:dyDescent="0.35">
      <c r="A23" s="6">
        <v>708.7</v>
      </c>
      <c r="B23">
        <v>0.03</v>
      </c>
      <c r="C23">
        <v>2494.0174999999999</v>
      </c>
      <c r="D23" s="17">
        <v>655.18140000000005</v>
      </c>
      <c r="E23" s="17">
        <v>71.355000000000004</v>
      </c>
      <c r="F23">
        <v>796.03089999999997</v>
      </c>
      <c r="G23">
        <v>77.583299999999994</v>
      </c>
      <c r="H23" s="71">
        <f t="shared" si="1"/>
        <v>140.84949999999992</v>
      </c>
      <c r="I23" s="71">
        <f t="shared" si="2"/>
        <v>157.89274104673078</v>
      </c>
      <c r="J23">
        <v>708.7</v>
      </c>
      <c r="K23" s="71">
        <v>5</v>
      </c>
      <c r="L23">
        <f t="shared" si="7"/>
        <v>5.8912661000000005E-2</v>
      </c>
      <c r="M23">
        <v>7.8094850170561825E-3</v>
      </c>
      <c r="N23" s="71">
        <f t="shared" si="3"/>
        <v>2224.2464994069778</v>
      </c>
      <c r="O23" s="71">
        <f t="shared" si="4"/>
        <v>611.76426785221497</v>
      </c>
      <c r="AB23" s="71">
        <f>N23+Z23</f>
        <v>2224.2464994069778</v>
      </c>
      <c r="AC23" s="71">
        <f t="shared" si="6"/>
        <v>611.76426785221497</v>
      </c>
      <c r="AD23">
        <v>2494.0174999999999</v>
      </c>
      <c r="AE23" s="71"/>
      <c r="AF23" s="76"/>
      <c r="AG23" s="76"/>
      <c r="AH23" s="76"/>
    </row>
    <row r="24" spans="1:35" s="3" customFormat="1" x14ac:dyDescent="0.3">
      <c r="A24" s="2">
        <v>1454.23</v>
      </c>
      <c r="B24" s="3">
        <v>0.02</v>
      </c>
      <c r="C24" s="3">
        <v>833.79139999999995</v>
      </c>
      <c r="D24" s="16">
        <v>679.47500000000002</v>
      </c>
      <c r="E24" s="16">
        <v>61.198500000000003</v>
      </c>
      <c r="F24" s="3">
        <v>707.15309999999999</v>
      </c>
      <c r="G24" s="3">
        <v>63.568199999999997</v>
      </c>
      <c r="H24" s="70">
        <f t="shared" si="1"/>
        <v>27.678099999999972</v>
      </c>
      <c r="I24" s="70">
        <f t="shared" si="2"/>
        <v>67.166462031731271</v>
      </c>
      <c r="J24" s="3">
        <v>1454.23</v>
      </c>
      <c r="K24" s="70">
        <v>5</v>
      </c>
      <c r="L24" s="3">
        <f t="shared" ref="L24:L29" si="8">3.9806205/100</f>
        <v>3.9806205000000004E-2</v>
      </c>
      <c r="M24" s="3">
        <v>4.0279518385463601E-3</v>
      </c>
      <c r="N24" s="70">
        <f t="shared" si="3"/>
        <v>3413.9149913939295</v>
      </c>
      <c r="O24" s="70">
        <f t="shared" si="4"/>
        <v>482.92900967248585</v>
      </c>
      <c r="P24" s="16">
        <v>202.4</v>
      </c>
      <c r="Q24" s="16">
        <v>51.3</v>
      </c>
      <c r="R24" s="3">
        <v>28.343191000000001</v>
      </c>
      <c r="S24" s="3">
        <f t="shared" ref="S24:S29" si="9">SQRT(R24)</f>
        <v>5.323832360245766</v>
      </c>
      <c r="T24" s="3">
        <f t="shared" ref="T24:T32" si="10">ABS(P24-R24)</f>
        <v>174.05680900000002</v>
      </c>
      <c r="U24" s="3">
        <f t="shared" ref="U24:U32" si="11">SQRT(Q24^2+T24^2)</f>
        <v>181.45925922714025</v>
      </c>
      <c r="V24" s="3">
        <v>745.6</v>
      </c>
      <c r="W24" s="3">
        <v>10</v>
      </c>
      <c r="X24" s="3">
        <v>5.7495488000000004E-2</v>
      </c>
      <c r="Y24" s="3">
        <v>6.9873304133625308E-3</v>
      </c>
      <c r="Z24" s="3">
        <f t="shared" ref="Z24:Z32" si="12">P24/W24/X24</f>
        <v>352.02762345455699</v>
      </c>
      <c r="AA24" s="3">
        <f t="shared" ref="AA24:AA32" si="13">Z24*SQRT(U24^2/P24^2+Y24^2/X24^2)</f>
        <v>318.49245429944</v>
      </c>
      <c r="AB24" s="71">
        <f t="shared" si="5"/>
        <v>3765.9426148484863</v>
      </c>
      <c r="AC24" s="71">
        <f t="shared" si="6"/>
        <v>578.49621591582502</v>
      </c>
      <c r="AD24" s="3">
        <v>833.79139999999995</v>
      </c>
      <c r="AE24" s="79"/>
      <c r="AF24" s="70"/>
      <c r="AG24" s="70"/>
      <c r="AH24" s="70"/>
    </row>
    <row r="25" spans="1:35" x14ac:dyDescent="0.3">
      <c r="A25" s="6">
        <v>1454.23</v>
      </c>
      <c r="B25">
        <v>0.02</v>
      </c>
      <c r="C25">
        <v>972.86800000000005</v>
      </c>
      <c r="D25" s="17">
        <v>1945.2869000000001</v>
      </c>
      <c r="E25" s="17">
        <v>101.9683</v>
      </c>
      <c r="F25">
        <v>1948.4385</v>
      </c>
      <c r="G25">
        <v>102.6036</v>
      </c>
      <c r="H25" s="71">
        <f t="shared" si="1"/>
        <v>3.1515999999999167</v>
      </c>
      <c r="I25" s="71">
        <f t="shared" si="2"/>
        <v>102.01699264068706</v>
      </c>
      <c r="J25">
        <v>1454.23</v>
      </c>
      <c r="K25" s="71">
        <v>5</v>
      </c>
      <c r="L25">
        <f t="shared" si="8"/>
        <v>3.9806205000000004E-2</v>
      </c>
      <c r="M25">
        <v>4.0279518385463601E-3</v>
      </c>
      <c r="N25" s="71">
        <f t="shared" si="3"/>
        <v>9773.7872776367403</v>
      </c>
      <c r="O25" s="71">
        <f t="shared" si="4"/>
        <v>1113.9334076075331</v>
      </c>
      <c r="P25" s="17">
        <v>674.8</v>
      </c>
      <c r="Q25" s="17">
        <v>89.4</v>
      </c>
      <c r="R25">
        <v>113.64582</v>
      </c>
      <c r="S25">
        <f t="shared" si="9"/>
        <v>10.660479351323747</v>
      </c>
      <c r="T25">
        <f t="shared" si="10"/>
        <v>561.15418</v>
      </c>
      <c r="U25">
        <f t="shared" si="11"/>
        <v>568.23091585329314</v>
      </c>
      <c r="V25">
        <v>745.6</v>
      </c>
      <c r="W25">
        <v>10</v>
      </c>
      <c r="X25">
        <v>5.7495488000000004E-2</v>
      </c>
      <c r="Y25">
        <v>6.9873304133625308E-3</v>
      </c>
      <c r="Z25">
        <f t="shared" si="12"/>
        <v>1173.6573137704299</v>
      </c>
      <c r="AA25">
        <f t="shared" si="13"/>
        <v>998.5445868525137</v>
      </c>
      <c r="AB25" s="71">
        <f t="shared" si="5"/>
        <v>10947.444591407169</v>
      </c>
      <c r="AC25" s="71">
        <f t="shared" si="6"/>
        <v>1495.9742405925938</v>
      </c>
      <c r="AD25">
        <v>972.86800000000005</v>
      </c>
      <c r="AE25" s="76"/>
      <c r="AF25" s="71"/>
      <c r="AG25" s="71"/>
      <c r="AH25" s="71"/>
    </row>
    <row r="26" spans="1:35" s="71" customFormat="1" x14ac:dyDescent="0.3">
      <c r="A26" s="75">
        <v>1454.23</v>
      </c>
      <c r="B26" s="71">
        <v>0.02</v>
      </c>
      <c r="C26" s="71">
        <v>1229.0092</v>
      </c>
      <c r="D26" s="17">
        <v>7125.0964999999997</v>
      </c>
      <c r="E26" s="17">
        <v>191.39940000000001</v>
      </c>
      <c r="F26" s="71">
        <v>7088.3780999999999</v>
      </c>
      <c r="G26" s="71">
        <v>191.31710000000001</v>
      </c>
      <c r="H26" s="71">
        <f t="shared" si="1"/>
        <v>36.718399999999747</v>
      </c>
      <c r="I26" s="71">
        <f t="shared" si="2"/>
        <v>194.88963856223856</v>
      </c>
      <c r="J26">
        <v>1454.23</v>
      </c>
      <c r="K26" s="71">
        <v>5</v>
      </c>
      <c r="L26">
        <f t="shared" si="8"/>
        <v>3.9806205000000004E-2</v>
      </c>
      <c r="M26">
        <v>4.0279518385463601E-3</v>
      </c>
      <c r="N26" s="71">
        <f t="shared" si="3"/>
        <v>35798.923810998807</v>
      </c>
      <c r="O26" s="71">
        <f t="shared" si="4"/>
        <v>3752.4693003230004</v>
      </c>
      <c r="P26" s="17">
        <v>2029</v>
      </c>
      <c r="Q26" s="17">
        <v>148.5</v>
      </c>
      <c r="R26">
        <v>122.13498</v>
      </c>
      <c r="S26">
        <f t="shared" si="9"/>
        <v>11.051469585534766</v>
      </c>
      <c r="T26">
        <f t="shared" si="10"/>
        <v>1906.86502</v>
      </c>
      <c r="U26">
        <f t="shared" si="11"/>
        <v>1912.6386105324759</v>
      </c>
      <c r="V26">
        <v>745.6</v>
      </c>
      <c r="W26" s="71">
        <v>10</v>
      </c>
      <c r="X26">
        <v>5.7495488000000004E-2</v>
      </c>
      <c r="Y26">
        <v>6.9873304133625308E-3</v>
      </c>
      <c r="Z26">
        <f t="shared" si="12"/>
        <v>3528.9725691170756</v>
      </c>
      <c r="AA26">
        <f t="shared" si="13"/>
        <v>3354.1204993112578</v>
      </c>
      <c r="AB26" s="71">
        <f>N26+Z26</f>
        <v>39327.896380115882</v>
      </c>
      <c r="AC26" s="71">
        <f t="shared" si="6"/>
        <v>5033.0060772630295</v>
      </c>
      <c r="AD26" s="71">
        <v>1229.0092</v>
      </c>
    </row>
    <row r="27" spans="1:35" s="81" customFormat="1" x14ac:dyDescent="0.3">
      <c r="A27" s="83">
        <v>1454.23</v>
      </c>
      <c r="B27" s="81">
        <v>0.02</v>
      </c>
      <c r="C27" s="71">
        <v>1380.7037</v>
      </c>
      <c r="D27" s="17">
        <v>2514.2835</v>
      </c>
      <c r="E27" s="17">
        <v>115.5998</v>
      </c>
      <c r="F27" s="81">
        <v>2506.5855000000001</v>
      </c>
      <c r="G27" s="81">
        <v>115.899</v>
      </c>
      <c r="H27" s="71">
        <f t="shared" si="1"/>
        <v>7.6979999999998654</v>
      </c>
      <c r="I27" s="71">
        <f t="shared" si="2"/>
        <v>115.85582835593554</v>
      </c>
      <c r="J27">
        <v>1454.23</v>
      </c>
      <c r="K27" s="71">
        <v>5</v>
      </c>
      <c r="L27">
        <f t="shared" si="8"/>
        <v>3.9806205000000004E-2</v>
      </c>
      <c r="M27">
        <v>4.0279518385463601E-3</v>
      </c>
      <c r="N27" s="71">
        <f t="shared" si="3"/>
        <v>12632.620969519699</v>
      </c>
      <c r="O27" s="71">
        <f t="shared" si="4"/>
        <v>1404.5806015887792</v>
      </c>
      <c r="P27" s="17">
        <v>580.20000000000005</v>
      </c>
      <c r="Q27" s="17">
        <v>83.2</v>
      </c>
      <c r="R27" s="81">
        <v>34.496251999999998</v>
      </c>
      <c r="S27" s="81">
        <f t="shared" si="9"/>
        <v>5.8733510026219271</v>
      </c>
      <c r="T27">
        <f t="shared" si="10"/>
        <v>545.70374800000002</v>
      </c>
      <c r="U27">
        <f t="shared" si="11"/>
        <v>552.00980116411654</v>
      </c>
      <c r="V27">
        <v>745.6</v>
      </c>
      <c r="W27" s="81">
        <v>10</v>
      </c>
      <c r="X27">
        <v>5.7495488000000004E-2</v>
      </c>
      <c r="Y27">
        <v>6.9873304133625308E-3</v>
      </c>
      <c r="Z27">
        <f t="shared" si="12"/>
        <v>1009.1226636775393</v>
      </c>
      <c r="AA27">
        <f t="shared" si="13"/>
        <v>967.89318407361782</v>
      </c>
      <c r="AB27" s="71">
        <f>N27+Z27</f>
        <v>13641.743633197239</v>
      </c>
      <c r="AC27" s="71">
        <f t="shared" si="6"/>
        <v>1705.7736901874362</v>
      </c>
      <c r="AD27" s="71">
        <v>1380.7037</v>
      </c>
    </row>
    <row r="28" spans="1:35" x14ac:dyDescent="0.3">
      <c r="A28" s="6">
        <v>1454.23</v>
      </c>
      <c r="B28">
        <v>0.02</v>
      </c>
      <c r="C28" s="71">
        <v>1652.7991999999999</v>
      </c>
      <c r="D28" s="17">
        <v>1720.5171</v>
      </c>
      <c r="E28" s="17">
        <v>96.078199999999995</v>
      </c>
      <c r="F28">
        <v>1720.7838999999999</v>
      </c>
      <c r="G28">
        <v>97.267099999999999</v>
      </c>
      <c r="H28" s="71">
        <f t="shared" si="1"/>
        <v>0.26679999999987558</v>
      </c>
      <c r="I28" s="71">
        <f t="shared" si="2"/>
        <v>96.078570438365702</v>
      </c>
      <c r="J28">
        <v>1454.23</v>
      </c>
      <c r="K28" s="71">
        <v>5</v>
      </c>
      <c r="L28">
        <f t="shared" si="8"/>
        <v>3.9806205000000004E-2</v>
      </c>
      <c r="M28">
        <v>4.0279518385463601E-3</v>
      </c>
      <c r="N28" s="71">
        <f t="shared" si="3"/>
        <v>8644.4668613850536</v>
      </c>
      <c r="O28" s="71">
        <f t="shared" si="4"/>
        <v>999.08670448229316</v>
      </c>
      <c r="P28" s="17">
        <v>370.1</v>
      </c>
      <c r="Q28" s="17">
        <v>67</v>
      </c>
      <c r="R28">
        <v>22.259506200000001</v>
      </c>
      <c r="S28">
        <f t="shared" si="9"/>
        <v>4.7179981136070834</v>
      </c>
      <c r="T28">
        <f t="shared" si="10"/>
        <v>347.84049380000005</v>
      </c>
      <c r="U28">
        <f t="shared" si="11"/>
        <v>354.23439856545252</v>
      </c>
      <c r="V28">
        <v>745.6</v>
      </c>
      <c r="W28">
        <v>10</v>
      </c>
      <c r="X28">
        <v>5.7495488000000004E-2</v>
      </c>
      <c r="Y28">
        <v>6.9873304133625308E-3</v>
      </c>
      <c r="Z28">
        <f t="shared" si="12"/>
        <v>643.70268498286339</v>
      </c>
      <c r="AA28">
        <f>Z28*SQRT(U28^2/P28^2+Y28^2/X28^2)</f>
        <v>621.05467833352088</v>
      </c>
      <c r="AB28" s="71">
        <f t="shared" si="5"/>
        <v>9288.1695463679171</v>
      </c>
      <c r="AC28" s="71">
        <f t="shared" si="6"/>
        <v>1176.3856325853533</v>
      </c>
      <c r="AD28" s="71">
        <v>1652.7991999999999</v>
      </c>
      <c r="AE28" s="71"/>
      <c r="AF28" s="76"/>
      <c r="AG28" s="76"/>
      <c r="AH28" s="76"/>
    </row>
    <row r="29" spans="1:35" s="8" customFormat="1" ht="15" customHeight="1" thickBot="1" x14ac:dyDescent="0.35">
      <c r="A29" s="7">
        <v>1454.23</v>
      </c>
      <c r="B29" s="8">
        <v>0.02</v>
      </c>
      <c r="C29" s="8">
        <v>1821.5024000000001</v>
      </c>
      <c r="D29" s="19">
        <v>339.48689999999999</v>
      </c>
      <c r="E29" s="19">
        <v>47.460500000000003</v>
      </c>
      <c r="F29" s="8">
        <v>338.27980000000002</v>
      </c>
      <c r="G29" s="8">
        <v>48.943199999999997</v>
      </c>
      <c r="H29" s="78">
        <f t="shared" si="1"/>
        <v>1.2070999999999685</v>
      </c>
      <c r="I29" s="78">
        <f t="shared" si="2"/>
        <v>47.475848077311902</v>
      </c>
      <c r="J29" s="8">
        <v>1454.23</v>
      </c>
      <c r="K29" s="78">
        <v>5</v>
      </c>
      <c r="L29" s="8">
        <f t="shared" si="8"/>
        <v>3.9806205000000004E-2</v>
      </c>
      <c r="M29" s="8">
        <v>4.0279518385463601E-3</v>
      </c>
      <c r="N29" s="78">
        <f t="shared" si="3"/>
        <v>1705.6983955139656</v>
      </c>
      <c r="O29" s="78">
        <f t="shared" si="4"/>
        <v>294.42990784837417</v>
      </c>
      <c r="P29" s="19">
        <v>39.51</v>
      </c>
      <c r="Q29" s="19">
        <v>26.43</v>
      </c>
      <c r="R29" s="8">
        <v>2.2267320000000002</v>
      </c>
      <c r="S29" s="8">
        <f t="shared" si="9"/>
        <v>1.492223843798242</v>
      </c>
      <c r="T29" s="8">
        <f t="shared" si="10"/>
        <v>37.283268</v>
      </c>
      <c r="U29" s="8">
        <f t="shared" si="11"/>
        <v>45.701060958798578</v>
      </c>
      <c r="V29" s="8">
        <v>745.6</v>
      </c>
      <c r="W29" s="8">
        <v>10</v>
      </c>
      <c r="X29" s="8">
        <v>5.7495488000000004E-2</v>
      </c>
      <c r="Y29" s="8">
        <v>6.9873304133625308E-3</v>
      </c>
      <c r="Z29" s="8">
        <f t="shared" si="12"/>
        <v>68.718435784039244</v>
      </c>
      <c r="AA29" s="8">
        <f t="shared" si="13"/>
        <v>79.923850743599189</v>
      </c>
      <c r="AB29" s="71">
        <f t="shared" si="5"/>
        <v>1774.4168312980048</v>
      </c>
      <c r="AC29" s="71">
        <f t="shared" si="6"/>
        <v>305.08489401031841</v>
      </c>
      <c r="AD29" s="8">
        <v>1821.5024000000001</v>
      </c>
      <c r="AE29" s="77"/>
      <c r="AF29" s="84"/>
      <c r="AG29" s="84"/>
      <c r="AH29" s="84"/>
    </row>
    <row r="30" spans="1:35" s="82" customFormat="1" x14ac:dyDescent="0.3">
      <c r="A30" s="85">
        <v>1973.27</v>
      </c>
      <c r="B30" s="82">
        <v>0.04</v>
      </c>
      <c r="C30" s="86">
        <v>1137.9218000000001</v>
      </c>
      <c r="D30" s="16">
        <v>1217.3280999999999</v>
      </c>
      <c r="E30" s="16">
        <v>83.470399999999998</v>
      </c>
      <c r="F30" s="82">
        <v>1247.8467000000001</v>
      </c>
      <c r="G30" s="82">
        <v>91.326700000000002</v>
      </c>
      <c r="H30" s="70">
        <f t="shared" si="1"/>
        <v>30.518600000000106</v>
      </c>
      <c r="I30" s="70">
        <f t="shared" si="2"/>
        <v>88.874589293678355</v>
      </c>
      <c r="J30" s="82">
        <v>1264.5</v>
      </c>
      <c r="K30" s="82">
        <v>5</v>
      </c>
      <c r="L30" s="3">
        <f>4.3299133/100</f>
        <v>4.3299133000000004E-2</v>
      </c>
      <c r="M30" s="3">
        <v>3.7259001559339991E-3</v>
      </c>
      <c r="N30" s="70">
        <f t="shared" si="3"/>
        <v>5622.8751739671088</v>
      </c>
      <c r="O30" s="70">
        <f t="shared" si="4"/>
        <v>634.53336139508247</v>
      </c>
      <c r="P30" s="16">
        <v>828.15830000000005</v>
      </c>
      <c r="Q30" s="16">
        <v>73.377300000000005</v>
      </c>
      <c r="R30" s="82">
        <v>834.72529999999995</v>
      </c>
      <c r="S30" s="82">
        <v>75.597499999999997</v>
      </c>
      <c r="T30" s="3">
        <f t="shared" si="10"/>
        <v>6.5669999999998936</v>
      </c>
      <c r="U30" s="3">
        <f t="shared" si="11"/>
        <v>73.670575159218075</v>
      </c>
      <c r="V30" s="82">
        <v>1973.24</v>
      </c>
      <c r="W30" s="82">
        <v>5</v>
      </c>
      <c r="X30" s="82">
        <v>3.2689564999999997E-2</v>
      </c>
      <c r="Y30" s="82">
        <v>3.0552873766675373E-3</v>
      </c>
      <c r="Z30" s="3">
        <f t="shared" si="12"/>
        <v>5066.805263392157</v>
      </c>
      <c r="AA30" s="3">
        <f t="shared" si="13"/>
        <v>653.77163518801706</v>
      </c>
      <c r="AB30" s="71">
        <f t="shared" si="5"/>
        <v>10689.680437359266</v>
      </c>
      <c r="AC30" s="71">
        <f t="shared" si="6"/>
        <v>911.07076437549892</v>
      </c>
      <c r="AD30" s="86">
        <v>1137.9218000000001</v>
      </c>
    </row>
    <row r="31" spans="1:35" s="71" customFormat="1" x14ac:dyDescent="0.3">
      <c r="A31" s="75">
        <v>1973.27</v>
      </c>
      <c r="B31" s="71">
        <v>0.04</v>
      </c>
      <c r="C31" s="71">
        <v>1224.1053999999999</v>
      </c>
      <c r="D31" s="17">
        <v>1215.473</v>
      </c>
      <c r="E31" s="17">
        <v>88.578699999999998</v>
      </c>
      <c r="F31" s="71">
        <v>1220.7145</v>
      </c>
      <c r="G31" s="71">
        <v>91.535399999999996</v>
      </c>
      <c r="H31" s="71">
        <f t="shared" si="1"/>
        <v>5.2415000000000873</v>
      </c>
      <c r="I31" s="71">
        <f t="shared" si="2"/>
        <v>88.733643089529465</v>
      </c>
      <c r="J31" s="81">
        <v>1264.5</v>
      </c>
      <c r="K31" s="81">
        <v>5</v>
      </c>
      <c r="L31">
        <f>4.3299133/100</f>
        <v>4.3299133000000004E-2</v>
      </c>
      <c r="M31">
        <v>3.7259001559339991E-3</v>
      </c>
      <c r="N31" s="71">
        <f t="shared" si="3"/>
        <v>5614.3064111699414</v>
      </c>
      <c r="O31" s="71">
        <f t="shared" si="4"/>
        <v>633.54992594447049</v>
      </c>
      <c r="P31" s="17">
        <v>413.52359999999999</v>
      </c>
      <c r="Q31" s="17">
        <v>57.700800000000001</v>
      </c>
      <c r="R31" s="71">
        <v>401.4194</v>
      </c>
      <c r="S31" s="71">
        <v>58.2196</v>
      </c>
      <c r="T31">
        <f t="shared" si="10"/>
        <v>12.104199999999992</v>
      </c>
      <c r="U31">
        <f t="shared" si="11"/>
        <v>58.956712749949006</v>
      </c>
      <c r="V31" s="81">
        <v>1973.24</v>
      </c>
      <c r="W31" s="71">
        <v>5</v>
      </c>
      <c r="X31" s="81">
        <v>3.2689564999999997E-2</v>
      </c>
      <c r="Y31" s="81">
        <v>3.0552873766675373E-3</v>
      </c>
      <c r="Z31">
        <f t="shared" si="12"/>
        <v>2530.0036877211428</v>
      </c>
      <c r="AA31">
        <f t="shared" si="13"/>
        <v>431.30528007399789</v>
      </c>
      <c r="AB31" s="71">
        <f t="shared" si="5"/>
        <v>8144.3100988910846</v>
      </c>
      <c r="AC31" s="71">
        <f t="shared" si="6"/>
        <v>766.4266131104489</v>
      </c>
      <c r="AD31" s="71">
        <v>1224.1053999999999</v>
      </c>
    </row>
    <row r="32" spans="1:35" s="119" customFormat="1" ht="15" thickBot="1" x14ac:dyDescent="0.35">
      <c r="A32" s="6">
        <v>1973.27</v>
      </c>
      <c r="B32" s="119">
        <v>0.04</v>
      </c>
      <c r="C32" s="71">
        <v>1318.6119000000001</v>
      </c>
      <c r="D32" s="17">
        <v>984.89329999999995</v>
      </c>
      <c r="E32" s="17">
        <v>82.177000000000007</v>
      </c>
      <c r="F32" s="119">
        <v>918.2758</v>
      </c>
      <c r="G32" s="119">
        <v>86.054100000000005</v>
      </c>
      <c r="H32" s="71">
        <f t="shared" si="1"/>
        <v>66.61749999999995</v>
      </c>
      <c r="I32" s="71">
        <f t="shared" si="2"/>
        <v>105.78728957322801</v>
      </c>
      <c r="J32" s="81">
        <v>1264.5</v>
      </c>
      <c r="K32" s="81">
        <v>5</v>
      </c>
      <c r="L32" s="119">
        <f>4.3299133/100</f>
        <v>4.3299133000000004E-2</v>
      </c>
      <c r="M32" s="119">
        <v>3.7259001559339991E-3</v>
      </c>
      <c r="N32" s="71">
        <f t="shared" si="3"/>
        <v>4549.2518291301576</v>
      </c>
      <c r="O32" s="71">
        <f t="shared" si="4"/>
        <v>626.10544304759287</v>
      </c>
      <c r="P32" s="17">
        <v>336.31099999999998</v>
      </c>
      <c r="Q32" s="17">
        <v>54.081400000000002</v>
      </c>
      <c r="R32" s="119">
        <v>321.86919999999998</v>
      </c>
      <c r="S32" s="119">
        <v>54.032800000000002</v>
      </c>
      <c r="T32" s="119">
        <f t="shared" si="10"/>
        <v>14.441800000000001</v>
      </c>
      <c r="U32" s="119">
        <f t="shared" si="11"/>
        <v>55.976454096343048</v>
      </c>
      <c r="V32" s="81">
        <v>1973.24</v>
      </c>
      <c r="W32" s="119">
        <v>5</v>
      </c>
      <c r="X32" s="81">
        <v>3.2689564999999997E-2</v>
      </c>
      <c r="Y32" s="81">
        <v>3.0552873766675373E-3</v>
      </c>
      <c r="Z32" s="119">
        <f t="shared" si="12"/>
        <v>2057.604620924139</v>
      </c>
      <c r="AA32" s="119">
        <f t="shared" si="13"/>
        <v>392.77391196209993</v>
      </c>
      <c r="AB32" s="71">
        <f t="shared" si="5"/>
        <v>6606.8564500542961</v>
      </c>
      <c r="AC32" s="71">
        <f t="shared" si="6"/>
        <v>739.10714496061667</v>
      </c>
      <c r="AD32" s="71">
        <v>1318.6119000000001</v>
      </c>
      <c r="AE32" s="76"/>
      <c r="AF32" s="71"/>
      <c r="AG32" s="71"/>
      <c r="AH32" s="71"/>
    </row>
    <row r="33" spans="1:30" s="3" customFormat="1" ht="15" thickBot="1" x14ac:dyDescent="0.35">
      <c r="A33" s="2">
        <v>2538.87</v>
      </c>
      <c r="B33" s="3">
        <v>0.18</v>
      </c>
      <c r="C33" s="3">
        <v>740</v>
      </c>
      <c r="D33" s="16">
        <v>14</v>
      </c>
      <c r="E33" s="16">
        <v>1</v>
      </c>
      <c r="H33" s="3">
        <v>4</v>
      </c>
      <c r="I33" s="70">
        <f t="shared" si="2"/>
        <v>4.1231056256176606</v>
      </c>
      <c r="J33" s="82">
        <v>2538.8000000000002</v>
      </c>
      <c r="K33" s="82">
        <v>5</v>
      </c>
      <c r="L33" s="3">
        <v>2.7408200000000001E-2</v>
      </c>
      <c r="M33" s="3">
        <v>2.6288407696359252E-3</v>
      </c>
      <c r="N33" s="70">
        <f>D33/K33/L33</f>
        <v>102.15920782831415</v>
      </c>
      <c r="O33" s="70">
        <f t="shared" si="4"/>
        <v>31.642033836011255</v>
      </c>
      <c r="AB33" s="70">
        <f>N33+Z33</f>
        <v>102.15920782831415</v>
      </c>
      <c r="AC33" s="70">
        <f t="shared" si="6"/>
        <v>31.642033836011255</v>
      </c>
      <c r="AD33" s="3">
        <v>740</v>
      </c>
    </row>
    <row r="34" spans="1:30" s="8" customFormat="1" ht="15" thickBot="1" x14ac:dyDescent="0.35">
      <c r="A34" s="7">
        <v>2538.87</v>
      </c>
      <c r="B34" s="8">
        <v>0.18</v>
      </c>
      <c r="C34" s="8">
        <v>1060</v>
      </c>
      <c r="D34" s="8">
        <v>162.5</v>
      </c>
      <c r="E34" s="8">
        <v>31.5</v>
      </c>
      <c r="F34" s="8">
        <v>10</v>
      </c>
      <c r="H34" s="8">
        <f>D34-F34</f>
        <v>152.5</v>
      </c>
      <c r="I34" s="8">
        <f>SQRT(E34^2+H34^2)</f>
        <v>155.71929873975159</v>
      </c>
      <c r="J34" s="8">
        <v>2538.8000000000002</v>
      </c>
      <c r="K34" s="8">
        <v>5</v>
      </c>
      <c r="L34" s="8">
        <v>2.7408200000000001E-2</v>
      </c>
      <c r="M34" s="8">
        <v>2.6288409999999998E-3</v>
      </c>
      <c r="N34" s="70">
        <f>D34/K34/L34</f>
        <v>1185.7765194357892</v>
      </c>
      <c r="O34" s="70">
        <f t="shared" si="4"/>
        <v>1141.9747958599678</v>
      </c>
      <c r="AB34" s="70">
        <f>N34+Z34</f>
        <v>1185.7765194357892</v>
      </c>
      <c r="AC34" s="70">
        <f t="shared" si="6"/>
        <v>1141.9747958599678</v>
      </c>
    </row>
    <row r="35" spans="1:30" x14ac:dyDescent="0.3">
      <c r="A35" s="6"/>
      <c r="B35" s="164" t="s">
        <v>322</v>
      </c>
      <c r="C35" s="164"/>
      <c r="D35" s="164"/>
      <c r="E35" s="164"/>
      <c r="F35" s="140"/>
    </row>
    <row r="36" spans="1:30" x14ac:dyDescent="0.3">
      <c r="A36" s="6"/>
      <c r="F36" s="10"/>
    </row>
    <row r="37" spans="1:30" x14ac:dyDescent="0.3">
      <c r="A37" s="87" t="s">
        <v>229</v>
      </c>
      <c r="B37" s="11" t="s">
        <v>124</v>
      </c>
      <c r="C37" s="11" t="s">
        <v>125</v>
      </c>
      <c r="D37" s="11"/>
      <c r="E37" s="11" t="s">
        <v>126</v>
      </c>
      <c r="F37" s="10"/>
    </row>
    <row r="38" spans="1:30" ht="14.4" customHeight="1" x14ac:dyDescent="0.3">
      <c r="A38" s="154" t="s">
        <v>232</v>
      </c>
      <c r="B38" s="143"/>
      <c r="C38" s="143"/>
      <c r="D38" s="11"/>
      <c r="E38" s="155" t="s">
        <v>233</v>
      </c>
      <c r="F38" s="88"/>
      <c r="G38" t="s">
        <v>237</v>
      </c>
      <c r="H38" t="s">
        <v>311</v>
      </c>
      <c r="I38" t="s">
        <v>320</v>
      </c>
      <c r="J38" t="s">
        <v>339</v>
      </c>
      <c r="K38" t="s">
        <v>157</v>
      </c>
      <c r="L38" t="s">
        <v>231</v>
      </c>
      <c r="M38" t="s">
        <v>300</v>
      </c>
      <c r="N38" t="s">
        <v>340</v>
      </c>
      <c r="O38" t="s">
        <v>375</v>
      </c>
      <c r="P38" t="s">
        <v>343</v>
      </c>
      <c r="Q38" t="s">
        <v>342</v>
      </c>
      <c r="R38" t="s">
        <v>341</v>
      </c>
      <c r="S38" t="s">
        <v>344</v>
      </c>
      <c r="T38" t="s">
        <v>345</v>
      </c>
      <c r="U38" t="s">
        <v>346</v>
      </c>
      <c r="V38" t="s">
        <v>347</v>
      </c>
      <c r="W38" t="s">
        <v>348</v>
      </c>
      <c r="X38" t="s">
        <v>237</v>
      </c>
    </row>
    <row r="39" spans="1:30" x14ac:dyDescent="0.3">
      <c r="A39" s="6">
        <v>806</v>
      </c>
      <c r="B39">
        <v>567000</v>
      </c>
      <c r="C39">
        <v>785</v>
      </c>
      <c r="E39" s="155"/>
      <c r="F39" s="88"/>
      <c r="G39">
        <v>258.40461749319377</v>
      </c>
      <c r="H39" s="26">
        <v>0</v>
      </c>
      <c r="I39" s="26">
        <v>2731</v>
      </c>
      <c r="J39" s="26">
        <v>203</v>
      </c>
      <c r="K39" s="26">
        <v>0</v>
      </c>
      <c r="L39">
        <f>I39</f>
        <v>2731</v>
      </c>
      <c r="M39">
        <f t="shared" ref="M39:M69" si="14">SQRT(J39^2+K39^2)</f>
        <v>203</v>
      </c>
      <c r="N39">
        <f>M39/L39</f>
        <v>7.4331746612962282E-2</v>
      </c>
      <c r="O39">
        <v>1</v>
      </c>
      <c r="P39">
        <v>0.01</v>
      </c>
      <c r="Q39">
        <v>0.01</v>
      </c>
      <c r="R39">
        <f t="shared" ref="R39:R69" si="15">L39/O39</f>
        <v>2731</v>
      </c>
      <c r="S39">
        <f t="shared" ref="S39:S69" si="16">R39*SQRT(M39^2/L39^2+P39^2/O39^2)</f>
        <v>204.82879704768078</v>
      </c>
      <c r="T39">
        <f t="shared" ref="T39:T69" si="17">R39*SQRT(Q39^2/O39^2+M39^2/L39^2)</f>
        <v>204.82879704768078</v>
      </c>
      <c r="U39">
        <f t="shared" ref="U39:U69" si="18">R39/$R$47*100</f>
        <v>6.8975922053231942E-2</v>
      </c>
      <c r="V39">
        <f t="shared" ref="V39:V69" si="19">U39*SQRT(S39^2/R39^2+$S$47^2/$R$47^2)</f>
        <v>7.6305336404944172E-3</v>
      </c>
      <c r="W39">
        <f t="shared" ref="W39:W69" si="20">U39*SQRT(T39^2/R39^2+$T$47^2/$R$47^2)</f>
        <v>7.8990692446366684E-3</v>
      </c>
      <c r="X39">
        <v>258.40461749319377</v>
      </c>
    </row>
    <row r="40" spans="1:30" x14ac:dyDescent="0.3">
      <c r="A40" s="6">
        <v>834</v>
      </c>
      <c r="B40" s="143" t="s">
        <v>234</v>
      </c>
      <c r="C40" s="143"/>
      <c r="D40" s="11"/>
      <c r="E40" s="155"/>
      <c r="F40" s="88"/>
      <c r="G40">
        <v>740</v>
      </c>
      <c r="H40" s="103">
        <v>102.15920782831415</v>
      </c>
      <c r="I40" s="103">
        <v>0</v>
      </c>
      <c r="J40" s="103">
        <v>31.642033836011301</v>
      </c>
      <c r="K40" s="103">
        <v>0</v>
      </c>
      <c r="L40">
        <f>H40</f>
        <v>102.15920782831415</v>
      </c>
      <c r="M40">
        <f t="shared" si="14"/>
        <v>31.642033836011301</v>
      </c>
      <c r="N40">
        <f t="shared" ref="N40:N69" si="21">M40/L40</f>
        <v>0.30973256849434461</v>
      </c>
      <c r="O40" s="103">
        <v>0.94</v>
      </c>
      <c r="P40" s="103">
        <v>0.01</v>
      </c>
      <c r="Q40" s="103">
        <v>0.01</v>
      </c>
      <c r="R40">
        <f t="shared" si="15"/>
        <v>108.68000832799379</v>
      </c>
      <c r="S40">
        <f t="shared" si="16"/>
        <v>33.681587599981206</v>
      </c>
      <c r="T40">
        <f t="shared" si="17"/>
        <v>33.681587599981206</v>
      </c>
      <c r="U40">
        <f t="shared" si="18"/>
        <v>2.7448933662307939E-3</v>
      </c>
      <c r="V40">
        <f t="shared" si="19"/>
        <v>8.7948178768253703E-4</v>
      </c>
      <c r="W40">
        <f t="shared" si="20"/>
        <v>8.8322838691762121E-4</v>
      </c>
      <c r="X40">
        <v>740</v>
      </c>
    </row>
    <row r="41" spans="1:30" x14ac:dyDescent="0.3">
      <c r="A41" s="6">
        <v>869</v>
      </c>
      <c r="B41" s="143" t="s">
        <v>234</v>
      </c>
      <c r="C41" s="143"/>
      <c r="D41" s="11"/>
      <c r="E41" s="155"/>
      <c r="F41" s="88"/>
      <c r="G41">
        <v>806.22240657876443</v>
      </c>
      <c r="H41" s="26">
        <v>0</v>
      </c>
      <c r="I41" s="26">
        <f>B63</f>
        <v>565200</v>
      </c>
      <c r="J41" s="26">
        <f>D64</f>
        <v>1967.2213119016376</v>
      </c>
      <c r="K41" s="26">
        <v>0</v>
      </c>
      <c r="L41">
        <f>I41</f>
        <v>565200</v>
      </c>
      <c r="M41">
        <f t="shared" si="14"/>
        <v>1967.2213119016376</v>
      </c>
      <c r="N41">
        <f t="shared" si="21"/>
        <v>3.4805755695358062E-3</v>
      </c>
      <c r="O41">
        <v>0.92530000000000001</v>
      </c>
      <c r="P41">
        <v>4.7970407544651997E-2</v>
      </c>
      <c r="Q41">
        <v>4.4644372545708348E-2</v>
      </c>
      <c r="R41">
        <f t="shared" si="15"/>
        <v>610828.92035015672</v>
      </c>
      <c r="S41">
        <f t="shared" si="16"/>
        <v>31738.543621533128</v>
      </c>
      <c r="T41">
        <f t="shared" si="17"/>
        <v>29548.187584969619</v>
      </c>
      <c r="U41">
        <f t="shared" si="18"/>
        <v>15.427494689832381</v>
      </c>
      <c r="V41">
        <f t="shared" si="19"/>
        <v>1.4887919134347216</v>
      </c>
      <c r="W41">
        <f t="shared" si="20"/>
        <v>1.5295394738257475</v>
      </c>
      <c r="X41">
        <v>806.22240657876443</v>
      </c>
    </row>
    <row r="42" spans="1:30" x14ac:dyDescent="0.3">
      <c r="A42" s="6">
        <v>906</v>
      </c>
      <c r="B42">
        <v>230500</v>
      </c>
      <c r="C42">
        <v>519.79999999999995</v>
      </c>
      <c r="E42" s="155"/>
      <c r="F42" s="88"/>
      <c r="G42">
        <v>834.13010526802941</v>
      </c>
      <c r="H42" s="103">
        <v>3765.9426148484863</v>
      </c>
      <c r="I42" s="103">
        <v>0</v>
      </c>
      <c r="J42" s="103">
        <v>578.49621591582502</v>
      </c>
      <c r="K42" s="103">
        <v>0</v>
      </c>
      <c r="L42">
        <f>H42</f>
        <v>3765.9426148484863</v>
      </c>
      <c r="M42">
        <f t="shared" si="14"/>
        <v>578.49621591582502</v>
      </c>
      <c r="N42">
        <f t="shared" si="21"/>
        <v>0.15361259452943082</v>
      </c>
      <c r="O42">
        <v>0.90769999999999995</v>
      </c>
      <c r="P42">
        <v>4.8342631289577109E-2</v>
      </c>
      <c r="Q42">
        <v>5.0305168720520162E-2</v>
      </c>
      <c r="R42">
        <f t="shared" si="15"/>
        <v>4148.884669878249</v>
      </c>
      <c r="S42">
        <f t="shared" si="16"/>
        <v>674.53878386781582</v>
      </c>
      <c r="T42">
        <f t="shared" si="17"/>
        <v>677.53025309591658</v>
      </c>
      <c r="U42">
        <f t="shared" si="18"/>
        <v>0.10478694456146871</v>
      </c>
      <c r="V42">
        <f t="shared" si="19"/>
        <v>1.9048813419364163E-2</v>
      </c>
      <c r="W42">
        <f t="shared" si="20"/>
        <v>1.9366516427176787E-2</v>
      </c>
      <c r="X42">
        <v>834.13010526802941</v>
      </c>
    </row>
    <row r="43" spans="1:30" x14ac:dyDescent="0.3">
      <c r="A43" s="6">
        <v>958</v>
      </c>
      <c r="B43" s="143" t="s">
        <v>234</v>
      </c>
      <c r="C43" s="143"/>
      <c r="D43" s="11"/>
      <c r="E43" s="155"/>
      <c r="F43" s="88"/>
      <c r="G43">
        <v>870.30675171707651</v>
      </c>
      <c r="H43" s="104">
        <v>1221.259382596892</v>
      </c>
      <c r="I43" s="104">
        <v>0</v>
      </c>
      <c r="J43" s="104">
        <v>501.75506553003254</v>
      </c>
      <c r="K43" s="104">
        <v>0</v>
      </c>
      <c r="L43">
        <f>H43</f>
        <v>1221.259382596892</v>
      </c>
      <c r="M43">
        <f t="shared" si="14"/>
        <v>501.75506553003254</v>
      </c>
      <c r="N43">
        <f t="shared" si="21"/>
        <v>0.41085053075547151</v>
      </c>
      <c r="O43">
        <v>0.88859999999999995</v>
      </c>
      <c r="P43">
        <v>5.274438358725974E-2</v>
      </c>
      <c r="Q43">
        <v>6.1423529693432719E-2</v>
      </c>
      <c r="R43">
        <f t="shared" si="15"/>
        <v>1374.3634735504074</v>
      </c>
      <c r="S43">
        <f t="shared" si="16"/>
        <v>570.52040950168396</v>
      </c>
      <c r="T43">
        <f t="shared" si="17"/>
        <v>572.59399504446344</v>
      </c>
      <c r="U43">
        <f t="shared" si="18"/>
        <v>3.4711822711249361E-2</v>
      </c>
      <c r="V43">
        <f t="shared" si="19"/>
        <v>1.4683318179441325E-2</v>
      </c>
      <c r="W43">
        <f t="shared" si="20"/>
        <v>1.4770511639338209E-2</v>
      </c>
      <c r="X43">
        <v>870.30675171707651</v>
      </c>
    </row>
    <row r="44" spans="1:30" x14ac:dyDescent="0.3">
      <c r="A44" s="6">
        <v>973</v>
      </c>
      <c r="B44" s="143" t="s">
        <v>234</v>
      </c>
      <c r="C44" s="143"/>
      <c r="D44" s="11"/>
      <c r="E44" s="155"/>
      <c r="F44" s="88"/>
      <c r="G44">
        <v>906.48339816612372</v>
      </c>
      <c r="H44" s="26">
        <v>0</v>
      </c>
      <c r="I44" s="26">
        <f>B66</f>
        <v>229400</v>
      </c>
      <c r="J44" s="26">
        <f>D67</f>
        <v>1225.6624168179426</v>
      </c>
      <c r="K44" s="26">
        <v>0</v>
      </c>
      <c r="L44">
        <f>I44</f>
        <v>229400</v>
      </c>
      <c r="M44">
        <f t="shared" si="14"/>
        <v>1225.6624168179426</v>
      </c>
      <c r="N44">
        <f t="shared" si="21"/>
        <v>5.3429050427983545E-3</v>
      </c>
      <c r="O44">
        <v>0.873</v>
      </c>
      <c r="P44">
        <v>5.8740871631258636E-2</v>
      </c>
      <c r="Q44">
        <v>5.6964287057769826E-2</v>
      </c>
      <c r="R44">
        <f t="shared" si="15"/>
        <v>262772.05040091637</v>
      </c>
      <c r="S44">
        <f t="shared" si="16"/>
        <v>17736.592285106548</v>
      </c>
      <c r="T44">
        <f t="shared" si="17"/>
        <v>17203.572272433496</v>
      </c>
      <c r="U44">
        <f t="shared" si="18"/>
        <v>6.636742755848239</v>
      </c>
      <c r="V44">
        <f t="shared" si="19"/>
        <v>0.70139087386069121</v>
      </c>
      <c r="W44">
        <f t="shared" si="20"/>
        <v>0.72019236714684998</v>
      </c>
      <c r="X44">
        <v>906.48339816612372</v>
      </c>
    </row>
    <row r="45" spans="1:30" x14ac:dyDescent="0.3">
      <c r="A45" s="6">
        <v>1026</v>
      </c>
      <c r="B45">
        <v>3159000</v>
      </c>
      <c r="C45">
        <v>1797</v>
      </c>
      <c r="E45" s="155"/>
      <c r="F45" s="88"/>
      <c r="G45">
        <v>958.16432166476238</v>
      </c>
      <c r="H45" s="104">
        <v>1382.6759582290808</v>
      </c>
      <c r="I45" s="104">
        <v>0</v>
      </c>
      <c r="J45" s="104">
        <v>260.73253440089508</v>
      </c>
      <c r="K45" s="104">
        <v>0</v>
      </c>
      <c r="L45">
        <f>H45</f>
        <v>1382.6759582290808</v>
      </c>
      <c r="M45">
        <f t="shared" si="14"/>
        <v>260.73253440089508</v>
      </c>
      <c r="N45">
        <f t="shared" si="21"/>
        <v>0.18857096114901645</v>
      </c>
      <c r="O45">
        <v>0.83899999999999997</v>
      </c>
      <c r="P45">
        <v>5.2413738656958996E-2</v>
      </c>
      <c r="Q45">
        <v>6.723243264972642E-2</v>
      </c>
      <c r="R45">
        <f t="shared" si="15"/>
        <v>1648.0047177938986</v>
      </c>
      <c r="S45">
        <f t="shared" si="16"/>
        <v>327.37570398018738</v>
      </c>
      <c r="T45">
        <f t="shared" si="17"/>
        <v>337.6619167038902</v>
      </c>
      <c r="U45">
        <f t="shared" si="18"/>
        <v>4.1623084935155784E-2</v>
      </c>
      <c r="V45">
        <f t="shared" si="19"/>
        <v>8.9343960954909821E-3</v>
      </c>
      <c r="W45">
        <f t="shared" si="20"/>
        <v>9.2577368341010824E-3</v>
      </c>
      <c r="X45">
        <v>958.16432166476238</v>
      </c>
    </row>
    <row r="46" spans="1:30" x14ac:dyDescent="0.3">
      <c r="A46" s="6">
        <v>1066</v>
      </c>
      <c r="B46" s="143" t="s">
        <v>234</v>
      </c>
      <c r="C46" s="143"/>
      <c r="D46" s="11"/>
      <c r="E46" s="155"/>
      <c r="F46" s="88"/>
      <c r="G46">
        <v>972.63498024438127</v>
      </c>
      <c r="H46" s="103">
        <v>10947.444591407169</v>
      </c>
      <c r="I46" s="103">
        <v>0</v>
      </c>
      <c r="J46" s="103">
        <v>1495.9742405925938</v>
      </c>
      <c r="K46" s="103">
        <v>0</v>
      </c>
      <c r="L46">
        <f>H46</f>
        <v>10947.444591407169</v>
      </c>
      <c r="M46">
        <f t="shared" si="14"/>
        <v>1495.9742405925938</v>
      </c>
      <c r="N46">
        <f t="shared" si="21"/>
        <v>0.13665054233449225</v>
      </c>
      <c r="O46">
        <v>0.83</v>
      </c>
      <c r="P46">
        <v>6.7317902522285991E-2</v>
      </c>
      <c r="Q46">
        <v>7.25727910445782E-2</v>
      </c>
      <c r="R46">
        <f t="shared" si="15"/>
        <v>13189.692278803819</v>
      </c>
      <c r="S46">
        <f t="shared" si="16"/>
        <v>2095.9387539412346</v>
      </c>
      <c r="T46">
        <f t="shared" si="17"/>
        <v>2139.765561544024</v>
      </c>
      <c r="U46">
        <f t="shared" si="18"/>
        <v>0.33312749415191778</v>
      </c>
      <c r="V46">
        <f t="shared" si="19"/>
        <v>5.9465313058691502E-2</v>
      </c>
      <c r="W46">
        <f t="shared" si="20"/>
        <v>6.1252047776504108E-2</v>
      </c>
      <c r="X46">
        <v>972.63498024438127</v>
      </c>
    </row>
    <row r="47" spans="1:30" x14ac:dyDescent="0.3">
      <c r="A47" s="47">
        <v>1138</v>
      </c>
      <c r="B47" s="158" t="s">
        <v>234</v>
      </c>
      <c r="C47" s="158"/>
      <c r="D47" s="89"/>
      <c r="E47" s="155"/>
      <c r="F47" s="88"/>
      <c r="G47">
        <v>1025.3495222129927</v>
      </c>
      <c r="H47" s="26">
        <v>0</v>
      </c>
      <c r="I47" s="26">
        <f>B69</f>
        <v>3156000</v>
      </c>
      <c r="J47" s="26">
        <f>D70</f>
        <v>3511.498967677479</v>
      </c>
      <c r="K47" s="26">
        <v>0</v>
      </c>
      <c r="L47">
        <f>I47</f>
        <v>3156000</v>
      </c>
      <c r="M47">
        <f>SQRT(J47^2+K47^2)</f>
        <v>3511.498967677479</v>
      </c>
      <c r="N47">
        <f t="shared" si="21"/>
        <v>1.1126422584529401E-3</v>
      </c>
      <c r="O47">
        <v>0.79710000000000003</v>
      </c>
      <c r="P47">
        <v>6.4813964544687463E-2</v>
      </c>
      <c r="Q47">
        <v>6.8976590231759075E-2</v>
      </c>
      <c r="R47">
        <f>L47/O47</f>
        <v>3959352.6533684605</v>
      </c>
      <c r="S47">
        <f t="shared" si="16"/>
        <v>321973.86314313579</v>
      </c>
      <c r="T47">
        <f>R47*SQRT(Q47^2/O47^2+M47^2/L47^2)</f>
        <v>342648.6258884733</v>
      </c>
      <c r="U47">
        <f>R47/$R$47*100</f>
        <v>100</v>
      </c>
      <c r="V47">
        <f t="shared" si="19"/>
        <v>11.500359878256775</v>
      </c>
      <c r="W47">
        <f t="shared" si="20"/>
        <v>12.238827310513086</v>
      </c>
      <c r="X47">
        <v>1025.3495222129927</v>
      </c>
    </row>
    <row r="48" spans="1:30" x14ac:dyDescent="0.3">
      <c r="A48" s="21">
        <v>1225</v>
      </c>
      <c r="B48" s="17">
        <v>45020</v>
      </c>
      <c r="C48" s="17">
        <v>279.8</v>
      </c>
      <c r="D48" s="17"/>
      <c r="E48" s="155"/>
      <c r="F48" s="88"/>
      <c r="G48">
        <v>1060</v>
      </c>
      <c r="H48" s="26">
        <f>AB34</f>
        <v>1185.7765194357892</v>
      </c>
      <c r="I48" s="26">
        <v>0</v>
      </c>
      <c r="J48" s="26">
        <f>AC34</f>
        <v>1141.9747958599678</v>
      </c>
      <c r="K48" s="26">
        <v>0</v>
      </c>
      <c r="L48">
        <f>H48</f>
        <v>1185.7765194357892</v>
      </c>
      <c r="M48">
        <f>SQRT(J48^2+K48^2)</f>
        <v>1141.9747958599678</v>
      </c>
      <c r="N48">
        <f t="shared" si="21"/>
        <v>0.96306072615043603</v>
      </c>
      <c r="O48">
        <f>O49</f>
        <v>0.76439999999999997</v>
      </c>
      <c r="P48">
        <v>6.221133337262591E-2</v>
      </c>
      <c r="Q48">
        <v>7.8980630536860122E-2</v>
      </c>
      <c r="R48">
        <f>L48/O48</f>
        <v>1551.2513336417965</v>
      </c>
      <c r="S48">
        <f t="shared" si="16"/>
        <v>1499.274275524788</v>
      </c>
      <c r="T48">
        <f>R48*SQRT(Q48^2/O48^2+M48^2/L48^2)</f>
        <v>1502.5226531467433</v>
      </c>
      <c r="U48">
        <f>R48/$R$47*100</f>
        <v>3.9179418189032825E-2</v>
      </c>
      <c r="V48">
        <f t="shared" si="19"/>
        <v>3.8000451375344996E-2</v>
      </c>
      <c r="W48">
        <f t="shared" si="20"/>
        <v>3.8099867885097692E-2</v>
      </c>
      <c r="X48">
        <v>1060</v>
      </c>
    </row>
    <row r="49" spans="1:24" x14ac:dyDescent="0.3">
      <c r="A49" s="22">
        <v>1319</v>
      </c>
      <c r="B49" s="159" t="s">
        <v>234</v>
      </c>
      <c r="C49" s="159"/>
      <c r="D49" s="90"/>
      <c r="E49" s="165" t="s">
        <v>235</v>
      </c>
      <c r="F49" s="92"/>
      <c r="G49">
        <v>1065.6606425419311</v>
      </c>
      <c r="H49" s="104">
        <v>6185.701236615334</v>
      </c>
      <c r="I49" s="104">
        <v>0</v>
      </c>
      <c r="J49" s="104">
        <v>1592.8870638344563</v>
      </c>
      <c r="K49" s="104">
        <v>0</v>
      </c>
      <c r="L49">
        <f>H49</f>
        <v>6185.701236615334</v>
      </c>
      <c r="M49">
        <f t="shared" si="14"/>
        <v>1592.8870638344563</v>
      </c>
      <c r="N49">
        <f t="shared" si="21"/>
        <v>0.25751115401526337</v>
      </c>
      <c r="O49">
        <v>0.76439999999999997</v>
      </c>
      <c r="P49">
        <v>6.221133337262591E-2</v>
      </c>
      <c r="Q49">
        <v>7.8980630536860122E-2</v>
      </c>
      <c r="R49">
        <f t="shared" si="15"/>
        <v>8092.2308171315208</v>
      </c>
      <c r="S49">
        <f t="shared" si="16"/>
        <v>2185.4364746618862</v>
      </c>
      <c r="T49">
        <f t="shared" si="17"/>
        <v>2245.3247301187571</v>
      </c>
      <c r="U49">
        <f t="shared" si="18"/>
        <v>0.20438267377489022</v>
      </c>
      <c r="V49">
        <f t="shared" si="19"/>
        <v>5.7644814357174765E-2</v>
      </c>
      <c r="W49">
        <f t="shared" si="20"/>
        <v>5.9403754540627435E-2</v>
      </c>
      <c r="X49">
        <v>1065.6606425419311</v>
      </c>
    </row>
    <row r="50" spans="1:24" x14ac:dyDescent="0.3">
      <c r="A50" s="154" t="s">
        <v>236</v>
      </c>
      <c r="B50" s="143"/>
      <c r="C50" s="143"/>
      <c r="D50" s="11"/>
      <c r="E50" s="165"/>
      <c r="F50" s="92"/>
      <c r="G50">
        <v>1138.0139354400253</v>
      </c>
      <c r="H50" s="103">
        <v>10689.680437359266</v>
      </c>
      <c r="I50" s="103">
        <f>B83</f>
        <v>15190</v>
      </c>
      <c r="J50" s="103">
        <v>911.07076437549892</v>
      </c>
      <c r="K50" s="103">
        <f t="shared" ref="K50:K55" si="22">ABS(H50-I50)</f>
        <v>4500.3195626407341</v>
      </c>
      <c r="L50">
        <f>H50</f>
        <v>10689.680437359266</v>
      </c>
      <c r="M50">
        <f t="shared" si="14"/>
        <v>4591.6147599277801</v>
      </c>
      <c r="N50">
        <f t="shared" si="21"/>
        <v>0.42953713975214713</v>
      </c>
      <c r="O50">
        <v>0.7127</v>
      </c>
      <c r="P50">
        <v>6.7425291990468941E-2</v>
      </c>
      <c r="Q50">
        <v>8.9594642696982682E-2</v>
      </c>
      <c r="R50">
        <f t="shared" si="15"/>
        <v>14998.850059434917</v>
      </c>
      <c r="S50">
        <f t="shared" si="16"/>
        <v>6596.9768473030781</v>
      </c>
      <c r="T50">
        <f t="shared" si="17"/>
        <v>6712.8116389404968</v>
      </c>
      <c r="U50">
        <f t="shared" si="18"/>
        <v>0.37882076623496747</v>
      </c>
      <c r="V50">
        <f t="shared" si="19"/>
        <v>0.16944143292271893</v>
      </c>
      <c r="W50">
        <f t="shared" si="20"/>
        <v>0.1726836919278785</v>
      </c>
      <c r="X50">
        <v>1138.0139354400253</v>
      </c>
    </row>
    <row r="51" spans="1:24" x14ac:dyDescent="0.3">
      <c r="A51" s="6">
        <v>806</v>
      </c>
      <c r="B51">
        <v>563600</v>
      </c>
      <c r="C51">
        <v>795.9</v>
      </c>
      <c r="E51" s="165"/>
      <c r="F51" s="92"/>
      <c r="G51">
        <v>1217.6025576279289</v>
      </c>
      <c r="H51" s="104">
        <v>7460.6617090124073</v>
      </c>
      <c r="I51" s="104">
        <f>I75</f>
        <v>5922.8558031308239</v>
      </c>
      <c r="J51" s="104">
        <v>1354.303662600018</v>
      </c>
      <c r="K51" s="103">
        <f t="shared" si="22"/>
        <v>1537.8059058815834</v>
      </c>
      <c r="L51">
        <f>H51</f>
        <v>7460.6617090124073</v>
      </c>
      <c r="M51">
        <f t="shared" si="14"/>
        <v>2049.1426047730552</v>
      </c>
      <c r="N51">
        <f t="shared" si="21"/>
        <v>0.2746596327102877</v>
      </c>
      <c r="O51">
        <v>0.65410000000000001</v>
      </c>
      <c r="P51">
        <v>7.2454192425283503E-2</v>
      </c>
      <c r="Q51">
        <v>8.6281052381157214E-2</v>
      </c>
      <c r="R51">
        <f t="shared" si="15"/>
        <v>11405.995580205485</v>
      </c>
      <c r="S51">
        <f t="shared" si="16"/>
        <v>3377.9419541388561</v>
      </c>
      <c r="T51">
        <f t="shared" si="17"/>
        <v>3475.3236794034142</v>
      </c>
      <c r="U51">
        <f t="shared" si="18"/>
        <v>0.28807728380804154</v>
      </c>
      <c r="V51">
        <f t="shared" si="19"/>
        <v>8.8473342796936277E-2</v>
      </c>
      <c r="W51">
        <f t="shared" si="20"/>
        <v>9.124690097459677E-2</v>
      </c>
      <c r="X51">
        <v>1217.6025576279289</v>
      </c>
    </row>
    <row r="52" spans="1:24" x14ac:dyDescent="0.3">
      <c r="A52" s="6">
        <v>834</v>
      </c>
      <c r="B52" s="143" t="s">
        <v>234</v>
      </c>
      <c r="C52" s="143"/>
      <c r="D52" s="11"/>
      <c r="E52" s="165"/>
      <c r="F52" s="92"/>
      <c r="G52">
        <v>1223.8042684477655</v>
      </c>
      <c r="H52" s="103">
        <v>8144.3100988910846</v>
      </c>
      <c r="I52" s="103">
        <f>I76</f>
        <v>6465.5892752037653</v>
      </c>
      <c r="J52" s="103">
        <v>766.4266131104489</v>
      </c>
      <c r="K52" s="103">
        <f t="shared" si="22"/>
        <v>1678.7208236873194</v>
      </c>
      <c r="L52">
        <v>1.48975160155004</v>
      </c>
      <c r="M52">
        <f t="shared" si="14"/>
        <v>1845.4033047454384</v>
      </c>
      <c r="N52">
        <f t="shared" si="21"/>
        <v>1238.7322173880223</v>
      </c>
      <c r="O52">
        <v>0.64980000000000004</v>
      </c>
      <c r="P52">
        <v>7.7126519433979371E-2</v>
      </c>
      <c r="Q52">
        <v>8.3991487663929387E-2</v>
      </c>
      <c r="R52">
        <f t="shared" si="15"/>
        <v>2.2926309657587565</v>
      </c>
      <c r="S52">
        <f t="shared" si="16"/>
        <v>2839.9558529037008</v>
      </c>
      <c r="T52">
        <f t="shared" si="17"/>
        <v>2839.9558553277971</v>
      </c>
      <c r="U52">
        <f t="shared" si="18"/>
        <v>5.7904187034420307E-5</v>
      </c>
      <c r="V52">
        <f t="shared" si="19"/>
        <v>7.1727782485026439E-2</v>
      </c>
      <c r="W52">
        <f t="shared" si="20"/>
        <v>7.1727782566737591E-2</v>
      </c>
      <c r="X52">
        <v>1223.8042684477655</v>
      </c>
    </row>
    <row r="53" spans="1:24" s="40" customFormat="1" x14ac:dyDescent="0.3">
      <c r="A53" s="107">
        <v>869</v>
      </c>
      <c r="B53" s="167" t="s">
        <v>234</v>
      </c>
      <c r="C53" s="167"/>
      <c r="D53" s="108"/>
      <c r="E53" s="165"/>
      <c r="F53" s="109"/>
      <c r="G53">
        <v>1228.9723607976296</v>
      </c>
      <c r="H53" s="103">
        <v>39327.896380115882</v>
      </c>
      <c r="I53" s="103">
        <f>I77</f>
        <v>31221.554921665411</v>
      </c>
      <c r="J53" s="103">
        <v>5033.0060772630295</v>
      </c>
      <c r="K53" s="103">
        <f t="shared" si="22"/>
        <v>8106.3414584504717</v>
      </c>
      <c r="L53">
        <f>H53</f>
        <v>39327.896380115882</v>
      </c>
      <c r="M53">
        <f t="shared" si="14"/>
        <v>9541.6938755526789</v>
      </c>
      <c r="N53">
        <f t="shared" si="21"/>
        <v>0.24261897415842823</v>
      </c>
      <c r="O53">
        <v>0.64029999999999998</v>
      </c>
      <c r="P53">
        <v>6.74759216313493E-2</v>
      </c>
      <c r="Q53">
        <v>9.1849060964171017E-2</v>
      </c>
      <c r="R53">
        <f t="shared" si="15"/>
        <v>61421.046978160055</v>
      </c>
      <c r="S53">
        <f t="shared" si="16"/>
        <v>16246.914836074913</v>
      </c>
      <c r="T53">
        <f t="shared" si="17"/>
        <v>17311.692299648945</v>
      </c>
      <c r="U53">
        <f t="shared" si="18"/>
        <v>1.5512901313780538</v>
      </c>
      <c r="V53">
        <f t="shared" si="19"/>
        <v>0.42929607621152616</v>
      </c>
      <c r="W53">
        <f t="shared" si="20"/>
        <v>0.45738186597349162</v>
      </c>
      <c r="X53">
        <v>1228.9723607976296</v>
      </c>
    </row>
    <row r="54" spans="1:24" x14ac:dyDescent="0.3">
      <c r="A54" s="6">
        <v>906</v>
      </c>
      <c r="B54">
        <v>228900</v>
      </c>
      <c r="C54">
        <v>536.6</v>
      </c>
      <c r="E54" s="165"/>
      <c r="F54" s="92"/>
      <c r="G54" s="40">
        <v>1318.8971676852609</v>
      </c>
      <c r="H54" s="110">
        <v>6606.8564500542961</v>
      </c>
      <c r="I54" s="110">
        <f>C127</f>
        <v>9596</v>
      </c>
      <c r="J54" s="110">
        <v>739.10714496061667</v>
      </c>
      <c r="K54" s="110">
        <f t="shared" si="22"/>
        <v>2989.1435499457039</v>
      </c>
      <c r="L54">
        <f>H54</f>
        <v>6606.8564500542961</v>
      </c>
      <c r="M54" s="40">
        <f t="shared" si="14"/>
        <v>3079.1652332919452</v>
      </c>
      <c r="N54" s="40">
        <f t="shared" si="21"/>
        <v>0.46605602173581961</v>
      </c>
      <c r="O54" s="40">
        <v>0.56820000000000004</v>
      </c>
      <c r="P54" s="40">
        <v>7.3384262618084603E-2</v>
      </c>
      <c r="Q54" s="40">
        <v>7.686676785191375E-2</v>
      </c>
      <c r="R54" s="40">
        <f t="shared" si="15"/>
        <v>11627.695265847053</v>
      </c>
      <c r="S54" s="40">
        <f t="shared" si="16"/>
        <v>5623.3883147324141</v>
      </c>
      <c r="T54" s="40">
        <f t="shared" si="17"/>
        <v>5642.8381346600254</v>
      </c>
      <c r="U54" s="40">
        <f t="shared" si="18"/>
        <v>0.2936766760585135</v>
      </c>
      <c r="V54">
        <f t="shared" si="19"/>
        <v>0.14402181223074131</v>
      </c>
      <c r="W54">
        <f t="shared" si="20"/>
        <v>0.14476760645271011</v>
      </c>
      <c r="X54" s="40">
        <v>1318.8971676852609</v>
      </c>
    </row>
    <row r="55" spans="1:24" x14ac:dyDescent="0.3">
      <c r="A55" s="6">
        <v>958</v>
      </c>
      <c r="B55" s="143" t="s">
        <v>234</v>
      </c>
      <c r="C55" s="143"/>
      <c r="D55" s="11"/>
      <c r="E55" s="165"/>
      <c r="F55" s="92"/>
      <c r="G55">
        <v>1380.9142758836274</v>
      </c>
      <c r="H55" s="103">
        <v>13641.743633197239</v>
      </c>
      <c r="I55" s="103">
        <f>C128</f>
        <v>13660</v>
      </c>
      <c r="J55" s="103">
        <v>1705.7736901874362</v>
      </c>
      <c r="K55" s="103">
        <f t="shared" si="22"/>
        <v>18.256366802761477</v>
      </c>
      <c r="L55">
        <f>H55</f>
        <v>13641.743633197239</v>
      </c>
      <c r="M55">
        <f t="shared" si="14"/>
        <v>1705.8713835059491</v>
      </c>
      <c r="N55">
        <f t="shared" si="21"/>
        <v>0.12504789925495333</v>
      </c>
      <c r="O55">
        <v>0.50509999999999999</v>
      </c>
      <c r="P55">
        <v>6.0815869639428824E-2</v>
      </c>
      <c r="Q55">
        <v>8.4598463343018279E-2</v>
      </c>
      <c r="R55">
        <f>L55/O55</f>
        <v>27008.005609180833</v>
      </c>
      <c r="S55">
        <f t="shared" si="16"/>
        <v>4688.3602450899816</v>
      </c>
      <c r="T55">
        <f t="shared" si="17"/>
        <v>5645.2152012230708</v>
      </c>
      <c r="U55">
        <f t="shared" si="18"/>
        <v>0.68213185269575549</v>
      </c>
      <c r="V55">
        <f t="shared" si="19"/>
        <v>0.13076117693332834</v>
      </c>
      <c r="W55">
        <f t="shared" si="20"/>
        <v>0.15431691174147641</v>
      </c>
      <c r="X55">
        <v>1380.9142758836274</v>
      </c>
    </row>
    <row r="56" spans="1:24" x14ac:dyDescent="0.3">
      <c r="A56" s="6">
        <v>973</v>
      </c>
      <c r="B56" s="143" t="s">
        <v>234</v>
      </c>
      <c r="C56" s="143"/>
      <c r="D56" s="11"/>
      <c r="E56" s="165"/>
      <c r="F56" s="92"/>
      <c r="G56">
        <v>1574.2009297685363</v>
      </c>
      <c r="H56" s="103">
        <v>0</v>
      </c>
      <c r="I56" s="26">
        <f>H92</f>
        <v>150200</v>
      </c>
      <c r="J56" s="26">
        <f>J93</f>
        <v>2847.3846403322473</v>
      </c>
      <c r="K56" s="103">
        <v>0</v>
      </c>
      <c r="L56">
        <f>I56</f>
        <v>150200</v>
      </c>
      <c r="M56">
        <f t="shared" si="14"/>
        <v>2847.3846403322473</v>
      </c>
      <c r="N56">
        <f t="shared" si="21"/>
        <v>1.8957287885034934E-2</v>
      </c>
      <c r="O56">
        <v>0.35189999999999999</v>
      </c>
      <c r="P56">
        <v>6.3972650406247805E-2</v>
      </c>
      <c r="Q56">
        <v>6.3474798148556597E-2</v>
      </c>
      <c r="R56">
        <f t="shared" si="15"/>
        <v>426825.80278488208</v>
      </c>
      <c r="S56">
        <f t="shared" si="16"/>
        <v>78014.319718865838</v>
      </c>
      <c r="T56">
        <f t="shared" si="17"/>
        <v>77413.747862191463</v>
      </c>
      <c r="U56">
        <f t="shared" si="18"/>
        <v>10.78019161596418</v>
      </c>
      <c r="V56">
        <f t="shared" si="19"/>
        <v>2.1565953449931712</v>
      </c>
      <c r="W56">
        <f t="shared" si="20"/>
        <v>2.1663846023278164</v>
      </c>
      <c r="X56">
        <v>1574.2009297685363</v>
      </c>
    </row>
    <row r="57" spans="1:24" x14ac:dyDescent="0.3">
      <c r="A57" s="6">
        <v>1026</v>
      </c>
      <c r="B57">
        <v>3151000</v>
      </c>
      <c r="C57">
        <v>1845</v>
      </c>
      <c r="E57" s="165"/>
      <c r="F57" s="92"/>
      <c r="G57">
        <v>1577.3017851784546</v>
      </c>
      <c r="H57" s="103">
        <v>13426.917517781108</v>
      </c>
      <c r="I57" s="103">
        <v>0</v>
      </c>
      <c r="J57" s="103">
        <v>1896.8721735716927</v>
      </c>
      <c r="K57" s="103">
        <v>0</v>
      </c>
      <c r="L57">
        <f>H57</f>
        <v>13426.917517781108</v>
      </c>
      <c r="M57">
        <f t="shared" si="14"/>
        <v>1896.8721735716927</v>
      </c>
      <c r="N57">
        <f t="shared" si="21"/>
        <v>0.14127383824766088</v>
      </c>
      <c r="O57">
        <v>0.34749999999999998</v>
      </c>
      <c r="P57">
        <v>6.3375231755000302E-2</v>
      </c>
      <c r="Q57">
        <v>6.0488428645485606E-2</v>
      </c>
      <c r="R57">
        <f t="shared" si="15"/>
        <v>38638.611561960024</v>
      </c>
      <c r="S57">
        <f t="shared" si="16"/>
        <v>8913.6231325946883</v>
      </c>
      <c r="T57">
        <f t="shared" si="17"/>
        <v>8662.0980346308133</v>
      </c>
      <c r="U57">
        <f t="shared" si="18"/>
        <v>0.97588204296699421</v>
      </c>
      <c r="V57">
        <f t="shared" si="19"/>
        <v>0.23870594845712242</v>
      </c>
      <c r="W57">
        <f t="shared" si="20"/>
        <v>0.23451078806486977</v>
      </c>
      <c r="X57">
        <v>1577.3017851784546</v>
      </c>
    </row>
    <row r="58" spans="1:24" x14ac:dyDescent="0.3">
      <c r="A58" s="6">
        <v>1066</v>
      </c>
      <c r="B58" s="143" t="s">
        <v>234</v>
      </c>
      <c r="C58" s="143"/>
      <c r="D58" s="11"/>
      <c r="E58" s="165"/>
      <c r="F58" s="92"/>
      <c r="G58">
        <v>1610.3775762175835</v>
      </c>
      <c r="H58" s="104">
        <v>27469.670813354238</v>
      </c>
      <c r="I58" s="104">
        <v>0</v>
      </c>
      <c r="J58" s="104">
        <v>4062.0739115801966</v>
      </c>
      <c r="K58" s="104">
        <v>0</v>
      </c>
      <c r="L58">
        <f>H58</f>
        <v>27469.670813354238</v>
      </c>
      <c r="M58">
        <f t="shared" si="14"/>
        <v>4062.0739115801966</v>
      </c>
      <c r="N58">
        <f t="shared" si="21"/>
        <v>0.14787486676416378</v>
      </c>
      <c r="O58">
        <v>0.31830000000000003</v>
      </c>
      <c r="P58">
        <v>5.3792285692281241E-2</v>
      </c>
      <c r="Q58">
        <v>6.3348007072046061E-2</v>
      </c>
      <c r="R58">
        <f t="shared" si="15"/>
        <v>86301.196397594205</v>
      </c>
      <c r="S58">
        <f t="shared" si="16"/>
        <v>19379.862509571125</v>
      </c>
      <c r="T58">
        <f t="shared" si="17"/>
        <v>21397.800455424473</v>
      </c>
      <c r="U58">
        <f t="shared" si="18"/>
        <v>2.1796794565438007</v>
      </c>
      <c r="V58">
        <f t="shared" si="19"/>
        <v>0.52057595325697037</v>
      </c>
      <c r="W58">
        <f t="shared" si="20"/>
        <v>0.57241099853491229</v>
      </c>
      <c r="X58">
        <v>1610.3775762175835</v>
      </c>
    </row>
    <row r="59" spans="1:24" x14ac:dyDescent="0.3">
      <c r="A59" s="47">
        <v>1138</v>
      </c>
      <c r="B59" s="48">
        <v>15510</v>
      </c>
      <c r="C59" s="48">
        <v>371.6</v>
      </c>
      <c r="D59" s="48"/>
      <c r="E59" s="165"/>
      <c r="F59" s="92"/>
      <c r="G59">
        <v>1652.7559334864673</v>
      </c>
      <c r="H59" s="103">
        <v>9288.1695463679171</v>
      </c>
      <c r="I59" s="103">
        <v>0</v>
      </c>
      <c r="J59" s="103">
        <v>1176.3856325853533</v>
      </c>
      <c r="K59" s="103">
        <v>0</v>
      </c>
      <c r="L59">
        <f>H59</f>
        <v>9288.1695463679171</v>
      </c>
      <c r="M59">
        <f t="shared" si="14"/>
        <v>1176.3856325853533</v>
      </c>
      <c r="N59">
        <f t="shared" si="21"/>
        <v>0.12665419453345056</v>
      </c>
      <c r="O59">
        <v>0.28899999999999998</v>
      </c>
      <c r="P59">
        <v>5.2876459790723487E-2</v>
      </c>
      <c r="Q59">
        <v>5.4866383150340828E-2</v>
      </c>
      <c r="R59">
        <f t="shared" si="15"/>
        <v>32138.994970131203</v>
      </c>
      <c r="S59">
        <f t="shared" si="16"/>
        <v>7151.6982400547167</v>
      </c>
      <c r="T59">
        <f t="shared" si="17"/>
        <v>7334.7324570640712</v>
      </c>
      <c r="U59">
        <f t="shared" si="18"/>
        <v>0.8117234756239412</v>
      </c>
      <c r="V59">
        <f t="shared" si="19"/>
        <v>0.1923114106809688</v>
      </c>
      <c r="W59">
        <f t="shared" si="20"/>
        <v>0.19812273088854546</v>
      </c>
      <c r="X59">
        <v>1652.7559334864673</v>
      </c>
    </row>
    <row r="60" spans="1:24" x14ac:dyDescent="0.3">
      <c r="A60" s="21">
        <v>1225</v>
      </c>
      <c r="B60" s="17">
        <v>41730</v>
      </c>
      <c r="C60" s="17">
        <v>398.9</v>
      </c>
      <c r="D60" s="17"/>
      <c r="E60" s="165"/>
      <c r="F60" s="92"/>
      <c r="G60">
        <v>1716.8402786247793</v>
      </c>
      <c r="H60" s="103">
        <v>8119.2197378420915</v>
      </c>
      <c r="I60" s="103">
        <v>0</v>
      </c>
      <c r="J60" s="103">
        <v>1164.031420671043</v>
      </c>
      <c r="K60" s="103">
        <v>0</v>
      </c>
      <c r="L60">
        <f>H60</f>
        <v>8119.2197378420915</v>
      </c>
      <c r="M60">
        <f t="shared" si="14"/>
        <v>1164.031420671043</v>
      </c>
      <c r="N60">
        <f t="shared" si="21"/>
        <v>0.14336739960931477</v>
      </c>
      <c r="O60">
        <v>0.24360000000000001</v>
      </c>
      <c r="P60">
        <v>4.3079577528104901E-2</v>
      </c>
      <c r="Q60">
        <v>4.6061372102880284E-2</v>
      </c>
      <c r="R60">
        <f t="shared" si="15"/>
        <v>33330.130286708089</v>
      </c>
      <c r="S60">
        <f t="shared" si="16"/>
        <v>7587.8998700267703</v>
      </c>
      <c r="T60">
        <f t="shared" si="17"/>
        <v>7908.9921213256011</v>
      </c>
      <c r="U60">
        <f t="shared" si="18"/>
        <v>0.84180756817284585</v>
      </c>
      <c r="V60">
        <f t="shared" si="19"/>
        <v>0.20350421727386236</v>
      </c>
      <c r="W60">
        <f t="shared" si="20"/>
        <v>0.21262467192642759</v>
      </c>
      <c r="X60">
        <v>1716.8402786247793</v>
      </c>
    </row>
    <row r="61" spans="1:24" ht="15" thickBot="1" x14ac:dyDescent="0.35">
      <c r="A61" s="22">
        <v>1319</v>
      </c>
      <c r="B61" s="91">
        <v>1324</v>
      </c>
      <c r="C61" s="91">
        <v>324.10000000000002</v>
      </c>
      <c r="D61" s="91"/>
      <c r="E61" s="165" t="s">
        <v>239</v>
      </c>
      <c r="F61" s="92"/>
      <c r="G61">
        <v>1759.2186358936631</v>
      </c>
      <c r="H61" s="103">
        <v>0</v>
      </c>
      <c r="I61" s="26">
        <f>H97</f>
        <v>24250</v>
      </c>
      <c r="J61" s="26">
        <f>J98</f>
        <v>352.23243746140133</v>
      </c>
      <c r="K61" s="103">
        <v>0</v>
      </c>
      <c r="L61">
        <f>I61</f>
        <v>24250</v>
      </c>
      <c r="M61">
        <f t="shared" si="14"/>
        <v>352.23243746140133</v>
      </c>
      <c r="N61">
        <f t="shared" si="21"/>
        <v>1.4525048967480468E-2</v>
      </c>
      <c r="O61">
        <v>0.21260000000000001</v>
      </c>
      <c r="P61">
        <v>3.5598455022655129E-2</v>
      </c>
      <c r="Q61">
        <v>4.39414383014484E-2</v>
      </c>
      <c r="R61">
        <f t="shared" si="15"/>
        <v>114063.96989651928</v>
      </c>
      <c r="S61">
        <f t="shared" si="16"/>
        <v>19170.977686487993</v>
      </c>
      <c r="T61">
        <f t="shared" si="17"/>
        <v>23633.567182115476</v>
      </c>
      <c r="U61">
        <f t="shared" si="18"/>
        <v>2.8808742206753966</v>
      </c>
      <c r="V61">
        <f t="shared" si="19"/>
        <v>0.53789219484612794</v>
      </c>
      <c r="W61">
        <f t="shared" si="20"/>
        <v>0.64687985267184689</v>
      </c>
      <c r="X61">
        <v>1759.2186358936631</v>
      </c>
    </row>
    <row r="62" spans="1:24" x14ac:dyDescent="0.3">
      <c r="A62" s="166" t="s">
        <v>240</v>
      </c>
      <c r="B62" s="142"/>
      <c r="C62" s="142"/>
      <c r="D62" s="5"/>
      <c r="E62" s="165"/>
      <c r="F62" s="92"/>
      <c r="G62">
        <v>1821.2357440920296</v>
      </c>
      <c r="H62" s="103">
        <v>1774.4168312980048</v>
      </c>
      <c r="I62" s="103">
        <v>0</v>
      </c>
      <c r="J62" s="103">
        <v>305.08489401031841</v>
      </c>
      <c r="K62" s="103">
        <v>0</v>
      </c>
      <c r="L62">
        <f>H62</f>
        <v>1774.4168312980048</v>
      </c>
      <c r="M62">
        <f t="shared" si="14"/>
        <v>305.08489401031841</v>
      </c>
      <c r="N62">
        <f t="shared" si="21"/>
        <v>0.17193530213932065</v>
      </c>
      <c r="O62">
        <v>0.1822</v>
      </c>
      <c r="P62">
        <v>3.1197756329582431E-2</v>
      </c>
      <c r="Q62">
        <v>4.2617484674720062E-2</v>
      </c>
      <c r="R62">
        <f t="shared" si="15"/>
        <v>9738.8410060263705</v>
      </c>
      <c r="S62">
        <f t="shared" si="16"/>
        <v>2363.1655162025377</v>
      </c>
      <c r="T62">
        <f t="shared" si="17"/>
        <v>2827.1719724770578</v>
      </c>
      <c r="U62">
        <f t="shared" si="18"/>
        <v>0.24597053757616033</v>
      </c>
      <c r="V62">
        <f t="shared" si="19"/>
        <v>6.2948141430855517E-2</v>
      </c>
      <c r="W62">
        <f t="shared" si="20"/>
        <v>7.4510288111820297E-2</v>
      </c>
      <c r="X62">
        <v>1821.2357440920296</v>
      </c>
    </row>
    <row r="63" spans="1:24" x14ac:dyDescent="0.3">
      <c r="A63" s="6">
        <v>806</v>
      </c>
      <c r="B63">
        <v>565200</v>
      </c>
      <c r="C63">
        <v>793.7</v>
      </c>
      <c r="D63" s="10">
        <f>B39-B63</f>
        <v>1800</v>
      </c>
      <c r="E63" s="165"/>
      <c r="F63" s="92"/>
      <c r="G63">
        <v>1864.647719830886</v>
      </c>
      <c r="H63" s="104">
        <v>930.71098050043543</v>
      </c>
      <c r="I63" s="104">
        <v>0</v>
      </c>
      <c r="J63" s="104">
        <v>214.2870838634033</v>
      </c>
      <c r="K63" s="104">
        <v>0</v>
      </c>
      <c r="L63">
        <f>H63</f>
        <v>930.71098050043543</v>
      </c>
      <c r="M63">
        <f t="shared" si="14"/>
        <v>214.2870838634033</v>
      </c>
      <c r="N63">
        <f t="shared" si="21"/>
        <v>0.23024020168772796</v>
      </c>
      <c r="O63">
        <v>0.1653</v>
      </c>
      <c r="P63">
        <v>3.2459975354272842E-2</v>
      </c>
      <c r="Q63">
        <v>3.7524658559405968E-2</v>
      </c>
      <c r="R63">
        <f t="shared" si="15"/>
        <v>5630.435453723142</v>
      </c>
      <c r="S63">
        <f t="shared" si="16"/>
        <v>1703.8162985571994</v>
      </c>
      <c r="T63">
        <f t="shared" si="17"/>
        <v>1820.5021237468047</v>
      </c>
      <c r="U63">
        <f t="shared" si="18"/>
        <v>0.1422059600812014</v>
      </c>
      <c r="V63">
        <f t="shared" si="19"/>
        <v>4.4559432690799546E-2</v>
      </c>
      <c r="W63">
        <f t="shared" si="20"/>
        <v>4.7598286227752667E-2</v>
      </c>
      <c r="X63">
        <v>1864.647719830886</v>
      </c>
    </row>
    <row r="64" spans="1:24" x14ac:dyDescent="0.3">
      <c r="A64" s="6">
        <v>834</v>
      </c>
      <c r="B64" s="143" t="s">
        <v>234</v>
      </c>
      <c r="C64" s="143"/>
      <c r="D64" s="12">
        <f>SQRT(C63^2+D63^2)</f>
        <v>1967.2213119016376</v>
      </c>
      <c r="E64" s="165"/>
      <c r="F64" s="92"/>
      <c r="G64">
        <v>1871.8830491206954</v>
      </c>
      <c r="H64" s="103">
        <v>1388.4879516815579</v>
      </c>
      <c r="I64" s="103">
        <v>0</v>
      </c>
      <c r="J64" s="103">
        <v>264.0338127315473</v>
      </c>
      <c r="K64" s="103">
        <v>0</v>
      </c>
      <c r="L64">
        <f>H64</f>
        <v>1388.4879516815579</v>
      </c>
      <c r="M64">
        <f t="shared" si="14"/>
        <v>264.0338127315473</v>
      </c>
      <c r="N64">
        <f t="shared" si="21"/>
        <v>0.19015923934506132</v>
      </c>
      <c r="O64">
        <v>0.16170000000000001</v>
      </c>
      <c r="P64">
        <v>3.0562885989382633E-2</v>
      </c>
      <c r="Q64">
        <v>3.7613295521663599E-2</v>
      </c>
      <c r="R64">
        <f t="shared" si="15"/>
        <v>8586.8147908568826</v>
      </c>
      <c r="S64">
        <f t="shared" si="16"/>
        <v>2302.2472931894235</v>
      </c>
      <c r="T64">
        <f t="shared" si="17"/>
        <v>2579.8869216406915</v>
      </c>
      <c r="U64">
        <f t="shared" si="18"/>
        <v>0.21687421006945568</v>
      </c>
      <c r="V64">
        <f t="shared" si="19"/>
        <v>6.0762781018894714E-2</v>
      </c>
      <c r="W64">
        <f t="shared" si="20"/>
        <v>6.7808536051678026E-2</v>
      </c>
      <c r="X64">
        <v>1871.8830491206954</v>
      </c>
    </row>
    <row r="65" spans="1:24" x14ac:dyDescent="0.3">
      <c r="A65" s="6">
        <v>869</v>
      </c>
      <c r="B65" s="143" t="s">
        <v>234</v>
      </c>
      <c r="C65" s="143"/>
      <c r="D65" s="12"/>
      <c r="E65" s="165"/>
      <c r="F65" s="92"/>
      <c r="G65">
        <v>1889.4545631102326</v>
      </c>
      <c r="H65" s="103">
        <v>0</v>
      </c>
      <c r="I65" s="26">
        <f>H101</f>
        <v>42940</v>
      </c>
      <c r="J65" s="26">
        <f>J102</f>
        <v>263.55993625739103</v>
      </c>
      <c r="K65" s="103">
        <v>0</v>
      </c>
      <c r="L65">
        <f>I65</f>
        <v>42940</v>
      </c>
      <c r="M65">
        <f t="shared" si="14"/>
        <v>263.55993625739103</v>
      </c>
      <c r="N65">
        <f t="shared" si="21"/>
        <v>6.1378653064133913E-3</v>
      </c>
      <c r="O65">
        <v>0.1578</v>
      </c>
      <c r="P65">
        <v>2.5910615585122618E-2</v>
      </c>
      <c r="Q65">
        <v>2.9274562336608891E-2</v>
      </c>
      <c r="R65">
        <f t="shared" si="15"/>
        <v>272116.60329531052</v>
      </c>
      <c r="S65">
        <f t="shared" si="16"/>
        <v>44712.503174944257</v>
      </c>
      <c r="T65">
        <f t="shared" si="17"/>
        <v>50509.843104498897</v>
      </c>
      <c r="U65">
        <f t="shared" si="18"/>
        <v>6.8727548950155901</v>
      </c>
      <c r="V65">
        <f t="shared" si="19"/>
        <v>1.260020351550148</v>
      </c>
      <c r="W65">
        <f t="shared" si="20"/>
        <v>1.4075500641161978</v>
      </c>
      <c r="X65">
        <v>1889.4545631102326</v>
      </c>
    </row>
    <row r="66" spans="1:24" x14ac:dyDescent="0.3">
      <c r="A66" s="6">
        <v>906</v>
      </c>
      <c r="B66">
        <v>229400</v>
      </c>
      <c r="C66">
        <v>540.6</v>
      </c>
      <c r="D66" s="10">
        <f>B42-B66</f>
        <v>1100</v>
      </c>
      <c r="E66" s="165"/>
      <c r="F66" s="92"/>
      <c r="G66">
        <v>2145.7919436634807</v>
      </c>
      <c r="H66" s="104">
        <v>2845.3077877803071</v>
      </c>
      <c r="I66" s="104">
        <f>N92</f>
        <v>4923</v>
      </c>
      <c r="J66" s="104">
        <v>506.84300484934602</v>
      </c>
      <c r="K66" s="104">
        <f>ABS(H66-I66)</f>
        <v>2077.6922122196929</v>
      </c>
      <c r="L66">
        <f>H66</f>
        <v>2845.3077877803071</v>
      </c>
      <c r="M66">
        <f t="shared" si="14"/>
        <v>2138.6198260287115</v>
      </c>
      <c r="N66">
        <f t="shared" si="21"/>
        <v>0.75163039837496814</v>
      </c>
      <c r="O66">
        <v>9.6100000000000005E-2</v>
      </c>
      <c r="P66">
        <v>1.3753908535394594E-2</v>
      </c>
      <c r="Q66">
        <v>2.0041207548448767E-2</v>
      </c>
      <c r="R66">
        <f t="shared" si="15"/>
        <v>29607.781350471458</v>
      </c>
      <c r="S66">
        <f t="shared" si="16"/>
        <v>22653.954618725558</v>
      </c>
      <c r="T66">
        <f t="shared" si="17"/>
        <v>23094.817535410857</v>
      </c>
      <c r="U66">
        <f t="shared" si="18"/>
        <v>0.74779348905135612</v>
      </c>
      <c r="V66">
        <f t="shared" si="19"/>
        <v>0.575385535492832</v>
      </c>
      <c r="W66">
        <f t="shared" si="20"/>
        <v>0.58687682044120937</v>
      </c>
      <c r="X66">
        <v>2145.7919436634807</v>
      </c>
    </row>
    <row r="67" spans="1:24" x14ac:dyDescent="0.3">
      <c r="A67" s="6">
        <v>958</v>
      </c>
      <c r="B67" s="143" t="s">
        <v>234</v>
      </c>
      <c r="C67" s="143"/>
      <c r="D67" s="12">
        <f>SQRT(C66^2+D66^2)</f>
        <v>1225.6624168179426</v>
      </c>
      <c r="E67" s="165"/>
      <c r="F67" s="92"/>
      <c r="G67" s="28">
        <v>2147.8591806034265</v>
      </c>
      <c r="H67" s="105">
        <v>0</v>
      </c>
      <c r="I67" s="106">
        <v>4923</v>
      </c>
      <c r="J67" s="36"/>
      <c r="K67" s="105">
        <v>0</v>
      </c>
      <c r="L67" s="105">
        <f>I66-H66</f>
        <v>2077.6922122196929</v>
      </c>
      <c r="M67" s="28">
        <f t="shared" si="14"/>
        <v>0</v>
      </c>
      <c r="N67" s="28">
        <f t="shared" si="21"/>
        <v>0</v>
      </c>
      <c r="O67" s="28">
        <v>9.8100000000000007E-2</v>
      </c>
      <c r="P67" s="28">
        <v>1.6297545827516486E-2</v>
      </c>
      <c r="Q67" s="28">
        <v>1.7969418465826871E-2</v>
      </c>
      <c r="R67" s="28">
        <f t="shared" si="15"/>
        <v>21179.329380425002</v>
      </c>
      <c r="S67" s="28">
        <f t="shared" si="16"/>
        <v>3518.5636205254109</v>
      </c>
      <c r="T67" s="28">
        <f t="shared" si="17"/>
        <v>3879.5130730116066</v>
      </c>
      <c r="U67" s="28">
        <f t="shared" si="18"/>
        <v>0.53491899395236908</v>
      </c>
      <c r="V67" s="28">
        <f t="shared" si="19"/>
        <v>9.8942293273356727E-2</v>
      </c>
      <c r="W67" s="28">
        <f t="shared" si="20"/>
        <v>0.1083687559303929</v>
      </c>
      <c r="X67" s="28">
        <v>2147.8591806034265</v>
      </c>
    </row>
    <row r="68" spans="1:24" x14ac:dyDescent="0.3">
      <c r="A68" s="6">
        <v>973</v>
      </c>
      <c r="B68" s="143" t="s">
        <v>234</v>
      </c>
      <c r="C68" s="143"/>
      <c r="D68" s="12"/>
      <c r="E68" s="165"/>
      <c r="F68" s="10"/>
      <c r="G68">
        <v>2290.4985294596695</v>
      </c>
      <c r="H68" s="26">
        <v>0</v>
      </c>
      <c r="I68" s="26">
        <f>N104</f>
        <v>11670</v>
      </c>
      <c r="J68" s="26">
        <f>P105</f>
        <v>481.75097301406669</v>
      </c>
      <c r="K68" s="103">
        <v>0</v>
      </c>
      <c r="L68">
        <f>I68</f>
        <v>11670</v>
      </c>
      <c r="M68">
        <f t="shared" si="14"/>
        <v>481.75097301406669</v>
      </c>
      <c r="N68">
        <f t="shared" si="21"/>
        <v>4.1281145930939733E-2</v>
      </c>
      <c r="O68">
        <v>7.4399999999999994E-2</v>
      </c>
      <c r="P68">
        <v>1.0068763578513501E-2</v>
      </c>
      <c r="Q68">
        <v>1.4257980221616257E-2</v>
      </c>
      <c r="R68">
        <f>L68/O68</f>
        <v>156854.83870967742</v>
      </c>
      <c r="S68">
        <f t="shared" si="16"/>
        <v>22193.220138759607</v>
      </c>
      <c r="T68">
        <f t="shared" si="17"/>
        <v>30749.0851417175</v>
      </c>
      <c r="U68">
        <f t="shared" si="18"/>
        <v>3.9616283883233168</v>
      </c>
      <c r="V68">
        <f t="shared" si="19"/>
        <v>0.64651087410318175</v>
      </c>
      <c r="W68">
        <f t="shared" si="20"/>
        <v>0.84892883290560817</v>
      </c>
      <c r="X68">
        <v>2290.4985294596695</v>
      </c>
    </row>
    <row r="69" spans="1:24" x14ac:dyDescent="0.3">
      <c r="A69" s="6">
        <v>1026</v>
      </c>
      <c r="B69">
        <v>3156000</v>
      </c>
      <c r="C69">
        <v>1825</v>
      </c>
      <c r="D69" s="10">
        <f>B45-B69</f>
        <v>3000</v>
      </c>
      <c r="E69" s="165"/>
      <c r="F69" s="10"/>
      <c r="G69">
        <v>2494.1213680443102</v>
      </c>
      <c r="H69" s="103">
        <v>2224.2464994069801</v>
      </c>
      <c r="I69" s="103">
        <f>N121</f>
        <v>2861</v>
      </c>
      <c r="J69" s="103">
        <v>611.76426785221497</v>
      </c>
      <c r="K69" s="103">
        <f>ABS(H69-I69)</f>
        <v>636.75350059301991</v>
      </c>
      <c r="L69" s="103">
        <f>H69</f>
        <v>2224.2464994069801</v>
      </c>
      <c r="M69">
        <f t="shared" si="14"/>
        <v>883.01219693627206</v>
      </c>
      <c r="N69">
        <f t="shared" si="21"/>
        <v>0.39699385709798679</v>
      </c>
      <c r="O69">
        <v>5.5800000000000002E-2</v>
      </c>
      <c r="P69">
        <v>1.1161093136427096E-2</v>
      </c>
      <c r="Q69">
        <v>8.8323269867006098E-3</v>
      </c>
      <c r="R69">
        <f t="shared" si="15"/>
        <v>39861.048376469174</v>
      </c>
      <c r="S69">
        <f t="shared" si="16"/>
        <v>17719.657719533865</v>
      </c>
      <c r="T69">
        <f t="shared" si="17"/>
        <v>17036.035689135566</v>
      </c>
      <c r="U69">
        <f t="shared" si="18"/>
        <v>1.0067567066186178</v>
      </c>
      <c r="V69">
        <f t="shared" si="19"/>
        <v>0.45496590149563876</v>
      </c>
      <c r="W69">
        <f t="shared" si="20"/>
        <v>0.43900577651642647</v>
      </c>
      <c r="X69">
        <v>2494.1213680443061</v>
      </c>
    </row>
    <row r="70" spans="1:24" x14ac:dyDescent="0.3">
      <c r="A70" s="6">
        <v>1066</v>
      </c>
      <c r="B70" s="143" t="s">
        <v>234</v>
      </c>
      <c r="C70" s="143"/>
      <c r="D70" s="12">
        <f>SQRT(C69^2+D69^2)</f>
        <v>3511.498967677479</v>
      </c>
      <c r="E70" s="165"/>
      <c r="F70" s="10"/>
      <c r="K70" s="26"/>
    </row>
    <row r="71" spans="1:24" x14ac:dyDescent="0.3">
      <c r="A71" s="47">
        <v>1138</v>
      </c>
      <c r="B71" s="48">
        <v>12920</v>
      </c>
      <c r="C71" s="48">
        <v>330.2</v>
      </c>
      <c r="D71" s="49"/>
      <c r="E71" s="165"/>
      <c r="F71" s="10"/>
    </row>
    <row r="72" spans="1:24" x14ac:dyDescent="0.3">
      <c r="A72" s="21">
        <v>1225</v>
      </c>
      <c r="B72" s="17">
        <v>43290</v>
      </c>
      <c r="C72" s="17">
        <v>4170</v>
      </c>
      <c r="D72" s="50"/>
      <c r="E72" s="165"/>
      <c r="F72" s="10"/>
    </row>
    <row r="73" spans="1:24" ht="15" thickBot="1" x14ac:dyDescent="0.35">
      <c r="A73" s="51">
        <v>1319</v>
      </c>
      <c r="B73" s="52">
        <v>2837</v>
      </c>
      <c r="C73" s="52">
        <v>339.9</v>
      </c>
      <c r="D73" s="53"/>
      <c r="E73" s="155" t="s">
        <v>241</v>
      </c>
      <c r="F73" s="10"/>
    </row>
    <row r="74" spans="1:24" x14ac:dyDescent="0.3">
      <c r="A74" s="154" t="s">
        <v>242</v>
      </c>
      <c r="B74" s="143"/>
      <c r="C74" s="143"/>
      <c r="D74" s="11"/>
      <c r="E74" s="155"/>
      <c r="F74" s="10"/>
      <c r="I74" t="s">
        <v>338</v>
      </c>
    </row>
    <row r="75" spans="1:24" x14ac:dyDescent="0.3">
      <c r="A75" s="6">
        <v>806</v>
      </c>
      <c r="B75">
        <v>563400</v>
      </c>
      <c r="C75">
        <v>794.1</v>
      </c>
      <c r="E75" s="155"/>
      <c r="F75" s="10"/>
      <c r="G75">
        <v>1217.6025576279289</v>
      </c>
      <c r="H75" s="72">
        <v>7460.66170901241</v>
      </c>
      <c r="I75">
        <f>H75/K75*K76</f>
        <v>5922.8558031308239</v>
      </c>
      <c r="J75" t="s">
        <v>336</v>
      </c>
      <c r="K75">
        <f>SUM(H51:H53)</f>
        <v>54932.868188019376</v>
      </c>
    </row>
    <row r="76" spans="1:24" x14ac:dyDescent="0.3">
      <c r="A76" s="6">
        <v>834</v>
      </c>
      <c r="B76" s="143" t="s">
        <v>234</v>
      </c>
      <c r="C76" s="143"/>
      <c r="D76" s="11"/>
      <c r="E76" s="155"/>
      <c r="F76" s="10"/>
      <c r="G76">
        <v>1223.8042684477655</v>
      </c>
      <c r="H76" s="73">
        <v>8144.3100988910846</v>
      </c>
      <c r="I76">
        <f>H76/K75*K76</f>
        <v>6465.5892752037653</v>
      </c>
      <c r="J76" t="s">
        <v>337</v>
      </c>
      <c r="K76">
        <f>C102</f>
        <v>43610</v>
      </c>
    </row>
    <row r="77" spans="1:24" x14ac:dyDescent="0.3">
      <c r="A77" s="6">
        <v>869</v>
      </c>
      <c r="B77" s="143" t="s">
        <v>234</v>
      </c>
      <c r="C77" s="143"/>
      <c r="D77" s="11"/>
      <c r="E77" s="155"/>
      <c r="F77" s="10"/>
      <c r="G77">
        <v>1228.9723607976296</v>
      </c>
      <c r="H77" s="73">
        <v>39327.896380115882</v>
      </c>
      <c r="I77">
        <f>H77/K75*K76</f>
        <v>31221.554921665411</v>
      </c>
    </row>
    <row r="78" spans="1:24" x14ac:dyDescent="0.3">
      <c r="A78" s="6">
        <v>906</v>
      </c>
      <c r="B78">
        <v>228600</v>
      </c>
      <c r="C78">
        <v>533.4</v>
      </c>
      <c r="E78" s="155"/>
      <c r="F78" s="10"/>
    </row>
    <row r="79" spans="1:24" x14ac:dyDescent="0.3">
      <c r="A79" s="6">
        <v>958</v>
      </c>
      <c r="B79" s="143" t="s">
        <v>234</v>
      </c>
      <c r="C79" s="143"/>
      <c r="D79" s="11"/>
      <c r="E79" s="155"/>
      <c r="F79" s="10"/>
    </row>
    <row r="80" spans="1:24" x14ac:dyDescent="0.3">
      <c r="A80" s="6">
        <v>973</v>
      </c>
      <c r="B80" s="143" t="s">
        <v>234</v>
      </c>
      <c r="C80" s="143"/>
      <c r="D80" s="11"/>
      <c r="E80" s="155"/>
      <c r="F80" s="10"/>
    </row>
    <row r="81" spans="1:18" x14ac:dyDescent="0.3">
      <c r="A81" s="6">
        <v>1026</v>
      </c>
      <c r="B81">
        <v>3150000</v>
      </c>
      <c r="C81">
        <v>1840</v>
      </c>
      <c r="E81" s="155"/>
      <c r="F81" s="10"/>
    </row>
    <row r="82" spans="1:18" ht="15" thickBot="1" x14ac:dyDescent="0.35">
      <c r="A82" s="6">
        <v>1066</v>
      </c>
      <c r="B82" s="143" t="s">
        <v>234</v>
      </c>
      <c r="C82" s="143"/>
      <c r="D82" s="11"/>
      <c r="E82" s="155"/>
      <c r="F82" s="10"/>
    </row>
    <row r="83" spans="1:18" ht="15" thickBot="1" x14ac:dyDescent="0.35">
      <c r="A83" s="45">
        <v>1138</v>
      </c>
      <c r="B83" s="54">
        <v>15190</v>
      </c>
      <c r="C83" s="54">
        <v>367.4</v>
      </c>
      <c r="D83" s="55"/>
      <c r="E83" s="155"/>
      <c r="F83" s="10"/>
    </row>
    <row r="84" spans="1:18" x14ac:dyDescent="0.3">
      <c r="A84" s="21">
        <v>1225</v>
      </c>
      <c r="B84" s="17">
        <v>41270</v>
      </c>
      <c r="C84" s="17">
        <v>396.2</v>
      </c>
      <c r="D84" s="17"/>
      <c r="E84" s="155"/>
      <c r="F84" s="10"/>
    </row>
    <row r="85" spans="1:18" x14ac:dyDescent="0.3">
      <c r="A85" s="22">
        <v>1319</v>
      </c>
      <c r="B85" s="91">
        <v>689</v>
      </c>
      <c r="C85" s="91">
        <v>299.8</v>
      </c>
      <c r="D85" s="91"/>
      <c r="F85" s="10"/>
    </row>
    <row r="86" spans="1:18" ht="15" thickBot="1" x14ac:dyDescent="0.35">
      <c r="A86" s="7"/>
      <c r="B86" s="8"/>
      <c r="C86" s="8"/>
      <c r="D86" s="8"/>
      <c r="E86" s="8"/>
      <c r="F86" s="13"/>
    </row>
    <row r="87" spans="1:18" ht="15" thickBot="1" x14ac:dyDescent="0.35">
      <c r="B87" s="152" t="s">
        <v>321</v>
      </c>
      <c r="C87" s="144"/>
      <c r="D87" s="144"/>
      <c r="E87" s="144"/>
      <c r="F87" s="140"/>
    </row>
    <row r="88" spans="1:18" x14ac:dyDescent="0.3">
      <c r="B88" s="154"/>
      <c r="C88" s="143"/>
      <c r="D88" s="143"/>
      <c r="E88" s="11"/>
      <c r="F88" s="10"/>
      <c r="G88" s="151" t="s">
        <v>326</v>
      </c>
      <c r="H88" s="145"/>
      <c r="I88" s="145"/>
      <c r="J88" s="145"/>
      <c r="K88" s="145"/>
      <c r="L88" s="145"/>
      <c r="M88" s="151" t="s">
        <v>335</v>
      </c>
      <c r="N88" s="145"/>
      <c r="O88" s="145"/>
      <c r="P88" s="145"/>
      <c r="Q88" s="145"/>
      <c r="R88" s="145"/>
    </row>
    <row r="89" spans="1:18" x14ac:dyDescent="0.3">
      <c r="B89" s="87" t="s">
        <v>229</v>
      </c>
      <c r="C89" s="11" t="s">
        <v>124</v>
      </c>
      <c r="D89" s="11" t="s">
        <v>125</v>
      </c>
      <c r="E89" s="11" t="s">
        <v>126</v>
      </c>
      <c r="F89" s="10"/>
      <c r="G89" s="6"/>
      <c r="M89" s="6"/>
      <c r="R89" s="10"/>
    </row>
    <row r="90" spans="1:18" ht="14.4" customHeight="1" x14ac:dyDescent="0.3">
      <c r="B90" s="154" t="s">
        <v>312</v>
      </c>
      <c r="C90" s="143"/>
      <c r="D90" s="143"/>
      <c r="E90" s="155" t="s">
        <v>313</v>
      </c>
      <c r="F90" s="10"/>
      <c r="G90" s="87" t="s">
        <v>229</v>
      </c>
      <c r="H90" s="11" t="s">
        <v>124</v>
      </c>
      <c r="I90" s="11" t="s">
        <v>125</v>
      </c>
      <c r="J90" s="11"/>
      <c r="K90" s="11" t="s">
        <v>126</v>
      </c>
      <c r="M90" s="87" t="s">
        <v>229</v>
      </c>
      <c r="N90" s="11" t="s">
        <v>124</v>
      </c>
      <c r="O90" s="11" t="s">
        <v>125</v>
      </c>
      <c r="P90" s="11"/>
      <c r="Q90" s="11" t="s">
        <v>126</v>
      </c>
      <c r="R90" s="10"/>
    </row>
    <row r="91" spans="1:18" x14ac:dyDescent="0.3">
      <c r="B91" s="6">
        <v>1218</v>
      </c>
      <c r="C91">
        <v>19420</v>
      </c>
      <c r="D91">
        <v>1580</v>
      </c>
      <c r="E91" s="155"/>
      <c r="F91" s="10"/>
      <c r="G91" s="154" t="s">
        <v>318</v>
      </c>
      <c r="H91" s="143"/>
      <c r="I91" s="143"/>
      <c r="J91" s="11"/>
      <c r="K91" s="155" t="s">
        <v>323</v>
      </c>
      <c r="L91" s="155"/>
      <c r="M91" s="154" t="s">
        <v>327</v>
      </c>
      <c r="N91" s="143"/>
      <c r="O91" s="143"/>
      <c r="P91" s="11"/>
      <c r="Q91" s="155" t="s">
        <v>328</v>
      </c>
      <c r="R91" s="156"/>
    </row>
    <row r="92" spans="1:18" x14ac:dyDescent="0.3">
      <c r="B92" s="6">
        <v>1224</v>
      </c>
      <c r="C92">
        <v>9.8449999999999996E-2</v>
      </c>
      <c r="D92">
        <v>74841.71875</v>
      </c>
      <c r="E92" s="155"/>
      <c r="F92" s="10"/>
      <c r="G92" s="6">
        <v>1574</v>
      </c>
      <c r="H92">
        <v>150200</v>
      </c>
      <c r="I92">
        <v>517.29999999999995</v>
      </c>
      <c r="J92">
        <f>H92-H103</f>
        <v>2800</v>
      </c>
      <c r="K92" s="155"/>
      <c r="L92" s="155"/>
      <c r="M92" s="21">
        <v>2148</v>
      </c>
      <c r="N92" s="17">
        <v>4923</v>
      </c>
      <c r="O92" s="17">
        <v>220.9</v>
      </c>
      <c r="P92" s="17"/>
      <c r="Q92" s="155"/>
      <c r="R92" s="156"/>
    </row>
    <row r="93" spans="1:18" x14ac:dyDescent="0.3">
      <c r="B93" s="6">
        <v>1229</v>
      </c>
      <c r="C93">
        <v>3444</v>
      </c>
      <c r="D93">
        <v>289.3</v>
      </c>
      <c r="E93" s="155"/>
      <c r="F93" s="10"/>
      <c r="G93" s="21">
        <v>1577</v>
      </c>
      <c r="H93" s="157" t="s">
        <v>234</v>
      </c>
      <c r="I93" s="157"/>
      <c r="J93" s="95">
        <f>SQRT(I92^2+J92^2)</f>
        <v>2847.3846403322473</v>
      </c>
      <c r="K93" s="155"/>
      <c r="L93" s="155"/>
      <c r="M93" s="6">
        <v>2290</v>
      </c>
      <c r="N93">
        <v>12120</v>
      </c>
      <c r="O93">
        <v>205.2</v>
      </c>
      <c r="P93">
        <f>N93-N104</f>
        <v>450</v>
      </c>
      <c r="Q93" s="155"/>
      <c r="R93" s="156"/>
    </row>
    <row r="94" spans="1:18" x14ac:dyDescent="0.3">
      <c r="B94" s="6">
        <v>1319</v>
      </c>
      <c r="C94">
        <v>23370</v>
      </c>
      <c r="D94">
        <v>1255</v>
      </c>
      <c r="E94" s="155"/>
      <c r="F94" s="10"/>
      <c r="G94" s="47">
        <v>1610</v>
      </c>
      <c r="H94" s="158" t="s">
        <v>234</v>
      </c>
      <c r="I94" s="158"/>
      <c r="J94" s="89"/>
      <c r="K94" s="155"/>
      <c r="L94" s="155"/>
      <c r="M94" s="6">
        <v>2494</v>
      </c>
      <c r="N94" s="143" t="s">
        <v>234</v>
      </c>
      <c r="O94" s="143"/>
      <c r="P94" s="11">
        <f>SQRT(O93^2+P93^2)</f>
        <v>494.57763799023502</v>
      </c>
      <c r="Q94" s="155"/>
      <c r="R94" s="156"/>
    </row>
    <row r="95" spans="1:18" x14ac:dyDescent="0.3">
      <c r="B95" s="6">
        <v>1381</v>
      </c>
      <c r="C95">
        <v>9702</v>
      </c>
      <c r="D95">
        <v>286.60000000000002</v>
      </c>
      <c r="E95" s="155"/>
      <c r="F95" s="10"/>
      <c r="G95" s="22">
        <v>1653</v>
      </c>
      <c r="H95" s="159" t="s">
        <v>234</v>
      </c>
      <c r="I95" s="159"/>
      <c r="J95" s="90"/>
      <c r="K95" s="155"/>
      <c r="L95" s="155"/>
      <c r="M95" s="6"/>
      <c r="N95" s="150"/>
      <c r="O95" s="150"/>
      <c r="Q95" s="155"/>
      <c r="R95" s="156"/>
    </row>
    <row r="96" spans="1:18" x14ac:dyDescent="0.3">
      <c r="B96" s="6"/>
      <c r="E96" s="155"/>
      <c r="F96" s="10"/>
      <c r="G96" s="96">
        <v>1717</v>
      </c>
      <c r="H96" s="160" t="s">
        <v>234</v>
      </c>
      <c r="I96" s="160"/>
      <c r="J96" s="97"/>
      <c r="K96" s="155"/>
      <c r="L96" s="155"/>
      <c r="M96" s="6"/>
      <c r="N96" s="150"/>
      <c r="O96" s="150"/>
      <c r="Q96" s="155"/>
      <c r="R96" s="156"/>
    </row>
    <row r="97" spans="2:18" x14ac:dyDescent="0.3">
      <c r="B97" s="6"/>
      <c r="C97" s="150"/>
      <c r="D97" s="150"/>
      <c r="E97" s="155"/>
      <c r="F97" s="10"/>
      <c r="G97" s="6">
        <v>1759</v>
      </c>
      <c r="H97">
        <v>24250</v>
      </c>
      <c r="I97">
        <v>213.7</v>
      </c>
      <c r="J97">
        <f>H97-H108</f>
        <v>-280</v>
      </c>
      <c r="K97" s="155"/>
      <c r="L97" s="155"/>
      <c r="M97" s="6"/>
      <c r="Q97" s="155"/>
      <c r="R97" s="156"/>
    </row>
    <row r="98" spans="2:18" x14ac:dyDescent="0.3">
      <c r="B98" s="6"/>
      <c r="C98" s="150"/>
      <c r="D98" s="150"/>
      <c r="E98" s="155"/>
      <c r="F98" s="10"/>
      <c r="G98" s="98">
        <v>1821</v>
      </c>
      <c r="H98" s="161" t="s">
        <v>234</v>
      </c>
      <c r="I98" s="161"/>
      <c r="J98" s="93">
        <f>SQRT(I97^2+J97^2)</f>
        <v>352.23243746140133</v>
      </c>
      <c r="K98" s="155"/>
      <c r="L98" s="155"/>
      <c r="M98" s="6"/>
      <c r="N98" s="150"/>
      <c r="O98" s="150"/>
      <c r="Q98" s="155"/>
      <c r="R98" s="156"/>
    </row>
    <row r="99" spans="2:18" x14ac:dyDescent="0.3">
      <c r="B99" s="6"/>
      <c r="E99" s="155"/>
      <c r="F99" s="10"/>
      <c r="G99" s="99">
        <v>1864</v>
      </c>
      <c r="H99" s="162" t="s">
        <v>234</v>
      </c>
      <c r="I99" s="162"/>
      <c r="J99" s="94"/>
      <c r="K99" s="155"/>
      <c r="L99" s="155"/>
      <c r="M99" s="6"/>
      <c r="N99" s="150"/>
      <c r="O99" s="150"/>
      <c r="Q99" s="155"/>
      <c r="R99" s="156"/>
    </row>
    <row r="100" spans="2:18" x14ac:dyDescent="0.3">
      <c r="B100" s="6"/>
      <c r="C100" s="150"/>
      <c r="D100" s="150"/>
      <c r="E100" s="155"/>
      <c r="F100" s="10"/>
      <c r="G100" s="100">
        <v>1872</v>
      </c>
      <c r="H100" s="163" t="s">
        <v>234</v>
      </c>
      <c r="I100" s="163"/>
      <c r="J100" s="101"/>
      <c r="K100" s="155"/>
      <c r="L100" s="155"/>
      <c r="M100" s="6"/>
      <c r="N100" s="150"/>
      <c r="O100" s="150"/>
      <c r="Q100" s="155"/>
      <c r="R100" s="156"/>
    </row>
    <row r="101" spans="2:18" ht="14.4" customHeight="1" x14ac:dyDescent="0.3">
      <c r="B101" s="154" t="s">
        <v>314</v>
      </c>
      <c r="C101" s="143"/>
      <c r="D101" s="143"/>
      <c r="E101" s="165" t="s">
        <v>315</v>
      </c>
      <c r="F101" s="10"/>
      <c r="G101" s="6">
        <v>1889</v>
      </c>
      <c r="H101">
        <v>42940</v>
      </c>
      <c r="I101">
        <v>262.8</v>
      </c>
      <c r="J101">
        <f>H101-H112</f>
        <v>-20</v>
      </c>
      <c r="K101" s="155"/>
      <c r="L101" s="155"/>
      <c r="M101" s="6"/>
      <c r="Q101" s="155"/>
      <c r="R101" s="156"/>
    </row>
    <row r="102" spans="2:18" x14ac:dyDescent="0.3">
      <c r="B102" s="6">
        <v>1225</v>
      </c>
      <c r="C102">
        <v>43610</v>
      </c>
      <c r="D102">
        <v>923.6</v>
      </c>
      <c r="E102" s="165"/>
      <c r="F102" s="10"/>
      <c r="G102" s="154" t="s">
        <v>324</v>
      </c>
      <c r="H102" s="143"/>
      <c r="I102" s="143"/>
      <c r="J102" s="11">
        <f>SQRT(I101^2+J101^2)</f>
        <v>263.55993625739103</v>
      </c>
      <c r="K102" s="155" t="s">
        <v>325</v>
      </c>
      <c r="L102" s="155"/>
      <c r="M102" s="154" t="s">
        <v>329</v>
      </c>
      <c r="N102" s="143"/>
      <c r="O102" s="143"/>
      <c r="P102" s="11"/>
      <c r="Q102" s="155" t="s">
        <v>330</v>
      </c>
      <c r="R102" s="156"/>
    </row>
    <row r="103" spans="2:18" x14ac:dyDescent="0.3">
      <c r="B103" s="6">
        <v>1319</v>
      </c>
      <c r="C103">
        <v>3749</v>
      </c>
      <c r="D103">
        <v>335.3</v>
      </c>
      <c r="E103" s="165"/>
      <c r="F103" s="10"/>
      <c r="G103" s="6">
        <v>1574</v>
      </c>
      <c r="H103">
        <v>147400</v>
      </c>
      <c r="I103">
        <v>497.4</v>
      </c>
      <c r="K103" s="155"/>
      <c r="L103" s="155"/>
      <c r="M103" s="21">
        <v>2146</v>
      </c>
      <c r="N103" s="157" t="s">
        <v>234</v>
      </c>
      <c r="O103" s="157"/>
      <c r="P103" s="95"/>
      <c r="Q103" s="155"/>
      <c r="R103" s="156"/>
    </row>
    <row r="104" spans="2:18" x14ac:dyDescent="0.3">
      <c r="B104" s="6">
        <v>1381</v>
      </c>
      <c r="C104">
        <v>10010</v>
      </c>
      <c r="D104">
        <v>308.10000000000002</v>
      </c>
      <c r="E104" s="165"/>
      <c r="F104" s="10"/>
      <c r="G104" s="21">
        <v>1577</v>
      </c>
      <c r="H104" s="157" t="s">
        <v>234</v>
      </c>
      <c r="I104" s="157"/>
      <c r="J104" s="95"/>
      <c r="K104" s="155"/>
      <c r="L104" s="155"/>
      <c r="M104" s="6">
        <v>2290</v>
      </c>
      <c r="N104">
        <v>11670</v>
      </c>
      <c r="O104">
        <v>172</v>
      </c>
      <c r="P104">
        <f>N104-N93</f>
        <v>-450</v>
      </c>
      <c r="Q104" s="155"/>
      <c r="R104" s="156"/>
    </row>
    <row r="105" spans="2:18" x14ac:dyDescent="0.3">
      <c r="B105" s="6"/>
      <c r="E105" s="165"/>
      <c r="F105" s="10"/>
      <c r="G105" s="47">
        <v>1610</v>
      </c>
      <c r="H105" s="158" t="s">
        <v>234</v>
      </c>
      <c r="I105" s="158"/>
      <c r="J105" s="89"/>
      <c r="K105" s="155"/>
      <c r="L105" s="155"/>
      <c r="M105" s="6">
        <v>2494</v>
      </c>
      <c r="N105" s="143" t="s">
        <v>234</v>
      </c>
      <c r="O105" s="143"/>
      <c r="P105" s="11">
        <f>SQRT(O104^2+P104^2)</f>
        <v>481.75097301406669</v>
      </c>
      <c r="Q105" s="155"/>
      <c r="R105" s="156"/>
    </row>
    <row r="106" spans="2:18" x14ac:dyDescent="0.3">
      <c r="B106" s="6"/>
      <c r="E106" s="165"/>
      <c r="F106" s="10"/>
      <c r="G106" s="22">
        <v>1653</v>
      </c>
      <c r="H106" s="159" t="s">
        <v>234</v>
      </c>
      <c r="I106" s="159"/>
      <c r="J106" s="90"/>
      <c r="K106" s="155"/>
      <c r="L106" s="155"/>
      <c r="M106" s="6"/>
      <c r="N106" s="150"/>
      <c r="O106" s="150"/>
      <c r="Q106" s="155"/>
      <c r="R106" s="156"/>
    </row>
    <row r="107" spans="2:18" x14ac:dyDescent="0.3">
      <c r="B107" s="6"/>
      <c r="E107" s="165"/>
      <c r="F107" s="10"/>
      <c r="G107" s="96">
        <v>1717</v>
      </c>
      <c r="H107" s="160" t="s">
        <v>234</v>
      </c>
      <c r="I107" s="160"/>
      <c r="J107" s="97"/>
      <c r="K107" s="155"/>
      <c r="L107" s="155"/>
      <c r="M107" s="6"/>
      <c r="N107" s="150"/>
      <c r="O107" s="150"/>
      <c r="Q107" s="155"/>
      <c r="R107" s="156"/>
    </row>
    <row r="108" spans="2:18" x14ac:dyDescent="0.3">
      <c r="B108" s="6"/>
      <c r="E108" s="165"/>
      <c r="F108" s="10"/>
      <c r="G108" s="6">
        <v>1759</v>
      </c>
      <c r="H108">
        <v>24530</v>
      </c>
      <c r="I108">
        <v>214.8</v>
      </c>
      <c r="K108" s="155"/>
      <c r="L108" s="155"/>
      <c r="M108" s="6"/>
      <c r="Q108" s="155"/>
      <c r="R108" s="156"/>
    </row>
    <row r="109" spans="2:18" x14ac:dyDescent="0.3">
      <c r="B109" s="6"/>
      <c r="E109" s="165"/>
      <c r="F109" s="10"/>
      <c r="G109" s="98">
        <v>1821</v>
      </c>
      <c r="H109" s="161" t="s">
        <v>234</v>
      </c>
      <c r="I109" s="161"/>
      <c r="J109" s="93"/>
      <c r="K109" s="155"/>
      <c r="L109" s="155"/>
      <c r="M109" s="6"/>
      <c r="N109" s="150"/>
      <c r="O109" s="150"/>
      <c r="Q109" s="155"/>
      <c r="R109" s="156"/>
    </row>
    <row r="110" spans="2:18" x14ac:dyDescent="0.3">
      <c r="B110" s="6"/>
      <c r="E110" s="165"/>
      <c r="F110" s="10"/>
      <c r="G110" s="99">
        <v>1864</v>
      </c>
      <c r="H110" s="162" t="s">
        <v>234</v>
      </c>
      <c r="I110" s="162"/>
      <c r="J110" s="94"/>
      <c r="K110" s="155"/>
      <c r="L110" s="155"/>
      <c r="M110" s="6"/>
      <c r="N110" s="150"/>
      <c r="O110" s="150"/>
      <c r="Q110" s="155"/>
      <c r="R110" s="156"/>
    </row>
    <row r="111" spans="2:18" x14ac:dyDescent="0.3">
      <c r="B111" s="6"/>
      <c r="E111" s="165"/>
      <c r="F111" s="10"/>
      <c r="G111" s="100">
        <v>1872</v>
      </c>
      <c r="H111" s="163" t="s">
        <v>234</v>
      </c>
      <c r="I111" s="163"/>
      <c r="J111" s="101"/>
      <c r="K111" s="155"/>
      <c r="L111" s="155"/>
      <c r="M111" s="6"/>
      <c r="N111" s="150"/>
      <c r="O111" s="150"/>
      <c r="Q111" s="155"/>
      <c r="R111" s="156"/>
    </row>
    <row r="112" spans="2:18" x14ac:dyDescent="0.3">
      <c r="B112" s="154" t="s">
        <v>316</v>
      </c>
      <c r="C112" s="143"/>
      <c r="D112" s="143"/>
      <c r="E112" s="165" t="s">
        <v>317</v>
      </c>
      <c r="F112" s="10"/>
      <c r="G112" s="6">
        <v>1889</v>
      </c>
      <c r="H112">
        <v>42960</v>
      </c>
      <c r="I112">
        <v>261.5</v>
      </c>
      <c r="K112" s="155"/>
      <c r="L112" s="155"/>
      <c r="M112" s="6"/>
      <c r="Q112" s="155"/>
      <c r="R112" s="156"/>
    </row>
    <row r="113" spans="2:18" ht="15" thickBot="1" x14ac:dyDescent="0.35">
      <c r="B113" s="6">
        <v>1225</v>
      </c>
      <c r="C113">
        <v>46530</v>
      </c>
      <c r="D113">
        <v>1053</v>
      </c>
      <c r="E113" s="165"/>
      <c r="F113" s="10"/>
      <c r="G113" s="7"/>
      <c r="H113" s="8"/>
      <c r="I113" s="8"/>
      <c r="J113" s="8"/>
      <c r="K113" s="102"/>
      <c r="L113" s="8"/>
      <c r="M113" s="6"/>
      <c r="R113" s="10"/>
    </row>
    <row r="114" spans="2:18" ht="15" thickBot="1" x14ac:dyDescent="0.35">
      <c r="B114" s="6">
        <v>1319</v>
      </c>
      <c r="C114">
        <v>6662</v>
      </c>
      <c r="D114">
        <v>427.2</v>
      </c>
      <c r="E114" s="165"/>
      <c r="F114" s="10"/>
      <c r="M114" s="6"/>
      <c r="R114" s="10"/>
    </row>
    <row r="115" spans="2:18" ht="15" customHeight="1" thickBot="1" x14ac:dyDescent="0.35">
      <c r="B115" s="29">
        <v>1381</v>
      </c>
      <c r="C115" s="30">
        <v>10920</v>
      </c>
      <c r="D115" s="33">
        <v>353.1</v>
      </c>
      <c r="E115" s="165"/>
      <c r="F115" s="10"/>
      <c r="M115" s="6"/>
      <c r="R115" s="10"/>
    </row>
    <row r="116" spans="2:18" x14ac:dyDescent="0.3">
      <c r="B116" s="6"/>
      <c r="E116" s="165"/>
      <c r="F116" s="10"/>
      <c r="M116" s="6"/>
      <c r="R116" s="10"/>
    </row>
    <row r="117" spans="2:18" ht="14.4" customHeight="1" x14ac:dyDescent="0.3">
      <c r="B117" s="6"/>
      <c r="E117" s="165"/>
      <c r="F117" s="10"/>
      <c r="M117" s="6"/>
      <c r="R117" s="10"/>
    </row>
    <row r="118" spans="2:18" x14ac:dyDescent="0.3">
      <c r="B118" s="6"/>
      <c r="E118" s="165"/>
      <c r="F118" s="10"/>
      <c r="M118" s="154" t="s">
        <v>331</v>
      </c>
      <c r="N118" s="143"/>
      <c r="O118" s="143"/>
      <c r="Q118" s="155" t="s">
        <v>332</v>
      </c>
      <c r="R118" s="156"/>
    </row>
    <row r="119" spans="2:18" x14ac:dyDescent="0.3">
      <c r="B119" s="6"/>
      <c r="E119" s="165"/>
      <c r="F119" s="10"/>
      <c r="M119" s="6">
        <v>2118</v>
      </c>
      <c r="N119">
        <v>4124</v>
      </c>
      <c r="O119">
        <v>284.10000000000002</v>
      </c>
      <c r="Q119" s="155"/>
      <c r="R119" s="156"/>
    </row>
    <row r="120" spans="2:18" x14ac:dyDescent="0.3">
      <c r="B120" s="6"/>
      <c r="E120" s="165"/>
      <c r="F120" s="10"/>
      <c r="M120" s="6">
        <v>2253</v>
      </c>
      <c r="N120">
        <v>10620</v>
      </c>
      <c r="O120">
        <v>1166</v>
      </c>
      <c r="Q120" s="155"/>
      <c r="R120" s="156"/>
    </row>
    <row r="121" spans="2:18" x14ac:dyDescent="0.3">
      <c r="B121" s="6"/>
      <c r="E121" s="165"/>
      <c r="F121" s="10"/>
      <c r="M121" s="6">
        <v>2494</v>
      </c>
      <c r="N121">
        <v>2861</v>
      </c>
      <c r="O121">
        <v>530</v>
      </c>
      <c r="Q121" s="155"/>
      <c r="R121" s="156"/>
    </row>
    <row r="122" spans="2:18" x14ac:dyDescent="0.3">
      <c r="B122" s="6"/>
      <c r="E122" s="165"/>
      <c r="F122" s="10"/>
      <c r="M122" s="6">
        <v>2329</v>
      </c>
      <c r="N122">
        <v>2308</v>
      </c>
      <c r="O122">
        <v>799.4</v>
      </c>
      <c r="Q122" s="155"/>
      <c r="R122" s="156"/>
    </row>
    <row r="123" spans="2:18" x14ac:dyDescent="0.3">
      <c r="B123" s="154" t="s">
        <v>318</v>
      </c>
      <c r="C123" s="143"/>
      <c r="D123" s="143"/>
      <c r="E123" s="155" t="s">
        <v>319</v>
      </c>
      <c r="F123" s="10"/>
      <c r="M123" s="6">
        <v>2630</v>
      </c>
      <c r="N123">
        <v>1222</v>
      </c>
      <c r="O123">
        <v>934.5</v>
      </c>
      <c r="Q123" s="155"/>
      <c r="R123" s="156"/>
    </row>
    <row r="124" spans="2:18" x14ac:dyDescent="0.3">
      <c r="B124" s="6">
        <v>1217.6152999999999</v>
      </c>
      <c r="C124" s="143" t="s">
        <v>234</v>
      </c>
      <c r="D124" s="143"/>
      <c r="E124" s="155"/>
      <c r="F124" s="10"/>
      <c r="M124" s="6"/>
      <c r="Q124" s="155"/>
      <c r="R124" s="156"/>
    </row>
    <row r="125" spans="2:18" x14ac:dyDescent="0.3">
      <c r="B125" s="6">
        <v>1224.1053999999999</v>
      </c>
      <c r="C125" s="143" t="s">
        <v>234</v>
      </c>
      <c r="D125" s="143"/>
      <c r="E125" s="155"/>
      <c r="F125" s="10"/>
      <c r="M125" s="6"/>
      <c r="R125" s="10"/>
    </row>
    <row r="126" spans="2:18" ht="15" customHeight="1" thickBot="1" x14ac:dyDescent="0.35">
      <c r="B126" s="6">
        <v>1229.0092</v>
      </c>
      <c r="C126" s="143" t="s">
        <v>234</v>
      </c>
      <c r="D126" s="143"/>
      <c r="E126" s="155"/>
      <c r="F126" s="10"/>
      <c r="M126" s="6"/>
      <c r="R126" s="10"/>
    </row>
    <row r="127" spans="2:18" ht="15" thickBot="1" x14ac:dyDescent="0.35">
      <c r="B127" s="29">
        <v>1318.6119000000001</v>
      </c>
      <c r="C127" s="30">
        <v>9596</v>
      </c>
      <c r="D127" s="33">
        <v>280.39999999999998</v>
      </c>
      <c r="E127" s="155"/>
      <c r="F127" s="10"/>
      <c r="M127" s="6"/>
      <c r="R127" s="10"/>
    </row>
    <row r="128" spans="2:18" x14ac:dyDescent="0.3">
      <c r="B128" s="6">
        <v>1380.7037</v>
      </c>
      <c r="C128">
        <v>13660</v>
      </c>
      <c r="D128">
        <v>318.2</v>
      </c>
      <c r="E128" s="155"/>
      <c r="F128" s="10"/>
      <c r="M128" s="6"/>
      <c r="R128" s="10"/>
    </row>
    <row r="129" spans="2:18" x14ac:dyDescent="0.3">
      <c r="B129" s="6"/>
      <c r="E129" s="155"/>
      <c r="F129" s="10"/>
      <c r="M129" s="6"/>
      <c r="R129" s="10"/>
    </row>
    <row r="130" spans="2:18" x14ac:dyDescent="0.3">
      <c r="B130" s="6"/>
      <c r="E130" s="155"/>
      <c r="F130" s="10"/>
      <c r="M130" s="6"/>
      <c r="R130" s="10"/>
    </row>
    <row r="131" spans="2:18" x14ac:dyDescent="0.3">
      <c r="B131" s="6"/>
      <c r="E131" s="155"/>
      <c r="F131" s="10"/>
      <c r="M131" s="6"/>
      <c r="R131" s="10"/>
    </row>
    <row r="132" spans="2:18" x14ac:dyDescent="0.3">
      <c r="B132" s="6"/>
      <c r="E132" s="155"/>
      <c r="F132" s="10"/>
      <c r="M132" s="6"/>
      <c r="R132" s="10"/>
    </row>
    <row r="133" spans="2:18" x14ac:dyDescent="0.3">
      <c r="B133" s="6"/>
      <c r="E133" s="155"/>
      <c r="F133" s="10"/>
      <c r="M133" s="6"/>
      <c r="R133" s="10"/>
    </row>
    <row r="134" spans="2:18" x14ac:dyDescent="0.3">
      <c r="B134" s="6"/>
      <c r="F134" s="10"/>
      <c r="M134" s="154" t="s">
        <v>331</v>
      </c>
      <c r="N134" s="143"/>
      <c r="O134" s="143"/>
      <c r="R134" s="10"/>
    </row>
    <row r="135" spans="2:18" x14ac:dyDescent="0.3">
      <c r="B135" s="6"/>
      <c r="F135" s="10"/>
      <c r="M135" s="6">
        <v>2100</v>
      </c>
      <c r="N135">
        <v>5236</v>
      </c>
      <c r="O135">
        <v>213.4</v>
      </c>
      <c r="R135" s="10"/>
    </row>
    <row r="136" spans="2:18" x14ac:dyDescent="0.3">
      <c r="B136" s="6"/>
      <c r="F136" s="10"/>
      <c r="M136" s="6">
        <v>2240</v>
      </c>
      <c r="N136">
        <v>12300</v>
      </c>
      <c r="O136">
        <v>197</v>
      </c>
      <c r="R136" s="10"/>
    </row>
    <row r="137" spans="2:18" x14ac:dyDescent="0.3">
      <c r="B137" s="154" t="s">
        <v>318</v>
      </c>
      <c r="C137" s="143"/>
      <c r="D137" s="143"/>
      <c r="F137" s="10"/>
      <c r="M137" s="6">
        <v>2494</v>
      </c>
      <c r="N137" s="143" t="s">
        <v>234</v>
      </c>
      <c r="O137" s="143"/>
      <c r="R137" s="10"/>
    </row>
    <row r="138" spans="2:18" x14ac:dyDescent="0.3">
      <c r="B138" s="6">
        <v>1217.6152999999999</v>
      </c>
      <c r="C138">
        <v>50010</v>
      </c>
      <c r="D138">
        <v>1667</v>
      </c>
      <c r="F138" s="10"/>
      <c r="M138" s="6"/>
      <c r="R138" s="10"/>
    </row>
    <row r="139" spans="2:18" x14ac:dyDescent="0.3">
      <c r="B139" s="6">
        <v>1318.6119000000001</v>
      </c>
      <c r="C139">
        <v>8126</v>
      </c>
      <c r="D139">
        <v>692</v>
      </c>
      <c r="F139" s="10"/>
      <c r="M139" s="6"/>
      <c r="R139" s="10"/>
    </row>
    <row r="140" spans="2:18" x14ac:dyDescent="0.3">
      <c r="B140" s="6">
        <v>1380.7037</v>
      </c>
      <c r="C140">
        <v>11900</v>
      </c>
      <c r="D140">
        <v>511</v>
      </c>
      <c r="F140" s="10"/>
      <c r="M140" s="6" t="s">
        <v>333</v>
      </c>
      <c r="N140" t="s">
        <v>334</v>
      </c>
      <c r="R140" s="10"/>
    </row>
    <row r="141" spans="2:18" x14ac:dyDescent="0.3">
      <c r="B141" s="6"/>
      <c r="F141" s="10"/>
      <c r="M141" s="6"/>
      <c r="N141">
        <f>N135-AF90</f>
        <v>5236</v>
      </c>
      <c r="R141" s="10"/>
    </row>
    <row r="142" spans="2:18" ht="14.4" customHeight="1" x14ac:dyDescent="0.3">
      <c r="B142" s="6"/>
      <c r="F142" s="10"/>
      <c r="M142" s="6"/>
      <c r="R142" s="10"/>
    </row>
    <row r="143" spans="2:18" x14ac:dyDescent="0.3">
      <c r="B143" s="6"/>
      <c r="F143" s="10"/>
      <c r="M143" s="6"/>
      <c r="R143" s="10"/>
    </row>
    <row r="144" spans="2:18" x14ac:dyDescent="0.3">
      <c r="B144" s="6"/>
      <c r="F144" s="10"/>
      <c r="M144" s="6"/>
      <c r="R144" s="10"/>
    </row>
    <row r="145" spans="2:18" x14ac:dyDescent="0.3">
      <c r="B145" s="6"/>
      <c r="F145" s="10"/>
      <c r="M145" s="6"/>
      <c r="R145" s="10"/>
    </row>
    <row r="146" spans="2:18" x14ac:dyDescent="0.3">
      <c r="B146" s="6"/>
      <c r="F146" s="10"/>
      <c r="M146" s="6"/>
      <c r="R146" s="10"/>
    </row>
    <row r="147" spans="2:18" x14ac:dyDescent="0.3">
      <c r="B147" s="6"/>
      <c r="F147" s="10"/>
      <c r="M147" s="6"/>
      <c r="R147" s="10"/>
    </row>
    <row r="148" spans="2:18" x14ac:dyDescent="0.3">
      <c r="B148" s="6"/>
      <c r="F148" s="10"/>
      <c r="M148" s="6"/>
      <c r="R148" s="10"/>
    </row>
    <row r="149" spans="2:18" x14ac:dyDescent="0.3">
      <c r="B149" s="6"/>
      <c r="F149" s="10"/>
      <c r="M149" s="6"/>
      <c r="R149" s="10"/>
    </row>
    <row r="150" spans="2:18" x14ac:dyDescent="0.3">
      <c r="B150" s="6"/>
      <c r="F150" s="10"/>
      <c r="M150" s="6"/>
      <c r="R150" s="10"/>
    </row>
    <row r="151" spans="2:18" ht="15" thickBot="1" x14ac:dyDescent="0.35">
      <c r="B151" s="6"/>
      <c r="F151" s="10"/>
      <c r="M151" s="7"/>
      <c r="N151" s="8"/>
      <c r="O151" s="8"/>
      <c r="P151" s="8"/>
      <c r="Q151" s="8"/>
      <c r="R151" s="13"/>
    </row>
    <row r="152" spans="2:18" x14ac:dyDescent="0.3">
      <c r="B152" s="6"/>
      <c r="F152" s="10"/>
    </row>
    <row r="153" spans="2:18" ht="15" thickBot="1" x14ac:dyDescent="0.35">
      <c r="B153" s="7"/>
      <c r="C153" s="8"/>
      <c r="D153" s="8"/>
      <c r="E153" s="8"/>
      <c r="F153" s="13"/>
    </row>
  </sheetData>
  <mergeCells count="96">
    <mergeCell ref="V11:X11"/>
    <mergeCell ref="Y11:Z11"/>
    <mergeCell ref="D11:E11"/>
    <mergeCell ref="F11:G11"/>
    <mergeCell ref="R11:S11"/>
    <mergeCell ref="N11:O11"/>
    <mergeCell ref="P11:Q11"/>
    <mergeCell ref="A38:C38"/>
    <mergeCell ref="E38:E48"/>
    <mergeCell ref="B40:C40"/>
    <mergeCell ref="B41:C41"/>
    <mergeCell ref="B43:C43"/>
    <mergeCell ref="B44:C44"/>
    <mergeCell ref="B46:C46"/>
    <mergeCell ref="B47:C47"/>
    <mergeCell ref="B49:C49"/>
    <mergeCell ref="E49:E60"/>
    <mergeCell ref="A50:C50"/>
    <mergeCell ref="B52:C52"/>
    <mergeCell ref="B53:C53"/>
    <mergeCell ref="B55:C55"/>
    <mergeCell ref="B56:C56"/>
    <mergeCell ref="B58:C58"/>
    <mergeCell ref="B82:C82"/>
    <mergeCell ref="E61:E72"/>
    <mergeCell ref="A62:C62"/>
    <mergeCell ref="B64:C64"/>
    <mergeCell ref="B65:C65"/>
    <mergeCell ref="B67:C67"/>
    <mergeCell ref="B68:C68"/>
    <mergeCell ref="B70:C70"/>
    <mergeCell ref="A74:C74"/>
    <mergeCell ref="B76:C76"/>
    <mergeCell ref="B77:C77"/>
    <mergeCell ref="B79:C79"/>
    <mergeCell ref="B80:C80"/>
    <mergeCell ref="B137:D137"/>
    <mergeCell ref="B87:F87"/>
    <mergeCell ref="B35:F35"/>
    <mergeCell ref="B90:D90"/>
    <mergeCell ref="E90:E100"/>
    <mergeCell ref="C97:D97"/>
    <mergeCell ref="C100:D100"/>
    <mergeCell ref="B101:D101"/>
    <mergeCell ref="E101:E111"/>
    <mergeCell ref="B112:D112"/>
    <mergeCell ref="E112:E122"/>
    <mergeCell ref="B123:D123"/>
    <mergeCell ref="B88:D88"/>
    <mergeCell ref="C98:D98"/>
    <mergeCell ref="C124:D124"/>
    <mergeCell ref="E73:E84"/>
    <mergeCell ref="H98:I98"/>
    <mergeCell ref="H99:I99"/>
    <mergeCell ref="H100:I100"/>
    <mergeCell ref="E123:E133"/>
    <mergeCell ref="C125:D125"/>
    <mergeCell ref="C126:D126"/>
    <mergeCell ref="G88:L88"/>
    <mergeCell ref="K91:L101"/>
    <mergeCell ref="K102:L112"/>
    <mergeCell ref="G102:I102"/>
    <mergeCell ref="H104:I104"/>
    <mergeCell ref="H105:I105"/>
    <mergeCell ref="H106:I106"/>
    <mergeCell ref="H107:I107"/>
    <mergeCell ref="H109:I109"/>
    <mergeCell ref="H110:I110"/>
    <mergeCell ref="H111:I111"/>
    <mergeCell ref="G91:I91"/>
    <mergeCell ref="H93:I93"/>
    <mergeCell ref="H94:I94"/>
    <mergeCell ref="H95:I95"/>
    <mergeCell ref="H96:I96"/>
    <mergeCell ref="N110:O110"/>
    <mergeCell ref="M91:O91"/>
    <mergeCell ref="N94:O94"/>
    <mergeCell ref="N95:O95"/>
    <mergeCell ref="N96:O96"/>
    <mergeCell ref="N98:O98"/>
    <mergeCell ref="N111:O111"/>
    <mergeCell ref="M118:O118"/>
    <mergeCell ref="M134:O134"/>
    <mergeCell ref="N137:O137"/>
    <mergeCell ref="M88:R88"/>
    <mergeCell ref="Q91:R101"/>
    <mergeCell ref="Q102:R112"/>
    <mergeCell ref="Q118:R124"/>
    <mergeCell ref="N99:O99"/>
    <mergeCell ref="N100:O100"/>
    <mergeCell ref="M102:O102"/>
    <mergeCell ref="N103:O103"/>
    <mergeCell ref="N105:O105"/>
    <mergeCell ref="N106:O106"/>
    <mergeCell ref="N107:O107"/>
    <mergeCell ref="N109:O109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DDEB-7386-467D-8B65-8EEE20F53791}">
  <dimension ref="A2:Y141"/>
  <sheetViews>
    <sheetView topLeftCell="G8" zoomScale="80" zoomScaleNormal="80" workbookViewId="0">
      <selection activeCell="R13" sqref="R13:S48"/>
    </sheetView>
  </sheetViews>
  <sheetFormatPr defaultRowHeight="14.4" x14ac:dyDescent="0.3"/>
  <cols>
    <col min="1" max="1" width="24.109375" bestFit="1" customWidth="1"/>
    <col min="2" max="2" width="26.88671875" bestFit="1" customWidth="1"/>
    <col min="3" max="3" width="22.21875" bestFit="1" customWidth="1"/>
    <col min="4" max="4" width="20.5546875" bestFit="1" customWidth="1"/>
    <col min="5" max="5" width="17" bestFit="1" customWidth="1"/>
    <col min="6" max="6" width="18.88671875" bestFit="1" customWidth="1"/>
    <col min="7" max="7" width="20.109375" bestFit="1" customWidth="1"/>
    <col min="8" max="8" width="27.33203125" bestFit="1" customWidth="1"/>
    <col min="9" max="10" width="21" bestFit="1" customWidth="1"/>
    <col min="11" max="11" width="28" bestFit="1" customWidth="1"/>
    <col min="12" max="12" width="27.21875" bestFit="1" customWidth="1"/>
    <col min="13" max="13" width="26.88671875" bestFit="1" customWidth="1"/>
    <col min="14" max="14" width="14" bestFit="1" customWidth="1"/>
    <col min="15" max="15" width="16.5546875" bestFit="1" customWidth="1"/>
    <col min="16" max="16" width="16.77734375" bestFit="1" customWidth="1"/>
    <col min="17" max="17" width="16.5546875" bestFit="1" customWidth="1"/>
    <col min="18" max="18" width="17" bestFit="1" customWidth="1"/>
    <col min="19" max="19" width="17.6640625" bestFit="1" customWidth="1"/>
    <col min="20" max="20" width="28.33203125" bestFit="1" customWidth="1"/>
    <col min="21" max="21" width="8.88671875" customWidth="1"/>
    <col min="22" max="22" width="24" bestFit="1" customWidth="1"/>
  </cols>
  <sheetData>
    <row r="2" spans="1:22" x14ac:dyDescent="0.3">
      <c r="A2" t="s">
        <v>356</v>
      </c>
      <c r="B2" t="s">
        <v>123</v>
      </c>
      <c r="C2" t="s">
        <v>346</v>
      </c>
      <c r="D2" t="s">
        <v>349</v>
      </c>
      <c r="E2" t="s">
        <v>306</v>
      </c>
      <c r="F2" t="s">
        <v>307</v>
      </c>
      <c r="G2" t="s">
        <v>306</v>
      </c>
      <c r="H2" t="s">
        <v>307</v>
      </c>
      <c r="I2" t="s">
        <v>350</v>
      </c>
      <c r="J2" t="s">
        <v>351</v>
      </c>
      <c r="K2" t="s">
        <v>230</v>
      </c>
      <c r="L2" t="s">
        <v>352</v>
      </c>
      <c r="M2" t="s">
        <v>157</v>
      </c>
      <c r="N2" t="s">
        <v>211</v>
      </c>
      <c r="O2" t="s">
        <v>91</v>
      </c>
      <c r="P2" t="s">
        <v>353</v>
      </c>
      <c r="Q2" t="s">
        <v>354</v>
      </c>
      <c r="R2" t="s">
        <v>238</v>
      </c>
      <c r="S2" t="s">
        <v>355</v>
      </c>
      <c r="T2" t="s">
        <v>89</v>
      </c>
      <c r="V2" t="s">
        <v>359</v>
      </c>
    </row>
    <row r="3" spans="1:22" x14ac:dyDescent="0.3">
      <c r="A3" t="s">
        <v>357</v>
      </c>
      <c r="B3">
        <v>766</v>
      </c>
      <c r="C3">
        <v>22</v>
      </c>
      <c r="D3">
        <v>3.4</v>
      </c>
      <c r="E3">
        <v>473.9</v>
      </c>
      <c r="F3">
        <v>50.9</v>
      </c>
      <c r="G3">
        <v>324.39999999999998</v>
      </c>
      <c r="H3">
        <v>45.2</v>
      </c>
      <c r="I3">
        <v>87.612359999999995</v>
      </c>
      <c r="J3">
        <v>11.958492</v>
      </c>
      <c r="K3">
        <v>5</v>
      </c>
      <c r="L3">
        <f>E3/K3</f>
        <v>94.78</v>
      </c>
      <c r="M3">
        <f>L3-I3</f>
        <v>7.1676400000000058</v>
      </c>
      <c r="N3">
        <f>SQRT(M3^2+(H3/2)^2)</f>
        <v>23.709387659102461</v>
      </c>
      <c r="O3">
        <v>1779</v>
      </c>
      <c r="P3">
        <v>3.5028299999999998E-2</v>
      </c>
      <c r="Q3">
        <v>3.2700400000000001E-3</v>
      </c>
      <c r="R3">
        <f>(I15+I17)/2</f>
        <v>0.93264999999999998</v>
      </c>
      <c r="S3">
        <f>0.01</f>
        <v>0.01</v>
      </c>
      <c r="T3">
        <f>L3/P3/R3</f>
        <v>2901.2085536892564</v>
      </c>
      <c r="U3">
        <f>T3*SQRT(S3^2/R3^2+Q3^2/P3^2+N3^2/L3^2)</f>
        <v>775.25753803147836</v>
      </c>
    </row>
    <row r="4" spans="1:22" x14ac:dyDescent="0.3">
      <c r="A4" t="s">
        <v>357</v>
      </c>
      <c r="B4">
        <v>1042</v>
      </c>
      <c r="C4">
        <v>1</v>
      </c>
      <c r="D4">
        <v>0.16</v>
      </c>
      <c r="E4">
        <v>350.4</v>
      </c>
      <c r="F4">
        <v>45.4</v>
      </c>
      <c r="G4">
        <v>0</v>
      </c>
      <c r="H4">
        <v>0</v>
      </c>
      <c r="I4">
        <v>28.744561999999998</v>
      </c>
      <c r="J4">
        <v>18.494088000000001</v>
      </c>
      <c r="K4">
        <v>5</v>
      </c>
      <c r="L4">
        <f>E4/K4</f>
        <v>70.08</v>
      </c>
      <c r="M4">
        <f>L4-I4</f>
        <v>41.335437999999996</v>
      </c>
      <c r="N4">
        <f t="shared" ref="N4" si="0">SQRT(M4^2+(H4/2)^2)</f>
        <v>41.335437999999996</v>
      </c>
      <c r="O4">
        <v>1779</v>
      </c>
      <c r="P4">
        <v>3.5028299999999998E-2</v>
      </c>
      <c r="Q4">
        <v>3.2700400000000001E-3</v>
      </c>
      <c r="R4">
        <f>(I24+I26)/2</f>
        <v>0.78075000000000006</v>
      </c>
      <c r="S4">
        <v>0.01</v>
      </c>
      <c r="T4">
        <f>L4/P4/R4</f>
        <v>2562.4950768844915</v>
      </c>
      <c r="U4">
        <f t="shared" ref="U4:U5" si="1">T4*SQRT(S4^2/R4^2+Q4^2/P4^2+N4^2/L4^2)</f>
        <v>1530.6078104482153</v>
      </c>
    </row>
    <row r="5" spans="1:22" x14ac:dyDescent="0.3">
      <c r="A5" t="s">
        <v>357</v>
      </c>
      <c r="B5">
        <v>1302</v>
      </c>
      <c r="C5">
        <v>24</v>
      </c>
      <c r="D5">
        <v>3.8</v>
      </c>
      <c r="E5">
        <v>334.9</v>
      </c>
      <c r="F5">
        <v>43.6</v>
      </c>
      <c r="G5">
        <v>221.8</v>
      </c>
      <c r="H5">
        <v>38.700000000000003</v>
      </c>
      <c r="I5">
        <v>61.839160999999997</v>
      </c>
      <c r="J5">
        <v>8.1240640000000006</v>
      </c>
      <c r="K5">
        <v>5</v>
      </c>
      <c r="L5">
        <f>E5/K5</f>
        <v>66.97999999999999</v>
      </c>
      <c r="M5">
        <f>L5-I5</f>
        <v>5.1408389999999926</v>
      </c>
      <c r="N5">
        <f>SQRT(M5^2+(H5/2)^2)</f>
        <v>20.021256844262325</v>
      </c>
      <c r="O5">
        <v>1779</v>
      </c>
      <c r="P5">
        <v>3.5028299999999998E-2</v>
      </c>
      <c r="Q5">
        <v>3.2700400000000001E-3</v>
      </c>
      <c r="R5">
        <f>I32</f>
        <v>0.56820000000000004</v>
      </c>
      <c r="S5">
        <v>0.08</v>
      </c>
      <c r="T5">
        <f>L5/P5/R5</f>
        <v>3365.3082737989039</v>
      </c>
      <c r="U5">
        <f t="shared" si="1"/>
        <v>1155.4722979376577</v>
      </c>
    </row>
    <row r="6" spans="1:22" x14ac:dyDescent="0.3">
      <c r="A6" t="s">
        <v>357</v>
      </c>
      <c r="B6">
        <v>2206</v>
      </c>
      <c r="C6">
        <v>75</v>
      </c>
      <c r="D6">
        <v>11.9</v>
      </c>
      <c r="E6" t="s">
        <v>372</v>
      </c>
      <c r="O6">
        <v>0</v>
      </c>
      <c r="R6">
        <f>(I45+I47)/2</f>
        <v>8.6249999999999993E-2</v>
      </c>
      <c r="S6">
        <v>0.01</v>
      </c>
      <c r="T6">
        <f>T5*D58/D55</f>
        <v>10538.728541633411</v>
      </c>
      <c r="U6">
        <f>T6*SQRT(U5^2/T5^2+E58^2/D58^2+E55^2/D55^2)</f>
        <v>3801.2265239094636</v>
      </c>
      <c r="V6">
        <f>T6*R6</f>
        <v>908.96533671588156</v>
      </c>
    </row>
    <row r="7" spans="1:22" x14ac:dyDescent="0.3">
      <c r="A7" t="s">
        <v>358</v>
      </c>
      <c r="B7">
        <v>1463</v>
      </c>
      <c r="C7">
        <v>34</v>
      </c>
      <c r="D7">
        <v>9.8800000000000008</v>
      </c>
      <c r="O7">
        <v>0</v>
      </c>
    </row>
    <row r="8" spans="1:22" x14ac:dyDescent="0.3">
      <c r="A8" t="s">
        <v>358</v>
      </c>
      <c r="B8">
        <v>2153</v>
      </c>
      <c r="C8">
        <v>100</v>
      </c>
      <c r="D8">
        <v>26</v>
      </c>
      <c r="O8">
        <v>0</v>
      </c>
    </row>
    <row r="9" spans="1:22" x14ac:dyDescent="0.3">
      <c r="A9" t="s">
        <v>358</v>
      </c>
      <c r="B9">
        <v>1554</v>
      </c>
      <c r="C9">
        <v>6.2</v>
      </c>
      <c r="D9">
        <v>1.8</v>
      </c>
      <c r="E9" t="s">
        <v>373</v>
      </c>
      <c r="O9">
        <v>2211</v>
      </c>
    </row>
    <row r="10" spans="1:22" x14ac:dyDescent="0.3">
      <c r="A10" t="s">
        <v>360</v>
      </c>
      <c r="B10">
        <v>1257</v>
      </c>
      <c r="C10">
        <v>1.9</v>
      </c>
      <c r="D10">
        <v>0.38</v>
      </c>
      <c r="E10" t="s">
        <v>374</v>
      </c>
      <c r="O10">
        <v>1249</v>
      </c>
    </row>
    <row r="12" spans="1:22" x14ac:dyDescent="0.3">
      <c r="O12" s="125"/>
      <c r="P12" s="143" t="s">
        <v>384</v>
      </c>
      <c r="Q12" s="143"/>
      <c r="R12" s="143" t="s">
        <v>385</v>
      </c>
      <c r="S12" s="143"/>
    </row>
    <row r="13" spans="1:22" x14ac:dyDescent="0.3">
      <c r="A13" t="s">
        <v>398</v>
      </c>
      <c r="B13" t="s">
        <v>237</v>
      </c>
      <c r="C13" t="s">
        <v>311</v>
      </c>
      <c r="D13" t="s">
        <v>320</v>
      </c>
      <c r="E13" t="s">
        <v>339</v>
      </c>
      <c r="F13" t="s">
        <v>157</v>
      </c>
      <c r="G13" t="s">
        <v>231</v>
      </c>
      <c r="H13" t="s">
        <v>300</v>
      </c>
      <c r="I13" t="s">
        <v>238</v>
      </c>
      <c r="J13" t="s">
        <v>343</v>
      </c>
      <c r="K13" t="s">
        <v>342</v>
      </c>
      <c r="L13" t="s">
        <v>341</v>
      </c>
      <c r="M13" t="s">
        <v>344</v>
      </c>
      <c r="N13" t="s">
        <v>345</v>
      </c>
      <c r="O13" t="s">
        <v>346</v>
      </c>
      <c r="P13" t="s">
        <v>347</v>
      </c>
      <c r="Q13" t="s">
        <v>348</v>
      </c>
      <c r="R13" t="s">
        <v>347</v>
      </c>
      <c r="S13" t="s">
        <v>348</v>
      </c>
      <c r="T13" t="s">
        <v>237</v>
      </c>
    </row>
    <row r="14" spans="1:22" ht="15" thickBot="1" x14ac:dyDescent="0.35">
      <c r="B14">
        <v>258.40461749319377</v>
      </c>
      <c r="C14">
        <v>0</v>
      </c>
      <c r="D14">
        <v>2731</v>
      </c>
      <c r="E14">
        <v>203</v>
      </c>
      <c r="F14">
        <v>0</v>
      </c>
      <c r="G14">
        <v>2731</v>
      </c>
      <c r="H14">
        <v>203</v>
      </c>
      <c r="I14">
        <v>1</v>
      </c>
      <c r="J14">
        <v>0.01</v>
      </c>
      <c r="K14">
        <v>0.01</v>
      </c>
      <c r="L14">
        <v>2731</v>
      </c>
      <c r="M14">
        <v>204.82879704768078</v>
      </c>
      <c r="N14">
        <v>204.82879704768078</v>
      </c>
      <c r="O14">
        <v>6.89759220532319E-2</v>
      </c>
      <c r="P14">
        <v>7.6305336404944198E-3</v>
      </c>
      <c r="Q14">
        <v>7.8990692446366702E-3</v>
      </c>
      <c r="R14">
        <f>P14</f>
        <v>7.6305336404944198E-3</v>
      </c>
      <c r="S14">
        <f>Q14</f>
        <v>7.8990692446366702E-3</v>
      </c>
      <c r="T14">
        <v>258.40461749319377</v>
      </c>
    </row>
    <row r="15" spans="1:22" s="3" customFormat="1" x14ac:dyDescent="0.3">
      <c r="A15" s="147" t="s">
        <v>406</v>
      </c>
      <c r="B15" s="2">
        <v>740</v>
      </c>
      <c r="C15" s="3">
        <v>102.15920782831415</v>
      </c>
      <c r="D15" s="3">
        <v>0</v>
      </c>
      <c r="E15" s="3">
        <v>31.642033836011301</v>
      </c>
      <c r="F15" s="3">
        <v>0</v>
      </c>
      <c r="G15" s="3">
        <v>102.15920782831415</v>
      </c>
      <c r="H15" s="3">
        <v>31.642033836011301</v>
      </c>
      <c r="I15" s="3">
        <v>0.94</v>
      </c>
      <c r="J15" s="3">
        <v>0.01</v>
      </c>
      <c r="K15" s="3">
        <v>0.01</v>
      </c>
      <c r="L15" s="3">
        <v>108.68000832799379</v>
      </c>
      <c r="M15" s="3">
        <v>33.681587599981199</v>
      </c>
      <c r="N15" s="3">
        <v>33.681587599981206</v>
      </c>
      <c r="O15" s="3">
        <v>2.7448933662307939E-3</v>
      </c>
      <c r="P15" s="3">
        <v>8.7948178768253703E-4</v>
      </c>
      <c r="Q15" s="3">
        <v>8.83228386917621E-4</v>
      </c>
      <c r="R15" s="3">
        <f>SQRT(P15^2+($K$68*$O15)^2)</f>
        <v>8.7949508564602152E-4</v>
      </c>
      <c r="S15" s="3">
        <f>SQRT(Q15^2+($K$68*$O15)^2)</f>
        <v>8.8324162847282868E-4</v>
      </c>
      <c r="T15" s="3">
        <v>740</v>
      </c>
    </row>
    <row r="16" spans="1:22" s="18" customFormat="1" x14ac:dyDescent="0.3">
      <c r="A16" s="140"/>
      <c r="B16" s="22">
        <v>766</v>
      </c>
      <c r="C16" s="18">
        <f>L3/P3</f>
        <v>2705.812157598285</v>
      </c>
      <c r="L16" s="18">
        <v>2901.20855368926</v>
      </c>
      <c r="T16" s="18">
        <v>766</v>
      </c>
    </row>
    <row r="17" spans="1:20" s="119" customFormat="1" x14ac:dyDescent="0.3">
      <c r="A17" s="140"/>
      <c r="B17" s="6">
        <v>806.22240657876443</v>
      </c>
      <c r="C17" s="119">
        <v>0</v>
      </c>
      <c r="D17" s="119">
        <v>565200</v>
      </c>
      <c r="E17" s="119">
        <v>1967.2213119016376</v>
      </c>
      <c r="F17" s="119">
        <v>0</v>
      </c>
      <c r="G17" s="119">
        <v>565200</v>
      </c>
      <c r="H17" s="119">
        <v>1967.2213119016401</v>
      </c>
      <c r="I17" s="119">
        <v>0.92530000000000001</v>
      </c>
      <c r="J17" s="119">
        <v>4.7970407544651997E-2</v>
      </c>
      <c r="K17" s="119">
        <v>4.4644372545708348E-2</v>
      </c>
      <c r="L17" s="119">
        <v>610828.92035015672</v>
      </c>
      <c r="M17" s="119">
        <v>31738.543621533128</v>
      </c>
      <c r="N17" s="119">
        <v>29548.187584969619</v>
      </c>
      <c r="O17" s="119">
        <v>15.427494689832381</v>
      </c>
      <c r="P17" s="119">
        <v>1.4887919134347201</v>
      </c>
      <c r="Q17" s="119">
        <v>1.52953947382575</v>
      </c>
      <c r="R17" s="119">
        <f>SQRT(P17^2+($K$68*$O17)^2)</f>
        <v>1.4890400466680822</v>
      </c>
      <c r="S17" s="119">
        <f>SQRT(Q17^2+($K$68*$O17)^2)</f>
        <v>1.5297809977456973</v>
      </c>
      <c r="T17" s="119">
        <v>806.22240657876443</v>
      </c>
    </row>
    <row r="18" spans="1:20" s="119" customFormat="1" x14ac:dyDescent="0.3">
      <c r="A18" s="140"/>
      <c r="B18" s="6">
        <v>834.13010526802941</v>
      </c>
      <c r="C18" s="119">
        <v>3765.9426148484863</v>
      </c>
      <c r="D18" s="119">
        <v>0</v>
      </c>
      <c r="E18" s="119">
        <v>578.49621591582502</v>
      </c>
      <c r="F18" s="119">
        <v>0</v>
      </c>
      <c r="G18" s="119">
        <v>3765.9426148484863</v>
      </c>
      <c r="H18" s="119">
        <v>578.49621591582502</v>
      </c>
      <c r="I18" s="119">
        <v>0.90769999999999995</v>
      </c>
      <c r="J18" s="119">
        <v>4.8342631289577109E-2</v>
      </c>
      <c r="K18" s="119">
        <v>5.0305168720520162E-2</v>
      </c>
      <c r="L18" s="119">
        <v>4148.884669878249</v>
      </c>
      <c r="M18" s="119">
        <v>674.53878386781582</v>
      </c>
      <c r="N18" s="119">
        <v>677.53025309591658</v>
      </c>
      <c r="O18" s="119">
        <v>0.10478694456146871</v>
      </c>
      <c r="P18" s="119">
        <v>1.9048813419364163E-2</v>
      </c>
      <c r="Q18" s="119">
        <v>1.9366516427176787E-2</v>
      </c>
      <c r="R18" s="119">
        <f t="shared" ref="R18:R32" si="2">SQRT(P18^2+($K$68*$O18)^2)</f>
        <v>1.9049708166962567E-2</v>
      </c>
      <c r="S18" s="119">
        <f t="shared" ref="S18:S33" si="3">SQRT(Q18^2+($K$68*$O18)^2)</f>
        <v>1.9367396497330262E-2</v>
      </c>
      <c r="T18" s="119">
        <v>834.13010526802941</v>
      </c>
    </row>
    <row r="19" spans="1:20" s="119" customFormat="1" x14ac:dyDescent="0.3">
      <c r="A19" s="140"/>
      <c r="B19" s="6">
        <v>870.30675171707651</v>
      </c>
      <c r="C19" s="119">
        <v>1221.259382596892</v>
      </c>
      <c r="D19" s="119">
        <v>0</v>
      </c>
      <c r="E19" s="119">
        <v>501.75506553003254</v>
      </c>
      <c r="F19" s="119">
        <v>0</v>
      </c>
      <c r="G19" s="119">
        <v>1221.259382596892</v>
      </c>
      <c r="H19" s="119">
        <v>501.75506553003254</v>
      </c>
      <c r="I19" s="119">
        <v>0.88859999999999995</v>
      </c>
      <c r="J19" s="119">
        <v>5.274438358725974E-2</v>
      </c>
      <c r="K19" s="119">
        <v>6.1423529693432719E-2</v>
      </c>
      <c r="L19" s="119">
        <v>1374.3634735504074</v>
      </c>
      <c r="M19" s="119">
        <v>570.52040950168396</v>
      </c>
      <c r="N19" s="119">
        <v>572.59399504446344</v>
      </c>
      <c r="O19" s="119">
        <v>3.4711822711249361E-2</v>
      </c>
      <c r="P19" s="119">
        <v>1.4683318179441325E-2</v>
      </c>
      <c r="Q19" s="119">
        <v>1.4770511639338209E-2</v>
      </c>
      <c r="R19" s="119">
        <f t="shared" si="2"/>
        <v>1.4683445557040518E-2</v>
      </c>
      <c r="S19" s="119">
        <f t="shared" si="3"/>
        <v>1.477063826500691E-2</v>
      </c>
      <c r="T19" s="119">
        <v>870.30675171707651</v>
      </c>
    </row>
    <row r="20" spans="1:20" s="119" customFormat="1" x14ac:dyDescent="0.3">
      <c r="A20" s="140"/>
      <c r="B20" s="6">
        <v>906.48339816612372</v>
      </c>
      <c r="C20" s="119">
        <v>0</v>
      </c>
      <c r="D20" s="119">
        <v>229400</v>
      </c>
      <c r="E20" s="119">
        <v>1225.6624168179426</v>
      </c>
      <c r="F20" s="119">
        <v>0</v>
      </c>
      <c r="G20" s="119">
        <v>229400</v>
      </c>
      <c r="H20" s="119">
        <v>1225.6624168179426</v>
      </c>
      <c r="I20" s="119">
        <v>0.873</v>
      </c>
      <c r="J20" s="119">
        <v>5.8740871631258636E-2</v>
      </c>
      <c r="K20" s="119">
        <v>5.6964287057769826E-2</v>
      </c>
      <c r="L20" s="119">
        <v>262772.05040091637</v>
      </c>
      <c r="M20" s="119">
        <v>17736.592285106548</v>
      </c>
      <c r="N20" s="119">
        <v>17203.572272433496</v>
      </c>
      <c r="O20" s="119">
        <v>6.636742755848239</v>
      </c>
      <c r="P20" s="119">
        <v>0.70139087386069121</v>
      </c>
      <c r="Q20" s="119">
        <v>0.72019236714684998</v>
      </c>
      <c r="R20" s="119">
        <f t="shared" si="2"/>
        <v>0.70148834678523586</v>
      </c>
      <c r="S20" s="119">
        <f t="shared" si="3"/>
        <v>0.7202872957626022</v>
      </c>
      <c r="T20" s="119">
        <v>906.48339816612372</v>
      </c>
    </row>
    <row r="21" spans="1:20" s="119" customFormat="1" x14ac:dyDescent="0.3">
      <c r="A21" s="140"/>
      <c r="B21" s="6">
        <v>958.16432166476238</v>
      </c>
      <c r="C21" s="119">
        <v>1382.6759582290808</v>
      </c>
      <c r="D21" s="119">
        <v>0</v>
      </c>
      <c r="E21" s="119">
        <v>260.73253440089508</v>
      </c>
      <c r="F21" s="119">
        <v>0</v>
      </c>
      <c r="G21" s="119">
        <v>1382.6759582290808</v>
      </c>
      <c r="H21" s="119">
        <v>260.73253440089508</v>
      </c>
      <c r="I21" s="119">
        <v>0.83899999999999997</v>
      </c>
      <c r="J21" s="119">
        <v>5.2413738656958996E-2</v>
      </c>
      <c r="K21" s="119">
        <v>6.723243264972642E-2</v>
      </c>
      <c r="L21" s="119">
        <v>1648.0047177938986</v>
      </c>
      <c r="M21" s="119">
        <v>327.37570398018738</v>
      </c>
      <c r="N21" s="119">
        <v>337.6619167038902</v>
      </c>
      <c r="O21" s="119">
        <v>4.1623084935155784E-2</v>
      </c>
      <c r="P21" s="119">
        <v>8.9343960954909821E-3</v>
      </c>
      <c r="Q21" s="119">
        <v>9.2577368341010824E-3</v>
      </c>
      <c r="R21" s="119">
        <f t="shared" si="2"/>
        <v>8.9346970912157556E-3</v>
      </c>
      <c r="S21" s="119">
        <f t="shared" si="3"/>
        <v>9.2580273174217142E-3</v>
      </c>
      <c r="T21" s="119">
        <v>958.16432166476238</v>
      </c>
    </row>
    <row r="22" spans="1:20" s="119" customFormat="1" x14ac:dyDescent="0.3">
      <c r="A22" s="140"/>
      <c r="B22" s="6">
        <v>972.63498024438127</v>
      </c>
      <c r="C22" s="119">
        <v>10947.444591407169</v>
      </c>
      <c r="D22" s="119">
        <v>0</v>
      </c>
      <c r="E22" s="119">
        <v>1495.9742405925938</v>
      </c>
      <c r="F22" s="119">
        <v>0</v>
      </c>
      <c r="G22" s="119">
        <v>10947.444591407169</v>
      </c>
      <c r="H22" s="119">
        <v>1495.9742405925938</v>
      </c>
      <c r="I22" s="119">
        <v>0.83</v>
      </c>
      <c r="J22" s="119">
        <v>6.7317902522285991E-2</v>
      </c>
      <c r="K22" s="119">
        <v>7.25727910445782E-2</v>
      </c>
      <c r="L22" s="119">
        <v>13189.692278803819</v>
      </c>
      <c r="M22" s="119">
        <v>2095.9387539412301</v>
      </c>
      <c r="N22" s="119">
        <v>2139.765561544024</v>
      </c>
      <c r="O22" s="119">
        <v>0.33312749415191778</v>
      </c>
      <c r="P22" s="119">
        <v>5.9465313058691502E-2</v>
      </c>
      <c r="Q22" s="119">
        <v>6.1252047776504108E-2</v>
      </c>
      <c r="R22" s="119">
        <f t="shared" si="2"/>
        <v>5.9468209808475066E-2</v>
      </c>
      <c r="S22" s="119">
        <f t="shared" si="3"/>
        <v>6.1254860031443759E-2</v>
      </c>
      <c r="T22" s="119">
        <v>972.63498024438127</v>
      </c>
    </row>
    <row r="23" spans="1:20" s="18" customFormat="1" x14ac:dyDescent="0.3">
      <c r="A23" s="140"/>
      <c r="B23" s="22">
        <v>1042</v>
      </c>
      <c r="C23" s="18">
        <f>L4/P4</f>
        <v>2000.668031277567</v>
      </c>
      <c r="L23" s="18">
        <v>2562.4950768844915</v>
      </c>
      <c r="T23" s="18">
        <v>1042</v>
      </c>
    </row>
    <row r="24" spans="1:20" s="119" customFormat="1" x14ac:dyDescent="0.3">
      <c r="A24" s="140"/>
      <c r="B24" s="6">
        <v>1025.3495222129927</v>
      </c>
      <c r="C24" s="119">
        <v>0</v>
      </c>
      <c r="D24" s="119">
        <v>3156000</v>
      </c>
      <c r="E24" s="119">
        <v>3511.498967677479</v>
      </c>
      <c r="F24" s="119">
        <v>0</v>
      </c>
      <c r="G24" s="119">
        <v>3156000</v>
      </c>
      <c r="H24" s="119">
        <v>3511.498967677479</v>
      </c>
      <c r="I24" s="119">
        <v>0.79710000000000003</v>
      </c>
      <c r="J24" s="119">
        <v>6.4813964544687463E-2</v>
      </c>
      <c r="K24" s="119">
        <v>6.8976590231759075E-2</v>
      </c>
      <c r="L24" s="119">
        <v>3959352.65336846</v>
      </c>
      <c r="M24" s="119">
        <v>321973.86314313579</v>
      </c>
      <c r="N24" s="119">
        <v>342648.6258884733</v>
      </c>
      <c r="O24" s="119">
        <v>100</v>
      </c>
      <c r="P24" s="119">
        <v>11.500359878256775</v>
      </c>
      <c r="Q24" s="119">
        <v>12.238827310513086</v>
      </c>
      <c r="R24" s="119">
        <f t="shared" si="2"/>
        <v>11.501709547653073</v>
      </c>
      <c r="S24" s="119">
        <f t="shared" si="3"/>
        <v>12.240095552148139</v>
      </c>
      <c r="T24" s="119">
        <v>1025.3495222129927</v>
      </c>
    </row>
    <row r="25" spans="1:20" s="119" customFormat="1" x14ac:dyDescent="0.3">
      <c r="A25" s="140"/>
      <c r="B25" s="6">
        <v>1060</v>
      </c>
      <c r="C25" s="119">
        <v>1185.7765194357892</v>
      </c>
      <c r="D25" s="119">
        <v>0</v>
      </c>
      <c r="E25" s="119">
        <v>1141.9747958599678</v>
      </c>
      <c r="F25" s="119">
        <v>0</v>
      </c>
      <c r="G25" s="119">
        <v>1185.7765194357892</v>
      </c>
      <c r="H25" s="119">
        <v>1141.9747958599678</v>
      </c>
      <c r="I25" s="119">
        <v>0.76439999999999997</v>
      </c>
      <c r="J25" s="119">
        <v>6.221133337262591E-2</v>
      </c>
      <c r="K25" s="119">
        <v>7.8980630536860122E-2</v>
      </c>
      <c r="L25" s="119">
        <v>1551.2513336417965</v>
      </c>
      <c r="M25" s="119">
        <v>1499.274275524788</v>
      </c>
      <c r="N25" s="119">
        <v>1502.5226531467433</v>
      </c>
      <c r="O25" s="119">
        <v>3.9179418189032797E-2</v>
      </c>
      <c r="P25" s="119">
        <v>3.8000451375345003E-2</v>
      </c>
      <c r="Q25" s="119">
        <v>3.8099867885097692E-2</v>
      </c>
      <c r="R25" s="119">
        <f t="shared" si="2"/>
        <v>3.8000514078755911E-2</v>
      </c>
      <c r="S25" s="119">
        <f t="shared" si="3"/>
        <v>3.8099930424892701E-2</v>
      </c>
      <c r="T25" s="119">
        <v>1060</v>
      </c>
    </row>
    <row r="26" spans="1:20" s="119" customFormat="1" x14ac:dyDescent="0.3">
      <c r="A26" s="140"/>
      <c r="B26" s="6">
        <v>1065.6606425419311</v>
      </c>
      <c r="C26" s="119">
        <v>6185.701236615334</v>
      </c>
      <c r="D26" s="119">
        <v>0</v>
      </c>
      <c r="E26" s="119">
        <v>1592.8870638344563</v>
      </c>
      <c r="F26" s="119">
        <v>0</v>
      </c>
      <c r="G26" s="119">
        <v>6185.701236615334</v>
      </c>
      <c r="H26" s="119">
        <v>1592.8870638344563</v>
      </c>
      <c r="I26" s="119">
        <v>0.76439999999999997</v>
      </c>
      <c r="J26" s="119">
        <v>6.221133337262591E-2</v>
      </c>
      <c r="K26" s="119">
        <v>7.8980630536860122E-2</v>
      </c>
      <c r="L26" s="119">
        <v>8092.2308171315208</v>
      </c>
      <c r="M26" s="119">
        <v>2185.4364746618862</v>
      </c>
      <c r="N26" s="119">
        <v>2245.3247301187571</v>
      </c>
      <c r="O26" s="119">
        <v>0.20438267377489022</v>
      </c>
      <c r="P26" s="119">
        <v>5.7644814357174765E-2</v>
      </c>
      <c r="Q26" s="119">
        <v>5.9403754540627435E-2</v>
      </c>
      <c r="R26" s="119">
        <f t="shared" si="2"/>
        <v>5.7645939190009633E-2</v>
      </c>
      <c r="S26" s="119">
        <f t="shared" si="3"/>
        <v>5.9404846067877839E-2</v>
      </c>
      <c r="T26" s="119">
        <v>1065.6606425419311</v>
      </c>
    </row>
    <row r="27" spans="1:20" s="119" customFormat="1" x14ac:dyDescent="0.3">
      <c r="A27" s="140"/>
      <c r="B27" s="6">
        <v>1138.0139354400253</v>
      </c>
      <c r="C27" s="119">
        <v>10689.680437359266</v>
      </c>
      <c r="D27" s="119">
        <v>15190</v>
      </c>
      <c r="E27" s="119">
        <v>911.07076437549892</v>
      </c>
      <c r="F27" s="119">
        <v>4500.3195626407341</v>
      </c>
      <c r="G27" s="119">
        <v>10689.680437359266</v>
      </c>
      <c r="H27" s="119">
        <v>4591.6147599277801</v>
      </c>
      <c r="I27" s="119">
        <v>0.7127</v>
      </c>
      <c r="J27" s="119">
        <v>6.7425291990468941E-2</v>
      </c>
      <c r="K27" s="119">
        <v>8.9594642696982682E-2</v>
      </c>
      <c r="L27" s="119">
        <v>14998.850059434917</v>
      </c>
      <c r="M27" s="119">
        <v>6596.9768473030781</v>
      </c>
      <c r="N27" s="119">
        <v>6712.8116389404968</v>
      </c>
      <c r="O27" s="119">
        <v>0.37882076623496747</v>
      </c>
      <c r="P27" s="119">
        <v>0.16944143292271893</v>
      </c>
      <c r="Q27" s="119">
        <v>0.1726836919278785</v>
      </c>
      <c r="R27" s="119">
        <f t="shared" si="2"/>
        <v>0.16944274757400538</v>
      </c>
      <c r="S27" s="119">
        <f t="shared" si="3"/>
        <v>0.17268498189583914</v>
      </c>
      <c r="T27" s="119">
        <v>1138.0139354400253</v>
      </c>
    </row>
    <row r="28" spans="1:20" s="119" customFormat="1" x14ac:dyDescent="0.3">
      <c r="A28" s="140"/>
      <c r="B28" s="6">
        <v>1217.6025576279289</v>
      </c>
      <c r="C28" s="119">
        <v>7460.6617090124073</v>
      </c>
      <c r="D28" s="119">
        <v>5922.8558031308239</v>
      </c>
      <c r="E28" s="119">
        <v>1354.303662600018</v>
      </c>
      <c r="F28" s="119">
        <v>1537.8059058815834</v>
      </c>
      <c r="G28" s="119">
        <v>7460.6617090124073</v>
      </c>
      <c r="H28" s="119">
        <v>2049.1426047730552</v>
      </c>
      <c r="I28" s="119">
        <v>0.65410000000000001</v>
      </c>
      <c r="J28" s="119">
        <v>7.2454192425283503E-2</v>
      </c>
      <c r="K28" s="119">
        <v>8.6281052381157214E-2</v>
      </c>
      <c r="L28" s="119">
        <v>11405.995580205485</v>
      </c>
      <c r="M28" s="119">
        <v>3377.9419541388561</v>
      </c>
      <c r="N28" s="119">
        <v>3475.3236794034142</v>
      </c>
      <c r="O28" s="119">
        <v>0.28807728380804154</v>
      </c>
      <c r="P28" s="119">
        <v>8.8473342796936277E-2</v>
      </c>
      <c r="Q28" s="119">
        <v>9.124690097459677E-2</v>
      </c>
      <c r="R28" s="119">
        <f t="shared" si="2"/>
        <v>8.847479881355369E-2</v>
      </c>
      <c r="S28" s="119">
        <f t="shared" si="3"/>
        <v>9.1248312734551279E-2</v>
      </c>
      <c r="T28" s="119">
        <v>1217.6025576279289</v>
      </c>
    </row>
    <row r="29" spans="1:20" s="119" customFormat="1" x14ac:dyDescent="0.3">
      <c r="A29" s="140"/>
      <c r="B29" s="6">
        <v>1223.8042684477655</v>
      </c>
      <c r="C29" s="119">
        <v>8144.3100988910846</v>
      </c>
      <c r="D29" s="119">
        <v>6465.5892752037653</v>
      </c>
      <c r="E29" s="119">
        <v>766.4266131104489</v>
      </c>
      <c r="F29" s="119">
        <v>1678.7208236873194</v>
      </c>
      <c r="G29" s="119">
        <v>8144.3100988910846</v>
      </c>
      <c r="H29" s="119">
        <v>1845.4033047454384</v>
      </c>
      <c r="I29" s="119">
        <v>0.64980000000000004</v>
      </c>
      <c r="J29" s="119">
        <v>7.7126519433979371E-2</v>
      </c>
      <c r="K29" s="119">
        <v>8.3991487663929387E-2</v>
      </c>
      <c r="L29" s="119">
        <v>12533.564325778831</v>
      </c>
      <c r="M29" s="119">
        <v>3205.9990361799901</v>
      </c>
      <c r="N29" s="119">
        <v>3269.5461817135538</v>
      </c>
      <c r="O29" s="119">
        <v>0.31655589746762697</v>
      </c>
      <c r="P29" s="119">
        <v>8.4966229528412235E-2</v>
      </c>
      <c r="Q29" s="119">
        <v>8.7003402490395135E-2</v>
      </c>
      <c r="R29" s="119">
        <f t="shared" si="2"/>
        <v>8.4968060215453695E-2</v>
      </c>
      <c r="S29" s="119">
        <f t="shared" si="3"/>
        <v>8.7005190313037231E-2</v>
      </c>
      <c r="T29" s="119">
        <v>1223.8042684477655</v>
      </c>
    </row>
    <row r="30" spans="1:20" s="119" customFormat="1" x14ac:dyDescent="0.3">
      <c r="A30" s="140"/>
      <c r="B30" s="6">
        <v>1228.9723607976296</v>
      </c>
      <c r="C30" s="119">
        <v>39327.896380115882</v>
      </c>
      <c r="D30" s="119">
        <v>31221.554921665411</v>
      </c>
      <c r="E30" s="119">
        <v>5033.0060772630295</v>
      </c>
      <c r="F30" s="119">
        <v>8106.3414584504717</v>
      </c>
      <c r="G30" s="119">
        <v>39327.896380115882</v>
      </c>
      <c r="H30" s="119">
        <v>9541.6938755526789</v>
      </c>
      <c r="I30" s="119">
        <v>0.64029999999999998</v>
      </c>
      <c r="J30" s="119">
        <v>6.74759216313493E-2</v>
      </c>
      <c r="K30" s="119">
        <v>9.1849060964171017E-2</v>
      </c>
      <c r="L30" s="119">
        <v>61421.046978160055</v>
      </c>
      <c r="M30" s="119">
        <v>16246.914836074913</v>
      </c>
      <c r="N30" s="119">
        <v>17311.692299648945</v>
      </c>
      <c r="O30" s="119">
        <v>1.5512901313780538</v>
      </c>
      <c r="P30" s="119">
        <v>0.42929607621152616</v>
      </c>
      <c r="Q30" s="119">
        <v>0.45738186597349162</v>
      </c>
      <c r="R30" s="119">
        <f t="shared" si="2"/>
        <v>0.42930477760992819</v>
      </c>
      <c r="S30" s="119">
        <f t="shared" si="3"/>
        <v>0.45739003306750192</v>
      </c>
      <c r="T30" s="119">
        <v>1228.9723607976296</v>
      </c>
    </row>
    <row r="31" spans="1:20" s="119" customFormat="1" x14ac:dyDescent="0.3">
      <c r="A31" s="140"/>
      <c r="B31" s="22">
        <v>1302</v>
      </c>
      <c r="C31" s="18">
        <f>L5/P5</f>
        <v>1912.1681611725373</v>
      </c>
      <c r="D31" s="18"/>
      <c r="E31" s="18"/>
      <c r="F31" s="18"/>
      <c r="G31" s="18"/>
      <c r="H31" s="18"/>
      <c r="I31" s="18"/>
      <c r="J31" s="18"/>
      <c r="K31" s="18"/>
      <c r="L31" s="18">
        <v>3365.3082737988998</v>
      </c>
      <c r="M31" s="18"/>
      <c r="N31" s="18"/>
      <c r="O31" s="18"/>
      <c r="P31" s="18"/>
      <c r="Q31" s="18"/>
      <c r="T31" s="119">
        <v>1302</v>
      </c>
    </row>
    <row r="32" spans="1:20" s="119" customFormat="1" x14ac:dyDescent="0.3">
      <c r="A32" s="140"/>
      <c r="B32" s="6">
        <v>1318.8971676852609</v>
      </c>
      <c r="C32" s="119">
        <v>6606.8564500542961</v>
      </c>
      <c r="D32" s="119">
        <v>9596</v>
      </c>
      <c r="E32" s="119">
        <v>739.10714496061667</v>
      </c>
      <c r="F32" s="119">
        <v>2989.1435499457039</v>
      </c>
      <c r="G32" s="119">
        <v>6606.8564500542961</v>
      </c>
      <c r="H32" s="119">
        <v>3079.1652332919452</v>
      </c>
      <c r="I32" s="119">
        <v>0.56820000000000004</v>
      </c>
      <c r="J32" s="119">
        <v>7.3384262618084603E-2</v>
      </c>
      <c r="K32" s="119">
        <v>7.686676785191375E-2</v>
      </c>
      <c r="L32" s="119">
        <v>11627.695265847053</v>
      </c>
      <c r="M32" s="119">
        <v>5623.3883147324141</v>
      </c>
      <c r="N32" s="119">
        <v>5642.8381346600254</v>
      </c>
      <c r="O32" s="119">
        <v>0.2936766760585135</v>
      </c>
      <c r="P32" s="119">
        <v>0.14402181223074131</v>
      </c>
      <c r="Q32" s="119">
        <v>0.14476760645271011</v>
      </c>
      <c r="R32" s="119">
        <f t="shared" si="2"/>
        <v>0.14402274178245059</v>
      </c>
      <c r="S32" s="119">
        <f t="shared" si="3"/>
        <v>0.14476853121571098</v>
      </c>
      <c r="T32" s="119">
        <v>1318.8971676852609</v>
      </c>
    </row>
    <row r="33" spans="1:20" s="8" customFormat="1" ht="15" thickBot="1" x14ac:dyDescent="0.35">
      <c r="A33" s="141"/>
      <c r="B33" s="7">
        <v>1380.9142758836274</v>
      </c>
      <c r="C33" s="8">
        <v>13641.743633197239</v>
      </c>
      <c r="D33" s="8">
        <v>13660</v>
      </c>
      <c r="E33" s="8">
        <v>1705.7736901874362</v>
      </c>
      <c r="F33" s="8">
        <v>18.256366802761477</v>
      </c>
      <c r="G33" s="8">
        <v>13641.743633197239</v>
      </c>
      <c r="H33" s="8">
        <v>1705.8713835059491</v>
      </c>
      <c r="I33" s="8">
        <v>0.50509999999999999</v>
      </c>
      <c r="J33" s="8">
        <v>6.0815869639428824E-2</v>
      </c>
      <c r="K33" s="8">
        <v>8.4598463343018279E-2</v>
      </c>
      <c r="L33" s="8">
        <v>27008.005609180833</v>
      </c>
      <c r="M33" s="8">
        <v>4688.3602450899816</v>
      </c>
      <c r="N33" s="8">
        <v>5645.2152012230708</v>
      </c>
      <c r="O33" s="8">
        <v>0.68213185269575549</v>
      </c>
      <c r="P33" s="8">
        <v>0.13076117693332834</v>
      </c>
      <c r="Q33" s="8">
        <v>0.15431691174147641</v>
      </c>
      <c r="R33" s="119">
        <f>SQRT(P33^2+($K$68*$O33)^2)</f>
        <v>0.13076670041580887</v>
      </c>
      <c r="S33" s="119">
        <f t="shared" si="3"/>
        <v>0.15432159211878074</v>
      </c>
      <c r="T33" s="8">
        <v>1380.9142758836274</v>
      </c>
    </row>
    <row r="34" spans="1:20" s="3" customFormat="1" x14ac:dyDescent="0.3">
      <c r="A34" s="147" t="s">
        <v>407</v>
      </c>
      <c r="B34" s="2">
        <v>1574.2009297685363</v>
      </c>
      <c r="C34" s="3">
        <v>0</v>
      </c>
      <c r="D34" s="3">
        <v>150200</v>
      </c>
      <c r="E34" s="3">
        <v>2847.3846403322473</v>
      </c>
      <c r="F34" s="3">
        <v>0</v>
      </c>
      <c r="G34" s="3">
        <v>150200</v>
      </c>
      <c r="H34" s="3">
        <v>2847.3846403322473</v>
      </c>
      <c r="I34" s="3">
        <v>0.35189999999999999</v>
      </c>
      <c r="J34" s="3">
        <v>6.3972650406247805E-2</v>
      </c>
      <c r="K34" s="3">
        <v>6.3474798148556597E-2</v>
      </c>
      <c r="L34" s="3">
        <v>426825.80278488208</v>
      </c>
      <c r="M34" s="3">
        <v>78014.319718865838</v>
      </c>
      <c r="N34" s="3">
        <v>77413.747862191463</v>
      </c>
      <c r="O34" s="3">
        <v>10.78019161596418</v>
      </c>
      <c r="P34" s="3">
        <v>2.1565953449931712</v>
      </c>
      <c r="Q34" s="3">
        <v>2.1663846023278164</v>
      </c>
      <c r="R34" s="3">
        <f>SQRT(P34^2+($K$69*$O34)^2)</f>
        <v>2.241135700307018</v>
      </c>
      <c r="S34" s="3">
        <f>SQRT(Q34^2+($K$69*$O34)^2)</f>
        <v>2.2505572621791843</v>
      </c>
      <c r="T34" s="3">
        <v>1574.2009297685363</v>
      </c>
    </row>
    <row r="35" spans="1:20" s="119" customFormat="1" x14ac:dyDescent="0.3">
      <c r="A35" s="140"/>
      <c r="B35" s="6">
        <v>1577.3017851784546</v>
      </c>
      <c r="C35" s="119">
        <v>13426.917517781108</v>
      </c>
      <c r="D35" s="119">
        <v>0</v>
      </c>
      <c r="E35" s="119">
        <v>1896.8721735716927</v>
      </c>
      <c r="F35" s="119">
        <v>0</v>
      </c>
      <c r="G35" s="119">
        <v>13426.917517781108</v>
      </c>
      <c r="H35" s="119">
        <v>1896.8721735716927</v>
      </c>
      <c r="I35" s="119">
        <v>0.34749999999999998</v>
      </c>
      <c r="J35" s="119">
        <v>6.3375231755000302E-2</v>
      </c>
      <c r="K35" s="119">
        <v>6.0488428645485606E-2</v>
      </c>
      <c r="L35" s="119">
        <v>38638.611561960024</v>
      </c>
      <c r="M35" s="119">
        <v>8913.6231325946883</v>
      </c>
      <c r="N35" s="119">
        <v>8662.0980346308133</v>
      </c>
      <c r="O35" s="119">
        <v>0.97588204296699421</v>
      </c>
      <c r="P35" s="119">
        <v>0.23870594845712242</v>
      </c>
      <c r="Q35" s="119">
        <v>0.23451078806486977</v>
      </c>
      <c r="R35" s="119">
        <f>SQRT(P35^2+($K$69*$O35)^2)</f>
        <v>0.24500461840691123</v>
      </c>
      <c r="S35" s="119">
        <f>SQRT(Q35^2+($K$69*$O35)^2)</f>
        <v>0.24091916264736618</v>
      </c>
      <c r="T35" s="119">
        <v>1577.3017851784546</v>
      </c>
    </row>
    <row r="36" spans="1:20" s="119" customFormat="1" x14ac:dyDescent="0.3">
      <c r="A36" s="140"/>
      <c r="B36" s="6">
        <v>1610.3775762175835</v>
      </c>
      <c r="C36" s="119">
        <v>27469.670813354238</v>
      </c>
      <c r="D36" s="119">
        <v>0</v>
      </c>
      <c r="E36" s="119">
        <v>4062.0739115801966</v>
      </c>
      <c r="F36" s="119">
        <v>0</v>
      </c>
      <c r="G36" s="119">
        <v>27469.670813354238</v>
      </c>
      <c r="H36" s="119">
        <v>4062.0739115801966</v>
      </c>
      <c r="I36" s="119">
        <v>0.31830000000000003</v>
      </c>
      <c r="J36" s="119">
        <v>5.3792285692281241E-2</v>
      </c>
      <c r="K36" s="119">
        <v>6.3348007072046061E-2</v>
      </c>
      <c r="L36" s="119">
        <v>86301.196397594205</v>
      </c>
      <c r="M36" s="119">
        <v>19379.862509571125</v>
      </c>
      <c r="N36" s="119">
        <v>21397.800455424473</v>
      </c>
      <c r="O36" s="119">
        <v>2.1796794565438007</v>
      </c>
      <c r="P36" s="119">
        <v>0.52057595325697037</v>
      </c>
      <c r="Q36" s="119">
        <v>0.57241099853491229</v>
      </c>
      <c r="R36" s="119">
        <f t="shared" ref="R36:R43" si="4">SQRT(P36^2+($K$69*$O36)^2)</f>
        <v>0.53497539550495699</v>
      </c>
      <c r="S36" s="119">
        <f t="shared" ref="S36:S43" si="5">SQRT(Q36^2+($K$69*$O36)^2)</f>
        <v>0.58553710551084392</v>
      </c>
      <c r="T36" s="119">
        <v>1610.3775762175835</v>
      </c>
    </row>
    <row r="37" spans="1:20" s="119" customFormat="1" x14ac:dyDescent="0.3">
      <c r="A37" s="140"/>
      <c r="B37" s="6">
        <v>1652.7559334864673</v>
      </c>
      <c r="C37" s="119">
        <v>9288.1695463679171</v>
      </c>
      <c r="D37" s="119">
        <v>0</v>
      </c>
      <c r="E37" s="119">
        <v>1176.3856325853533</v>
      </c>
      <c r="F37" s="119">
        <v>0</v>
      </c>
      <c r="G37" s="119">
        <v>9288.1695463679171</v>
      </c>
      <c r="H37" s="119">
        <v>1176.3856325853533</v>
      </c>
      <c r="I37" s="119">
        <v>0.28899999999999998</v>
      </c>
      <c r="J37" s="119">
        <v>5.2876459790723487E-2</v>
      </c>
      <c r="K37" s="119">
        <v>5.4866383150340828E-2</v>
      </c>
      <c r="L37" s="119">
        <v>32138.994970131203</v>
      </c>
      <c r="M37" s="119">
        <v>7151.6982400547167</v>
      </c>
      <c r="N37" s="119">
        <v>7334.7324570640712</v>
      </c>
      <c r="O37" s="119">
        <v>0.8117234756239412</v>
      </c>
      <c r="P37" s="119">
        <v>0.1923114106809688</v>
      </c>
      <c r="Q37" s="119">
        <v>0.19812273088854546</v>
      </c>
      <c r="R37" s="119">
        <f t="shared" si="4"/>
        <v>0.19771597738371333</v>
      </c>
      <c r="S37" s="119">
        <f t="shared" si="5"/>
        <v>0.2033729223112748</v>
      </c>
      <c r="T37" s="119">
        <v>1652.7559334864673</v>
      </c>
    </row>
    <row r="38" spans="1:20" s="119" customFormat="1" x14ac:dyDescent="0.3">
      <c r="A38" s="140"/>
      <c r="B38" s="6">
        <v>1716.8402786247793</v>
      </c>
      <c r="C38" s="119">
        <v>8119.2197378420915</v>
      </c>
      <c r="D38" s="119">
        <v>0</v>
      </c>
      <c r="E38" s="119">
        <v>1164.031420671043</v>
      </c>
      <c r="F38" s="119">
        <v>0</v>
      </c>
      <c r="G38" s="119">
        <v>8119.2197378420915</v>
      </c>
      <c r="H38" s="119">
        <v>1164.031420671043</v>
      </c>
      <c r="I38" s="119">
        <v>0.24360000000000001</v>
      </c>
      <c r="J38" s="119">
        <v>4.3079577528104901E-2</v>
      </c>
      <c r="K38" s="119">
        <v>4.6061372102880284E-2</v>
      </c>
      <c r="L38" s="119">
        <v>33330.130286708089</v>
      </c>
      <c r="M38" s="119">
        <v>7587.8998700267703</v>
      </c>
      <c r="N38" s="119">
        <v>7908.9921213256011</v>
      </c>
      <c r="O38" s="119">
        <v>0.84180756817284585</v>
      </c>
      <c r="P38" s="119">
        <v>0.20350421727386236</v>
      </c>
      <c r="Q38" s="119">
        <v>0.21262467192642759</v>
      </c>
      <c r="R38" s="119">
        <f t="shared" si="4"/>
        <v>0.20900009338082221</v>
      </c>
      <c r="S38" s="119">
        <f t="shared" si="5"/>
        <v>0.21789062324195135</v>
      </c>
      <c r="T38" s="119">
        <v>1716.8402786247793</v>
      </c>
    </row>
    <row r="39" spans="1:20" s="119" customFormat="1" x14ac:dyDescent="0.3">
      <c r="A39" s="140"/>
      <c r="B39" s="6">
        <v>1759.2186358936631</v>
      </c>
      <c r="C39" s="119">
        <v>0</v>
      </c>
      <c r="D39" s="119">
        <v>24250</v>
      </c>
      <c r="E39" s="119">
        <v>352.23243746140133</v>
      </c>
      <c r="F39" s="119">
        <v>0</v>
      </c>
      <c r="G39" s="119">
        <v>24250</v>
      </c>
      <c r="H39" s="119">
        <v>352.23243746140133</v>
      </c>
      <c r="I39" s="119">
        <v>0.21260000000000001</v>
      </c>
      <c r="J39" s="119">
        <v>3.5598455022655129E-2</v>
      </c>
      <c r="K39" s="119">
        <v>4.39414383014484E-2</v>
      </c>
      <c r="L39" s="119">
        <v>114063.96989651928</v>
      </c>
      <c r="M39" s="119">
        <v>19170.977686487993</v>
      </c>
      <c r="N39" s="119">
        <v>23633.567182115476</v>
      </c>
      <c r="O39" s="119">
        <v>2.8808742206753966</v>
      </c>
      <c r="P39" s="119">
        <v>0.53789219484612794</v>
      </c>
      <c r="Q39" s="119">
        <v>0.64687985267184689</v>
      </c>
      <c r="R39" s="119">
        <f t="shared" si="4"/>
        <v>0.56203155685713735</v>
      </c>
      <c r="S39" s="119">
        <f t="shared" si="5"/>
        <v>0.66708695191828105</v>
      </c>
      <c r="T39" s="119">
        <v>1759.2186358936631</v>
      </c>
    </row>
    <row r="40" spans="1:20" s="119" customFormat="1" x14ac:dyDescent="0.3">
      <c r="A40" s="140"/>
      <c r="B40" s="6">
        <v>1821.2357440920296</v>
      </c>
      <c r="C40" s="119">
        <v>1774.4168312980048</v>
      </c>
      <c r="D40" s="119">
        <v>0</v>
      </c>
      <c r="E40" s="119">
        <v>305.08489401031841</v>
      </c>
      <c r="F40" s="119">
        <v>0</v>
      </c>
      <c r="G40" s="119">
        <v>1774.4168312980048</v>
      </c>
      <c r="H40" s="119">
        <v>305.08489401031841</v>
      </c>
      <c r="I40" s="119">
        <v>0.1822</v>
      </c>
      <c r="J40" s="119">
        <v>3.1197756329582431E-2</v>
      </c>
      <c r="K40" s="119">
        <v>4.2617484674720062E-2</v>
      </c>
      <c r="L40" s="119">
        <v>9738.8410060263705</v>
      </c>
      <c r="M40" s="119">
        <v>2363.1655162025377</v>
      </c>
      <c r="N40" s="119">
        <v>2827.1719724770578</v>
      </c>
      <c r="O40" s="119">
        <v>0.24597053757616033</v>
      </c>
      <c r="P40" s="119">
        <v>6.2948141430855517E-2</v>
      </c>
      <c r="Q40" s="119">
        <v>7.4510288111820297E-2</v>
      </c>
      <c r="R40" s="119">
        <f t="shared" si="4"/>
        <v>6.446723357279785E-2</v>
      </c>
      <c r="S40" s="119">
        <f t="shared" si="5"/>
        <v>7.5798012701106851E-2</v>
      </c>
      <c r="T40" s="119">
        <v>1821.2357440920296</v>
      </c>
    </row>
    <row r="41" spans="1:20" s="119" customFormat="1" x14ac:dyDescent="0.3">
      <c r="A41" s="140"/>
      <c r="B41" s="6">
        <v>1864.647719830886</v>
      </c>
      <c r="C41" s="119">
        <v>930.71098050043543</v>
      </c>
      <c r="D41" s="119">
        <v>0</v>
      </c>
      <c r="E41" s="119">
        <v>214.2870838634033</v>
      </c>
      <c r="F41" s="119">
        <v>0</v>
      </c>
      <c r="G41" s="119">
        <v>930.71098050043543</v>
      </c>
      <c r="H41" s="119">
        <v>214.2870838634033</v>
      </c>
      <c r="I41" s="119">
        <v>0.1653</v>
      </c>
      <c r="J41" s="119">
        <v>3.2459975354272842E-2</v>
      </c>
      <c r="K41" s="119">
        <v>3.7524658559405968E-2</v>
      </c>
      <c r="L41" s="119">
        <v>5630.435453723142</v>
      </c>
      <c r="M41" s="119">
        <v>1703.8162985571994</v>
      </c>
      <c r="N41" s="119">
        <v>1820.5021237468047</v>
      </c>
      <c r="O41" s="119">
        <v>0.1422059600812014</v>
      </c>
      <c r="P41" s="119">
        <v>4.4559432690799546E-2</v>
      </c>
      <c r="Q41" s="119">
        <v>4.7598286227752667E-2</v>
      </c>
      <c r="R41" s="119">
        <f t="shared" si="4"/>
        <v>4.527956200062204E-2</v>
      </c>
      <c r="S41" s="119">
        <f t="shared" si="5"/>
        <v>4.8273103743817318E-2</v>
      </c>
      <c r="T41" s="119">
        <v>1864.647719830886</v>
      </c>
    </row>
    <row r="42" spans="1:20" s="119" customFormat="1" x14ac:dyDescent="0.3">
      <c r="A42" s="140"/>
      <c r="B42" s="6">
        <v>1871.8830491206954</v>
      </c>
      <c r="C42" s="119">
        <v>1388.4879516815579</v>
      </c>
      <c r="D42" s="119">
        <v>0</v>
      </c>
      <c r="E42" s="119">
        <v>264.0338127315473</v>
      </c>
      <c r="F42" s="119">
        <v>0</v>
      </c>
      <c r="G42" s="119">
        <v>1388.4879516815579</v>
      </c>
      <c r="H42" s="119">
        <v>264.0338127315473</v>
      </c>
      <c r="I42" s="119">
        <v>0.16170000000000001</v>
      </c>
      <c r="J42" s="119">
        <v>3.0562885989382633E-2</v>
      </c>
      <c r="K42" s="119">
        <v>3.7613295521663599E-2</v>
      </c>
      <c r="L42" s="119">
        <v>8586.8147908568826</v>
      </c>
      <c r="M42" s="119">
        <v>2302.2472931894235</v>
      </c>
      <c r="N42" s="119">
        <v>2579.8869216406915</v>
      </c>
      <c r="O42" s="119">
        <v>0.21687421006945568</v>
      </c>
      <c r="P42" s="119">
        <v>6.0762781018894714E-2</v>
      </c>
      <c r="Q42" s="119">
        <v>6.7808536051678026E-2</v>
      </c>
      <c r="R42" s="119">
        <f t="shared" si="4"/>
        <v>6.1988608007246898E-2</v>
      </c>
      <c r="S42" s="119">
        <f t="shared" si="5"/>
        <v>6.8909139647783155E-2</v>
      </c>
      <c r="T42" s="119">
        <v>1871.8830491206954</v>
      </c>
    </row>
    <row r="43" spans="1:20" s="8" customFormat="1" ht="15" thickBot="1" x14ac:dyDescent="0.35">
      <c r="A43" s="141"/>
      <c r="B43" s="7">
        <v>1889.4545631102326</v>
      </c>
      <c r="C43" s="8">
        <v>0</v>
      </c>
      <c r="D43" s="8">
        <v>42940</v>
      </c>
      <c r="E43" s="8">
        <v>263.55993625739103</v>
      </c>
      <c r="F43" s="8">
        <v>0</v>
      </c>
      <c r="G43" s="8">
        <v>42940</v>
      </c>
      <c r="H43" s="8">
        <v>263.55993625739103</v>
      </c>
      <c r="I43" s="8">
        <v>0.1578</v>
      </c>
      <c r="J43" s="8">
        <v>2.5910615585122618E-2</v>
      </c>
      <c r="K43" s="8">
        <v>2.9274562336608891E-2</v>
      </c>
      <c r="L43" s="8">
        <v>272116.60329531052</v>
      </c>
      <c r="M43" s="8">
        <v>44712.503174944257</v>
      </c>
      <c r="N43" s="8">
        <v>50509.843104498897</v>
      </c>
      <c r="O43" s="8">
        <v>6.8727548950155901</v>
      </c>
      <c r="P43" s="8">
        <v>1.260020351550148</v>
      </c>
      <c r="Q43" s="8">
        <v>1.4075500641161978</v>
      </c>
      <c r="R43" s="119">
        <f t="shared" si="4"/>
        <v>1.318622071376585</v>
      </c>
      <c r="S43" s="119">
        <f t="shared" si="5"/>
        <v>1.4602431522847248</v>
      </c>
      <c r="T43" s="8">
        <v>1889.4545631102326</v>
      </c>
    </row>
    <row r="44" spans="1:20" s="124" customFormat="1" x14ac:dyDescent="0.3">
      <c r="A44" s="168" t="s">
        <v>401</v>
      </c>
      <c r="B44" s="123">
        <v>2145.7919436634807</v>
      </c>
      <c r="C44" s="124">
        <v>2845.3077877803071</v>
      </c>
      <c r="D44" s="124">
        <v>4923</v>
      </c>
      <c r="E44" s="124">
        <v>506.84300484934602</v>
      </c>
      <c r="F44" s="124">
        <v>2077.6922122196929</v>
      </c>
      <c r="G44" s="124">
        <v>2845.3077877803098</v>
      </c>
      <c r="H44" s="124">
        <v>2138.6198260287115</v>
      </c>
      <c r="I44" s="124">
        <v>9.6100000000000005E-2</v>
      </c>
      <c r="J44" s="124">
        <v>1.3753908535394594E-2</v>
      </c>
      <c r="K44" s="124">
        <v>2.0041207548448767E-2</v>
      </c>
      <c r="L44" s="124">
        <v>29607.781350471458</v>
      </c>
      <c r="M44" s="124">
        <v>22653.954618725558</v>
      </c>
      <c r="N44" s="124">
        <v>23094.817535410857</v>
      </c>
      <c r="O44" s="124">
        <v>0.74779348905135612</v>
      </c>
      <c r="P44" s="124">
        <v>0.575385535492832</v>
      </c>
      <c r="Q44" s="124">
        <v>0.58687682044120937</v>
      </c>
      <c r="R44" s="24">
        <f>SQRT(P44^2+($K$70*$O44)^2)</f>
        <v>0.62245506168095222</v>
      </c>
      <c r="S44" s="24">
        <f>SQRT(Q44^2+($K$70*$O44)^2)</f>
        <v>0.63309256173884121</v>
      </c>
      <c r="T44" s="124">
        <v>2145.7919436634807</v>
      </c>
    </row>
    <row r="45" spans="1:20" s="119" customFormat="1" x14ac:dyDescent="0.3">
      <c r="A45" s="169"/>
      <c r="B45" s="6">
        <v>2147.8591806034265</v>
      </c>
      <c r="C45" s="119">
        <v>0</v>
      </c>
      <c r="D45" s="119">
        <v>4923</v>
      </c>
      <c r="F45" s="119">
        <v>0</v>
      </c>
      <c r="G45" s="119">
        <v>2077.6922122196902</v>
      </c>
      <c r="H45" s="119">
        <v>0</v>
      </c>
      <c r="I45" s="119">
        <v>9.8100000000000007E-2</v>
      </c>
      <c r="J45" s="119">
        <v>1.6297545827516486E-2</v>
      </c>
      <c r="K45" s="119">
        <v>1.7969418465826871E-2</v>
      </c>
      <c r="L45" s="119">
        <v>21179.329380424999</v>
      </c>
      <c r="M45" s="119">
        <v>3518.5636205254109</v>
      </c>
      <c r="N45" s="119">
        <v>3879.5130730116066</v>
      </c>
      <c r="O45" s="119">
        <v>0.53491899395236908</v>
      </c>
      <c r="P45" s="119">
        <v>9.8942293273356727E-2</v>
      </c>
      <c r="Q45" s="119">
        <v>0.1083687559303929</v>
      </c>
      <c r="R45">
        <f>SQRT(P45^2+($K$70*$O45)^2)</f>
        <v>0.19657048900471194</v>
      </c>
      <c r="S45">
        <f>SQRT(Q45^2+($K$70*$O45)^2)</f>
        <v>0.2014799419576592</v>
      </c>
      <c r="T45" s="119">
        <v>2147.8591806034265</v>
      </c>
    </row>
    <row r="46" spans="1:20" s="119" customFormat="1" x14ac:dyDescent="0.3">
      <c r="A46" s="169"/>
      <c r="B46" s="22">
        <v>2206</v>
      </c>
      <c r="C46" s="18"/>
      <c r="D46" s="18">
        <f>V6</f>
        <v>908.96533671588156</v>
      </c>
      <c r="E46" s="18"/>
      <c r="F46" s="18"/>
      <c r="G46" s="18"/>
      <c r="H46" s="18"/>
      <c r="I46" s="18"/>
      <c r="J46" s="18"/>
      <c r="K46" s="18"/>
      <c r="L46" s="18">
        <v>10538.7285416334</v>
      </c>
      <c r="M46" s="18"/>
      <c r="N46" s="18"/>
      <c r="O46" s="18"/>
      <c r="P46" s="18"/>
      <c r="Q46" s="18"/>
      <c r="R46"/>
      <c r="S46"/>
      <c r="T46" s="119">
        <v>2206</v>
      </c>
    </row>
    <row r="47" spans="1:20" s="119" customFormat="1" x14ac:dyDescent="0.3">
      <c r="A47" s="169"/>
      <c r="B47" s="6">
        <v>2290.4985294596695</v>
      </c>
      <c r="C47" s="119">
        <v>0</v>
      </c>
      <c r="D47" s="119">
        <v>11670</v>
      </c>
      <c r="E47" s="119">
        <v>481.75097301406669</v>
      </c>
      <c r="F47" s="119">
        <v>0</v>
      </c>
      <c r="G47" s="119">
        <v>11670</v>
      </c>
      <c r="H47" s="119">
        <v>481.75097301406669</v>
      </c>
      <c r="I47" s="119">
        <v>7.4399999999999994E-2</v>
      </c>
      <c r="J47" s="119">
        <v>1.0068763578513501E-2</v>
      </c>
      <c r="K47" s="119">
        <v>1.4257980221616257E-2</v>
      </c>
      <c r="L47" s="119">
        <v>156854.83870967699</v>
      </c>
      <c r="M47" s="119">
        <v>22193.220138759607</v>
      </c>
      <c r="N47" s="119">
        <v>30749.0851417175</v>
      </c>
      <c r="O47" s="119">
        <v>3.9616283883233168</v>
      </c>
      <c r="P47" s="119">
        <v>0.64651087410318175</v>
      </c>
      <c r="Q47" s="119">
        <v>0.84892883290560817</v>
      </c>
      <c r="R47">
        <f>SQRT(P47^2+($K$70*$O47)^2)</f>
        <v>1.4143552214363353</v>
      </c>
      <c r="S47">
        <f>SQRT(Q47^2+($K$70*$O47)^2)</f>
        <v>1.5175982819603622</v>
      </c>
      <c r="T47" s="119">
        <v>2290.4985294596695</v>
      </c>
    </row>
    <row r="48" spans="1:20" s="8" customFormat="1" ht="15" thickBot="1" x14ac:dyDescent="0.35">
      <c r="A48" s="170"/>
      <c r="B48" s="7">
        <v>2494.1213680443061</v>
      </c>
      <c r="C48" s="8">
        <v>2224.2464994069778</v>
      </c>
      <c r="D48" s="8">
        <v>2861</v>
      </c>
      <c r="E48" s="8">
        <v>611.76426785221497</v>
      </c>
      <c r="F48" s="8">
        <v>636.75350059302218</v>
      </c>
      <c r="G48" s="8">
        <v>2224.2464994069778</v>
      </c>
      <c r="H48" s="8">
        <v>883.01219693627365</v>
      </c>
      <c r="I48" s="8">
        <v>5.5800000000000002E-2</v>
      </c>
      <c r="J48" s="8">
        <v>1.1161093136427096E-2</v>
      </c>
      <c r="K48" s="8">
        <v>8.8323269867006098E-3</v>
      </c>
      <c r="L48" s="8">
        <v>39861.048376469138</v>
      </c>
      <c r="M48" s="8">
        <v>17719.65771953389</v>
      </c>
      <c r="N48" s="8">
        <v>17036.035689135595</v>
      </c>
      <c r="O48" s="8">
        <v>1.0067567066186169</v>
      </c>
      <c r="P48" s="8">
        <v>0.45496590149563937</v>
      </c>
      <c r="Q48" s="8">
        <v>0.43900577651642719</v>
      </c>
      <c r="R48">
        <f>SQRT(P48^2+($K$70*$O48)^2)</f>
        <v>0.55604655732649244</v>
      </c>
      <c r="S48">
        <f>SQRT(Q48^2+($K$70*$O48)^2)</f>
        <v>0.54306525777819337</v>
      </c>
      <c r="T48" s="8">
        <v>2494.1213680443061</v>
      </c>
    </row>
    <row r="50" spans="1:25" ht="15" thickBot="1" x14ac:dyDescent="0.35"/>
    <row r="51" spans="1:25" x14ac:dyDescent="0.3">
      <c r="A51" s="166" t="s">
        <v>410</v>
      </c>
      <c r="B51" s="142"/>
      <c r="C51" s="142"/>
      <c r="D51" s="142"/>
      <c r="E51" s="149"/>
      <c r="N51" s="166" t="s">
        <v>409</v>
      </c>
      <c r="O51" s="142"/>
      <c r="P51" s="142"/>
      <c r="Q51" s="142"/>
      <c r="R51" s="149"/>
    </row>
    <row r="52" spans="1:25" s="28" customFormat="1" x14ac:dyDescent="0.3">
      <c r="A52" s="6" t="s">
        <v>380</v>
      </c>
      <c r="B52" s="119" t="s">
        <v>381</v>
      </c>
      <c r="C52" s="119" t="s">
        <v>113</v>
      </c>
      <c r="D52" s="119" t="s">
        <v>382</v>
      </c>
      <c r="E52" s="10" t="s">
        <v>408</v>
      </c>
      <c r="F52"/>
      <c r="G52"/>
      <c r="H52"/>
      <c r="I52"/>
      <c r="J52"/>
      <c r="K52"/>
      <c r="L52"/>
      <c r="M52"/>
      <c r="N52" s="6" t="s">
        <v>380</v>
      </c>
      <c r="O52" s="119" t="s">
        <v>381</v>
      </c>
      <c r="P52" s="119" t="s">
        <v>113</v>
      </c>
      <c r="Q52" s="119" t="s">
        <v>382</v>
      </c>
      <c r="R52" s="10" t="s">
        <v>408</v>
      </c>
      <c r="S52"/>
      <c r="T52"/>
      <c r="U52"/>
      <c r="V52"/>
      <c r="W52"/>
      <c r="X52"/>
      <c r="Y52"/>
    </row>
    <row r="53" spans="1:25" x14ac:dyDescent="0.3">
      <c r="A53" s="22">
        <v>766</v>
      </c>
      <c r="B53" s="18">
        <f>L16</f>
        <v>2901.20855368926</v>
      </c>
      <c r="C53" s="18">
        <v>775.25753803147836</v>
      </c>
      <c r="D53" s="18">
        <v>3.4</v>
      </c>
      <c r="E53" s="42">
        <v>0.3</v>
      </c>
      <c r="N53" s="6">
        <v>806</v>
      </c>
      <c r="O53" s="119"/>
      <c r="P53" s="119"/>
      <c r="Q53" s="119">
        <v>0.36699999999999999</v>
      </c>
      <c r="R53" s="10">
        <v>6.0000000000000001E-3</v>
      </c>
    </row>
    <row r="54" spans="1:25" x14ac:dyDescent="0.3">
      <c r="A54" s="22">
        <v>1042</v>
      </c>
      <c r="B54" s="18">
        <f>L23</f>
        <v>2562.4950768844915</v>
      </c>
      <c r="C54" s="18">
        <v>1530.6078104482153</v>
      </c>
      <c r="D54" s="18">
        <v>0.16</v>
      </c>
      <c r="E54" s="42">
        <v>0.06</v>
      </c>
      <c r="N54" s="6">
        <v>906</v>
      </c>
      <c r="O54" s="119"/>
      <c r="P54" s="119"/>
      <c r="Q54" s="119">
        <v>0.161</v>
      </c>
      <c r="R54" s="10">
        <v>6.0000000000000001E-3</v>
      </c>
    </row>
    <row r="55" spans="1:25" x14ac:dyDescent="0.3">
      <c r="A55" s="22">
        <v>1302</v>
      </c>
      <c r="B55" s="18">
        <f>L31</f>
        <v>3365.3082737988998</v>
      </c>
      <c r="C55" s="18">
        <v>1155.4722979376577</v>
      </c>
      <c r="D55" s="18">
        <v>3.8</v>
      </c>
      <c r="E55" s="42">
        <v>0.4</v>
      </c>
      <c r="N55" s="6">
        <v>1026</v>
      </c>
      <c r="O55" s="119">
        <f>L24</f>
        <v>3959352.65336846</v>
      </c>
      <c r="P55" s="119">
        <f>M24</f>
        <v>321973.86314313579</v>
      </c>
      <c r="Q55" s="119">
        <v>1.31</v>
      </c>
      <c r="R55" s="10">
        <v>0.02</v>
      </c>
    </row>
    <row r="56" spans="1:25" x14ac:dyDescent="0.3">
      <c r="A56" s="6">
        <v>1829</v>
      </c>
      <c r="B56" s="119">
        <f>$B$63*D56/$D$63</f>
        <v>382.12572011849949</v>
      </c>
      <c r="C56" s="119">
        <f>B56*SQRT($E$63^2/$D$63^2+E56^2/D56^2+$C$63^2/$B$63^2)</f>
        <v>99.928345903824763</v>
      </c>
      <c r="D56" s="119">
        <v>0.38</v>
      </c>
      <c r="E56" s="10">
        <v>0.05</v>
      </c>
      <c r="N56" s="6">
        <v>1225</v>
      </c>
      <c r="O56" s="119"/>
      <c r="P56" s="119"/>
      <c r="Q56" s="119">
        <v>3.5000000000000003E-2</v>
      </c>
      <c r="R56" s="10">
        <v>2E-3</v>
      </c>
    </row>
    <row r="57" spans="1:25" x14ac:dyDescent="0.3">
      <c r="A57" s="6">
        <v>1978</v>
      </c>
      <c r="B57" s="119">
        <f>$B$63*D57/$D$63</f>
        <v>301.67820009355222</v>
      </c>
      <c r="C57" s="119">
        <f>B57*SQRT($E$63^2/$D$63^2+E57^2/D57^2+$C$63^2/$B$63^2)</f>
        <v>79.158421964632865</v>
      </c>
      <c r="D57" s="119">
        <v>0.3</v>
      </c>
      <c r="E57" s="10">
        <v>0.04</v>
      </c>
      <c r="N57" s="6">
        <v>1390</v>
      </c>
      <c r="O57" s="119"/>
      <c r="P57" s="119"/>
      <c r="Q57" s="119">
        <v>1.7000000000000001E-2</v>
      </c>
      <c r="R57" s="10">
        <v>1.6E-2</v>
      </c>
    </row>
    <row r="58" spans="1:25" x14ac:dyDescent="0.3">
      <c r="A58" s="22">
        <v>2206</v>
      </c>
      <c r="B58" s="18">
        <f>L46</f>
        <v>10538.7285416334</v>
      </c>
      <c r="C58" s="18">
        <v>3801.22652390946</v>
      </c>
      <c r="D58" s="18">
        <v>11.9</v>
      </c>
      <c r="E58" s="42">
        <v>0.4</v>
      </c>
      <c r="N58" s="6">
        <v>1571</v>
      </c>
      <c r="O58" s="119"/>
      <c r="P58" s="119"/>
      <c r="Q58" s="119">
        <v>0.27300000000000002</v>
      </c>
      <c r="R58" s="10">
        <v>6.0000000000000001E-3</v>
      </c>
    </row>
    <row r="59" spans="1:25" x14ac:dyDescent="0.3">
      <c r="A59" s="6">
        <v>2545</v>
      </c>
      <c r="B59" s="119">
        <f>$B$63*D59/$D$63</f>
        <v>532.96482016527557</v>
      </c>
      <c r="C59" s="119">
        <f>B59*SQRT($E$63^2/$D$63^2+E59^2/D59^2+$C$63^2/$B$63^2)</f>
        <v>126.98504917318201</v>
      </c>
      <c r="D59" s="119">
        <v>0.53</v>
      </c>
      <c r="E59" s="10">
        <v>0.04</v>
      </c>
      <c r="N59" s="6">
        <v>1647</v>
      </c>
      <c r="O59" s="119"/>
      <c r="P59" s="119"/>
      <c r="Q59" s="119">
        <v>1.9E-2</v>
      </c>
      <c r="R59" s="10">
        <v>2.5000000000000001E-2</v>
      </c>
    </row>
    <row r="60" spans="1:25" x14ac:dyDescent="0.3">
      <c r="A60" s="6">
        <v>2621</v>
      </c>
      <c r="B60" s="119">
        <f>$B$63*D60/$D$63</f>
        <v>1086.0415203367879</v>
      </c>
      <c r="C60" s="119">
        <f t="shared" ref="C60:C62" si="6">B60*SQRT($E$63^2/$D$63^2+E60^2/D60^2+$C$63^2/$B$63^2)</f>
        <v>255.33196827091848</v>
      </c>
      <c r="D60" s="119">
        <v>1.08</v>
      </c>
      <c r="E60" s="10">
        <v>7.0000000000000007E-2</v>
      </c>
      <c r="N60" s="6">
        <v>1763</v>
      </c>
      <c r="O60" s="119"/>
      <c r="P60" s="119"/>
      <c r="Q60" s="119">
        <v>8.4000000000000005E-2</v>
      </c>
      <c r="R60" s="10">
        <v>3.0000000000000001E-3</v>
      </c>
    </row>
    <row r="61" spans="1:25" x14ac:dyDescent="0.3">
      <c r="A61" s="6">
        <v>2986</v>
      </c>
      <c r="B61" s="119">
        <f>$B$63*D61/$D$63</f>
        <v>82.458708025570942</v>
      </c>
      <c r="C61" s="119">
        <f t="shared" si="6"/>
        <v>23.974766371101794</v>
      </c>
      <c r="D61" s="119">
        <v>8.2000000000000003E-2</v>
      </c>
      <c r="E61" s="10">
        <v>1.4999999999999999E-2</v>
      </c>
      <c r="N61" s="6">
        <v>1891</v>
      </c>
      <c r="O61" s="119"/>
      <c r="P61" s="119"/>
      <c r="Q61" s="119">
        <v>0.14299999999999999</v>
      </c>
      <c r="R61" s="10">
        <v>3.0000000000000001E-3</v>
      </c>
    </row>
    <row r="62" spans="1:25" x14ac:dyDescent="0.3">
      <c r="A62" s="6">
        <v>3067</v>
      </c>
      <c r="B62" s="119">
        <f>$B$63*D62/$D$63</f>
        <v>181.00692005613132</v>
      </c>
      <c r="C62" s="119">
        <f t="shared" si="6"/>
        <v>45.582951646482876</v>
      </c>
      <c r="D62" s="119">
        <v>0.18</v>
      </c>
      <c r="E62" s="10">
        <v>0.02</v>
      </c>
      <c r="N62" s="22">
        <v>1991</v>
      </c>
      <c r="O62" s="18">
        <f>$O$55*Q62/$Q$55</f>
        <v>57425.725506870789</v>
      </c>
      <c r="P62" s="18">
        <f>O62*SQRT($P$55^2/$O$55^2+$R$55^2/$Q$55^2+R62^2/Q62^2)</f>
        <v>5631.2603468857196</v>
      </c>
      <c r="Q62" s="119">
        <v>1.9E-2</v>
      </c>
      <c r="R62" s="10">
        <v>1E-3</v>
      </c>
    </row>
    <row r="63" spans="1:25" ht="15" thickBot="1" x14ac:dyDescent="0.35">
      <c r="A63" s="7" t="s">
        <v>383</v>
      </c>
      <c r="B63" s="8">
        <f>B53+B54+B55+B58</f>
        <v>19367.74044600605</v>
      </c>
      <c r="C63" s="8">
        <f>SQRT(C53^2+C54^2+C55^2+C58^2)</f>
        <v>4327.6117937095323</v>
      </c>
      <c r="D63" s="8">
        <f>D53+D54+D55+D58</f>
        <v>19.259999999999998</v>
      </c>
      <c r="E63" s="13">
        <f>SQRT(E53^2+E54^2+E55^2+E56^2+E57^2+E58^2+E59^2+E60^2+E61^2+E62^2)</f>
        <v>0.65178600782772256</v>
      </c>
      <c r="N63" s="6">
        <v>2139</v>
      </c>
      <c r="O63" s="119">
        <f>$O$55*Q63/$Q$55</f>
        <v>51380.912295621238</v>
      </c>
      <c r="P63" s="119">
        <f>O63*SQRT($P$55^2/$O$55^2+$R$55^2/$Q$55^2+R63^2/Q63^2)</f>
        <v>5216.1643356566065</v>
      </c>
      <c r="Q63" s="119">
        <v>1.7000000000000001E-2</v>
      </c>
      <c r="R63" s="10">
        <v>1E-3</v>
      </c>
    </row>
    <row r="64" spans="1:25" x14ac:dyDescent="0.3">
      <c r="N64" s="6">
        <v>2298</v>
      </c>
      <c r="O64" s="119">
        <f>$O$55*Q64/$Q$55</f>
        <v>90672.198168743344</v>
      </c>
      <c r="P64" s="119">
        <f>O64*SQRT($P$55^2/$O$55^2+$R$55^2/$Q$55^2+R64^2/Q64^2)</f>
        <v>8088.1997788518211</v>
      </c>
      <c r="Q64" s="119">
        <v>0.03</v>
      </c>
      <c r="R64" s="10">
        <v>1E-3</v>
      </c>
    </row>
    <row r="65" spans="1:18" x14ac:dyDescent="0.3">
      <c r="N65" s="22">
        <v>2362</v>
      </c>
      <c r="O65" s="18">
        <f>$O$55*Q65/$Q$55</f>
        <v>33246.472661872562</v>
      </c>
      <c r="P65" s="18">
        <f>O65*SQRT($P$55^2/$O$55^2+$R$55^2/$Q$55^2+R65^2/Q65^2)</f>
        <v>4086.8101703287261</v>
      </c>
      <c r="Q65" s="119">
        <v>1.0999999999999999E-2</v>
      </c>
      <c r="R65" s="10">
        <v>1E-3</v>
      </c>
    </row>
    <row r="66" spans="1:18" x14ac:dyDescent="0.3">
      <c r="N66" s="22">
        <v>2572</v>
      </c>
      <c r="O66" s="18">
        <f>$O$55*Q66/$Q$55</f>
        <v>36268.879267497337</v>
      </c>
      <c r="P66" s="18">
        <f>O66*SQRT($P$55^2/$O$55^2+$R$55^2/$Q$55^2+R66^2/Q66^2)</f>
        <v>4259.1533343362253</v>
      </c>
      <c r="Q66" s="119">
        <v>1.2E-2</v>
      </c>
      <c r="R66" s="10">
        <v>1E-3</v>
      </c>
    </row>
    <row r="67" spans="1:18" x14ac:dyDescent="0.3">
      <c r="A67" t="s">
        <v>398</v>
      </c>
      <c r="B67" t="s">
        <v>402</v>
      </c>
      <c r="C67" t="s">
        <v>113</v>
      </c>
      <c r="D67" t="s">
        <v>403</v>
      </c>
      <c r="E67" t="s">
        <v>113</v>
      </c>
      <c r="F67" t="s">
        <v>404</v>
      </c>
      <c r="H67" t="s">
        <v>405</v>
      </c>
      <c r="I67" t="s">
        <v>411</v>
      </c>
      <c r="J67" t="s">
        <v>412</v>
      </c>
      <c r="K67" t="s">
        <v>413</v>
      </c>
      <c r="L67" t="s">
        <v>414</v>
      </c>
      <c r="N67" s="6">
        <v>2729</v>
      </c>
      <c r="O67" s="119"/>
      <c r="P67" s="119"/>
      <c r="Q67" s="119">
        <v>2E-3</v>
      </c>
      <c r="R67" s="10">
        <v>1E-3</v>
      </c>
    </row>
    <row r="68" spans="1:18" ht="15" thickBot="1" x14ac:dyDescent="0.35">
      <c r="A68" t="s">
        <v>399</v>
      </c>
      <c r="B68">
        <f>SUM(B53:B55)</f>
        <v>8829.0119043726518</v>
      </c>
      <c r="C68">
        <f>SQRT(C53^2+C54^2+C55^2)</f>
        <v>2068.5503984629045</v>
      </c>
      <c r="D68">
        <v>0</v>
      </c>
      <c r="E68">
        <v>0</v>
      </c>
      <c r="F68">
        <f>B68+D68</f>
        <v>8829.0119043726518</v>
      </c>
      <c r="G68">
        <f>SQRT(C68^2+E68^2)</f>
        <v>2068.5503984629045</v>
      </c>
      <c r="H68">
        <f>SUM(L15:L33)</f>
        <v>5010890.9011416407</v>
      </c>
      <c r="I68">
        <f>SQRT(M15^2+M17^2+M18^2+M19^2+M20^2+M21^2+M22^2+M24^2+M25^2+M26^2+M27^2+M28^2+M29^2+M30^2+M32^2+M33^2)</f>
        <v>324629.28181208897</v>
      </c>
      <c r="J68">
        <f>SQRT(N15^2+N17^2+N18^2+N19^2+N20^2+N21^2+N22^2+N24^2+N25^2+N26^2+N27^2+N28^2+N29^2+N30^2+N32^2+N33^2)</f>
        <v>344994.4249421875</v>
      </c>
      <c r="K68">
        <f>F68/H68</f>
        <v>1.7619645046275346E-3</v>
      </c>
      <c r="L68">
        <f>K68*SQRT(J68^2/H68^2+G68^2/F68^2)</f>
        <v>4.3026596516325258E-4</v>
      </c>
      <c r="N68" s="7">
        <v>2901</v>
      </c>
      <c r="O68" s="8"/>
      <c r="P68" s="8"/>
      <c r="Q68" s="8">
        <v>4.0000000000000001E-3</v>
      </c>
      <c r="R68" s="13">
        <v>1E-3</v>
      </c>
    </row>
    <row r="69" spans="1:18" x14ac:dyDescent="0.3">
      <c r="A69" t="s">
        <v>400</v>
      </c>
      <c r="B69">
        <f>SUM(B56:B57)</f>
        <v>683.80392021205171</v>
      </c>
      <c r="C69">
        <f>SQRT(C56^2+C57^2)</f>
        <v>127.4822736030595</v>
      </c>
      <c r="D69">
        <f>O62</f>
        <v>57425.725506870789</v>
      </c>
      <c r="E69">
        <f>P62</f>
        <v>5631.2603468857196</v>
      </c>
      <c r="F69">
        <f>B69+D69</f>
        <v>58109.529427082838</v>
      </c>
      <c r="G69">
        <f t="shared" ref="G69:G70" si="7">SQRT(C69^2+E69^2)</f>
        <v>5632.7031543026014</v>
      </c>
      <c r="H69">
        <f>SUM(L34:L43)</f>
        <v>1027371.4004437119</v>
      </c>
      <c r="I69">
        <f>SQRT(M34^2+M35^2+M36^2+M37^2+M38^2+M39^2+M40^2+M41^2+M42^2+M43^2)</f>
        <v>95029.001105199437</v>
      </c>
      <c r="J69">
        <f>SQRT(N34^2+N35^2+N36^2+N37^2+N38^2+N39^2+N40^2+N41^2+N42^2+N43^2)</f>
        <v>98842.750444431746</v>
      </c>
      <c r="K69">
        <f>F69/H69</f>
        <v>5.6561365638546961E-2</v>
      </c>
      <c r="L69">
        <f t="shared" ref="L69:L70" si="8">K69*SQRT(J69^2/H69^2+G69^2/F69^2)</f>
        <v>7.7247494244243008E-3</v>
      </c>
    </row>
    <row r="70" spans="1:18" x14ac:dyDescent="0.3">
      <c r="A70" t="s">
        <v>401</v>
      </c>
      <c r="B70">
        <f>SUM(B58:B62)</f>
        <v>12421.200510217168</v>
      </c>
      <c r="C70">
        <f>SQRT(C58^2+C59^2+C60^2+C61^2+C62^2)</f>
        <v>3812.2559328710827</v>
      </c>
      <c r="D70">
        <f>O65+O66</f>
        <v>69515.351929369906</v>
      </c>
      <c r="E70">
        <f>SQRT(P65^2+P66^2)</f>
        <v>5902.7455047367321</v>
      </c>
      <c r="F70">
        <f>B70+D70</f>
        <v>81936.552439587074</v>
      </c>
      <c r="G70">
        <f t="shared" si="7"/>
        <v>7026.7844560225749</v>
      </c>
      <c r="H70">
        <f>SUM(L44:L48)</f>
        <v>258041.72635867598</v>
      </c>
      <c r="I70">
        <f>SQRT(M44^2+M45^2+M47^2+M48^2)</f>
        <v>36498.044326290197</v>
      </c>
      <c r="J70">
        <f>SQRT(N44^2+N45^2+N47^2+N48^2)</f>
        <v>42239.246770411075</v>
      </c>
      <c r="K70">
        <f>F70/H70</f>
        <v>0.31753218208475287</v>
      </c>
      <c r="L70">
        <f t="shared" si="8"/>
        <v>5.8678623745974316E-2</v>
      </c>
    </row>
    <row r="73" spans="1:18" x14ac:dyDescent="0.3">
      <c r="B73" t="s">
        <v>59</v>
      </c>
      <c r="C73">
        <v>3.175E-2</v>
      </c>
      <c r="D73">
        <v>7.9699999999999993E-2</v>
      </c>
      <c r="E73">
        <v>5.697E-2</v>
      </c>
    </row>
    <row r="74" spans="1:18" x14ac:dyDescent="0.3">
      <c r="A74" t="s">
        <v>386</v>
      </c>
      <c r="B74" t="s">
        <v>387</v>
      </c>
      <c r="C74" t="s">
        <v>29</v>
      </c>
      <c r="D74" t="s">
        <v>29</v>
      </c>
      <c r="E74" t="s">
        <v>29</v>
      </c>
      <c r="F74" t="s">
        <v>111</v>
      </c>
    </row>
    <row r="75" spans="1:18" x14ac:dyDescent="0.3">
      <c r="A75" t="s">
        <v>357</v>
      </c>
      <c r="B75">
        <v>1978</v>
      </c>
      <c r="C75">
        <f>B75-1/$C$73</f>
        <v>1946.5039370078739</v>
      </c>
      <c r="D75">
        <f>$B75-1/$D$73</f>
        <v>1965.452948557089</v>
      </c>
      <c r="E75">
        <f>$B75-1/$E$73</f>
        <v>1960.4469018781815</v>
      </c>
    </row>
    <row r="76" spans="1:18" x14ac:dyDescent="0.3">
      <c r="A76" t="s">
        <v>388</v>
      </c>
      <c r="B76">
        <v>1991</v>
      </c>
      <c r="C76">
        <f t="shared" ref="C76:C88" si="9">B76-1/$C$73</f>
        <v>1959.5039370078739</v>
      </c>
      <c r="D76">
        <f t="shared" ref="D76:D88" si="10">C76-1/$D$73</f>
        <v>1946.9568855649629</v>
      </c>
      <c r="E76">
        <f t="shared" ref="E76:E88" si="11">D76-1/$E$73</f>
        <v>1929.4037874431444</v>
      </c>
    </row>
    <row r="77" spans="1:18" x14ac:dyDescent="0.3">
      <c r="A77" t="s">
        <v>388</v>
      </c>
      <c r="B77">
        <v>2139</v>
      </c>
      <c r="C77">
        <f t="shared" si="9"/>
        <v>2107.5039370078739</v>
      </c>
      <c r="D77">
        <f t="shared" si="10"/>
        <v>2094.9568855649632</v>
      </c>
      <c r="E77">
        <f t="shared" si="11"/>
        <v>2077.4037874431447</v>
      </c>
      <c r="F77">
        <v>4209</v>
      </c>
    </row>
    <row r="78" spans="1:18" s="58" customFormat="1" x14ac:dyDescent="0.3">
      <c r="A78" s="58" t="s">
        <v>357</v>
      </c>
      <c r="B78" s="58">
        <v>2206</v>
      </c>
      <c r="C78" s="58">
        <f t="shared" si="9"/>
        <v>2174.5039370078739</v>
      </c>
      <c r="D78" s="58">
        <f t="shared" si="10"/>
        <v>2161.9568855649632</v>
      </c>
      <c r="E78" s="58">
        <f t="shared" si="11"/>
        <v>2144.4037874431447</v>
      </c>
      <c r="F78" s="58">
        <v>908.96533671588156</v>
      </c>
    </row>
    <row r="79" spans="1:18" x14ac:dyDescent="0.3">
      <c r="A79" t="s">
        <v>388</v>
      </c>
      <c r="B79">
        <v>2298</v>
      </c>
      <c r="C79">
        <f t="shared" si="9"/>
        <v>2266.5039370078739</v>
      </c>
      <c r="D79">
        <f t="shared" si="10"/>
        <v>2253.9568855649632</v>
      </c>
      <c r="E79">
        <f t="shared" si="11"/>
        <v>2236.4037874431447</v>
      </c>
      <c r="F79">
        <v>5784</v>
      </c>
    </row>
    <row r="80" spans="1:18" x14ac:dyDescent="0.3">
      <c r="A80" t="s">
        <v>388</v>
      </c>
      <c r="B80">
        <v>2362</v>
      </c>
      <c r="C80">
        <f t="shared" si="9"/>
        <v>2330.5039370078739</v>
      </c>
      <c r="D80">
        <f t="shared" si="10"/>
        <v>2317.9568855649632</v>
      </c>
      <c r="E80">
        <f t="shared" si="11"/>
        <v>2300.4037874431447</v>
      </c>
      <c r="F80">
        <v>2000</v>
      </c>
    </row>
    <row r="81" spans="1:6" s="58" customFormat="1" x14ac:dyDescent="0.3">
      <c r="A81" s="58" t="s">
        <v>388</v>
      </c>
      <c r="B81" s="58">
        <v>2489</v>
      </c>
      <c r="C81" s="58">
        <f t="shared" si="9"/>
        <v>2457.5039370078739</v>
      </c>
      <c r="D81" s="58">
        <f t="shared" si="10"/>
        <v>2444.9568855649632</v>
      </c>
      <c r="E81" s="58">
        <f t="shared" si="11"/>
        <v>2427.4037874431447</v>
      </c>
      <c r="F81" s="58">
        <v>2224.2464994069778</v>
      </c>
    </row>
    <row r="82" spans="1:6" x14ac:dyDescent="0.3">
      <c r="A82" t="s">
        <v>357</v>
      </c>
      <c r="B82">
        <v>2545</v>
      </c>
      <c r="C82">
        <f t="shared" si="9"/>
        <v>2513.5039370078739</v>
      </c>
      <c r="D82">
        <f t="shared" si="10"/>
        <v>2500.9568855649632</v>
      </c>
      <c r="E82">
        <f t="shared" si="11"/>
        <v>2483.4037874431447</v>
      </c>
    </row>
    <row r="83" spans="1:6" x14ac:dyDescent="0.3">
      <c r="A83" t="s">
        <v>388</v>
      </c>
      <c r="B83">
        <v>2572</v>
      </c>
      <c r="C83">
        <f t="shared" si="9"/>
        <v>2540.5039370078739</v>
      </c>
      <c r="D83">
        <f t="shared" si="10"/>
        <v>2527.9568855649632</v>
      </c>
      <c r="E83">
        <f t="shared" si="11"/>
        <v>2510.4037874431447</v>
      </c>
    </row>
    <row r="84" spans="1:6" x14ac:dyDescent="0.3">
      <c r="A84" t="s">
        <v>357</v>
      </c>
      <c r="B84">
        <v>2621</v>
      </c>
      <c r="C84">
        <f t="shared" si="9"/>
        <v>2589.5039370078739</v>
      </c>
      <c r="D84">
        <f t="shared" si="10"/>
        <v>2576.9568855649632</v>
      </c>
      <c r="E84">
        <f t="shared" si="11"/>
        <v>2559.4037874431447</v>
      </c>
    </row>
    <row r="85" spans="1:6" x14ac:dyDescent="0.3">
      <c r="A85" t="s">
        <v>388</v>
      </c>
      <c r="B85">
        <v>2729</v>
      </c>
      <c r="C85">
        <f t="shared" si="9"/>
        <v>2697.5039370078739</v>
      </c>
      <c r="D85">
        <f t="shared" si="10"/>
        <v>2684.9568855649632</v>
      </c>
      <c r="E85">
        <f t="shared" si="11"/>
        <v>2667.4037874431447</v>
      </c>
    </row>
    <row r="86" spans="1:6" x14ac:dyDescent="0.3">
      <c r="A86" t="s">
        <v>388</v>
      </c>
      <c r="B86">
        <v>2901</v>
      </c>
      <c r="C86">
        <f t="shared" si="9"/>
        <v>2869.5039370078739</v>
      </c>
      <c r="D86">
        <f t="shared" si="10"/>
        <v>2856.9568855649632</v>
      </c>
      <c r="E86">
        <f t="shared" si="11"/>
        <v>2839.4037874431447</v>
      </c>
    </row>
    <row r="87" spans="1:6" x14ac:dyDescent="0.3">
      <c r="A87" t="s">
        <v>357</v>
      </c>
      <c r="B87">
        <v>2986</v>
      </c>
      <c r="C87">
        <f t="shared" si="9"/>
        <v>2954.5039370078739</v>
      </c>
      <c r="D87">
        <f t="shared" si="10"/>
        <v>2941.9568855649632</v>
      </c>
      <c r="E87">
        <f t="shared" si="11"/>
        <v>2924.4037874431447</v>
      </c>
    </row>
    <row r="88" spans="1:6" x14ac:dyDescent="0.3">
      <c r="A88" t="s">
        <v>357</v>
      </c>
      <c r="B88">
        <v>3067</v>
      </c>
      <c r="C88">
        <f t="shared" si="9"/>
        <v>3035.5039370078739</v>
      </c>
      <c r="D88">
        <f t="shared" si="10"/>
        <v>3022.9568855649632</v>
      </c>
      <c r="E88">
        <f t="shared" si="11"/>
        <v>3005.4037874431447</v>
      </c>
    </row>
    <row r="90" spans="1:6" x14ac:dyDescent="0.3">
      <c r="B90" t="s">
        <v>393</v>
      </c>
      <c r="C90" t="s">
        <v>391</v>
      </c>
      <c r="D90" t="s">
        <v>389</v>
      </c>
      <c r="E90" t="s">
        <v>390</v>
      </c>
    </row>
    <row r="91" spans="1:6" x14ac:dyDescent="0.3">
      <c r="A91" t="s">
        <v>388</v>
      </c>
      <c r="B91">
        <v>2139</v>
      </c>
      <c r="C91">
        <f t="shared" ref="C91:C95" si="12">B91-1/$C$73</f>
        <v>2107.5039370078739</v>
      </c>
      <c r="D91">
        <v>4209</v>
      </c>
      <c r="E91">
        <v>3593</v>
      </c>
      <c r="F91">
        <v>199.5</v>
      </c>
    </row>
    <row r="92" spans="1:6" x14ac:dyDescent="0.3">
      <c r="A92" s="58" t="s">
        <v>357</v>
      </c>
      <c r="B92" s="58">
        <v>2206</v>
      </c>
      <c r="C92" s="58">
        <f t="shared" si="12"/>
        <v>2174.5039370078739</v>
      </c>
      <c r="D92" s="58">
        <v>908.96533671588156</v>
      </c>
      <c r="E92" t="s">
        <v>234</v>
      </c>
    </row>
    <row r="93" spans="1:6" x14ac:dyDescent="0.3">
      <c r="A93" t="s">
        <v>388</v>
      </c>
      <c r="B93">
        <v>2298</v>
      </c>
      <c r="C93">
        <f t="shared" si="12"/>
        <v>2266.5039370078739</v>
      </c>
      <c r="D93">
        <v>5784</v>
      </c>
      <c r="E93">
        <v>13410</v>
      </c>
      <c r="F93">
        <v>291.60000000000002</v>
      </c>
    </row>
    <row r="94" spans="1:6" x14ac:dyDescent="0.3">
      <c r="A94" t="s">
        <v>388</v>
      </c>
      <c r="B94">
        <v>2362</v>
      </c>
      <c r="C94">
        <f t="shared" si="12"/>
        <v>2330.5039370078739</v>
      </c>
      <c r="D94">
        <v>2000</v>
      </c>
      <c r="E94">
        <v>-4393</v>
      </c>
      <c r="F94">
        <v>372.7</v>
      </c>
    </row>
    <row r="95" spans="1:6" x14ac:dyDescent="0.3">
      <c r="A95" s="58" t="s">
        <v>388</v>
      </c>
      <c r="B95" s="58">
        <v>2489</v>
      </c>
      <c r="C95" s="58">
        <f t="shared" si="12"/>
        <v>2457.5039370078739</v>
      </c>
      <c r="D95" s="58">
        <v>2224.2464994069778</v>
      </c>
      <c r="E95" t="s">
        <v>234</v>
      </c>
    </row>
    <row r="98" spans="1:6" x14ac:dyDescent="0.3">
      <c r="B98" t="s">
        <v>393</v>
      </c>
      <c r="C98" t="s">
        <v>392</v>
      </c>
      <c r="D98" t="s">
        <v>389</v>
      </c>
      <c r="E98" t="s">
        <v>390</v>
      </c>
    </row>
    <row r="99" spans="1:6" x14ac:dyDescent="0.3">
      <c r="A99" t="s">
        <v>388</v>
      </c>
      <c r="B99">
        <v>2139</v>
      </c>
      <c r="C99">
        <f t="shared" ref="C99:C103" si="13">B99-1/$C$73</f>
        <v>2107.5039370078739</v>
      </c>
      <c r="D99">
        <v>4209</v>
      </c>
      <c r="E99">
        <v>3072</v>
      </c>
      <c r="F99">
        <v>149.69999999999999</v>
      </c>
    </row>
    <row r="100" spans="1:6" x14ac:dyDescent="0.3">
      <c r="A100" s="58" t="s">
        <v>357</v>
      </c>
      <c r="B100" s="58">
        <v>2206</v>
      </c>
      <c r="C100" s="58">
        <f t="shared" si="13"/>
        <v>2174.5039370078739</v>
      </c>
      <c r="D100" s="58">
        <v>908.96533671588156</v>
      </c>
      <c r="E100" t="s">
        <v>234</v>
      </c>
    </row>
    <row r="101" spans="1:6" x14ac:dyDescent="0.3">
      <c r="A101" t="s">
        <v>388</v>
      </c>
      <c r="B101">
        <v>2298</v>
      </c>
      <c r="C101">
        <f t="shared" si="13"/>
        <v>2266.5039370078739</v>
      </c>
      <c r="D101">
        <v>5784</v>
      </c>
      <c r="E101">
        <v>12050</v>
      </c>
      <c r="F101">
        <v>275.7</v>
      </c>
    </row>
    <row r="102" spans="1:6" x14ac:dyDescent="0.3">
      <c r="A102" t="s">
        <v>388</v>
      </c>
      <c r="B102">
        <v>2362</v>
      </c>
      <c r="C102">
        <f t="shared" si="13"/>
        <v>2330.5039370078739</v>
      </c>
      <c r="D102">
        <v>2000</v>
      </c>
      <c r="E102">
        <v>-876.5</v>
      </c>
      <c r="F102">
        <v>338.4</v>
      </c>
    </row>
    <row r="103" spans="1:6" x14ac:dyDescent="0.3">
      <c r="A103" s="58" t="s">
        <v>388</v>
      </c>
      <c r="B103" s="58">
        <v>2489</v>
      </c>
      <c r="C103" s="58">
        <f t="shared" si="13"/>
        <v>2457.5039370078739</v>
      </c>
      <c r="D103" s="58">
        <v>2224.2464994069778</v>
      </c>
      <c r="E103" t="s">
        <v>234</v>
      </c>
    </row>
    <row r="105" spans="1:6" x14ac:dyDescent="0.3">
      <c r="B105" t="s">
        <v>393</v>
      </c>
      <c r="C105" t="s">
        <v>392</v>
      </c>
      <c r="D105" t="s">
        <v>389</v>
      </c>
      <c r="E105" t="s">
        <v>390</v>
      </c>
    </row>
    <row r="106" spans="1:6" x14ac:dyDescent="0.3">
      <c r="A106" t="s">
        <v>388</v>
      </c>
      <c r="B106">
        <v>2139</v>
      </c>
      <c r="C106">
        <f t="shared" ref="C106:C110" si="14">B106-1/$C$73</f>
        <v>2107.5039370078739</v>
      </c>
      <c r="D106">
        <v>4209</v>
      </c>
      <c r="E106">
        <v>3072</v>
      </c>
      <c r="F106">
        <v>149.69999999999999</v>
      </c>
    </row>
    <row r="107" spans="1:6" x14ac:dyDescent="0.3">
      <c r="A107" s="58" t="s">
        <v>357</v>
      </c>
      <c r="B107" s="58">
        <v>2206</v>
      </c>
      <c r="C107" s="58">
        <f t="shared" si="14"/>
        <v>2174.5039370078739</v>
      </c>
      <c r="D107" s="58">
        <v>908.96533671588156</v>
      </c>
      <c r="E107" t="s">
        <v>234</v>
      </c>
    </row>
    <row r="108" spans="1:6" x14ac:dyDescent="0.3">
      <c r="A108" t="s">
        <v>388</v>
      </c>
      <c r="B108">
        <v>2298</v>
      </c>
      <c r="C108">
        <f t="shared" si="14"/>
        <v>2266.5039370078739</v>
      </c>
      <c r="D108">
        <v>5784</v>
      </c>
      <c r="E108">
        <v>12050</v>
      </c>
      <c r="F108">
        <v>275.7</v>
      </c>
    </row>
    <row r="109" spans="1:6" x14ac:dyDescent="0.3">
      <c r="A109" t="s">
        <v>388</v>
      </c>
      <c r="B109">
        <v>2362</v>
      </c>
      <c r="C109">
        <f t="shared" si="14"/>
        <v>2330.5039370078739</v>
      </c>
      <c r="D109">
        <v>2000</v>
      </c>
      <c r="E109">
        <v>-876.5</v>
      </c>
      <c r="F109">
        <v>338.4</v>
      </c>
    </row>
    <row r="110" spans="1:6" x14ac:dyDescent="0.3">
      <c r="A110" s="58" t="s">
        <v>388</v>
      </c>
      <c r="B110" s="58">
        <v>2489</v>
      </c>
      <c r="C110" s="58">
        <f t="shared" si="14"/>
        <v>2457.5039370078739</v>
      </c>
      <c r="D110" s="58">
        <v>2224.2464994069778</v>
      </c>
      <c r="E110" t="s">
        <v>234</v>
      </c>
    </row>
    <row r="112" spans="1:6" x14ac:dyDescent="0.3">
      <c r="B112" t="s">
        <v>393</v>
      </c>
      <c r="C112" t="s">
        <v>391</v>
      </c>
      <c r="D112" t="s">
        <v>389</v>
      </c>
      <c r="E112" t="s">
        <v>390</v>
      </c>
      <c r="F112" t="s">
        <v>394</v>
      </c>
    </row>
    <row r="113" spans="1:6" x14ac:dyDescent="0.3">
      <c r="A113" t="s">
        <v>388</v>
      </c>
      <c r="D113">
        <v>4209</v>
      </c>
      <c r="E113">
        <v>1942</v>
      </c>
      <c r="F113">
        <v>155.6</v>
      </c>
    </row>
    <row r="114" spans="1:6" x14ac:dyDescent="0.3">
      <c r="A114" s="58" t="s">
        <v>357</v>
      </c>
      <c r="B114" s="58">
        <v>2206</v>
      </c>
      <c r="C114" s="58">
        <f t="shared" ref="C114:C117" si="15">B114-1/$C$73</f>
        <v>2174.5039370078739</v>
      </c>
      <c r="D114" s="58">
        <v>908.96533671588156</v>
      </c>
      <c r="E114" t="s">
        <v>234</v>
      </c>
    </row>
    <row r="115" spans="1:6" x14ac:dyDescent="0.3">
      <c r="A115" t="s">
        <v>388</v>
      </c>
      <c r="D115">
        <v>5784</v>
      </c>
      <c r="E115">
        <v>9462</v>
      </c>
      <c r="F115">
        <v>450</v>
      </c>
    </row>
    <row r="116" spans="1:6" x14ac:dyDescent="0.3">
      <c r="A116" t="s">
        <v>388</v>
      </c>
      <c r="D116">
        <v>2000</v>
      </c>
      <c r="E116">
        <v>-5621</v>
      </c>
      <c r="F116">
        <v>290.89999999999998</v>
      </c>
    </row>
    <row r="117" spans="1:6" x14ac:dyDescent="0.3">
      <c r="A117" s="58" t="s">
        <v>388</v>
      </c>
      <c r="B117" s="58">
        <v>2489</v>
      </c>
      <c r="C117" s="58">
        <f t="shared" si="15"/>
        <v>2457.5039370078739</v>
      </c>
      <c r="D117" s="58">
        <v>2224.2464994069778</v>
      </c>
      <c r="E117" t="s">
        <v>234</v>
      </c>
    </row>
    <row r="118" spans="1:6" x14ac:dyDescent="0.3">
      <c r="A118" t="s">
        <v>357</v>
      </c>
      <c r="B118">
        <v>2545</v>
      </c>
      <c r="C118">
        <f>B118-1/0.03175</f>
        <v>2513.5039370078739</v>
      </c>
      <c r="D118">
        <v>1000</v>
      </c>
      <c r="E118">
        <v>-50730</v>
      </c>
      <c r="F118">
        <v>6576</v>
      </c>
    </row>
    <row r="119" spans="1:6" x14ac:dyDescent="0.3">
      <c r="A119" t="s">
        <v>388</v>
      </c>
      <c r="B119">
        <v>2572</v>
      </c>
      <c r="C119">
        <f t="shared" ref="C119:C120" si="16">B119-1/0.03175</f>
        <v>2540.5039370078739</v>
      </c>
      <c r="D119">
        <v>1000</v>
      </c>
      <c r="E119">
        <v>79970</v>
      </c>
      <c r="F119">
        <v>1028</v>
      </c>
    </row>
    <row r="120" spans="1:6" x14ac:dyDescent="0.3">
      <c r="A120" t="s">
        <v>357</v>
      </c>
      <c r="B120">
        <v>2621</v>
      </c>
      <c r="C120">
        <f t="shared" si="16"/>
        <v>2589.5039370078739</v>
      </c>
      <c r="D120">
        <v>500</v>
      </c>
      <c r="E120">
        <v>-53600</v>
      </c>
      <c r="F120">
        <v>6100</v>
      </c>
    </row>
    <row r="123" spans="1:6" x14ac:dyDescent="0.3">
      <c r="B123" t="s">
        <v>393</v>
      </c>
      <c r="C123" t="s">
        <v>395</v>
      </c>
      <c r="D123" t="s">
        <v>389</v>
      </c>
      <c r="E123" t="s">
        <v>390</v>
      </c>
      <c r="F123" t="s">
        <v>394</v>
      </c>
    </row>
    <row r="124" spans="1:6" x14ac:dyDescent="0.3">
      <c r="A124" t="s">
        <v>388</v>
      </c>
      <c r="B124">
        <v>2139</v>
      </c>
      <c r="C124">
        <f t="shared" ref="C124" si="17">B124-1/$C$73</f>
        <v>2107.5039370078739</v>
      </c>
      <c r="D124">
        <v>4209</v>
      </c>
      <c r="E124">
        <v>3450</v>
      </c>
      <c r="F124">
        <v>255.7</v>
      </c>
    </row>
    <row r="125" spans="1:6" x14ac:dyDescent="0.3">
      <c r="A125" s="58" t="s">
        <v>357</v>
      </c>
      <c r="B125" s="58">
        <v>2206</v>
      </c>
      <c r="C125" s="58">
        <f>B125-1/$C$73</f>
        <v>2174.5039370078739</v>
      </c>
      <c r="D125" s="58">
        <v>908.96533671588156</v>
      </c>
      <c r="E125" t="s">
        <v>234</v>
      </c>
    </row>
    <row r="126" spans="1:6" x14ac:dyDescent="0.3">
      <c r="A126" t="s">
        <v>388</v>
      </c>
      <c r="B126">
        <v>2298</v>
      </c>
      <c r="C126">
        <f>B126-1/$C$73</f>
        <v>2266.5039370078739</v>
      </c>
      <c r="D126">
        <v>5784</v>
      </c>
      <c r="E126">
        <v>13630</v>
      </c>
      <c r="F126">
        <v>856.2</v>
      </c>
    </row>
    <row r="127" spans="1:6" x14ac:dyDescent="0.3">
      <c r="A127" t="s">
        <v>388</v>
      </c>
      <c r="B127">
        <v>2362</v>
      </c>
      <c r="C127">
        <f>B127-1/$C$73</f>
        <v>2330.5039370078739</v>
      </c>
      <c r="D127">
        <v>2000</v>
      </c>
      <c r="E127">
        <v>-609.4</v>
      </c>
      <c r="F127">
        <v>396.8</v>
      </c>
    </row>
    <row r="128" spans="1:6" x14ac:dyDescent="0.3">
      <c r="A128" s="58" t="s">
        <v>388</v>
      </c>
      <c r="B128" s="58">
        <v>2489</v>
      </c>
      <c r="C128" s="58">
        <f>B128-1/$C$73</f>
        <v>2457.5039370078739</v>
      </c>
      <c r="D128" s="58">
        <v>2224.2464994069778</v>
      </c>
      <c r="E128" t="s">
        <v>234</v>
      </c>
    </row>
    <row r="129" spans="1:9" x14ac:dyDescent="0.3">
      <c r="A129" t="s">
        <v>357</v>
      </c>
      <c r="B129">
        <v>2545</v>
      </c>
      <c r="C129">
        <f>B129-1/0.03175</f>
        <v>2513.5039370078739</v>
      </c>
      <c r="D129">
        <v>1000</v>
      </c>
      <c r="E129">
        <v>23680</v>
      </c>
      <c r="F129">
        <v>12080</v>
      </c>
    </row>
    <row r="130" spans="1:9" x14ac:dyDescent="0.3">
      <c r="A130" t="s">
        <v>388</v>
      </c>
      <c r="B130">
        <v>2572</v>
      </c>
      <c r="C130">
        <f t="shared" ref="C130:C131" si="18">B130-1/0.03175</f>
        <v>2540.5039370078739</v>
      </c>
      <c r="D130">
        <v>1000</v>
      </c>
      <c r="E130">
        <v>-34150</v>
      </c>
      <c r="F130">
        <v>18370</v>
      </c>
    </row>
    <row r="131" spans="1:9" x14ac:dyDescent="0.3">
      <c r="A131" t="s">
        <v>357</v>
      </c>
      <c r="B131">
        <v>2621</v>
      </c>
      <c r="C131">
        <f t="shared" si="18"/>
        <v>2589.5039370078739</v>
      </c>
      <c r="D131">
        <v>500</v>
      </c>
      <c r="E131">
        <v>1640</v>
      </c>
      <c r="F131">
        <v>9836</v>
      </c>
    </row>
    <row r="133" spans="1:9" x14ac:dyDescent="0.3">
      <c r="B133" t="s">
        <v>393</v>
      </c>
      <c r="C133" t="s">
        <v>396</v>
      </c>
      <c r="D133" t="s">
        <v>389</v>
      </c>
      <c r="E133" t="s">
        <v>390</v>
      </c>
      <c r="F133" t="s">
        <v>394</v>
      </c>
      <c r="G133" t="s">
        <v>397</v>
      </c>
      <c r="H133" t="s">
        <v>30</v>
      </c>
      <c r="I133" t="s">
        <v>105</v>
      </c>
    </row>
    <row r="134" spans="1:9" x14ac:dyDescent="0.3">
      <c r="A134" t="s">
        <v>388</v>
      </c>
      <c r="D134">
        <v>4209</v>
      </c>
      <c r="E134">
        <v>3358</v>
      </c>
      <c r="F134">
        <v>94.4</v>
      </c>
      <c r="G134">
        <v>2116</v>
      </c>
      <c r="H134">
        <v>1.3</v>
      </c>
      <c r="I134">
        <f>G134+1/0.1013</f>
        <v>2125.8716683119446</v>
      </c>
    </row>
    <row r="135" spans="1:9" x14ac:dyDescent="0.3">
      <c r="A135" s="58" t="s">
        <v>357</v>
      </c>
      <c r="B135" s="58">
        <v>2206</v>
      </c>
      <c r="C135" s="58">
        <f>B135-1/$C$73</f>
        <v>2174.5039370078739</v>
      </c>
      <c r="D135" s="58">
        <v>908.96533671588156</v>
      </c>
      <c r="E135" t="s">
        <v>234</v>
      </c>
      <c r="I135">
        <f>B135+1/0.1013</f>
        <v>2215.8716683119446</v>
      </c>
    </row>
    <row r="136" spans="1:9" x14ac:dyDescent="0.3">
      <c r="A136" t="s">
        <v>388</v>
      </c>
      <c r="D136">
        <v>5784</v>
      </c>
      <c r="E136">
        <v>3451</v>
      </c>
      <c r="F136">
        <v>131.4</v>
      </c>
      <c r="G136">
        <v>2256</v>
      </c>
      <c r="H136">
        <v>2.1</v>
      </c>
      <c r="I136">
        <f t="shared" ref="I136:I141" si="19">G136+1/0.1013</f>
        <v>2265.8716683119446</v>
      </c>
    </row>
    <row r="137" spans="1:9" x14ac:dyDescent="0.3">
      <c r="A137" t="s">
        <v>388</v>
      </c>
      <c r="D137">
        <v>2000</v>
      </c>
      <c r="E137">
        <v>2286</v>
      </c>
      <c r="F137">
        <v>111.9</v>
      </c>
      <c r="G137">
        <v>2324</v>
      </c>
      <c r="H137">
        <v>3.2</v>
      </c>
      <c r="I137">
        <f t="shared" si="19"/>
        <v>2333.8716683119446</v>
      </c>
    </row>
    <row r="138" spans="1:9" x14ac:dyDescent="0.3">
      <c r="A138" s="58" t="s">
        <v>388</v>
      </c>
      <c r="B138" s="58">
        <v>2489</v>
      </c>
      <c r="C138" s="58">
        <f>B138-1/$C$73</f>
        <v>2457.5039370078739</v>
      </c>
      <c r="D138" s="58">
        <v>2224.2464994069778</v>
      </c>
      <c r="E138" t="s">
        <v>234</v>
      </c>
      <c r="I138">
        <f>B138+1/0.1013</f>
        <v>2498.8716683119446</v>
      </c>
    </row>
    <row r="139" spans="1:9" x14ac:dyDescent="0.3">
      <c r="A139" t="s">
        <v>357</v>
      </c>
      <c r="D139">
        <v>1000</v>
      </c>
      <c r="E139">
        <v>6066</v>
      </c>
      <c r="F139">
        <v>131.4</v>
      </c>
      <c r="G139">
        <v>2256</v>
      </c>
      <c r="H139">
        <v>1.2</v>
      </c>
      <c r="I139">
        <f t="shared" si="19"/>
        <v>2265.8716683119446</v>
      </c>
    </row>
    <row r="140" spans="1:9" x14ac:dyDescent="0.3">
      <c r="A140" t="s">
        <v>388</v>
      </c>
      <c r="D140">
        <v>1000</v>
      </c>
      <c r="E140">
        <v>-4549000</v>
      </c>
      <c r="F140">
        <v>145000</v>
      </c>
      <c r="G140">
        <v>1337</v>
      </c>
      <c r="H140">
        <v>1.4</v>
      </c>
      <c r="I140">
        <f t="shared" si="19"/>
        <v>1346.8716683119446</v>
      </c>
    </row>
    <row r="141" spans="1:9" x14ac:dyDescent="0.3">
      <c r="A141" t="s">
        <v>357</v>
      </c>
      <c r="D141">
        <v>500</v>
      </c>
      <c r="E141">
        <v>-3662000</v>
      </c>
      <c r="F141">
        <v>1.4139999999999999</v>
      </c>
      <c r="G141">
        <v>3836</v>
      </c>
      <c r="H141">
        <v>1.4</v>
      </c>
      <c r="I141">
        <f t="shared" si="19"/>
        <v>3845.8716683119446</v>
      </c>
    </row>
  </sheetData>
  <mergeCells count="7">
    <mergeCell ref="P12:Q12"/>
    <mergeCell ref="R12:S12"/>
    <mergeCell ref="N51:R51"/>
    <mergeCell ref="A51:E51"/>
    <mergeCell ref="A15:A33"/>
    <mergeCell ref="A34:A43"/>
    <mergeCell ref="A44:A48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B03A-106E-48D5-91AA-F9D6BAB8775A}">
  <dimension ref="A1:AA46"/>
  <sheetViews>
    <sheetView topLeftCell="A9" zoomScale="80" zoomScaleNormal="80" workbookViewId="0">
      <selection activeCell="G26" sqref="G26"/>
    </sheetView>
  </sheetViews>
  <sheetFormatPr defaultRowHeight="14.4" x14ac:dyDescent="0.3"/>
  <cols>
    <col min="1" max="1" width="20.109375" bestFit="1" customWidth="1"/>
    <col min="2" max="2" width="17.44140625" bestFit="1" customWidth="1"/>
    <col min="3" max="3" width="24" bestFit="1" customWidth="1"/>
    <col min="4" max="4" width="17.109375" bestFit="1" customWidth="1"/>
    <col min="5" max="5" width="9.44140625" bestFit="1" customWidth="1"/>
    <col min="6" max="6" width="14.5546875" bestFit="1" customWidth="1"/>
    <col min="7" max="7" width="11.33203125" bestFit="1" customWidth="1"/>
    <col min="8" max="8" width="16.88671875" bestFit="1" customWidth="1"/>
    <col min="9" max="9" width="22" bestFit="1" customWidth="1"/>
    <col min="10" max="10" width="16.44140625" bestFit="1" customWidth="1"/>
    <col min="11" max="11" width="23.21875" bestFit="1" customWidth="1"/>
    <col min="12" max="12" width="19.77734375" bestFit="1" customWidth="1"/>
    <col min="13" max="13" width="18.21875" bestFit="1" customWidth="1"/>
    <col min="14" max="14" width="16.77734375" bestFit="1" customWidth="1"/>
    <col min="15" max="15" width="10.5546875" bestFit="1" customWidth="1"/>
    <col min="16" max="16" width="16" bestFit="1" customWidth="1"/>
    <col min="17" max="17" width="17.77734375" bestFit="1" customWidth="1"/>
    <col min="18" max="18" width="11.44140625" bestFit="1" customWidth="1"/>
    <col min="19" max="20" width="17.77734375" customWidth="1"/>
    <col min="21" max="21" width="14.21875" bestFit="1" customWidth="1"/>
    <col min="22" max="22" width="14" bestFit="1" customWidth="1"/>
    <col min="23" max="23" width="15.21875" bestFit="1" customWidth="1"/>
    <col min="24" max="24" width="12.77734375" bestFit="1" customWidth="1"/>
    <col min="25" max="25" width="10.77734375" bestFit="1" customWidth="1"/>
    <col min="26" max="26" width="11.88671875" bestFit="1" customWidth="1"/>
    <col min="27" max="27" width="12.109375" bestFit="1" customWidth="1"/>
    <col min="28" max="28" width="9.44140625" bestFit="1" customWidth="1"/>
    <col min="29" max="30" width="13.88671875" bestFit="1" customWidth="1"/>
    <col min="31" max="31" width="10.21875" bestFit="1" customWidth="1"/>
    <col min="32" max="33" width="14.6640625" bestFit="1" customWidth="1"/>
  </cols>
  <sheetData>
    <row r="1" spans="1:27" ht="15" thickBot="1" x14ac:dyDescent="0.35">
      <c r="A1" t="s">
        <v>243</v>
      </c>
      <c r="B1" t="s">
        <v>244</v>
      </c>
      <c r="C1" t="s">
        <v>245</v>
      </c>
      <c r="D1" t="s">
        <v>246</v>
      </c>
      <c r="E1" t="s">
        <v>247</v>
      </c>
      <c r="F1" t="s">
        <v>248</v>
      </c>
      <c r="G1" t="s">
        <v>249</v>
      </c>
      <c r="H1" t="s">
        <v>250</v>
      </c>
      <c r="I1" t="s">
        <v>251</v>
      </c>
      <c r="J1" t="s">
        <v>252</v>
      </c>
      <c r="K1" t="s">
        <v>127</v>
      </c>
      <c r="L1" t="s">
        <v>128</v>
      </c>
      <c r="M1" t="s">
        <v>253</v>
      </c>
      <c r="N1" t="s">
        <v>254</v>
      </c>
      <c r="P1" t="s">
        <v>255</v>
      </c>
      <c r="Q1" t="s">
        <v>256</v>
      </c>
      <c r="R1" t="s">
        <v>257</v>
      </c>
      <c r="S1" t="s">
        <v>258</v>
      </c>
      <c r="T1" t="s">
        <v>259</v>
      </c>
      <c r="U1" t="s">
        <v>260</v>
      </c>
      <c r="V1" t="s">
        <v>261</v>
      </c>
      <c r="W1" t="s">
        <v>262</v>
      </c>
      <c r="X1" t="s">
        <v>263</v>
      </c>
      <c r="Y1" t="s">
        <v>264</v>
      </c>
      <c r="Z1" t="s">
        <v>265</v>
      </c>
      <c r="AA1" t="s">
        <v>266</v>
      </c>
    </row>
    <row r="2" spans="1:27" ht="15" thickBot="1" x14ac:dyDescent="0.35">
      <c r="A2" s="56">
        <v>1211.6622</v>
      </c>
      <c r="B2" s="3">
        <v>1.3672</v>
      </c>
      <c r="C2" s="3">
        <v>4.9400000000105138E-2</v>
      </c>
      <c r="D2" s="3">
        <v>1216.6863000000001</v>
      </c>
      <c r="E2" s="3">
        <v>1.0993999999999999</v>
      </c>
      <c r="F2" s="3">
        <v>0.85250000000000004</v>
      </c>
      <c r="G2" s="3">
        <v>0.98929999999999996</v>
      </c>
      <c r="H2" s="3">
        <f>SQRT(B2^2+C2^2+E2^2)</f>
        <v>1.755094458996441</v>
      </c>
      <c r="I2" s="3">
        <f>SQRT(B2^2+C2^2+F2^2)</f>
        <v>1.6119653997527399</v>
      </c>
      <c r="J2" s="57">
        <f>SQRT(B2^2+C2^2+E2^2+F2^2)</f>
        <v>1.9511824133073796</v>
      </c>
      <c r="K2" s="57">
        <v>677.11</v>
      </c>
      <c r="L2" s="57">
        <v>0.1</v>
      </c>
      <c r="M2" s="57">
        <f>D2+K2+6130.65</f>
        <v>8024.4462999999996</v>
      </c>
      <c r="N2" s="58">
        <f>SQRT(J2^2+L2^2+0.24^2)</f>
        <v>1.968429020818381</v>
      </c>
      <c r="P2">
        <f>M2</f>
        <v>8024.4462999999996</v>
      </c>
      <c r="Q2">
        <f>N2</f>
        <v>1.968429020818381</v>
      </c>
      <c r="T2">
        <v>8024</v>
      </c>
      <c r="U2">
        <v>2</v>
      </c>
      <c r="V2">
        <f>D2</f>
        <v>1216.6863000000001</v>
      </c>
      <c r="W2">
        <f t="shared" ref="W2:Y3" si="0">J2</f>
        <v>1.9511824133073796</v>
      </c>
      <c r="X2">
        <f t="shared" si="0"/>
        <v>677.11</v>
      </c>
      <c r="Y2">
        <f t="shared" si="0"/>
        <v>0.1</v>
      </c>
      <c r="Z2">
        <v>1217</v>
      </c>
      <c r="AA2">
        <v>2</v>
      </c>
    </row>
    <row r="3" spans="1:27" x14ac:dyDescent="0.3">
      <c r="A3" s="59">
        <v>1598.9505999999999</v>
      </c>
      <c r="B3">
        <v>0.75790000000000002</v>
      </c>
      <c r="C3">
        <v>6.7600000000084037E-2</v>
      </c>
      <c r="D3" s="60">
        <v>1607.9419</v>
      </c>
      <c r="E3">
        <v>1.8023</v>
      </c>
      <c r="F3">
        <v>1.3974</v>
      </c>
      <c r="G3">
        <v>1.6217999999999999</v>
      </c>
      <c r="H3">
        <f t="shared" ref="H3:H35" si="1">SQRT(B3^2+C3^2+E3^2)</f>
        <v>1.9563403231544381</v>
      </c>
      <c r="I3">
        <f t="shared" ref="I3:I36" si="2">SQRT(B3^2+C3^2+F3^2)</f>
        <v>1.5911344789174833</v>
      </c>
      <c r="J3" s="58">
        <f>SQRT(B3^2+C3^2+E3^2+F3^2)</f>
        <v>2.4041618539524352</v>
      </c>
      <c r="K3" s="58">
        <v>677.11</v>
      </c>
      <c r="L3" s="58">
        <v>0.1</v>
      </c>
      <c r="M3" s="58">
        <f t="shared" ref="M3:M34" si="3">D3+K3+6130.65</f>
        <v>8415.7019</v>
      </c>
      <c r="N3" s="58">
        <f>SQRT(J3^2+L3^2+0.24^2)</f>
        <v>2.4181799395413091</v>
      </c>
      <c r="P3" s="2">
        <f>M3</f>
        <v>8415.7019</v>
      </c>
      <c r="Q3" s="3">
        <f>N3</f>
        <v>2.4181799395413091</v>
      </c>
      <c r="R3" s="3">
        <f>1/Q3^2</f>
        <v>0.17101049805743848</v>
      </c>
      <c r="S3" s="145">
        <f>(P3*R3+P4*R4+P5*R5+P6*R6)/SUM(R3:R6)</f>
        <v>8416.2545504380159</v>
      </c>
      <c r="T3" s="145">
        <v>8418</v>
      </c>
      <c r="U3" s="145">
        <v>3</v>
      </c>
      <c r="V3" s="3">
        <f>D3</f>
        <v>1607.9419</v>
      </c>
      <c r="W3" s="3">
        <f t="shared" si="0"/>
        <v>2.4041618539524352</v>
      </c>
      <c r="X3" s="3">
        <f t="shared" si="0"/>
        <v>677.11</v>
      </c>
      <c r="Y3" s="3">
        <f t="shared" si="0"/>
        <v>0.1</v>
      </c>
      <c r="Z3" s="115">
        <v>1610</v>
      </c>
      <c r="AA3" s="3">
        <v>3</v>
      </c>
    </row>
    <row r="4" spans="1:27" x14ac:dyDescent="0.3">
      <c r="A4" s="59">
        <v>1850.0181</v>
      </c>
      <c r="B4">
        <v>6.8571</v>
      </c>
      <c r="C4">
        <v>3.3506999999999607</v>
      </c>
      <c r="D4">
        <v>1861.5813000000001</v>
      </c>
      <c r="E4">
        <v>2.4276</v>
      </c>
      <c r="F4">
        <v>1.8823000000000001</v>
      </c>
      <c r="G4">
        <v>2.1844000000000001</v>
      </c>
      <c r="H4">
        <f t="shared" si="1"/>
        <v>8.0087609940614239</v>
      </c>
      <c r="I4">
        <f t="shared" si="2"/>
        <v>7.8606656327565378</v>
      </c>
      <c r="J4" s="58">
        <f>SQRT(B4^2+C4^2+E4^2+F4^2)</f>
        <v>8.2269864440145835</v>
      </c>
      <c r="K4" s="58">
        <v>677.11</v>
      </c>
      <c r="L4" s="58">
        <v>0.1</v>
      </c>
      <c r="M4" s="58">
        <f>D4+K4+6130.65</f>
        <v>8669.3413</v>
      </c>
      <c r="N4" s="58">
        <f>SQRT(J4^2+L4^2+0.24^2)</f>
        <v>8.2310938489364656</v>
      </c>
      <c r="P4" s="6">
        <v>8414.4242999999988</v>
      </c>
      <c r="Q4">
        <v>2.6796863062679388</v>
      </c>
      <c r="R4">
        <f>1/Q4^2</f>
        <v>0.13926182625703087</v>
      </c>
      <c r="S4" s="144"/>
      <c r="T4" s="144"/>
      <c r="U4" s="144"/>
      <c r="V4">
        <v>1575.0743</v>
      </c>
      <c r="W4">
        <v>2.5754841680740164</v>
      </c>
      <c r="X4">
        <v>708.7</v>
      </c>
      <c r="Y4">
        <v>0.7</v>
      </c>
      <c r="Z4" s="114">
        <v>1579</v>
      </c>
      <c r="AA4">
        <v>3</v>
      </c>
    </row>
    <row r="5" spans="1:27" ht="15" thickBot="1" x14ac:dyDescent="0.35">
      <c r="A5" s="7">
        <v>2128.1374000000001</v>
      </c>
      <c r="B5" s="8">
        <v>3.3115000000000001</v>
      </c>
      <c r="C5" s="8">
        <v>0.76890000000003056</v>
      </c>
      <c r="D5" s="8">
        <v>2142.5495999999998</v>
      </c>
      <c r="E5" s="8">
        <v>3.1682000000000001</v>
      </c>
      <c r="F5" s="8">
        <v>2.4565000000000001</v>
      </c>
      <c r="G5" s="8">
        <v>2.8509000000000002</v>
      </c>
      <c r="H5" s="8">
        <f t="shared" si="1"/>
        <v>4.6470130944511068</v>
      </c>
      <c r="I5" s="8">
        <f>SQRT(B5^2+C5^2+F5^2)</f>
        <v>4.1942379176675288</v>
      </c>
      <c r="J5" s="61">
        <f t="shared" ref="J5:J36" si="4">SQRT(B5^2+C5^2+E5^2+F5^2)</f>
        <v>5.2563412132394953</v>
      </c>
      <c r="K5" s="61">
        <v>677.11</v>
      </c>
      <c r="L5" s="61">
        <v>0.1</v>
      </c>
      <c r="M5" s="61">
        <f t="shared" si="3"/>
        <v>8950.3096000000005</v>
      </c>
      <c r="N5" s="58">
        <f>SQRT(J5^2+L5^2+0.24^2)</f>
        <v>5.2627676131480525</v>
      </c>
      <c r="P5" s="6">
        <f>M19</f>
        <v>8418.8876999999993</v>
      </c>
      <c r="Q5">
        <f>N19</f>
        <v>2.8092510514370259</v>
      </c>
      <c r="R5">
        <f>1/Q5^2</f>
        <v>0.12671233554102532</v>
      </c>
      <c r="S5" s="144"/>
      <c r="T5" s="144"/>
      <c r="U5" s="144"/>
      <c r="V5">
        <f>D19</f>
        <v>833.95770000000005</v>
      </c>
      <c r="W5">
        <f>J19</f>
        <v>2.7985338071926225</v>
      </c>
      <c r="X5">
        <v>1454.28</v>
      </c>
      <c r="Y5">
        <v>0.05</v>
      </c>
      <c r="Z5" s="113">
        <v>833</v>
      </c>
      <c r="AA5">
        <v>3</v>
      </c>
    </row>
    <row r="6" spans="1:27" ht="15" thickBot="1" x14ac:dyDescent="0.35">
      <c r="A6" s="2">
        <v>868.37530000000004</v>
      </c>
      <c r="B6" s="3">
        <v>3.2435</v>
      </c>
      <c r="C6" s="3">
        <v>17.52170000000001</v>
      </c>
      <c r="D6" s="3">
        <v>869.88279999999997</v>
      </c>
      <c r="E6" s="3">
        <v>1.2126999999999999</v>
      </c>
      <c r="F6" s="3">
        <v>0.94030000000000002</v>
      </c>
      <c r="G6" s="3">
        <v>1.0911999999999999</v>
      </c>
      <c r="H6" s="3">
        <f t="shared" si="1"/>
        <v>17.860596418653</v>
      </c>
      <c r="I6" s="3">
        <f t="shared" si="2"/>
        <v>17.844170679244254</v>
      </c>
      <c r="J6" s="57">
        <f t="shared" si="4"/>
        <v>17.885331098976064</v>
      </c>
      <c r="K6" s="57">
        <v>708.7</v>
      </c>
      <c r="L6" s="57">
        <v>0.7</v>
      </c>
      <c r="M6" s="57">
        <f t="shared" si="3"/>
        <v>7709.2327999999998</v>
      </c>
      <c r="N6" s="58">
        <f t="shared" ref="N6:N33" si="5">SQRT(J6^2+L6^2+0.24^2)</f>
        <v>17.900633187683624</v>
      </c>
      <c r="P6" s="7">
        <f>M29</f>
        <v>8416.657799999999</v>
      </c>
      <c r="Q6" s="8">
        <f>N29</f>
        <v>5.0614796206249011</v>
      </c>
      <c r="R6" s="8">
        <f>1/Q6^2</f>
        <v>3.9034175902347666E-2</v>
      </c>
      <c r="S6" s="146"/>
      <c r="T6" s="146"/>
      <c r="U6" s="146"/>
      <c r="V6" s="8">
        <f>D29</f>
        <v>2286.0077999999999</v>
      </c>
      <c r="W6" s="8">
        <f>J29</f>
        <v>5.0557863829478782</v>
      </c>
      <c r="X6" s="8">
        <v>0</v>
      </c>
      <c r="Y6" s="8">
        <v>0</v>
      </c>
      <c r="Z6" s="116">
        <v>2287</v>
      </c>
      <c r="AA6" s="8">
        <v>5</v>
      </c>
    </row>
    <row r="7" spans="1:27" x14ac:dyDescent="0.3">
      <c r="A7" s="6">
        <v>955.17460000000005</v>
      </c>
      <c r="B7">
        <v>3.3818000000000001</v>
      </c>
      <c r="C7">
        <v>11.66190000000006</v>
      </c>
      <c r="D7">
        <v>957.57129999999995</v>
      </c>
      <c r="E7">
        <v>1.1048</v>
      </c>
      <c r="F7">
        <v>0.85660000000000003</v>
      </c>
      <c r="G7">
        <v>0.99419999999999997</v>
      </c>
      <c r="H7">
        <f t="shared" si="1"/>
        <v>12.192500395325046</v>
      </c>
      <c r="I7">
        <f t="shared" si="2"/>
        <v>12.172520133891807</v>
      </c>
      <c r="J7" s="58">
        <f t="shared" si="4"/>
        <v>12.222554129559066</v>
      </c>
      <c r="K7" s="58">
        <v>708.7</v>
      </c>
      <c r="L7" s="58">
        <v>0.7</v>
      </c>
      <c r="M7" s="58">
        <f t="shared" si="3"/>
        <v>7796.9213</v>
      </c>
      <c r="N7" s="58">
        <f>SQRT(J7^2+L7^2+0.24^2)</f>
        <v>12.244934848744659</v>
      </c>
      <c r="P7">
        <f>M4</f>
        <v>8669.3413</v>
      </c>
      <c r="Q7">
        <f>N4</f>
        <v>8.2310938489364656</v>
      </c>
      <c r="T7">
        <v>8669</v>
      </c>
      <c r="U7">
        <v>8</v>
      </c>
      <c r="V7">
        <v>1861.5813000000001</v>
      </c>
      <c r="W7">
        <f t="shared" ref="W7:Y8" si="6">J4</f>
        <v>8.2269864440145835</v>
      </c>
      <c r="X7">
        <f t="shared" si="6"/>
        <v>677.11</v>
      </c>
      <c r="Y7">
        <f t="shared" si="6"/>
        <v>0.1</v>
      </c>
      <c r="Z7">
        <v>1862</v>
      </c>
      <c r="AA7">
        <v>8</v>
      </c>
    </row>
    <row r="8" spans="1:27" ht="15" thickBot="1" x14ac:dyDescent="0.35">
      <c r="A8" s="7">
        <v>1061.8471999999999</v>
      </c>
      <c r="B8" s="8">
        <v>1.661</v>
      </c>
      <c r="C8" s="8">
        <v>7.3012999999998556</v>
      </c>
      <c r="D8" s="8">
        <v>1065.3366000000001</v>
      </c>
      <c r="E8" s="8">
        <v>1.0410999999999999</v>
      </c>
      <c r="F8" s="8">
        <v>0.80720000000000003</v>
      </c>
      <c r="G8" s="8">
        <v>0.93679999999999997</v>
      </c>
      <c r="H8" s="8">
        <f t="shared" si="1"/>
        <v>7.559880415720734</v>
      </c>
      <c r="I8" s="8">
        <f t="shared" si="2"/>
        <v>7.5312332675331399</v>
      </c>
      <c r="J8" s="61">
        <f t="shared" si="4"/>
        <v>7.6028523423776884</v>
      </c>
      <c r="K8" s="61">
        <v>708.7</v>
      </c>
      <c r="L8" s="61">
        <v>0.7</v>
      </c>
      <c r="M8" s="61">
        <f t="shared" si="3"/>
        <v>7904.6866</v>
      </c>
      <c r="N8" s="58">
        <f t="shared" si="5"/>
        <v>7.6387802521081802</v>
      </c>
      <c r="P8">
        <f>M5</f>
        <v>8950.3096000000005</v>
      </c>
      <c r="Q8">
        <f>N5</f>
        <v>5.2627676131480525</v>
      </c>
      <c r="T8">
        <v>8950</v>
      </c>
      <c r="U8">
        <v>5</v>
      </c>
      <c r="V8">
        <v>2142.5495999999998</v>
      </c>
      <c r="W8">
        <f t="shared" si="6"/>
        <v>5.2563412132394953</v>
      </c>
      <c r="X8">
        <f t="shared" si="6"/>
        <v>677.11</v>
      </c>
      <c r="Y8">
        <f t="shared" si="6"/>
        <v>0.1</v>
      </c>
      <c r="Z8">
        <v>2143</v>
      </c>
      <c r="AA8">
        <v>5</v>
      </c>
    </row>
    <row r="9" spans="1:27" x14ac:dyDescent="0.3">
      <c r="A9" s="2">
        <v>1133.0019</v>
      </c>
      <c r="B9" s="3">
        <v>2.1800000000000002</v>
      </c>
      <c r="C9" s="3">
        <v>3.1713999999999487</v>
      </c>
      <c r="D9" s="3">
        <v>1137.2202</v>
      </c>
      <c r="E9" s="3">
        <v>1.0474000000000001</v>
      </c>
      <c r="F9" s="3">
        <v>0.81210000000000004</v>
      </c>
      <c r="G9" s="3">
        <v>0.9425</v>
      </c>
      <c r="H9" s="3">
        <f t="shared" si="1"/>
        <v>3.9883862300433837</v>
      </c>
      <c r="I9" s="3">
        <f t="shared" si="2"/>
        <v>3.9331519637562535</v>
      </c>
      <c r="J9" s="57">
        <f t="shared" si="4"/>
        <v>4.070224948328983</v>
      </c>
      <c r="K9" s="57">
        <v>1973.34</v>
      </c>
      <c r="L9" s="57">
        <v>0.8</v>
      </c>
      <c r="M9" s="57">
        <f t="shared" si="3"/>
        <v>9241.2101999999995</v>
      </c>
      <c r="N9" s="58">
        <f t="shared" si="5"/>
        <v>4.1550368385851488</v>
      </c>
      <c r="P9" s="2">
        <v>7709.2327999999998</v>
      </c>
      <c r="Q9" s="3">
        <v>17.900633187683624</v>
      </c>
      <c r="R9" s="3">
        <f>1/Q9^2</f>
        <v>3.1207804267235103E-3</v>
      </c>
      <c r="S9" s="3">
        <f>(P9*R9+P10*R10)/SUM(R9:R10)</f>
        <v>7703.2537879622032</v>
      </c>
      <c r="T9" s="145">
        <v>7703</v>
      </c>
      <c r="U9" s="145">
        <v>3</v>
      </c>
      <c r="V9" s="3">
        <v>869.88279999999997</v>
      </c>
      <c r="W9" s="3">
        <v>17.885331098976064</v>
      </c>
      <c r="X9" s="3">
        <v>708.7</v>
      </c>
      <c r="Y9" s="3">
        <v>0.7</v>
      </c>
      <c r="Z9" s="3">
        <v>870</v>
      </c>
      <c r="AA9" s="3">
        <v>18</v>
      </c>
    </row>
    <row r="10" spans="1:27" ht="15" thickBot="1" x14ac:dyDescent="0.35">
      <c r="A10" s="6">
        <v>1218.0681</v>
      </c>
      <c r="B10">
        <v>1.9468000000000001</v>
      </c>
      <c r="C10">
        <v>4.3179000000000087</v>
      </c>
      <c r="D10">
        <v>1223.1578</v>
      </c>
      <c r="E10">
        <v>1.1055999999999999</v>
      </c>
      <c r="F10">
        <v>0.85719999999999996</v>
      </c>
      <c r="G10">
        <v>0.99490000000000001</v>
      </c>
      <c r="H10">
        <f t="shared" si="1"/>
        <v>4.8638094134125032</v>
      </c>
      <c r="I10">
        <f t="shared" si="2"/>
        <v>4.8134273122173639</v>
      </c>
      <c r="J10" s="58">
        <f t="shared" si="4"/>
        <v>4.938768454787092</v>
      </c>
      <c r="K10" s="58">
        <v>1973.34</v>
      </c>
      <c r="L10" s="58">
        <v>0.8</v>
      </c>
      <c r="M10" s="58">
        <f t="shared" si="3"/>
        <v>9327.1477999999988</v>
      </c>
      <c r="N10" s="58">
        <f t="shared" si="5"/>
        <v>5.008895472057695</v>
      </c>
      <c r="P10" s="7">
        <v>7703.0975999999991</v>
      </c>
      <c r="Q10" s="8">
        <v>2.893193353372685</v>
      </c>
      <c r="R10" s="8">
        <f>1/Q10^2</f>
        <v>0.1194662090174263</v>
      </c>
      <c r="S10" s="8"/>
      <c r="T10" s="146"/>
      <c r="U10" s="146"/>
      <c r="V10" s="8">
        <v>1572.4476</v>
      </c>
      <c r="W10" s="8">
        <v>2.8832217708667298</v>
      </c>
      <c r="X10" s="8">
        <v>0</v>
      </c>
      <c r="Y10" s="8">
        <v>0</v>
      </c>
      <c r="Z10" s="8">
        <v>1572</v>
      </c>
      <c r="AA10" s="8">
        <v>3</v>
      </c>
    </row>
    <row r="11" spans="1:27" ht="15" thickBot="1" x14ac:dyDescent="0.35">
      <c r="A11" s="7">
        <v>1311.3494000000001</v>
      </c>
      <c r="B11" s="8">
        <v>2.7557</v>
      </c>
      <c r="C11" s="8">
        <v>7.7688000000000557</v>
      </c>
      <c r="D11" s="8">
        <v>1317.3946000000001</v>
      </c>
      <c r="E11" s="8">
        <v>1.2236</v>
      </c>
      <c r="F11" s="8">
        <v>0.94869999999999999</v>
      </c>
      <c r="G11" s="8">
        <v>1.101</v>
      </c>
      <c r="H11" s="8">
        <f t="shared" si="1"/>
        <v>8.333386639896224</v>
      </c>
      <c r="I11" s="8">
        <f t="shared" si="2"/>
        <v>8.2974795944311239</v>
      </c>
      <c r="J11" s="61">
        <f t="shared" si="4"/>
        <v>8.3872143516188302</v>
      </c>
      <c r="K11" s="61">
        <v>1973.34</v>
      </c>
      <c r="L11" s="61">
        <v>0.8</v>
      </c>
      <c r="M11" s="61">
        <f t="shared" si="3"/>
        <v>9421.3845999999994</v>
      </c>
      <c r="N11" s="58">
        <f t="shared" si="5"/>
        <v>8.4286988663731996</v>
      </c>
      <c r="P11">
        <v>7796.9213</v>
      </c>
      <c r="Q11">
        <v>12.244934848744659</v>
      </c>
      <c r="T11">
        <v>7797</v>
      </c>
      <c r="U11">
        <v>12</v>
      </c>
      <c r="V11">
        <v>957.57129999999995</v>
      </c>
      <c r="W11">
        <v>12.222554129559066</v>
      </c>
      <c r="X11">
        <v>708.7</v>
      </c>
      <c r="Y11">
        <v>0.7</v>
      </c>
      <c r="Z11">
        <v>958</v>
      </c>
      <c r="AA11">
        <v>12</v>
      </c>
    </row>
    <row r="12" spans="1:27" ht="15" thickBot="1" x14ac:dyDescent="0.35">
      <c r="A12" s="2">
        <v>1566.4348</v>
      </c>
      <c r="B12" s="3">
        <v>1.3482000000000001</v>
      </c>
      <c r="C12" s="3">
        <v>6.5075999999999112</v>
      </c>
      <c r="D12" s="62">
        <v>1575.0931</v>
      </c>
      <c r="E12" s="3">
        <v>1.7267999999999999</v>
      </c>
      <c r="F12" s="3">
        <v>1.3389</v>
      </c>
      <c r="G12" s="3">
        <v>1.5539000000000001</v>
      </c>
      <c r="H12" s="3">
        <f t="shared" si="1"/>
        <v>6.8664648284250935</v>
      </c>
      <c r="I12" s="3">
        <f t="shared" si="2"/>
        <v>6.7793181227907313</v>
      </c>
      <c r="J12" s="63">
        <f t="shared" si="4"/>
        <v>6.9957839053246094</v>
      </c>
      <c r="K12" s="63">
        <v>708.7</v>
      </c>
      <c r="L12" s="63">
        <v>0.7</v>
      </c>
      <c r="M12" s="63">
        <f t="shared" si="3"/>
        <v>8414.4431000000004</v>
      </c>
      <c r="N12" s="64">
        <f t="shared" si="5"/>
        <v>7.0348128937448537</v>
      </c>
      <c r="P12">
        <v>7904.6866</v>
      </c>
      <c r="Q12">
        <v>7.6387802521081802</v>
      </c>
      <c r="T12">
        <v>7905</v>
      </c>
      <c r="U12">
        <v>8</v>
      </c>
      <c r="V12">
        <v>1065.3366000000001</v>
      </c>
      <c r="W12">
        <v>7.6028523423776884</v>
      </c>
      <c r="X12">
        <v>708.7</v>
      </c>
      <c r="Y12">
        <v>0.7</v>
      </c>
      <c r="Z12">
        <v>1065</v>
      </c>
      <c r="AA12">
        <v>8</v>
      </c>
    </row>
    <row r="13" spans="1:27" x14ac:dyDescent="0.3">
      <c r="A13" s="6">
        <v>1704.7959000000001</v>
      </c>
      <c r="B13">
        <v>2.0295999999999998</v>
      </c>
      <c r="C13">
        <v>2.5097000000000662</v>
      </c>
      <c r="D13">
        <v>1714.8715</v>
      </c>
      <c r="E13">
        <v>2.0583</v>
      </c>
      <c r="F13">
        <v>1.5959000000000001</v>
      </c>
      <c r="G13">
        <v>1.8521000000000001</v>
      </c>
      <c r="H13">
        <f t="shared" si="1"/>
        <v>3.8281156121517972</v>
      </c>
      <c r="I13">
        <f t="shared" si="2"/>
        <v>3.6006620307938277</v>
      </c>
      <c r="J13" s="64">
        <f t="shared" si="4"/>
        <v>4.1474529472919075</v>
      </c>
      <c r="K13" s="64">
        <v>708.7</v>
      </c>
      <c r="L13" s="64">
        <v>0.7</v>
      </c>
      <c r="M13" s="64">
        <f t="shared" si="3"/>
        <v>8554.2214999999997</v>
      </c>
      <c r="N13" s="64">
        <f t="shared" si="5"/>
        <v>4.2129521656435083</v>
      </c>
      <c r="P13" s="2">
        <v>9241.2101999999995</v>
      </c>
      <c r="Q13" s="3">
        <v>4.1550368385851488</v>
      </c>
      <c r="R13" s="3">
        <f>1/Q13^2</f>
        <v>5.7922892724313682E-2</v>
      </c>
      <c r="S13" s="3">
        <f>(P13*R13+P14*R14)/SUM(R13:R14)</f>
        <v>9237.5189211145134</v>
      </c>
      <c r="T13" s="145">
        <v>9238</v>
      </c>
      <c r="U13" s="145">
        <v>3</v>
      </c>
      <c r="V13" s="3">
        <v>1137.2202</v>
      </c>
      <c r="W13" s="3">
        <v>4.070224948328983</v>
      </c>
      <c r="X13" s="3">
        <v>1973.34</v>
      </c>
      <c r="Y13" s="3">
        <v>0.8</v>
      </c>
      <c r="Z13" s="3">
        <v>1137</v>
      </c>
      <c r="AA13" s="3">
        <v>4</v>
      </c>
    </row>
    <row r="14" spans="1:27" ht="15" thickBot="1" x14ac:dyDescent="0.35">
      <c r="A14" s="6">
        <v>1857.5628999999999</v>
      </c>
      <c r="B14">
        <v>6.0540000000000003</v>
      </c>
      <c r="C14">
        <v>1.1194000000000415</v>
      </c>
      <c r="D14">
        <v>1869.2034000000001</v>
      </c>
      <c r="E14">
        <v>2.4472</v>
      </c>
      <c r="F14">
        <v>1.8975</v>
      </c>
      <c r="G14">
        <v>2.2021000000000002</v>
      </c>
      <c r="H14">
        <f t="shared" si="1"/>
        <v>6.6251611452099866</v>
      </c>
      <c r="I14">
        <f t="shared" si="2"/>
        <v>6.4423969615353647</v>
      </c>
      <c r="J14" s="64">
        <f t="shared" si="4"/>
        <v>6.8915358556710782</v>
      </c>
      <c r="K14" s="64">
        <v>708.7</v>
      </c>
      <c r="L14" s="64">
        <v>0.7</v>
      </c>
      <c r="M14" s="64">
        <f t="shared" si="3"/>
        <v>8708.5534000000007</v>
      </c>
      <c r="N14" s="64">
        <f t="shared" si="5"/>
        <v>6.9311518847879894</v>
      </c>
      <c r="P14" s="6">
        <v>9235.5583000000006</v>
      </c>
      <c r="Q14">
        <v>3.0281911581008254</v>
      </c>
      <c r="R14">
        <f>1/Q14^2</f>
        <v>0.10905194752661487</v>
      </c>
      <c r="T14" s="146"/>
      <c r="U14" s="146"/>
      <c r="V14">
        <v>1650.6283000000001</v>
      </c>
      <c r="W14">
        <v>3.018251429221896</v>
      </c>
      <c r="X14">
        <v>1454.28</v>
      </c>
      <c r="Y14">
        <v>0.05</v>
      </c>
      <c r="Z14">
        <v>1651</v>
      </c>
      <c r="AA14">
        <v>3</v>
      </c>
    </row>
    <row r="15" spans="1:27" x14ac:dyDescent="0.3">
      <c r="A15" s="59">
        <v>1566.4161999999999</v>
      </c>
      <c r="B15">
        <v>1.3409</v>
      </c>
      <c r="C15">
        <v>0.24619999999981701</v>
      </c>
      <c r="D15">
        <v>1575.0743</v>
      </c>
      <c r="E15">
        <v>1.7267999999999999</v>
      </c>
      <c r="F15">
        <v>1.3389</v>
      </c>
      <c r="G15">
        <v>1.5538000000000001</v>
      </c>
      <c r="H15">
        <f t="shared" si="1"/>
        <v>2.2001057906382386</v>
      </c>
      <c r="I15">
        <f t="shared" si="2"/>
        <v>1.9108323997671564</v>
      </c>
      <c r="J15" s="58">
        <f t="shared" si="4"/>
        <v>2.5754841680740164</v>
      </c>
      <c r="K15" s="58">
        <v>708.7</v>
      </c>
      <c r="L15" s="58">
        <v>0.7</v>
      </c>
      <c r="M15" s="58">
        <f t="shared" si="3"/>
        <v>8414.4242999999988</v>
      </c>
      <c r="N15" s="58">
        <f t="shared" si="5"/>
        <v>2.6796863062679388</v>
      </c>
      <c r="P15" s="2">
        <v>9327.1477999999988</v>
      </c>
      <c r="Q15" s="3">
        <v>5.008895472057695</v>
      </c>
      <c r="R15" s="3">
        <f>1/Q15^2</f>
        <v>3.9858051369323529E-2</v>
      </c>
      <c r="S15" s="3">
        <f>(P15*R15+P16*R16)/SUM(R15:R16)</f>
        <v>9327.6264149080762</v>
      </c>
      <c r="T15" s="145">
        <v>9328</v>
      </c>
      <c r="U15" s="145">
        <v>5</v>
      </c>
      <c r="V15" s="3">
        <v>1223.1578</v>
      </c>
      <c r="W15" s="3">
        <v>4.938768454787092</v>
      </c>
      <c r="X15" s="3">
        <v>1973.34</v>
      </c>
      <c r="Y15" s="3">
        <v>0.8</v>
      </c>
      <c r="Z15" s="3">
        <v>1223</v>
      </c>
      <c r="AA15" s="3">
        <v>5</v>
      </c>
    </row>
    <row r="16" spans="1:27" ht="15" thickBot="1" x14ac:dyDescent="0.35">
      <c r="A16" s="6">
        <v>1704.7681</v>
      </c>
      <c r="B16">
        <v>2.0240999999999998</v>
      </c>
      <c r="C16">
        <v>0.50579999999990832</v>
      </c>
      <c r="D16">
        <v>1714.8434</v>
      </c>
      <c r="E16">
        <v>2.0581999999999998</v>
      </c>
      <c r="F16">
        <v>1.5959000000000001</v>
      </c>
      <c r="G16">
        <v>1.8521000000000001</v>
      </c>
      <c r="H16">
        <f t="shared" si="1"/>
        <v>2.9306998635138171</v>
      </c>
      <c r="I16">
        <f t="shared" si="2"/>
        <v>2.6267301460180308</v>
      </c>
      <c r="J16" s="58">
        <f t="shared" si="4"/>
        <v>3.3370493703270117</v>
      </c>
      <c r="K16" s="58">
        <v>708.7</v>
      </c>
      <c r="L16" s="58">
        <v>0.7</v>
      </c>
      <c r="M16" s="58">
        <f t="shared" si="3"/>
        <v>8554.1934000000001</v>
      </c>
      <c r="N16" s="58">
        <f t="shared" si="5"/>
        <v>3.4181132953721569</v>
      </c>
      <c r="P16" s="7">
        <v>9328.7957999999999</v>
      </c>
      <c r="Q16" s="8">
        <v>7.8293847235909961</v>
      </c>
      <c r="R16" s="8">
        <f>1/Q16^2</f>
        <v>1.6313409264417569E-2</v>
      </c>
      <c r="S16" s="8"/>
      <c r="T16" s="146"/>
      <c r="U16" s="146"/>
      <c r="V16" s="8">
        <v>2489.4458</v>
      </c>
      <c r="W16" s="8">
        <v>7.7943354527502891</v>
      </c>
      <c r="X16" s="8">
        <v>708.7</v>
      </c>
      <c r="Y16" s="8">
        <v>0.7</v>
      </c>
      <c r="Z16" s="8">
        <v>2489</v>
      </c>
      <c r="AA16" s="8">
        <v>8</v>
      </c>
    </row>
    <row r="17" spans="1:27" ht="15" thickBot="1" x14ac:dyDescent="0.35">
      <c r="A17" s="6">
        <v>1857.2663</v>
      </c>
      <c r="B17">
        <v>5.9847999999999999</v>
      </c>
      <c r="C17">
        <v>9.4399999999950523E-2</v>
      </c>
      <c r="D17">
        <v>1868.9037000000001</v>
      </c>
      <c r="E17">
        <v>2.4464000000000001</v>
      </c>
      <c r="F17">
        <v>1.8969</v>
      </c>
      <c r="G17">
        <v>2.2014</v>
      </c>
      <c r="H17">
        <f t="shared" si="1"/>
        <v>6.466190173510209</v>
      </c>
      <c r="I17">
        <f t="shared" si="2"/>
        <v>6.2789308014979737</v>
      </c>
      <c r="J17" s="58">
        <f t="shared" si="4"/>
        <v>6.7386827325524079</v>
      </c>
      <c r="K17" s="58">
        <v>708.7</v>
      </c>
      <c r="L17" s="58">
        <v>0.7</v>
      </c>
      <c r="M17" s="58">
        <f>D17+K17+6130.65</f>
        <v>8708.2536999999993</v>
      </c>
      <c r="N17" s="58">
        <f t="shared" si="5"/>
        <v>6.7791920587928463</v>
      </c>
      <c r="P17">
        <v>9421.3845999999994</v>
      </c>
      <c r="Q17">
        <v>8.4286988663731996</v>
      </c>
      <c r="T17">
        <v>9421</v>
      </c>
      <c r="U17">
        <v>8</v>
      </c>
      <c r="V17">
        <v>1317.3946000000001</v>
      </c>
      <c r="W17">
        <v>8.3872143516188302</v>
      </c>
      <c r="X17">
        <v>1973.34</v>
      </c>
      <c r="Y17">
        <v>0.8</v>
      </c>
      <c r="Z17">
        <v>1317</v>
      </c>
      <c r="AA17">
        <v>8</v>
      </c>
    </row>
    <row r="18" spans="1:27" ht="15" thickBot="1" x14ac:dyDescent="0.35">
      <c r="A18" s="7">
        <v>2471.5162</v>
      </c>
      <c r="B18" s="8">
        <v>5.7950999999999997</v>
      </c>
      <c r="C18" s="8">
        <v>0.29030000000011569</v>
      </c>
      <c r="D18" s="8">
        <v>2489.4458</v>
      </c>
      <c r="E18" s="8">
        <v>4.1128</v>
      </c>
      <c r="F18" s="8">
        <v>3.1888999999999998</v>
      </c>
      <c r="G18" s="8">
        <v>3.7008999999999999</v>
      </c>
      <c r="H18" s="8">
        <f t="shared" si="1"/>
        <v>7.1121432733037695</v>
      </c>
      <c r="I18" s="8">
        <f t="shared" si="2"/>
        <v>6.6209169538667423</v>
      </c>
      <c r="J18" s="61">
        <f t="shared" si="4"/>
        <v>7.7943354527502891</v>
      </c>
      <c r="K18" s="61">
        <v>708.7</v>
      </c>
      <c r="L18" s="61">
        <v>0.7</v>
      </c>
      <c r="M18" s="61">
        <f t="shared" si="3"/>
        <v>9328.7957999999999</v>
      </c>
      <c r="N18" s="58">
        <f t="shared" si="5"/>
        <v>7.8293847235909961</v>
      </c>
      <c r="P18" s="2">
        <v>8554.1934000000001</v>
      </c>
      <c r="Q18" s="3">
        <v>3.4181132953721569</v>
      </c>
      <c r="R18" s="3">
        <f>1/Q18^2</f>
        <v>8.5590801419626841E-2</v>
      </c>
      <c r="S18" s="3">
        <f>(P18*R18+P19*R19)/SUM(R18:R19)</f>
        <v>8556.7022175627535</v>
      </c>
      <c r="T18" s="145">
        <v>8557</v>
      </c>
      <c r="U18" s="145">
        <v>2</v>
      </c>
      <c r="V18" s="3">
        <v>1714.8434</v>
      </c>
      <c r="W18" s="3">
        <v>3.3370493703270117</v>
      </c>
      <c r="X18" s="3">
        <v>708.7</v>
      </c>
      <c r="Y18" s="3">
        <v>0.7</v>
      </c>
      <c r="Z18" s="3">
        <v>1715</v>
      </c>
      <c r="AA18" s="3">
        <v>3</v>
      </c>
    </row>
    <row r="19" spans="1:27" ht="15" thickBot="1" x14ac:dyDescent="0.35">
      <c r="A19" s="56">
        <v>832.81439999999998</v>
      </c>
      <c r="B19" s="3">
        <v>1.9005000000000001</v>
      </c>
      <c r="C19" s="3">
        <v>1.282100000000014</v>
      </c>
      <c r="D19" s="65">
        <v>833.95770000000005</v>
      </c>
      <c r="E19" s="3">
        <v>1.2684</v>
      </c>
      <c r="F19" s="3">
        <v>0.98350000000000004</v>
      </c>
      <c r="G19" s="3">
        <v>1.1414</v>
      </c>
      <c r="H19" s="3">
        <f t="shared" si="1"/>
        <v>2.6200227518096164</v>
      </c>
      <c r="I19" s="3">
        <f>SQRT(B19^2+C19^2+F19^2)</f>
        <v>2.4945847169418873</v>
      </c>
      <c r="J19" s="57">
        <f>SQRT(B19^2+C19^2+E19^2+F19^2)</f>
        <v>2.7985338071926225</v>
      </c>
      <c r="K19" s="57">
        <v>1454.28</v>
      </c>
      <c r="L19" s="57">
        <v>0.05</v>
      </c>
      <c r="M19" s="57">
        <f>D19+K19+6130.65</f>
        <v>8418.8876999999993</v>
      </c>
      <c r="N19" s="58">
        <f t="shared" si="5"/>
        <v>2.8092510514370259</v>
      </c>
      <c r="P19" s="7">
        <v>8557.5674999999992</v>
      </c>
      <c r="Q19" s="8">
        <v>2.0073858448240762</v>
      </c>
      <c r="R19" s="8">
        <f>1/Q19^2</f>
        <v>0.24816371691951472</v>
      </c>
      <c r="S19" s="8"/>
      <c r="T19" s="146"/>
      <c r="U19" s="146"/>
      <c r="V19" s="8">
        <v>972.63750000000005</v>
      </c>
      <c r="W19" s="8">
        <v>1.9923598896785868</v>
      </c>
      <c r="X19" s="8">
        <v>1454.28</v>
      </c>
      <c r="Y19" s="8">
        <v>0.05</v>
      </c>
      <c r="Z19" s="8">
        <v>973</v>
      </c>
      <c r="AA19" s="8">
        <v>2</v>
      </c>
    </row>
    <row r="20" spans="1:27" x14ac:dyDescent="0.3">
      <c r="A20" s="6">
        <v>970.08799999999997</v>
      </c>
      <c r="B20">
        <v>1.2485999999999999</v>
      </c>
      <c r="C20">
        <v>0.71040000000004966</v>
      </c>
      <c r="D20">
        <v>972.63750000000005</v>
      </c>
      <c r="E20">
        <v>1.091</v>
      </c>
      <c r="F20">
        <v>0.84589999999999999</v>
      </c>
      <c r="G20">
        <v>0.98170000000000002</v>
      </c>
      <c r="H20">
        <f t="shared" si="1"/>
        <v>1.803871148391722</v>
      </c>
      <c r="I20">
        <f t="shared" si="2"/>
        <v>1.6670983564265398</v>
      </c>
      <c r="J20" s="58">
        <f t="shared" si="4"/>
        <v>1.9923598896785868</v>
      </c>
      <c r="K20" s="58">
        <v>1454.28</v>
      </c>
      <c r="L20" s="58">
        <v>0.05</v>
      </c>
      <c r="M20" s="58">
        <f t="shared" si="3"/>
        <v>8557.5674999999992</v>
      </c>
      <c r="N20" s="58">
        <f t="shared" si="5"/>
        <v>2.0073858448240762</v>
      </c>
      <c r="P20">
        <v>8708.2536999999993</v>
      </c>
      <c r="Q20">
        <v>6.7791920587928463</v>
      </c>
      <c r="T20">
        <v>8708</v>
      </c>
      <c r="U20">
        <v>7</v>
      </c>
      <c r="V20">
        <v>1868.9037000000001</v>
      </c>
      <c r="W20">
        <v>6.7386827325524079</v>
      </c>
      <c r="X20">
        <v>708.7</v>
      </c>
      <c r="Y20">
        <v>0.7</v>
      </c>
      <c r="Z20">
        <v>1869</v>
      </c>
      <c r="AA20">
        <v>7</v>
      </c>
    </row>
    <row r="21" spans="1:27" x14ac:dyDescent="0.3">
      <c r="A21" s="6">
        <v>1222.9084</v>
      </c>
      <c r="B21">
        <v>0.72119999999999995</v>
      </c>
      <c r="C21">
        <v>1.4835000000000491</v>
      </c>
      <c r="D21">
        <v>1228.0477000000001</v>
      </c>
      <c r="E21">
        <v>1.1104000000000001</v>
      </c>
      <c r="F21">
        <v>0.86099999999999999</v>
      </c>
      <c r="G21">
        <v>0.99919999999999998</v>
      </c>
      <c r="H21">
        <f t="shared" si="1"/>
        <v>1.9884390486007222</v>
      </c>
      <c r="I21">
        <f t="shared" si="2"/>
        <v>1.8607048906261696</v>
      </c>
      <c r="J21" s="58">
        <f t="shared" si="4"/>
        <v>2.166843522269235</v>
      </c>
      <c r="K21" s="58">
        <v>1454.28</v>
      </c>
      <c r="L21" s="58">
        <v>0.05</v>
      </c>
      <c r="M21" s="58">
        <f t="shared" si="3"/>
        <v>8812.9776999999995</v>
      </c>
      <c r="N21" s="58">
        <f t="shared" si="5"/>
        <v>2.1806675239476894</v>
      </c>
      <c r="P21">
        <v>8812.9776999999995</v>
      </c>
      <c r="Q21">
        <v>2.1806675239476894</v>
      </c>
      <c r="T21">
        <v>8813</v>
      </c>
      <c r="U21">
        <v>2</v>
      </c>
      <c r="V21">
        <v>1228.0477000000001</v>
      </c>
      <c r="W21">
        <v>2.166843522269235</v>
      </c>
      <c r="X21">
        <v>1454.28</v>
      </c>
      <c r="Y21">
        <v>0.05</v>
      </c>
      <c r="Z21">
        <v>1228</v>
      </c>
      <c r="AA21">
        <v>2</v>
      </c>
    </row>
    <row r="22" spans="1:27" x14ac:dyDescent="0.3">
      <c r="A22" s="6">
        <v>1372.6361999999999</v>
      </c>
      <c r="B22">
        <v>1.3602000000000001</v>
      </c>
      <c r="C22">
        <v>0.88670000000001892</v>
      </c>
      <c r="D22">
        <v>1379.3091999999999</v>
      </c>
      <c r="E22">
        <v>1.3250999999999999</v>
      </c>
      <c r="F22">
        <v>1.0274000000000001</v>
      </c>
      <c r="G22">
        <v>1.1923999999999999</v>
      </c>
      <c r="H22">
        <f t="shared" si="1"/>
        <v>2.095774544172162</v>
      </c>
      <c r="I22">
        <f t="shared" si="2"/>
        <v>1.9214400042676416</v>
      </c>
      <c r="J22" s="58">
        <f t="shared" si="4"/>
        <v>2.3340569187575597</v>
      </c>
      <c r="K22" s="58">
        <v>1454.28</v>
      </c>
      <c r="L22" s="58">
        <v>0.05</v>
      </c>
      <c r="M22" s="58">
        <f t="shared" si="3"/>
        <v>8964.2392</v>
      </c>
      <c r="N22" s="58">
        <f t="shared" si="5"/>
        <v>2.3468961843251681</v>
      </c>
      <c r="P22">
        <v>8964.2392</v>
      </c>
      <c r="Q22">
        <v>2.3468961843251681</v>
      </c>
      <c r="T22">
        <v>8964</v>
      </c>
      <c r="U22">
        <v>2</v>
      </c>
      <c r="V22">
        <v>1379.3091999999999</v>
      </c>
      <c r="W22">
        <v>2.3340569187575597</v>
      </c>
      <c r="X22">
        <v>1454.28</v>
      </c>
      <c r="Y22">
        <v>0.05</v>
      </c>
      <c r="Z22">
        <v>1379</v>
      </c>
      <c r="AA22">
        <v>2</v>
      </c>
    </row>
    <row r="23" spans="1:27" x14ac:dyDescent="0.3">
      <c r="A23" s="6">
        <v>1641.2040999999999</v>
      </c>
      <c r="B23">
        <v>1.8185</v>
      </c>
      <c r="C23">
        <v>7.3800000000119326E-2</v>
      </c>
      <c r="D23">
        <v>1650.6283000000001</v>
      </c>
      <c r="E23">
        <v>1.9028</v>
      </c>
      <c r="F23">
        <v>1.4754</v>
      </c>
      <c r="G23">
        <v>1.7121999999999999</v>
      </c>
      <c r="H23">
        <f t="shared" si="1"/>
        <v>2.6330659942356207</v>
      </c>
      <c r="I23">
        <f t="shared" si="2"/>
        <v>2.3429028682384634</v>
      </c>
      <c r="J23" s="58">
        <f t="shared" si="4"/>
        <v>3.018251429221896</v>
      </c>
      <c r="K23" s="58">
        <v>1454.28</v>
      </c>
      <c r="L23" s="58">
        <v>0.05</v>
      </c>
      <c r="M23" s="58">
        <f t="shared" si="3"/>
        <v>9235.5583000000006</v>
      </c>
      <c r="N23" s="58">
        <f t="shared" si="5"/>
        <v>3.0281911581008254</v>
      </c>
      <c r="P23">
        <v>7886.9074999999993</v>
      </c>
      <c r="Q23">
        <v>2.8213830828159367</v>
      </c>
      <c r="T23">
        <v>7887</v>
      </c>
      <c r="U23">
        <v>3</v>
      </c>
      <c r="V23">
        <v>1756.2574999999999</v>
      </c>
      <c r="W23">
        <v>2.8111567903622805</v>
      </c>
      <c r="X23">
        <v>0</v>
      </c>
      <c r="Y23">
        <v>0</v>
      </c>
      <c r="Z23">
        <v>1756</v>
      </c>
      <c r="AA23">
        <v>3</v>
      </c>
    </row>
    <row r="24" spans="1:27" ht="15" thickBot="1" x14ac:dyDescent="0.35">
      <c r="A24" s="7">
        <v>1807.7201</v>
      </c>
      <c r="B24" s="8">
        <v>5.0997000000000003</v>
      </c>
      <c r="C24" s="8">
        <v>1.4765999999999622</v>
      </c>
      <c r="D24" s="8">
        <v>1818.85</v>
      </c>
      <c r="E24" s="8">
        <v>2.3182999999999998</v>
      </c>
      <c r="F24" s="8">
        <v>1.7976000000000001</v>
      </c>
      <c r="G24" s="8">
        <v>2.0861000000000001</v>
      </c>
      <c r="H24" s="8">
        <f t="shared" si="1"/>
        <v>5.7932549175743935</v>
      </c>
      <c r="I24" s="8">
        <f t="shared" si="2"/>
        <v>5.6052344652119492</v>
      </c>
      <c r="J24" s="61">
        <f t="shared" si="4"/>
        <v>6.0657372429078968</v>
      </c>
      <c r="K24" s="61">
        <v>1454.28</v>
      </c>
      <c r="L24" s="61">
        <v>0.05</v>
      </c>
      <c r="M24" s="61">
        <f t="shared" si="3"/>
        <v>9403.7799999999988</v>
      </c>
      <c r="N24" s="58">
        <f t="shared" si="5"/>
        <v>6.0706892771743712</v>
      </c>
      <c r="P24">
        <v>8017.2282999999998</v>
      </c>
      <c r="Q24">
        <v>3.2781268142035387</v>
      </c>
      <c r="T24">
        <v>8017</v>
      </c>
      <c r="U24">
        <v>3</v>
      </c>
      <c r="V24">
        <v>1886.5782999999999</v>
      </c>
      <c r="W24">
        <v>3.2693295046538582</v>
      </c>
      <c r="X24">
        <v>0</v>
      </c>
      <c r="Y24">
        <v>0</v>
      </c>
      <c r="Z24">
        <v>1887</v>
      </c>
      <c r="AA24">
        <v>3</v>
      </c>
    </row>
    <row r="25" spans="1:27" x14ac:dyDescent="0.3">
      <c r="A25">
        <v>1563.8162</v>
      </c>
      <c r="B25">
        <v>0.1052</v>
      </c>
      <c r="C25">
        <v>1.8868999999999687</v>
      </c>
      <c r="D25">
        <v>1572.4476</v>
      </c>
      <c r="E25">
        <v>1.7208000000000001</v>
      </c>
      <c r="F25">
        <v>1.3343</v>
      </c>
      <c r="G25">
        <v>1.5485</v>
      </c>
      <c r="H25">
        <f t="shared" si="1"/>
        <v>2.5558973551376982</v>
      </c>
      <c r="I25">
        <f t="shared" si="2"/>
        <v>2.3133990446958954</v>
      </c>
      <c r="J25" s="58">
        <f>SQRT(B25^2+C25^2+E25^2+F25^2)</f>
        <v>2.8832217708667298</v>
      </c>
      <c r="K25" s="58">
        <v>0</v>
      </c>
      <c r="L25" s="58">
        <v>0</v>
      </c>
      <c r="M25" s="58">
        <f t="shared" si="3"/>
        <v>7703.0975999999991</v>
      </c>
      <c r="N25" s="58">
        <f t="shared" si="5"/>
        <v>2.893193353372685</v>
      </c>
      <c r="P25">
        <v>8275.3801999999996</v>
      </c>
      <c r="Q25">
        <v>4.1846298534040827</v>
      </c>
      <c r="T25">
        <v>8275</v>
      </c>
      <c r="U25">
        <v>4</v>
      </c>
      <c r="V25">
        <v>2144.7302</v>
      </c>
      <c r="W25">
        <v>4.1777418553568717</v>
      </c>
      <c r="X25">
        <v>0</v>
      </c>
      <c r="Y25">
        <v>0</v>
      </c>
      <c r="Z25">
        <v>2145</v>
      </c>
      <c r="AA25">
        <v>4</v>
      </c>
    </row>
    <row r="26" spans="1:27" x14ac:dyDescent="0.3">
      <c r="A26">
        <v>1745.7623000000001</v>
      </c>
      <c r="B26">
        <v>0.31540000000000001</v>
      </c>
      <c r="C26">
        <v>0.5725999999999658</v>
      </c>
      <c r="D26">
        <v>1756.2574999999999</v>
      </c>
      <c r="E26">
        <v>2.1606999999999998</v>
      </c>
      <c r="F26">
        <v>1.6753</v>
      </c>
      <c r="G26">
        <v>1.9442999999999999</v>
      </c>
      <c r="H26">
        <f t="shared" si="1"/>
        <v>2.2574260585897292</v>
      </c>
      <c r="I26">
        <f t="shared" si="2"/>
        <v>1.7983264470056488</v>
      </c>
      <c r="J26" s="58">
        <f t="shared" si="4"/>
        <v>2.8111567903622805</v>
      </c>
      <c r="K26" s="58">
        <v>0</v>
      </c>
      <c r="L26" s="58">
        <v>0</v>
      </c>
      <c r="M26" s="58">
        <f t="shared" si="3"/>
        <v>7886.9074999999993</v>
      </c>
      <c r="N26" s="58">
        <f t="shared" si="5"/>
        <v>2.8213830828159367</v>
      </c>
      <c r="P26">
        <v>6388.2469000000001</v>
      </c>
      <c r="Q26">
        <v>4.1842200778639915</v>
      </c>
      <c r="T26">
        <v>6388</v>
      </c>
      <c r="U26">
        <v>4</v>
      </c>
      <c r="V26">
        <v>257.59690000000001</v>
      </c>
      <c r="W26">
        <v>4.1773314041383101</v>
      </c>
      <c r="X26">
        <v>0</v>
      </c>
      <c r="Y26">
        <v>0</v>
      </c>
      <c r="Z26">
        <v>258</v>
      </c>
      <c r="AA26">
        <v>4</v>
      </c>
    </row>
    <row r="27" spans="1:27" x14ac:dyDescent="0.3">
      <c r="A27">
        <v>1874.7616</v>
      </c>
      <c r="B27">
        <v>0.2024</v>
      </c>
      <c r="C27">
        <v>0.83910000000014406</v>
      </c>
      <c r="D27">
        <v>1886.5782999999999</v>
      </c>
      <c r="E27">
        <v>2.492</v>
      </c>
      <c r="F27">
        <v>1.9321999999999999</v>
      </c>
      <c r="G27">
        <v>2.2423999999999999</v>
      </c>
      <c r="H27">
        <f t="shared" si="1"/>
        <v>2.637255878749774</v>
      </c>
      <c r="I27">
        <f t="shared" si="2"/>
        <v>2.1162351972312154</v>
      </c>
      <c r="J27" s="58">
        <f t="shared" si="4"/>
        <v>3.2693295046538582</v>
      </c>
      <c r="K27" s="58">
        <v>0</v>
      </c>
      <c r="L27" s="58">
        <v>0</v>
      </c>
      <c r="M27" s="58">
        <f t="shared" si="3"/>
        <v>8017.2282999999998</v>
      </c>
      <c r="N27" s="58">
        <f t="shared" si="5"/>
        <v>3.2781268142035387</v>
      </c>
      <c r="P27">
        <v>6937.5973999999997</v>
      </c>
      <c r="Q27">
        <v>1.6858621773659257</v>
      </c>
      <c r="T27">
        <v>6936</v>
      </c>
      <c r="U27">
        <v>2</v>
      </c>
      <c r="V27">
        <v>806.94740000000002</v>
      </c>
      <c r="W27">
        <v>1.6686914876851802</v>
      </c>
      <c r="X27">
        <v>0</v>
      </c>
      <c r="Y27">
        <v>0</v>
      </c>
      <c r="Z27" s="58">
        <v>805</v>
      </c>
      <c r="AA27">
        <v>2</v>
      </c>
    </row>
    <row r="28" spans="1:27" x14ac:dyDescent="0.3">
      <c r="A28">
        <v>2130.2959000000001</v>
      </c>
      <c r="B28">
        <v>0</v>
      </c>
      <c r="C28">
        <v>1.1501000000002932</v>
      </c>
      <c r="D28">
        <v>2144.7302</v>
      </c>
      <c r="E28">
        <v>3.1739999999999999</v>
      </c>
      <c r="F28">
        <v>2.4609999999999999</v>
      </c>
      <c r="G28">
        <v>2.8561999999999999</v>
      </c>
      <c r="H28">
        <f t="shared" si="1"/>
        <v>3.3759452024582202</v>
      </c>
      <c r="I28">
        <f t="shared" si="2"/>
        <v>2.7164776844289875</v>
      </c>
      <c r="J28" s="58">
        <f t="shared" si="4"/>
        <v>4.1777418553568717</v>
      </c>
      <c r="K28" s="58">
        <v>0</v>
      </c>
      <c r="L28" s="58">
        <v>0</v>
      </c>
      <c r="M28" s="58">
        <f t="shared" si="3"/>
        <v>8275.3801999999996</v>
      </c>
      <c r="N28" s="58">
        <f t="shared" si="5"/>
        <v>4.1846298534040827</v>
      </c>
      <c r="P28">
        <v>7035.7637999999997</v>
      </c>
      <c r="Q28">
        <v>1.5643000559588967</v>
      </c>
      <c r="T28">
        <v>7037</v>
      </c>
      <c r="U28">
        <v>2</v>
      </c>
      <c r="V28">
        <v>905.11379999999997</v>
      </c>
      <c r="W28">
        <v>1.5457796301779265</v>
      </c>
      <c r="X28">
        <v>0</v>
      </c>
      <c r="Y28">
        <v>0</v>
      </c>
      <c r="Z28" s="67">
        <v>906</v>
      </c>
      <c r="AA28">
        <v>2</v>
      </c>
    </row>
    <row r="29" spans="1:27" ht="15" thickBot="1" x14ac:dyDescent="0.35">
      <c r="A29" s="58">
        <v>2270.1410000000001</v>
      </c>
      <c r="B29">
        <v>0.77910000000000001</v>
      </c>
      <c r="C29">
        <v>2.1692000000002736</v>
      </c>
      <c r="D29" s="66">
        <v>2286.0077999999999</v>
      </c>
      <c r="E29">
        <v>3.5560999999999998</v>
      </c>
      <c r="F29">
        <v>2.7572999999999999</v>
      </c>
      <c r="G29">
        <v>3.1999</v>
      </c>
      <c r="H29">
        <f t="shared" si="1"/>
        <v>4.2377202196465475</v>
      </c>
      <c r="I29">
        <f t="shared" si="2"/>
        <v>3.5937624768480716</v>
      </c>
      <c r="J29" s="58">
        <f t="shared" si="4"/>
        <v>5.0557863829478782</v>
      </c>
      <c r="K29" s="58">
        <v>0</v>
      </c>
      <c r="L29" s="58">
        <v>0</v>
      </c>
      <c r="M29" s="58">
        <f t="shared" si="3"/>
        <v>8416.657799999999</v>
      </c>
      <c r="N29" s="58">
        <f t="shared" si="5"/>
        <v>5.0614796206249011</v>
      </c>
      <c r="P29">
        <v>7156.8121999999994</v>
      </c>
      <c r="Q29">
        <v>1.3579527434608987</v>
      </c>
      <c r="T29">
        <v>7157.5</v>
      </c>
      <c r="U29">
        <v>11</v>
      </c>
      <c r="V29">
        <v>1026.1622</v>
      </c>
      <c r="W29">
        <v>1.3365760934091935</v>
      </c>
      <c r="X29">
        <v>0</v>
      </c>
      <c r="Y29">
        <v>0</v>
      </c>
      <c r="Z29" s="68">
        <v>1026.9000000000001</v>
      </c>
      <c r="AA29">
        <v>11</v>
      </c>
    </row>
    <row r="30" spans="1:27" x14ac:dyDescent="0.3">
      <c r="A30">
        <v>262.2978</v>
      </c>
      <c r="B30">
        <v>0.7</v>
      </c>
      <c r="C30">
        <v>2.5026000000000295</v>
      </c>
      <c r="D30">
        <v>257.59690000000001</v>
      </c>
      <c r="E30">
        <v>2.5847000000000002</v>
      </c>
      <c r="F30">
        <v>2.0041000000000002</v>
      </c>
      <c r="G30">
        <v>2.3258999999999999</v>
      </c>
      <c r="H30">
        <f t="shared" si="1"/>
        <v>3.6651986098982614</v>
      </c>
      <c r="I30">
        <f>SQRT(B30^2+C30^2+F30^2)</f>
        <v>3.2816799920163069</v>
      </c>
      <c r="J30" s="58">
        <f t="shared" si="4"/>
        <v>4.1773314041383101</v>
      </c>
      <c r="K30" s="58">
        <v>0</v>
      </c>
      <c r="L30" s="58">
        <v>0</v>
      </c>
      <c r="M30" s="58">
        <f t="shared" si="3"/>
        <v>6388.2469000000001</v>
      </c>
      <c r="N30" s="58">
        <f t="shared" si="5"/>
        <v>4.1842200778639915</v>
      </c>
      <c r="P30" s="2">
        <v>9403.7800000000007</v>
      </c>
      <c r="Q30" s="3">
        <v>6.0706892771743712</v>
      </c>
      <c r="R30" s="3">
        <f>1/Q30^2</f>
        <v>2.7134635437476327E-2</v>
      </c>
      <c r="S30" s="145">
        <f>(P30*R30+P31*R31)/SUM(R30:R31)</f>
        <v>9405.3388221374516</v>
      </c>
      <c r="T30" s="145">
        <v>9404</v>
      </c>
      <c r="U30" s="145">
        <v>6</v>
      </c>
      <c r="V30" s="3">
        <v>1818.85</v>
      </c>
      <c r="W30" s="3">
        <v>6.0657372429078968</v>
      </c>
      <c r="X30" s="3">
        <v>1454.28</v>
      </c>
      <c r="Y30" s="3">
        <v>0.05</v>
      </c>
      <c r="Z30" s="3">
        <v>1819</v>
      </c>
      <c r="AA30" s="3">
        <v>6</v>
      </c>
    </row>
    <row r="31" spans="1:27" ht="15" thickBot="1" x14ac:dyDescent="0.35">
      <c r="A31">
        <v>264.80040000000002</v>
      </c>
      <c r="B31">
        <v>0.9</v>
      </c>
      <c r="C31">
        <v>2.5026000000000295</v>
      </c>
      <c r="D31">
        <v>260.12509999999997</v>
      </c>
      <c r="E31">
        <v>2.5781999999999998</v>
      </c>
      <c r="F31">
        <v>1.9990000000000001</v>
      </c>
      <c r="G31">
        <v>2.3199999999999998</v>
      </c>
      <c r="H31">
        <f t="shared" si="1"/>
        <v>3.704068303905875</v>
      </c>
      <c r="I31">
        <f t="shared" si="2"/>
        <v>3.3270118364682966</v>
      </c>
      <c r="J31" s="64">
        <f t="shared" si="4"/>
        <v>4.2090525062061346</v>
      </c>
      <c r="K31" s="64">
        <v>0</v>
      </c>
      <c r="L31" s="64">
        <v>0</v>
      </c>
      <c r="M31" s="64">
        <f t="shared" si="3"/>
        <v>6390.7750999999998</v>
      </c>
      <c r="N31" s="64">
        <f t="shared" si="5"/>
        <v>4.2158893486428388</v>
      </c>
      <c r="P31" s="7">
        <v>9409.7124999999996</v>
      </c>
      <c r="Q31" s="8">
        <v>10.168645760867077</v>
      </c>
      <c r="R31" s="8">
        <f>1/Q31^2</f>
        <v>9.6710529995434284E-3</v>
      </c>
      <c r="S31" s="146"/>
      <c r="T31" s="146"/>
      <c r="U31" s="146"/>
      <c r="V31" s="8">
        <v>740</v>
      </c>
      <c r="W31" s="8">
        <v>10</v>
      </c>
      <c r="X31" s="8">
        <v>2538.87</v>
      </c>
      <c r="Y31" s="8">
        <v>0.18</v>
      </c>
      <c r="Z31" s="8">
        <v>740</v>
      </c>
      <c r="AA31" s="8">
        <v>10</v>
      </c>
    </row>
    <row r="32" spans="1:27" x14ac:dyDescent="0.3">
      <c r="A32">
        <v>806.07799999999997</v>
      </c>
      <c r="C32">
        <v>0.14135714015563394</v>
      </c>
      <c r="D32" s="58">
        <v>806.94740000000002</v>
      </c>
      <c r="E32">
        <v>1.3140000000000001</v>
      </c>
      <c r="F32">
        <v>1.0187999999999999</v>
      </c>
      <c r="G32">
        <v>1.1823999999999999</v>
      </c>
      <c r="H32">
        <f t="shared" si="1"/>
        <v>1.3215815680740177</v>
      </c>
      <c r="I32">
        <f t="shared" si="2"/>
        <v>1.0285598091861161</v>
      </c>
      <c r="J32" s="58">
        <f t="shared" si="4"/>
        <v>1.6686914876851802</v>
      </c>
      <c r="K32" s="58">
        <v>0</v>
      </c>
      <c r="L32" s="58">
        <v>0</v>
      </c>
      <c r="M32" s="58">
        <f t="shared" si="3"/>
        <v>6937.5973999999997</v>
      </c>
      <c r="N32" s="58">
        <f t="shared" si="5"/>
        <v>1.6858621773659257</v>
      </c>
      <c r="P32">
        <f>M36</f>
        <v>9730.141599999999</v>
      </c>
      <c r="Q32">
        <f>N36</f>
        <v>10.09102752002986</v>
      </c>
      <c r="T32">
        <v>9730</v>
      </c>
      <c r="U32">
        <v>10</v>
      </c>
      <c r="V32" s="120">
        <v>1060</v>
      </c>
      <c r="W32" s="120">
        <v>10</v>
      </c>
      <c r="X32" s="120">
        <v>2538.87</v>
      </c>
      <c r="Y32" s="120">
        <v>0.18</v>
      </c>
      <c r="Z32" s="120">
        <v>1060</v>
      </c>
      <c r="AA32" s="120">
        <v>10</v>
      </c>
    </row>
    <row r="33" spans="1:14" x14ac:dyDescent="0.3">
      <c r="A33">
        <v>903.24900000000002</v>
      </c>
      <c r="C33">
        <v>0.46863535405793644</v>
      </c>
      <c r="D33" s="67">
        <v>905.11379999999997</v>
      </c>
      <c r="E33">
        <v>1.1640999999999999</v>
      </c>
      <c r="F33">
        <v>0.90259999999999996</v>
      </c>
      <c r="G33">
        <v>1.0475000000000001</v>
      </c>
      <c r="H33">
        <f t="shared" si="1"/>
        <v>1.254889598758794</v>
      </c>
      <c r="I33">
        <f t="shared" si="2"/>
        <v>1.0170082866294685</v>
      </c>
      <c r="J33" s="58">
        <f t="shared" si="4"/>
        <v>1.5457796301779265</v>
      </c>
      <c r="K33" s="58">
        <v>0</v>
      </c>
      <c r="L33" s="58">
        <v>0</v>
      </c>
      <c r="M33" s="58">
        <f t="shared" si="3"/>
        <v>7035.7637999999997</v>
      </c>
      <c r="N33" s="58">
        <f t="shared" si="5"/>
        <v>1.5643000559588967</v>
      </c>
    </row>
    <row r="34" spans="1:14" ht="15" thickBot="1" x14ac:dyDescent="0.35">
      <c r="A34">
        <v>1023.07</v>
      </c>
      <c r="C34">
        <v>7.8781555411030282E-2</v>
      </c>
      <c r="D34" s="68">
        <v>1026.1622</v>
      </c>
      <c r="E34">
        <v>1.0544</v>
      </c>
      <c r="F34">
        <v>0.81759999999999999</v>
      </c>
      <c r="G34">
        <v>0.94879999999999998</v>
      </c>
      <c r="H34">
        <f t="shared" si="1"/>
        <v>1.0573390626818728</v>
      </c>
      <c r="I34">
        <f t="shared" si="2"/>
        <v>0.82138681111458156</v>
      </c>
      <c r="J34" s="58">
        <f t="shared" si="4"/>
        <v>1.3365760934091935</v>
      </c>
      <c r="K34" s="58">
        <v>0</v>
      </c>
      <c r="L34" s="58">
        <v>0</v>
      </c>
      <c r="M34" s="58">
        <f t="shared" si="3"/>
        <v>7156.8121999999994</v>
      </c>
      <c r="N34" s="58">
        <f>SQRT(J34^2+L34^2+0.24^2)</f>
        <v>1.3579527434608987</v>
      </c>
    </row>
    <row r="35" spans="1:14" s="3" customFormat="1" x14ac:dyDescent="0.3">
      <c r="A35" s="2">
        <v>740</v>
      </c>
      <c r="C35" s="3">
        <v>10</v>
      </c>
      <c r="D35" s="3">
        <v>740.1925</v>
      </c>
      <c r="E35" s="3">
        <v>1.4380999999999999</v>
      </c>
      <c r="F35" s="3">
        <v>1.115</v>
      </c>
      <c r="G35" s="3">
        <v>1.2941</v>
      </c>
      <c r="H35" s="3">
        <f t="shared" si="1"/>
        <v>10.102877392604544</v>
      </c>
      <c r="I35" s="3">
        <f t="shared" si="2"/>
        <v>10.061969240660597</v>
      </c>
      <c r="J35" s="3">
        <f t="shared" si="4"/>
        <v>10.164219429449563</v>
      </c>
      <c r="K35" s="3">
        <v>2538.87</v>
      </c>
      <c r="L35" s="3">
        <v>0.18</v>
      </c>
      <c r="M35" s="3">
        <f>D35+K35+6130.65</f>
        <v>9409.7124999999996</v>
      </c>
      <c r="N35" s="3">
        <f>SQRT(J35^2+L35^2+0.24^2)</f>
        <v>10.168645760867077</v>
      </c>
    </row>
    <row r="36" spans="1:14" s="8" customFormat="1" ht="15" thickBot="1" x14ac:dyDescent="0.35">
      <c r="A36" s="121">
        <v>1057.18</v>
      </c>
      <c r="C36" s="122">
        <v>10</v>
      </c>
      <c r="D36" s="8">
        <v>1060.6215999999999</v>
      </c>
      <c r="E36" s="122">
        <v>1.0421</v>
      </c>
      <c r="F36" s="122">
        <v>0.80800000000000005</v>
      </c>
      <c r="G36" s="122">
        <v>0.93769999999999998</v>
      </c>
      <c r="H36" s="122">
        <f>SQRT(B36^2+C36^2+E36^2)</f>
        <v>10.054151998552637</v>
      </c>
      <c r="I36" s="122">
        <f t="shared" si="2"/>
        <v>10.032590094287716</v>
      </c>
      <c r="J36" s="61">
        <f t="shared" si="4"/>
        <v>10.086567127125065</v>
      </c>
      <c r="K36" s="8">
        <v>2538.87</v>
      </c>
      <c r="L36" s="8">
        <v>0.18</v>
      </c>
      <c r="M36" s="8">
        <f>D36+K36+6130.65</f>
        <v>9730.141599999999</v>
      </c>
      <c r="N36" s="8">
        <f>SQRT(J36^2+L36^2+0.24^2)</f>
        <v>10.09102752002986</v>
      </c>
    </row>
    <row r="38" spans="1:14" x14ac:dyDescent="0.3">
      <c r="A38" t="s">
        <v>376</v>
      </c>
    </row>
    <row r="39" spans="1:14" x14ac:dyDescent="0.3">
      <c r="A39" s="58">
        <v>805.35000000000036</v>
      </c>
    </row>
    <row r="40" spans="1:14" x14ac:dyDescent="0.3">
      <c r="A40" s="67">
        <v>906.35000000000036</v>
      </c>
    </row>
    <row r="41" spans="1:14" x14ac:dyDescent="0.3">
      <c r="A41" s="68">
        <v>1026.8500000000004</v>
      </c>
    </row>
    <row r="42" spans="1:14" x14ac:dyDescent="0.3">
      <c r="A42" s="111">
        <v>833.12000000000035</v>
      </c>
    </row>
    <row r="43" spans="1:14" x14ac:dyDescent="0.3">
      <c r="A43" s="112">
        <v>1578.6500000000003</v>
      </c>
    </row>
    <row r="44" spans="1:14" x14ac:dyDescent="0.3">
      <c r="A44" s="60">
        <v>1610.3400000000004</v>
      </c>
    </row>
    <row r="45" spans="1:14" x14ac:dyDescent="0.3">
      <c r="A45" s="66">
        <v>2287.3500000000004</v>
      </c>
    </row>
    <row r="46" spans="1:14" x14ac:dyDescent="0.3">
      <c r="A46" t="s">
        <v>377</v>
      </c>
    </row>
  </sheetData>
  <mergeCells count="14">
    <mergeCell ref="S3:S6"/>
    <mergeCell ref="T3:T6"/>
    <mergeCell ref="U3:U6"/>
    <mergeCell ref="T13:T14"/>
    <mergeCell ref="U13:U14"/>
    <mergeCell ref="T9:T10"/>
    <mergeCell ref="U9:U10"/>
    <mergeCell ref="T15:T16"/>
    <mergeCell ref="U15:U16"/>
    <mergeCell ref="T18:T19"/>
    <mergeCell ref="U18:U19"/>
    <mergeCell ref="S30:S31"/>
    <mergeCell ref="T30:T31"/>
    <mergeCell ref="U30:U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FF9E-C439-4B8C-84EB-D0C74D8BE32E}">
  <dimension ref="A1:U35"/>
  <sheetViews>
    <sheetView topLeftCell="D1" zoomScale="80" zoomScaleNormal="80" workbookViewId="0">
      <selection activeCell="N35" sqref="N35"/>
    </sheetView>
  </sheetViews>
  <sheetFormatPr defaultRowHeight="14.4" x14ac:dyDescent="0.3"/>
  <cols>
    <col min="1" max="1" width="15.77734375" bestFit="1" customWidth="1"/>
    <col min="2" max="2" width="13.5546875" bestFit="1" customWidth="1"/>
    <col min="3" max="3" width="21.33203125" bestFit="1" customWidth="1"/>
    <col min="4" max="4" width="15.6640625" bestFit="1" customWidth="1"/>
    <col min="5" max="5" width="14.33203125" bestFit="1" customWidth="1"/>
    <col min="6" max="6" width="15.44140625" bestFit="1" customWidth="1"/>
    <col min="7" max="7" width="12.33203125" bestFit="1" customWidth="1"/>
    <col min="8" max="8" width="13.5546875" bestFit="1" customWidth="1"/>
    <col min="9" max="9" width="9.5546875" bestFit="1" customWidth="1"/>
    <col min="11" max="11" width="12.109375" bestFit="1" customWidth="1"/>
    <col min="12" max="12" width="13.21875" bestFit="1" customWidth="1"/>
    <col min="13" max="13" width="14.44140625" bestFit="1" customWidth="1"/>
    <col min="14" max="14" width="15.77734375" bestFit="1" customWidth="1"/>
    <col min="15" max="15" width="16.33203125" bestFit="1" customWidth="1"/>
    <col min="16" max="16" width="12" bestFit="1" customWidth="1"/>
    <col min="17" max="17" width="15.44140625" customWidth="1"/>
    <col min="18" max="18" width="16.21875" bestFit="1" customWidth="1"/>
    <col min="19" max="19" width="13.88671875" customWidth="1"/>
    <col min="20" max="20" width="18.88671875" bestFit="1" customWidth="1"/>
    <col min="21" max="21" width="19" bestFit="1" customWidth="1"/>
  </cols>
  <sheetData>
    <row r="1" spans="1:21" x14ac:dyDescent="0.3">
      <c r="A1" t="s">
        <v>255</v>
      </c>
      <c r="B1" t="s">
        <v>256</v>
      </c>
      <c r="C1" t="s">
        <v>257</v>
      </c>
      <c r="D1" t="s">
        <v>258</v>
      </c>
      <c r="E1" t="s">
        <v>259</v>
      </c>
      <c r="F1" t="s">
        <v>260</v>
      </c>
      <c r="G1" t="s">
        <v>261</v>
      </c>
      <c r="H1" t="s">
        <v>262</v>
      </c>
      <c r="I1" t="s">
        <v>263</v>
      </c>
      <c r="J1" t="s">
        <v>264</v>
      </c>
      <c r="K1" t="s">
        <v>265</v>
      </c>
      <c r="L1" t="s">
        <v>266</v>
      </c>
      <c r="M1" t="s">
        <v>346</v>
      </c>
      <c r="N1" t="s">
        <v>347</v>
      </c>
      <c r="O1" t="s">
        <v>348</v>
      </c>
      <c r="P1" t="s">
        <v>361</v>
      </c>
      <c r="Q1" t="s">
        <v>362</v>
      </c>
      <c r="R1" t="s">
        <v>363</v>
      </c>
      <c r="S1" t="s">
        <v>364</v>
      </c>
      <c r="T1" t="s">
        <v>365</v>
      </c>
      <c r="U1" t="s">
        <v>366</v>
      </c>
    </row>
    <row r="2" spans="1:21" ht="15" thickBot="1" x14ac:dyDescent="0.35">
      <c r="A2">
        <v>8024.4462999999996</v>
      </c>
      <c r="B2">
        <v>1.968429020818381</v>
      </c>
      <c r="E2" s="23">
        <v>8024</v>
      </c>
      <c r="F2" s="23">
        <v>2</v>
      </c>
      <c r="G2">
        <v>1216.6863000000001</v>
      </c>
      <c r="H2">
        <v>1.9511824133073796</v>
      </c>
      <c r="I2">
        <v>677.11</v>
      </c>
      <c r="J2">
        <v>0.1</v>
      </c>
      <c r="K2" s="23">
        <v>1217</v>
      </c>
      <c r="L2" s="23">
        <v>2</v>
      </c>
      <c r="M2" s="126">
        <v>0.28807728380804154</v>
      </c>
      <c r="N2" s="126">
        <v>8.847479881355369E-2</v>
      </c>
      <c r="O2" s="126">
        <v>9.1248312734551279E-2</v>
      </c>
      <c r="P2">
        <f t="shared" ref="P2:P28" si="0">M2/$M$29*$P$29</f>
        <v>3.7738124178853445E-3</v>
      </c>
      <c r="Q2">
        <f t="shared" ref="Q2:Q28" si="1">P2*SQRT(N2^2/M2^2+$N$29^2/$M$29^2)</f>
        <v>1.2376303986607099E-3</v>
      </c>
      <c r="R2">
        <f t="shared" ref="R2:R28" si="2">P2*SQRT(O2^2/M2^2+$O$29^2/$M$29^2)</f>
        <v>1.2814979570194233E-3</v>
      </c>
      <c r="S2">
        <f>P2</f>
        <v>3.7738124178853445E-3</v>
      </c>
      <c r="T2">
        <f>Q2</f>
        <v>1.2376303986607099E-3</v>
      </c>
      <c r="U2">
        <f>R2</f>
        <v>1.2814979570194233E-3</v>
      </c>
    </row>
    <row r="3" spans="1:21" s="3" customFormat="1" x14ac:dyDescent="0.3">
      <c r="A3" s="2">
        <v>8415.7019</v>
      </c>
      <c r="B3" s="3">
        <v>2.4181799395413091</v>
      </c>
      <c r="C3" s="3">
        <v>0.17101049805743848</v>
      </c>
      <c r="D3" s="3">
        <v>8416.2545504380159</v>
      </c>
      <c r="E3" s="173">
        <v>8418</v>
      </c>
      <c r="F3" s="173">
        <v>3</v>
      </c>
      <c r="G3" s="3">
        <v>1607.9419</v>
      </c>
      <c r="H3" s="3">
        <v>2.4041618539524352</v>
      </c>
      <c r="I3" s="3">
        <v>677.11</v>
      </c>
      <c r="J3" s="3">
        <v>0.1</v>
      </c>
      <c r="K3" s="16">
        <v>1610</v>
      </c>
      <c r="L3" s="16">
        <v>3</v>
      </c>
      <c r="M3" s="127">
        <v>2.1796794565438007</v>
      </c>
      <c r="N3" s="127">
        <v>0.53497539550495699</v>
      </c>
      <c r="O3" s="127">
        <v>0.58553710551084392</v>
      </c>
      <c r="P3" s="3">
        <f t="shared" si="0"/>
        <v>2.855380088072379E-2</v>
      </c>
      <c r="Q3" s="3">
        <f t="shared" si="1"/>
        <v>7.7395323780578354E-3</v>
      </c>
      <c r="R3" s="3">
        <f>P3*SQRT(O3^2/M3^2+$O$29^2/$M$29^2)</f>
        <v>8.4292488540940614E-3</v>
      </c>
      <c r="S3" s="145">
        <f>SUM(P3:P6)</f>
        <v>9.4607896504382116E-2</v>
      </c>
      <c r="T3" s="145">
        <f>SQRT(Q3^2+Q4^2+Q5^2+Q6^2)</f>
        <v>2.1245459714240685E-2</v>
      </c>
      <c r="U3" s="145">
        <f>SQRT(R3^2+R4^2+R5^2+R6^2)</f>
        <v>2.278467118605328E-2</v>
      </c>
    </row>
    <row r="4" spans="1:21" x14ac:dyDescent="0.3">
      <c r="A4" s="6">
        <v>8414.4242999999988</v>
      </c>
      <c r="B4">
        <v>2.6796863062679388</v>
      </c>
      <c r="C4">
        <v>0.13926182625703087</v>
      </c>
      <c r="E4" s="174"/>
      <c r="F4" s="174"/>
      <c r="G4">
        <v>1575.0743</v>
      </c>
      <c r="H4">
        <v>2.5754841680740164</v>
      </c>
      <c r="I4">
        <v>708.7</v>
      </c>
      <c r="J4">
        <v>0.7</v>
      </c>
      <c r="K4" s="17">
        <v>1579</v>
      </c>
      <c r="L4" s="17">
        <v>3</v>
      </c>
      <c r="M4" s="126">
        <v>0.97588204296699421</v>
      </c>
      <c r="N4" s="126">
        <v>0.24500461840691123</v>
      </c>
      <c r="O4" s="126">
        <v>0.24091916264736618</v>
      </c>
      <c r="P4">
        <f t="shared" si="0"/>
        <v>1.2784054762867625E-2</v>
      </c>
      <c r="Q4">
        <f t="shared" si="1"/>
        <v>3.5303413729275892E-3</v>
      </c>
      <c r="R4">
        <f t="shared" si="2"/>
        <v>3.5226599407474205E-3</v>
      </c>
      <c r="S4" s="144"/>
      <c r="T4" s="144"/>
      <c r="U4" s="144"/>
    </row>
    <row r="5" spans="1:21" x14ac:dyDescent="0.3">
      <c r="A5" s="6">
        <v>8418.8876999999993</v>
      </c>
      <c r="B5">
        <v>2.8092510514370259</v>
      </c>
      <c r="C5">
        <v>0.12671233554102532</v>
      </c>
      <c r="E5" s="174"/>
      <c r="F5" s="174"/>
      <c r="G5">
        <v>833.95770000000005</v>
      </c>
      <c r="H5">
        <v>2.7985338071926225</v>
      </c>
      <c r="I5">
        <v>1454.28</v>
      </c>
      <c r="J5">
        <v>0.05</v>
      </c>
      <c r="K5" s="17">
        <v>833</v>
      </c>
      <c r="L5" s="17">
        <v>3</v>
      </c>
      <c r="M5" s="126">
        <v>0.10478694456146871</v>
      </c>
      <c r="N5" s="126">
        <v>1.9049708166962567E-2</v>
      </c>
      <c r="O5" s="126">
        <v>1.9367396497330262E-2</v>
      </c>
      <c r="P5">
        <f t="shared" si="0"/>
        <v>1.3727089737552403E-3</v>
      </c>
      <c r="Q5">
        <f t="shared" si="1"/>
        <v>2.9530232453404943E-4</v>
      </c>
      <c r="R5">
        <f t="shared" si="2"/>
        <v>3.0430453846474657E-4</v>
      </c>
      <c r="S5" s="144"/>
      <c r="T5" s="144"/>
      <c r="U5" s="144"/>
    </row>
    <row r="6" spans="1:21" s="8" customFormat="1" ht="15" thickBot="1" x14ac:dyDescent="0.35">
      <c r="A6" s="7">
        <v>8416.657799999999</v>
      </c>
      <c r="B6" s="8">
        <v>5.0614796206249011</v>
      </c>
      <c r="C6" s="8">
        <v>3.9034175902347666E-2</v>
      </c>
      <c r="E6" s="175"/>
      <c r="F6" s="175"/>
      <c r="G6" s="8">
        <v>2286.0077999999999</v>
      </c>
      <c r="H6" s="8">
        <v>5.0557863829478782</v>
      </c>
      <c r="I6" s="122">
        <v>0</v>
      </c>
      <c r="J6" s="122">
        <v>0</v>
      </c>
      <c r="K6" s="19">
        <v>2287</v>
      </c>
      <c r="L6" s="19">
        <v>5</v>
      </c>
      <c r="M6" s="122">
        <v>3.9616283883233168</v>
      </c>
      <c r="N6" s="122">
        <v>1.4143552214363353</v>
      </c>
      <c r="O6" s="122">
        <v>1.51759828196036</v>
      </c>
      <c r="P6" s="8">
        <f t="shared" si="0"/>
        <v>5.1897331887035457E-2</v>
      </c>
      <c r="Q6" s="8">
        <f t="shared" si="1"/>
        <v>1.9465833744438971E-2</v>
      </c>
      <c r="R6" s="8">
        <f t="shared" si="2"/>
        <v>2.0870727598769612E-2</v>
      </c>
      <c r="S6" s="146"/>
      <c r="T6" s="146"/>
      <c r="U6" s="146"/>
    </row>
    <row r="7" spans="1:21" x14ac:dyDescent="0.3">
      <c r="A7">
        <v>8669.3413</v>
      </c>
      <c r="B7">
        <v>8.2310938489364656</v>
      </c>
      <c r="E7" s="23">
        <v>8669</v>
      </c>
      <c r="F7" s="23">
        <v>8</v>
      </c>
      <c r="G7">
        <v>1861.5813000000001</v>
      </c>
      <c r="H7">
        <v>8.2269864440145835</v>
      </c>
      <c r="I7" s="126">
        <v>677.11</v>
      </c>
      <c r="J7" s="126">
        <v>0.1</v>
      </c>
      <c r="K7" s="23">
        <v>1862</v>
      </c>
      <c r="L7" s="23">
        <v>8</v>
      </c>
      <c r="M7" s="126">
        <v>0.1422059600812014</v>
      </c>
      <c r="N7" s="126">
        <v>4.527956200062204E-2</v>
      </c>
      <c r="O7" s="126">
        <v>4.8273103743817318E-2</v>
      </c>
      <c r="P7">
        <f t="shared" si="0"/>
        <v>1.8628980770637382E-3</v>
      </c>
      <c r="Q7">
        <f t="shared" si="1"/>
        <v>6.3067504590284048E-4</v>
      </c>
      <c r="R7">
        <f t="shared" si="2"/>
        <v>6.7223125054457968E-4</v>
      </c>
      <c r="S7">
        <f t="shared" ref="S7:T8" si="3">P7</f>
        <v>1.8628980770637382E-3</v>
      </c>
      <c r="T7">
        <f t="shared" si="3"/>
        <v>6.3067504590284048E-4</v>
      </c>
      <c r="U7">
        <f>R7</f>
        <v>6.7223125054457968E-4</v>
      </c>
    </row>
    <row r="8" spans="1:21" ht="15" thickBot="1" x14ac:dyDescent="0.35">
      <c r="A8">
        <v>8950.3096000000005</v>
      </c>
      <c r="B8">
        <v>5.2627676131480525</v>
      </c>
      <c r="E8" s="23">
        <v>8950</v>
      </c>
      <c r="F8" s="23">
        <v>5</v>
      </c>
      <c r="G8">
        <v>2142.5495999999998</v>
      </c>
      <c r="H8">
        <v>5.2563412132394953</v>
      </c>
      <c r="I8" s="126">
        <v>677.11</v>
      </c>
      <c r="J8" s="126">
        <v>0.1</v>
      </c>
      <c r="K8" s="23">
        <v>2143</v>
      </c>
      <c r="L8" s="23">
        <v>5</v>
      </c>
      <c r="M8" s="126">
        <v>0.74779348905135612</v>
      </c>
      <c r="N8" s="126">
        <v>0.62245506168095222</v>
      </c>
      <c r="O8" s="126">
        <v>0.63309256173884121</v>
      </c>
      <c r="P8">
        <f t="shared" si="0"/>
        <v>9.7960947065727656E-3</v>
      </c>
      <c r="Q8">
        <f t="shared" si="1"/>
        <v>8.2316365869945091E-3</v>
      </c>
      <c r="R8">
        <f t="shared" si="2"/>
        <v>8.3797419237388454E-3</v>
      </c>
      <c r="S8">
        <f t="shared" si="3"/>
        <v>9.7960947065727656E-3</v>
      </c>
      <c r="T8">
        <f t="shared" si="3"/>
        <v>8.2316365869945091E-3</v>
      </c>
      <c r="U8">
        <f>R8</f>
        <v>8.3797419237388454E-3</v>
      </c>
    </row>
    <row r="9" spans="1:21" s="3" customFormat="1" x14ac:dyDescent="0.3">
      <c r="A9" s="2">
        <v>7709.2327999999998</v>
      </c>
      <c r="B9" s="3">
        <v>17.900633187683624</v>
      </c>
      <c r="C9" s="3">
        <v>3.1207804267235103E-3</v>
      </c>
      <c r="D9" s="3">
        <v>7703.2537879622032</v>
      </c>
      <c r="E9" s="173">
        <v>7703</v>
      </c>
      <c r="F9" s="173">
        <v>3</v>
      </c>
      <c r="G9" s="3">
        <v>869.88279999999997</v>
      </c>
      <c r="H9" s="3">
        <v>17.885331098976064</v>
      </c>
      <c r="I9" s="127">
        <v>708.7</v>
      </c>
      <c r="J9" s="127">
        <v>0.7</v>
      </c>
      <c r="K9" s="16">
        <v>870</v>
      </c>
      <c r="L9" s="16">
        <v>18</v>
      </c>
      <c r="M9" s="127">
        <v>3.4711822711249361E-2</v>
      </c>
      <c r="N9" s="127">
        <v>1.4683445557040518E-2</v>
      </c>
      <c r="O9" s="127">
        <v>1.477063826500691E-2</v>
      </c>
      <c r="P9" s="3">
        <f t="shared" si="0"/>
        <v>4.5472487751736665E-4</v>
      </c>
      <c r="Q9" s="3">
        <f t="shared" si="1"/>
        <v>1.9933674503643865E-4</v>
      </c>
      <c r="R9" s="3">
        <f t="shared" si="2"/>
        <v>2.0134138259070996E-4</v>
      </c>
      <c r="S9" s="145">
        <f>SUM(P9:P10)</f>
        <v>0.14167523504664811</v>
      </c>
      <c r="T9" s="145">
        <f>SQRT(Q9^2+Q10^2)</f>
        <v>3.3553108722464114E-2</v>
      </c>
      <c r="U9" s="145">
        <f>SQRT(R9^2+R10^2)</f>
        <v>3.4176540892466772E-2</v>
      </c>
    </row>
    <row r="10" spans="1:21" s="8" customFormat="1" ht="15" thickBot="1" x14ac:dyDescent="0.35">
      <c r="A10" s="7">
        <v>7703.0975999999991</v>
      </c>
      <c r="B10" s="8">
        <v>2.893193353372685</v>
      </c>
      <c r="C10" s="8">
        <v>0.1194662090174263</v>
      </c>
      <c r="E10" s="175"/>
      <c r="F10" s="175"/>
      <c r="G10" s="8">
        <v>1572.4476</v>
      </c>
      <c r="H10" s="8">
        <v>2.8832217708667298</v>
      </c>
      <c r="I10" s="122">
        <v>0</v>
      </c>
      <c r="J10" s="122">
        <v>0</v>
      </c>
      <c r="K10" s="19">
        <v>1572</v>
      </c>
      <c r="L10" s="19">
        <v>3</v>
      </c>
      <c r="M10" s="122">
        <v>10.78019161596418</v>
      </c>
      <c r="N10" s="122">
        <v>2.241135700307018</v>
      </c>
      <c r="O10" s="122">
        <v>2.2505572621791843</v>
      </c>
      <c r="P10" s="8">
        <f t="shared" si="0"/>
        <v>0.14122051016913076</v>
      </c>
      <c r="Q10" s="8">
        <f t="shared" si="1"/>
        <v>3.3552516594192686E-2</v>
      </c>
      <c r="R10" s="8">
        <f t="shared" si="2"/>
        <v>3.4175947814539247E-2</v>
      </c>
      <c r="S10" s="146"/>
      <c r="T10" s="146"/>
      <c r="U10" s="146"/>
    </row>
    <row r="11" spans="1:21" s="3" customFormat="1" x14ac:dyDescent="0.3">
      <c r="A11" s="2">
        <v>7796.9213</v>
      </c>
      <c r="B11" s="3">
        <v>12.244934848744659</v>
      </c>
      <c r="E11" s="16">
        <v>7797</v>
      </c>
      <c r="F11" s="16">
        <v>12</v>
      </c>
      <c r="G11" s="3">
        <v>957.57129999999995</v>
      </c>
      <c r="H11" s="3">
        <v>12.222554129559066</v>
      </c>
      <c r="I11" s="127">
        <v>708.7</v>
      </c>
      <c r="J11" s="127">
        <v>0.7</v>
      </c>
      <c r="K11" s="16">
        <v>958</v>
      </c>
      <c r="L11" s="16">
        <v>12</v>
      </c>
      <c r="M11" s="127">
        <v>4.1623084935155784E-2</v>
      </c>
      <c r="N11" s="127">
        <v>8.9346970912157556E-3</v>
      </c>
      <c r="O11" s="127">
        <v>9.2580273174217142E-3</v>
      </c>
      <c r="P11" s="3">
        <f t="shared" si="0"/>
        <v>5.4526241265054082E-4</v>
      </c>
      <c r="Q11" s="3">
        <f t="shared" si="1"/>
        <v>1.3278754018454376E-4</v>
      </c>
      <c r="R11" s="3">
        <f t="shared" si="2"/>
        <v>1.3843117336865451E-4</v>
      </c>
      <c r="S11" s="3">
        <f t="shared" ref="S11:T12" si="4">P11</f>
        <v>5.4526241265054082E-4</v>
      </c>
      <c r="T11" s="3">
        <f t="shared" si="4"/>
        <v>1.3278754018454376E-4</v>
      </c>
      <c r="U11" s="3">
        <f>R11</f>
        <v>1.3843117336865451E-4</v>
      </c>
    </row>
    <row r="12" spans="1:21" s="8" customFormat="1" ht="15" thickBot="1" x14ac:dyDescent="0.35">
      <c r="A12" s="7">
        <v>7904.6866</v>
      </c>
      <c r="B12" s="8">
        <v>7.6387802521081802</v>
      </c>
      <c r="E12" s="80">
        <v>7905</v>
      </c>
      <c r="F12" s="80">
        <v>8</v>
      </c>
      <c r="G12" s="8">
        <v>1065.3366000000001</v>
      </c>
      <c r="H12" s="8">
        <v>7.6028523423776884</v>
      </c>
      <c r="I12" s="122">
        <v>708.7</v>
      </c>
      <c r="J12" s="122">
        <v>0.7</v>
      </c>
      <c r="K12" s="19">
        <v>1065</v>
      </c>
      <c r="L12" s="19">
        <v>8</v>
      </c>
      <c r="M12" s="122">
        <v>0.20438267377489022</v>
      </c>
      <c r="N12" s="122">
        <v>5.7645939190009633E-2</v>
      </c>
      <c r="O12" s="122">
        <v>5.9404846067877839E-2</v>
      </c>
      <c r="P12" s="8">
        <f t="shared" si="0"/>
        <v>2.6774130264510618E-3</v>
      </c>
      <c r="Q12" s="8">
        <f t="shared" si="1"/>
        <v>8.1553754426457522E-4</v>
      </c>
      <c r="R12" s="8">
        <f t="shared" si="2"/>
        <v>8.4439309095979713E-4</v>
      </c>
      <c r="S12" s="8">
        <f t="shared" si="4"/>
        <v>2.6774130264510618E-3</v>
      </c>
      <c r="T12" s="8">
        <f t="shared" si="4"/>
        <v>8.1553754426457522E-4</v>
      </c>
      <c r="U12" s="8">
        <f>R12</f>
        <v>8.4439309095979713E-4</v>
      </c>
    </row>
    <row r="13" spans="1:21" s="3" customFormat="1" x14ac:dyDescent="0.3">
      <c r="A13" s="2">
        <v>9241.2101999999995</v>
      </c>
      <c r="B13" s="3">
        <v>4.1550368385851488</v>
      </c>
      <c r="C13" s="3">
        <v>5.7922892724313682E-2</v>
      </c>
      <c r="D13" s="3">
        <v>9237.5189211145134</v>
      </c>
      <c r="E13" s="176">
        <v>9238</v>
      </c>
      <c r="F13" s="176">
        <v>3</v>
      </c>
      <c r="G13" s="3">
        <v>1137.2202</v>
      </c>
      <c r="H13" s="3">
        <v>4.070224948328983</v>
      </c>
      <c r="I13" s="127">
        <v>1973.34</v>
      </c>
      <c r="J13" s="127">
        <v>0.8</v>
      </c>
      <c r="K13" s="16">
        <v>1137</v>
      </c>
      <c r="L13" s="16">
        <v>4</v>
      </c>
      <c r="M13" s="127">
        <v>0.37882076623496747</v>
      </c>
      <c r="N13" s="127">
        <v>0.16944274757400538</v>
      </c>
      <c r="O13" s="127">
        <v>0.17268498189583914</v>
      </c>
      <c r="P13" s="3">
        <f t="shared" si="0"/>
        <v>4.9625520376780745E-3</v>
      </c>
      <c r="Q13" s="3">
        <f t="shared" si="1"/>
        <v>2.2919109826128213E-3</v>
      </c>
      <c r="R13" s="3">
        <f t="shared" si="2"/>
        <v>2.342304053163042E-3</v>
      </c>
      <c r="S13" s="145">
        <f>SUM(P13:P14)</f>
        <v>1.5596129568351704E-2</v>
      </c>
      <c r="T13" s="145">
        <f>SQRT(Q13^2+Q14^2)</f>
        <v>3.6684058426002569E-3</v>
      </c>
      <c r="U13" s="145">
        <f>SQRT(R13^2+R14^2)</f>
        <v>3.7786677626484183E-3</v>
      </c>
    </row>
    <row r="14" spans="1:21" s="8" customFormat="1" ht="15" thickBot="1" x14ac:dyDescent="0.35">
      <c r="A14" s="7">
        <v>9235.5583000000006</v>
      </c>
      <c r="B14" s="8">
        <v>3.0281911581008254</v>
      </c>
      <c r="C14" s="8">
        <v>0.10905194752661487</v>
      </c>
      <c r="E14" s="177"/>
      <c r="F14" s="177"/>
      <c r="G14" s="8">
        <v>1650.6283000000001</v>
      </c>
      <c r="H14" s="8">
        <v>3.018251429221896</v>
      </c>
      <c r="I14" s="122">
        <v>1454.28</v>
      </c>
      <c r="J14" s="122">
        <v>0.05</v>
      </c>
      <c r="K14" s="19">
        <v>1651</v>
      </c>
      <c r="L14" s="19">
        <v>3</v>
      </c>
      <c r="M14" s="122">
        <v>0.8117234756239412</v>
      </c>
      <c r="N14" s="122">
        <v>0.19771597738371333</v>
      </c>
      <c r="O14" s="122">
        <v>0.2033729223112748</v>
      </c>
      <c r="P14" s="8">
        <f t="shared" si="0"/>
        <v>1.063357753067363E-2</v>
      </c>
      <c r="Q14" s="8">
        <f t="shared" si="1"/>
        <v>2.8643228647976179E-3</v>
      </c>
      <c r="R14" s="8">
        <f t="shared" si="2"/>
        <v>2.9651208715690477E-3</v>
      </c>
      <c r="S14" s="146"/>
      <c r="T14" s="146"/>
      <c r="U14" s="146"/>
    </row>
    <row r="15" spans="1:21" s="3" customFormat="1" x14ac:dyDescent="0.3">
      <c r="A15" s="2">
        <v>9327.1477999999988</v>
      </c>
      <c r="B15" s="3">
        <v>5.008895472057695</v>
      </c>
      <c r="C15" s="3">
        <v>3.9858051369323529E-2</v>
      </c>
      <c r="D15" s="3">
        <v>9327.6264149080762</v>
      </c>
      <c r="E15" s="173">
        <v>9328</v>
      </c>
      <c r="F15" s="173">
        <v>5</v>
      </c>
      <c r="G15" s="3">
        <v>1223.1578</v>
      </c>
      <c r="H15" s="3">
        <v>4.938768454787092</v>
      </c>
      <c r="I15" s="127">
        <v>1973.34</v>
      </c>
      <c r="J15" s="127">
        <v>0.8</v>
      </c>
      <c r="K15" s="16">
        <v>1223</v>
      </c>
      <c r="L15" s="16">
        <v>5</v>
      </c>
      <c r="M15" s="127">
        <v>0.31655589746762697</v>
      </c>
      <c r="N15" s="127">
        <v>8.4968060215453695E-2</v>
      </c>
      <c r="O15" s="127">
        <v>8.7005190313037231E-2</v>
      </c>
      <c r="P15" s="3">
        <f t="shared" si="0"/>
        <v>4.1468822568259131E-3</v>
      </c>
      <c r="Q15" s="3">
        <f t="shared" si="1"/>
        <v>1.2109680875410378E-3</v>
      </c>
      <c r="R15" s="3">
        <f t="shared" si="2"/>
        <v>1.2476822194810895E-3</v>
      </c>
      <c r="S15" s="145">
        <f>SUM(P15:P16)</f>
        <v>1.7335395113529793E-2</v>
      </c>
      <c r="T15" s="145">
        <f>SQRT(Q15^2+Q16^2)</f>
        <v>7.5383789157887097E-3</v>
      </c>
      <c r="U15" s="145">
        <f>SQRT(R15^2+R16^2)</f>
        <v>7.4009345140534383E-3</v>
      </c>
    </row>
    <row r="16" spans="1:21" s="8" customFormat="1" ht="15" thickBot="1" x14ac:dyDescent="0.35">
      <c r="A16" s="7">
        <v>9328.7957999999999</v>
      </c>
      <c r="B16" s="8">
        <v>7.8293847235909961</v>
      </c>
      <c r="C16" s="8">
        <v>1.6313409264417569E-2</v>
      </c>
      <c r="E16" s="175"/>
      <c r="F16" s="175"/>
      <c r="G16" s="8">
        <v>2489.4458</v>
      </c>
      <c r="H16" s="8">
        <v>7.7943354527502891</v>
      </c>
      <c r="I16" s="122">
        <v>708.7</v>
      </c>
      <c r="J16" s="122">
        <v>0.7</v>
      </c>
      <c r="K16" s="19">
        <v>2489</v>
      </c>
      <c r="L16" s="19">
        <v>8</v>
      </c>
      <c r="M16" s="122">
        <v>1.0067567066186169</v>
      </c>
      <c r="N16" s="122">
        <v>0.55604655732649244</v>
      </c>
      <c r="O16" s="122">
        <v>0.54306525777819337</v>
      </c>
      <c r="P16" s="8">
        <f t="shared" si="0"/>
        <v>1.3188512856703881E-2</v>
      </c>
      <c r="Q16" s="8">
        <f t="shared" si="1"/>
        <v>7.4404780067523187E-3</v>
      </c>
      <c r="R16" s="8">
        <f t="shared" si="2"/>
        <v>7.2950065634307792E-3</v>
      </c>
      <c r="S16" s="146"/>
      <c r="T16" s="146"/>
      <c r="U16" s="146"/>
    </row>
    <row r="17" spans="1:21" ht="15" thickBot="1" x14ac:dyDescent="0.35">
      <c r="A17">
        <v>9421.3845999999994</v>
      </c>
      <c r="B17">
        <v>8.4286988663731996</v>
      </c>
      <c r="E17" s="23">
        <v>9421</v>
      </c>
      <c r="F17" s="23">
        <v>8</v>
      </c>
      <c r="G17">
        <v>1317.3946000000001</v>
      </c>
      <c r="H17">
        <v>8.3872143516188302</v>
      </c>
      <c r="I17" s="126">
        <v>1973.34</v>
      </c>
      <c r="J17" s="126">
        <v>0.8</v>
      </c>
      <c r="K17" s="23">
        <v>1317</v>
      </c>
      <c r="L17" s="23">
        <v>8</v>
      </c>
      <c r="M17" s="126">
        <v>0.2936766760585135</v>
      </c>
      <c r="N17" s="126">
        <v>0.14402274178245059</v>
      </c>
      <c r="O17" s="126">
        <v>0.14476853121571098</v>
      </c>
      <c r="P17">
        <f t="shared" si="0"/>
        <v>3.8471644563665272E-3</v>
      </c>
      <c r="Q17">
        <f t="shared" si="1"/>
        <v>1.9378921924731649E-3</v>
      </c>
      <c r="R17">
        <f t="shared" si="2"/>
        <v>1.9540556731382111E-3</v>
      </c>
      <c r="S17">
        <f>P17</f>
        <v>3.8471644563665272E-3</v>
      </c>
      <c r="T17">
        <f>Q17</f>
        <v>1.9378921924731649E-3</v>
      </c>
      <c r="U17">
        <f>R17</f>
        <v>1.9540556731382111E-3</v>
      </c>
    </row>
    <row r="18" spans="1:21" s="3" customFormat="1" x14ac:dyDescent="0.3">
      <c r="A18" s="2">
        <v>8554.1934000000001</v>
      </c>
      <c r="B18" s="3">
        <v>3.4181132953721569</v>
      </c>
      <c r="C18" s="3">
        <v>8.5590801419626841E-2</v>
      </c>
      <c r="D18" s="3">
        <v>8556.7022175627535</v>
      </c>
      <c r="E18" s="173">
        <v>8557</v>
      </c>
      <c r="F18" s="173">
        <v>2</v>
      </c>
      <c r="G18" s="3">
        <v>1714.8434</v>
      </c>
      <c r="H18" s="3">
        <v>3.3370493703270117</v>
      </c>
      <c r="I18" s="127">
        <v>708.7</v>
      </c>
      <c r="J18" s="127">
        <v>0.7</v>
      </c>
      <c r="K18" s="16">
        <v>1715</v>
      </c>
      <c r="L18" s="16">
        <v>3</v>
      </c>
      <c r="M18" s="127">
        <v>0.84180756817284585</v>
      </c>
      <c r="N18" s="127">
        <v>0.20900009338082221</v>
      </c>
      <c r="O18" s="127">
        <v>0.21789062324195135</v>
      </c>
      <c r="P18" s="3">
        <f t="shared" si="0"/>
        <v>1.1027679143064281E-2</v>
      </c>
      <c r="Q18" s="3">
        <f t="shared" si="1"/>
        <v>3.0174276606561579E-3</v>
      </c>
      <c r="R18" s="3">
        <f t="shared" si="2"/>
        <v>3.1574305699122152E-3</v>
      </c>
      <c r="S18" s="145">
        <f>SUM(P18:P19)</f>
        <v>1.5391649316454405E-2</v>
      </c>
      <c r="T18" s="145">
        <f>SQRT(Q18^2+Q19^2)</f>
        <v>3.1565325692110824E-3</v>
      </c>
      <c r="U18" s="145">
        <f>SQRT(R18^2+R19^2)</f>
        <v>3.3013022036932835E-3</v>
      </c>
    </row>
    <row r="19" spans="1:21" s="8" customFormat="1" ht="15" thickBot="1" x14ac:dyDescent="0.35">
      <c r="A19" s="7">
        <v>8557.5674999999992</v>
      </c>
      <c r="B19" s="8">
        <v>2.0073858448240762</v>
      </c>
      <c r="C19" s="8">
        <v>0.24816371691951472</v>
      </c>
      <c r="E19" s="175"/>
      <c r="F19" s="175"/>
      <c r="G19" s="8">
        <v>972.63750000000005</v>
      </c>
      <c r="H19" s="8">
        <v>1.9923598896785868</v>
      </c>
      <c r="I19" s="122">
        <v>1454.28</v>
      </c>
      <c r="J19" s="122">
        <v>0.05</v>
      </c>
      <c r="K19" s="19">
        <v>973</v>
      </c>
      <c r="L19" s="19">
        <v>2</v>
      </c>
      <c r="M19" s="122">
        <v>0.33312749415191778</v>
      </c>
      <c r="N19" s="122">
        <v>5.9468209808475066E-2</v>
      </c>
      <c r="O19" s="122">
        <v>6.1254860031443759E-2</v>
      </c>
      <c r="P19" s="8">
        <f t="shared" si="0"/>
        <v>4.3639701733901226E-3</v>
      </c>
      <c r="Q19" s="8">
        <f t="shared" si="1"/>
        <v>9.2672982751038275E-4</v>
      </c>
      <c r="R19" s="8">
        <f t="shared" si="2"/>
        <v>9.639649559470265E-4</v>
      </c>
      <c r="S19" s="146"/>
      <c r="T19" s="146"/>
      <c r="U19" s="146"/>
    </row>
    <row r="20" spans="1:21" x14ac:dyDescent="0.3">
      <c r="A20">
        <v>8708.2536999999993</v>
      </c>
      <c r="B20">
        <v>6.7791920587928463</v>
      </c>
      <c r="E20" s="46">
        <v>8708</v>
      </c>
      <c r="F20" s="46">
        <v>7</v>
      </c>
      <c r="G20">
        <v>1868.9037000000001</v>
      </c>
      <c r="H20">
        <v>6.7386827325524079</v>
      </c>
      <c r="I20" s="126">
        <v>708.7</v>
      </c>
      <c r="J20" s="126">
        <v>0.7</v>
      </c>
      <c r="K20" s="23">
        <v>1869</v>
      </c>
      <c r="L20" s="23">
        <v>7</v>
      </c>
      <c r="M20" s="126">
        <v>0.21687421006945568</v>
      </c>
      <c r="N20" s="126">
        <v>6.1988608007246898E-2</v>
      </c>
      <c r="O20" s="126">
        <v>6.8909139647783155E-2</v>
      </c>
      <c r="P20">
        <f t="shared" si="0"/>
        <v>2.8410521519098694E-3</v>
      </c>
      <c r="Q20">
        <f t="shared" si="1"/>
        <v>8.753312484019684E-4</v>
      </c>
      <c r="R20">
        <f t="shared" si="2"/>
        <v>9.6737437321290525E-4</v>
      </c>
      <c r="S20">
        <f t="shared" ref="S20:U21" si="5">P20</f>
        <v>2.8410521519098694E-3</v>
      </c>
      <c r="T20">
        <f t="shared" si="5"/>
        <v>8.753312484019684E-4</v>
      </c>
      <c r="U20">
        <f>R20</f>
        <v>9.6737437321290525E-4</v>
      </c>
    </row>
    <row r="21" spans="1:21" x14ac:dyDescent="0.3">
      <c r="A21">
        <v>8812.9776999999995</v>
      </c>
      <c r="B21">
        <v>2.1806675239476894</v>
      </c>
      <c r="E21" s="23">
        <v>8813</v>
      </c>
      <c r="F21" s="23">
        <v>2</v>
      </c>
      <c r="G21">
        <v>1228.0477000000001</v>
      </c>
      <c r="H21">
        <v>2.166843522269235</v>
      </c>
      <c r="I21" s="126">
        <v>1454.28</v>
      </c>
      <c r="J21" s="126">
        <v>0.05</v>
      </c>
      <c r="K21" s="23">
        <v>1228</v>
      </c>
      <c r="L21" s="23">
        <v>2</v>
      </c>
      <c r="M21" s="126">
        <v>1.5512901313780538</v>
      </c>
      <c r="N21" s="126">
        <v>0.42930477760992819</v>
      </c>
      <c r="O21" s="126">
        <v>0.45739003306750192</v>
      </c>
      <c r="P21">
        <f t="shared" si="0"/>
        <v>2.0321900721052506E-2</v>
      </c>
      <c r="Q21">
        <f t="shared" si="1"/>
        <v>6.0902748397372985E-3</v>
      </c>
      <c r="R21">
        <f t="shared" si="2"/>
        <v>6.4876065594081985E-3</v>
      </c>
      <c r="S21">
        <f t="shared" si="5"/>
        <v>2.0321900721052506E-2</v>
      </c>
      <c r="T21">
        <f t="shared" si="5"/>
        <v>6.0902748397372985E-3</v>
      </c>
      <c r="U21">
        <f t="shared" si="5"/>
        <v>6.4876065594081985E-3</v>
      </c>
    </row>
    <row r="22" spans="1:21" x14ac:dyDescent="0.3">
      <c r="A22">
        <v>8964.2392</v>
      </c>
      <c r="B22">
        <v>2.3468961843251681</v>
      </c>
      <c r="E22" s="23">
        <v>8964</v>
      </c>
      <c r="F22" s="23">
        <v>2</v>
      </c>
      <c r="G22">
        <v>1379.3091999999999</v>
      </c>
      <c r="H22">
        <v>2.3340569187575597</v>
      </c>
      <c r="I22" s="126">
        <v>1454.28</v>
      </c>
      <c r="J22" s="126">
        <v>0.05</v>
      </c>
      <c r="K22" s="23">
        <v>1379</v>
      </c>
      <c r="L22" s="23">
        <v>2</v>
      </c>
      <c r="M22" s="126">
        <v>0.68213185269575549</v>
      </c>
      <c r="N22" s="126">
        <v>0.13076670041580887</v>
      </c>
      <c r="O22" s="126">
        <v>0.15432159211878074</v>
      </c>
      <c r="P22">
        <f t="shared" si="0"/>
        <v>8.9359272703143974E-3</v>
      </c>
      <c r="Q22">
        <f t="shared" si="1"/>
        <v>1.9977136305098248E-3</v>
      </c>
      <c r="R22">
        <f t="shared" si="2"/>
        <v>2.2985305490441608E-3</v>
      </c>
      <c r="S22">
        <f t="shared" ref="S22:S28" si="6">P22</f>
        <v>8.9359272703143974E-3</v>
      </c>
      <c r="T22">
        <f t="shared" ref="T22:T28" si="7">Q22</f>
        <v>1.9977136305098248E-3</v>
      </c>
      <c r="U22">
        <f t="shared" ref="U22:U24" si="8">R22</f>
        <v>2.2985305490441608E-3</v>
      </c>
    </row>
    <row r="23" spans="1:21" x14ac:dyDescent="0.3">
      <c r="A23">
        <v>7886.9074999999993</v>
      </c>
      <c r="B23">
        <v>2.8213830828159367</v>
      </c>
      <c r="E23" s="23">
        <v>7887</v>
      </c>
      <c r="F23" s="23">
        <v>3</v>
      </c>
      <c r="G23">
        <v>1756.2574999999999</v>
      </c>
      <c r="H23">
        <v>2.8111567903622805</v>
      </c>
      <c r="I23" s="126">
        <v>0</v>
      </c>
      <c r="J23" s="126">
        <v>0</v>
      </c>
      <c r="K23" s="23">
        <v>1756</v>
      </c>
      <c r="L23" s="23">
        <v>3</v>
      </c>
      <c r="M23" s="126">
        <v>2.8808742206753966</v>
      </c>
      <c r="N23" s="126">
        <v>0.56203155685713735</v>
      </c>
      <c r="O23" s="126">
        <v>0.66708695191828105</v>
      </c>
      <c r="P23">
        <f t="shared" si="0"/>
        <v>3.77394522908477E-2</v>
      </c>
      <c r="Q23">
        <f t="shared" si="1"/>
        <v>8.5469057473126168E-3</v>
      </c>
      <c r="R23">
        <f t="shared" si="2"/>
        <v>9.8846171761497407E-3</v>
      </c>
      <c r="S23">
        <f t="shared" si="6"/>
        <v>3.77394522908477E-2</v>
      </c>
      <c r="T23">
        <f t="shared" si="7"/>
        <v>8.5469057473126168E-3</v>
      </c>
      <c r="U23">
        <f>R23</f>
        <v>9.8846171761497407E-3</v>
      </c>
    </row>
    <row r="24" spans="1:21" x14ac:dyDescent="0.3">
      <c r="A24">
        <v>8017.2282999999998</v>
      </c>
      <c r="B24">
        <v>3.2781268142035387</v>
      </c>
      <c r="E24" s="23">
        <v>8017</v>
      </c>
      <c r="F24" s="23">
        <v>3</v>
      </c>
      <c r="G24">
        <v>1886.5782999999999</v>
      </c>
      <c r="H24">
        <v>3.2693295046538582</v>
      </c>
      <c r="I24" s="126">
        <v>0</v>
      </c>
      <c r="J24" s="126">
        <v>0</v>
      </c>
      <c r="K24" s="23">
        <v>1887</v>
      </c>
      <c r="L24" s="23">
        <v>3</v>
      </c>
      <c r="M24" s="126">
        <v>6.8727548950155901</v>
      </c>
      <c r="N24" s="126">
        <v>1.318622071376585</v>
      </c>
      <c r="O24" s="126">
        <v>1.4602431522847248</v>
      </c>
      <c r="P24">
        <f t="shared" si="0"/>
        <v>9.003308912470423E-2</v>
      </c>
      <c r="Q24">
        <f t="shared" si="1"/>
        <v>2.0140071413130754E-2</v>
      </c>
      <c r="R24">
        <f t="shared" si="2"/>
        <v>2.2076438357101696E-2</v>
      </c>
      <c r="S24">
        <f t="shared" si="6"/>
        <v>9.003308912470423E-2</v>
      </c>
      <c r="T24">
        <f t="shared" si="7"/>
        <v>2.0140071413130754E-2</v>
      </c>
      <c r="U24">
        <f t="shared" si="8"/>
        <v>2.2076438357101696E-2</v>
      </c>
    </row>
    <row r="25" spans="1:21" x14ac:dyDescent="0.3">
      <c r="A25">
        <v>8275.3801999999996</v>
      </c>
      <c r="B25">
        <v>4.1846298534040827</v>
      </c>
      <c r="E25" s="23">
        <v>8275</v>
      </c>
      <c r="F25" s="23">
        <v>4</v>
      </c>
      <c r="G25">
        <v>2144.7302</v>
      </c>
      <c r="H25">
        <v>4.1777418553568717</v>
      </c>
      <c r="I25" s="126">
        <v>0</v>
      </c>
      <c r="J25" s="126">
        <v>0</v>
      </c>
      <c r="K25" s="23">
        <v>2145</v>
      </c>
      <c r="L25" s="23">
        <v>4</v>
      </c>
      <c r="M25" s="126">
        <v>0.53491899395236908</v>
      </c>
      <c r="N25" s="126">
        <v>0.19657048900471194</v>
      </c>
      <c r="O25" s="126">
        <v>0.2014799419576592</v>
      </c>
      <c r="P25">
        <f t="shared" si="0"/>
        <v>7.0074388207760352E-3</v>
      </c>
      <c r="Q25">
        <f t="shared" si="1"/>
        <v>2.6982585431448883E-3</v>
      </c>
      <c r="R25">
        <f t="shared" si="2"/>
        <v>2.7752556294347434E-3</v>
      </c>
      <c r="S25">
        <f t="shared" si="6"/>
        <v>7.0074388207760352E-3</v>
      </c>
      <c r="T25">
        <f t="shared" si="7"/>
        <v>2.6982585431448883E-3</v>
      </c>
      <c r="U25">
        <f>R25</f>
        <v>2.7752556294347434E-3</v>
      </c>
    </row>
    <row r="26" spans="1:21" x14ac:dyDescent="0.3">
      <c r="A26">
        <v>6388.2469000000001</v>
      </c>
      <c r="B26">
        <v>4.1842200778639915</v>
      </c>
      <c r="E26" s="46">
        <v>6388</v>
      </c>
      <c r="F26" s="46">
        <v>4</v>
      </c>
      <c r="G26">
        <v>257.59690000000001</v>
      </c>
      <c r="H26">
        <v>4.1773314041383101</v>
      </c>
      <c r="I26" s="126">
        <v>0</v>
      </c>
      <c r="J26" s="126">
        <v>0</v>
      </c>
      <c r="K26" s="23">
        <v>258</v>
      </c>
      <c r="L26" s="23">
        <v>4</v>
      </c>
      <c r="M26" s="126">
        <v>6.89759220532319E-2</v>
      </c>
      <c r="N26" s="126">
        <v>7.6305336404944198E-3</v>
      </c>
      <c r="O26" s="126">
        <v>7.8990692446366702E-3</v>
      </c>
      <c r="P26">
        <f t="shared" si="0"/>
        <v>9.0358457889733797E-4</v>
      </c>
      <c r="Q26">
        <f t="shared" si="1"/>
        <v>1.4419764601619005E-4</v>
      </c>
      <c r="R26">
        <f t="shared" si="2"/>
        <v>1.5145933972425518E-4</v>
      </c>
      <c r="S26" s="46">
        <f>P26+T35</f>
        <v>3.3809035845788973</v>
      </c>
      <c r="T26" s="46">
        <f>SQRT(Q26^2+U35^2)</f>
        <v>0.18000005775821606</v>
      </c>
      <c r="U26" s="46">
        <f>SQRT(R26^2+U35^2)</f>
        <v>0.1800000637220209</v>
      </c>
    </row>
    <row r="27" spans="1:21" x14ac:dyDescent="0.3">
      <c r="A27">
        <v>6937.5973999999997</v>
      </c>
      <c r="B27">
        <v>1.6858621773659257</v>
      </c>
      <c r="E27" s="23">
        <v>6936</v>
      </c>
      <c r="F27" s="23">
        <v>2</v>
      </c>
      <c r="G27">
        <v>806.94740000000002</v>
      </c>
      <c r="H27">
        <v>1.6686914876851802</v>
      </c>
      <c r="I27" s="126">
        <v>0</v>
      </c>
      <c r="J27" s="126">
        <v>0</v>
      </c>
      <c r="K27" s="23">
        <v>805</v>
      </c>
      <c r="L27" s="23">
        <v>2</v>
      </c>
      <c r="M27" s="126">
        <v>15.427494689832381</v>
      </c>
      <c r="N27" s="128">
        <v>1.4890400466680822</v>
      </c>
      <c r="O27" s="128">
        <v>1.5297809977456973</v>
      </c>
      <c r="P27">
        <f t="shared" si="0"/>
        <v>0.20210018043680419</v>
      </c>
      <c r="Q27">
        <f t="shared" si="1"/>
        <v>3.0345172576469508E-2</v>
      </c>
      <c r="R27">
        <f t="shared" si="2"/>
        <v>3.1836121748412528E-2</v>
      </c>
      <c r="S27">
        <f>P27</f>
        <v>0.20210018043680419</v>
      </c>
      <c r="T27">
        <f>Q27</f>
        <v>3.0345172576469508E-2</v>
      </c>
      <c r="U27">
        <f>R27</f>
        <v>3.1836121748412528E-2</v>
      </c>
    </row>
    <row r="28" spans="1:21" x14ac:dyDescent="0.3">
      <c r="A28">
        <v>7035.7637999999997</v>
      </c>
      <c r="B28">
        <v>1.5643000559588967</v>
      </c>
      <c r="E28" s="23">
        <v>7037</v>
      </c>
      <c r="F28" s="23">
        <v>2</v>
      </c>
      <c r="G28">
        <v>905.11379999999997</v>
      </c>
      <c r="H28">
        <v>1.5457796301779265</v>
      </c>
      <c r="I28" s="126">
        <v>0</v>
      </c>
      <c r="J28" s="126">
        <v>0</v>
      </c>
      <c r="K28" s="23">
        <v>906</v>
      </c>
      <c r="L28" s="23">
        <v>2</v>
      </c>
      <c r="M28" s="126">
        <v>6.636742755848239</v>
      </c>
      <c r="N28" s="126">
        <v>0.70148834678523586</v>
      </c>
      <c r="O28" s="126">
        <v>0.7202872957626022</v>
      </c>
      <c r="P28">
        <f t="shared" si="0"/>
        <v>8.6941330101611938E-2</v>
      </c>
      <c r="Q28">
        <f t="shared" si="1"/>
        <v>1.3580929525845272E-2</v>
      </c>
      <c r="R28">
        <f t="shared" si="2"/>
        <v>1.4222498131825386E-2</v>
      </c>
      <c r="S28">
        <f t="shared" si="6"/>
        <v>8.6941330101611938E-2</v>
      </c>
      <c r="T28">
        <f t="shared" si="7"/>
        <v>1.3580929525845272E-2</v>
      </c>
      <c r="U28">
        <f>R28</f>
        <v>1.4222498131825386E-2</v>
      </c>
    </row>
    <row r="29" spans="1:21" ht="15" thickBot="1" x14ac:dyDescent="0.35">
      <c r="A29">
        <v>7156.8121999999994</v>
      </c>
      <c r="B29">
        <v>1.3579527434608987</v>
      </c>
      <c r="E29" s="23">
        <v>7157.5</v>
      </c>
      <c r="F29" s="23">
        <v>11</v>
      </c>
      <c r="G29">
        <v>1026.1622</v>
      </c>
      <c r="H29">
        <v>1.3365760934091935</v>
      </c>
      <c r="I29" s="126">
        <v>0</v>
      </c>
      <c r="J29" s="126">
        <v>0</v>
      </c>
      <c r="K29" s="23">
        <v>1026.9000000000001</v>
      </c>
      <c r="L29" s="23">
        <v>11</v>
      </c>
      <c r="M29" s="126">
        <v>100</v>
      </c>
      <c r="N29" s="126">
        <v>11.501709547653073</v>
      </c>
      <c r="O29" s="126">
        <v>12.240095552148139</v>
      </c>
      <c r="P29">
        <v>1.31</v>
      </c>
      <c r="Q29">
        <v>0.02</v>
      </c>
      <c r="R29">
        <v>0.02</v>
      </c>
      <c r="S29">
        <f>P29</f>
        <v>1.31</v>
      </c>
      <c r="T29">
        <f>Q29</f>
        <v>0.02</v>
      </c>
      <c r="U29">
        <f>R29</f>
        <v>0.02</v>
      </c>
    </row>
    <row r="30" spans="1:21" s="3" customFormat="1" x14ac:dyDescent="0.3">
      <c r="A30" s="2">
        <v>9403.7800000000007</v>
      </c>
      <c r="B30" s="3">
        <v>6.0706892771743712</v>
      </c>
      <c r="C30" s="3">
        <v>2.7134635437476327E-2</v>
      </c>
      <c r="D30" s="3">
        <v>9405.3388221374516</v>
      </c>
      <c r="E30" s="173">
        <v>9405</v>
      </c>
      <c r="F30" s="173">
        <v>4</v>
      </c>
      <c r="G30" s="3">
        <v>1818.85</v>
      </c>
      <c r="H30" s="3">
        <v>6.0657372429078968</v>
      </c>
      <c r="I30" s="3">
        <v>1454.28</v>
      </c>
      <c r="J30" s="3">
        <v>0.05</v>
      </c>
      <c r="K30" s="16">
        <v>1819</v>
      </c>
      <c r="L30" s="16">
        <v>6</v>
      </c>
      <c r="M30" s="127">
        <v>0.24597053757616033</v>
      </c>
      <c r="N30" s="127">
        <v>6.446723357279785E-2</v>
      </c>
      <c r="O30" s="127">
        <v>7.5798012701106851E-2</v>
      </c>
      <c r="P30" s="3">
        <f>M30/$M$29*$P$29</f>
        <v>3.2222140422477003E-3</v>
      </c>
      <c r="Q30" s="3">
        <f>P30*SQRT(N30^2/M30^2+$N$29^2/$M$29^2)</f>
        <v>9.2226181943059842E-4</v>
      </c>
      <c r="R30" s="3">
        <f>P30*SQRT(O30^2/M30^2+$O$29^2/$M$29^2)</f>
        <v>1.0684149840889787E-3</v>
      </c>
      <c r="S30" s="145">
        <f>SUM(P30:P31)</f>
        <v>3.2581721453453236E-3</v>
      </c>
      <c r="T30" s="145">
        <f>SQRT(Q30^2+Q31^2)</f>
        <v>9.2234305479003585E-4</v>
      </c>
      <c r="U30" s="145">
        <f>SQRT(R30^2+R31^2)</f>
        <v>1.0684866987426404E-3</v>
      </c>
    </row>
    <row r="31" spans="1:21" s="119" customFormat="1" ht="15" thickBot="1" x14ac:dyDescent="0.35">
      <c r="A31" s="119">
        <v>9409.7124999999996</v>
      </c>
      <c r="B31" s="119">
        <v>10.168645760867077</v>
      </c>
      <c r="C31" s="119">
        <v>9.6710529995434284E-3</v>
      </c>
      <c r="E31" s="175"/>
      <c r="F31" s="175"/>
      <c r="I31" s="120">
        <v>2538.87</v>
      </c>
      <c r="J31" s="120">
        <v>0.18</v>
      </c>
      <c r="K31" s="17">
        <v>740</v>
      </c>
      <c r="L31" s="17">
        <v>10</v>
      </c>
      <c r="M31" s="120">
        <v>2.7448933662307939E-3</v>
      </c>
      <c r="N31" s="120">
        <v>8.7949508564602152E-4</v>
      </c>
      <c r="O31" s="120">
        <v>8.8324162847282868E-4</v>
      </c>
      <c r="P31" s="119">
        <f>M31/$M$29*$P$29</f>
        <v>3.5958103097623405E-5</v>
      </c>
      <c r="Q31" s="119">
        <f>P31*SQRT(N31^2/M31^2+$N$29^2/$M$29^2)</f>
        <v>1.2241206638947353E-5</v>
      </c>
      <c r="R31" s="119">
        <f>P31*SQRT(O31^2/M31^2+$O$29^2/$M$29^2)</f>
        <v>1.2379303861427003E-5</v>
      </c>
      <c r="S31" s="146"/>
      <c r="T31" s="146"/>
      <c r="U31" s="146"/>
    </row>
    <row r="32" spans="1:21" s="30" customFormat="1" ht="15" thickBot="1" x14ac:dyDescent="0.35">
      <c r="A32" s="29">
        <v>9730.141599999999</v>
      </c>
      <c r="B32" s="30">
        <v>10.09102752002986</v>
      </c>
      <c r="E32" s="30">
        <v>9730</v>
      </c>
      <c r="F32" s="30">
        <v>10</v>
      </c>
      <c r="G32" s="30">
        <v>1060</v>
      </c>
      <c r="H32" s="30">
        <v>10</v>
      </c>
      <c r="I32" s="30">
        <v>2538.87</v>
      </c>
      <c r="J32" s="30">
        <v>0.18</v>
      </c>
      <c r="K32" s="30">
        <v>1060</v>
      </c>
      <c r="L32" s="30">
        <v>10</v>
      </c>
      <c r="M32" s="129">
        <v>3.9179418189032797E-2</v>
      </c>
      <c r="N32" s="129">
        <v>3.8000514078755911E-2</v>
      </c>
      <c r="O32" s="129">
        <v>3.8099930424892701E-2</v>
      </c>
      <c r="P32" s="30">
        <f>M32/$M$29*$P$29</f>
        <v>5.1325037827632967E-4</v>
      </c>
      <c r="Q32" s="30">
        <f>P32*SQRT(N32^2/M32^2+$N$29^2/$M$29^2)</f>
        <v>5.0129471262130864E-4</v>
      </c>
      <c r="R32" s="30">
        <f>P32*SQRT(O32^2/M32^2+$O$29^2/$M$29^2)</f>
        <v>5.0304724259316676E-4</v>
      </c>
      <c r="S32" s="30">
        <f>P32</f>
        <v>5.1325037827632967E-4</v>
      </c>
      <c r="T32" s="30">
        <f>Q32</f>
        <v>5.0129471262130864E-4</v>
      </c>
      <c r="U32" s="30">
        <f>R32</f>
        <v>5.0304724259316676E-4</v>
      </c>
    </row>
    <row r="33" spans="5:21" ht="15" thickBot="1" x14ac:dyDescent="0.35"/>
    <row r="34" spans="5:21" x14ac:dyDescent="0.3">
      <c r="E34" s="171" t="s">
        <v>378</v>
      </c>
      <c r="F34" s="171"/>
      <c r="S34" s="2" t="s">
        <v>367</v>
      </c>
      <c r="T34" s="3"/>
      <c r="U34" s="9"/>
    </row>
    <row r="35" spans="5:21" ht="15" thickBot="1" x14ac:dyDescent="0.35">
      <c r="E35" s="172" t="s">
        <v>379</v>
      </c>
      <c r="F35" s="172"/>
      <c r="S35" s="7">
        <v>6390</v>
      </c>
      <c r="T35" s="8">
        <v>3.38</v>
      </c>
      <c r="U35" s="13">
        <v>0.18</v>
      </c>
    </row>
  </sheetData>
  <mergeCells count="32">
    <mergeCell ref="E34:F34"/>
    <mergeCell ref="E35:F35"/>
    <mergeCell ref="E3:E6"/>
    <mergeCell ref="F3:F6"/>
    <mergeCell ref="E9:E10"/>
    <mergeCell ref="F9:F10"/>
    <mergeCell ref="E13:E14"/>
    <mergeCell ref="F13:F14"/>
    <mergeCell ref="E30:E31"/>
    <mergeCell ref="F30:F31"/>
    <mergeCell ref="E15:E16"/>
    <mergeCell ref="F15:F16"/>
    <mergeCell ref="E18:E19"/>
    <mergeCell ref="F18:F19"/>
    <mergeCell ref="S3:S6"/>
    <mergeCell ref="S9:S10"/>
    <mergeCell ref="S15:S16"/>
    <mergeCell ref="S13:S14"/>
    <mergeCell ref="S18:S19"/>
    <mergeCell ref="T3:T6"/>
    <mergeCell ref="U3:U6"/>
    <mergeCell ref="T9:T10"/>
    <mergeCell ref="U9:U10"/>
    <mergeCell ref="T15:T16"/>
    <mergeCell ref="U15:U16"/>
    <mergeCell ref="T13:T14"/>
    <mergeCell ref="U13:U14"/>
    <mergeCell ref="T30:T31"/>
    <mergeCell ref="U30:U31"/>
    <mergeCell ref="S30:S31"/>
    <mergeCell ref="T18:T19"/>
    <mergeCell ref="U18:U1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E88F-7548-4823-8E46-119EE4443BAF}">
  <dimension ref="A1:E33"/>
  <sheetViews>
    <sheetView workbookViewId="0">
      <selection activeCell="F20" sqref="F20"/>
    </sheetView>
  </sheetViews>
  <sheetFormatPr defaultRowHeight="14.4" x14ac:dyDescent="0.3"/>
  <cols>
    <col min="1" max="1" width="9.6640625" style="118" bestFit="1" customWidth="1"/>
    <col min="2" max="2" width="19" bestFit="1" customWidth="1"/>
    <col min="4" max="4" width="23.88671875" bestFit="1" customWidth="1"/>
    <col min="5" max="5" width="18.21875" bestFit="1" customWidth="1"/>
  </cols>
  <sheetData>
    <row r="1" spans="1:5" x14ac:dyDescent="0.3">
      <c r="A1" s="143" t="s">
        <v>368</v>
      </c>
      <c r="B1" s="143"/>
      <c r="C1" t="s">
        <v>441</v>
      </c>
      <c r="D1" t="s">
        <v>442</v>
      </c>
    </row>
    <row r="2" spans="1:5" s="118" customFormat="1" x14ac:dyDescent="0.3">
      <c r="A2" s="118" t="s">
        <v>439</v>
      </c>
      <c r="B2" s="118" t="s">
        <v>438</v>
      </c>
      <c r="C2" s="118" t="s">
        <v>438</v>
      </c>
      <c r="D2" s="118" t="s">
        <v>438</v>
      </c>
    </row>
    <row r="3" spans="1:5" x14ac:dyDescent="0.3">
      <c r="B3" t="s">
        <v>415</v>
      </c>
      <c r="D3" s="117" t="s">
        <v>443</v>
      </c>
    </row>
    <row r="4" spans="1:5" x14ac:dyDescent="0.3">
      <c r="A4" s="118" t="s">
        <v>416</v>
      </c>
      <c r="B4" s="130" t="s">
        <v>440</v>
      </c>
      <c r="D4" s="117" t="s">
        <v>445</v>
      </c>
    </row>
    <row r="5" spans="1:5" x14ac:dyDescent="0.3">
      <c r="A5" s="118" t="s">
        <v>417</v>
      </c>
      <c r="B5" s="130" t="s">
        <v>440</v>
      </c>
      <c r="D5" s="117" t="s">
        <v>444</v>
      </c>
    </row>
    <row r="6" spans="1:5" x14ac:dyDescent="0.3">
      <c r="A6" s="118" t="s">
        <v>418</v>
      </c>
      <c r="B6" s="130" t="s">
        <v>440</v>
      </c>
      <c r="D6" s="117" t="s">
        <v>447</v>
      </c>
    </row>
    <row r="7" spans="1:5" x14ac:dyDescent="0.3">
      <c r="B7" s="144" t="s">
        <v>419</v>
      </c>
      <c r="D7" s="144" t="s">
        <v>446</v>
      </c>
      <c r="E7" s="144"/>
    </row>
    <row r="8" spans="1:5" s="118" customFormat="1" x14ac:dyDescent="0.3">
      <c r="B8" s="144"/>
      <c r="D8" s="144"/>
      <c r="E8" s="144"/>
    </row>
    <row r="9" spans="1:5" x14ac:dyDescent="0.3">
      <c r="B9" t="s">
        <v>420</v>
      </c>
      <c r="D9" s="131" t="s">
        <v>450</v>
      </c>
    </row>
    <row r="10" spans="1:5" x14ac:dyDescent="0.3">
      <c r="B10" t="s">
        <v>421</v>
      </c>
      <c r="D10" s="117" t="s">
        <v>451</v>
      </c>
    </row>
    <row r="11" spans="1:5" x14ac:dyDescent="0.3">
      <c r="B11" t="s">
        <v>422</v>
      </c>
      <c r="D11" s="117" t="s">
        <v>448</v>
      </c>
    </row>
    <row r="12" spans="1:5" x14ac:dyDescent="0.3">
      <c r="B12" t="s">
        <v>423</v>
      </c>
      <c r="D12" s="117" t="s">
        <v>449</v>
      </c>
    </row>
    <row r="13" spans="1:5" x14ac:dyDescent="0.3">
      <c r="B13" t="s">
        <v>424</v>
      </c>
      <c r="D13" s="131" t="s">
        <v>452</v>
      </c>
    </row>
    <row r="14" spans="1:5" x14ac:dyDescent="0.3">
      <c r="B14" t="s">
        <v>425</v>
      </c>
      <c r="D14" s="131" t="s">
        <v>453</v>
      </c>
    </row>
    <row r="15" spans="1:5" x14ac:dyDescent="0.3">
      <c r="B15" s="144" t="s">
        <v>426</v>
      </c>
      <c r="D15" s="144" t="s">
        <v>449</v>
      </c>
      <c r="E15" s="118"/>
    </row>
    <row r="16" spans="1:5" s="118" customFormat="1" x14ac:dyDescent="0.3">
      <c r="B16" s="144"/>
      <c r="D16" s="144"/>
    </row>
    <row r="17" spans="2:5" s="118" customFormat="1" x14ac:dyDescent="0.3">
      <c r="B17" s="144"/>
      <c r="D17" s="144"/>
    </row>
    <row r="18" spans="2:5" s="118" customFormat="1" x14ac:dyDescent="0.3">
      <c r="B18" s="144"/>
      <c r="D18" s="144"/>
    </row>
    <row r="19" spans="2:5" x14ac:dyDescent="0.3">
      <c r="B19" s="144" t="s">
        <v>427</v>
      </c>
      <c r="D19" s="144" t="s">
        <v>454</v>
      </c>
      <c r="E19" s="118"/>
    </row>
    <row r="20" spans="2:5" s="118" customFormat="1" x14ac:dyDescent="0.3">
      <c r="B20" s="144"/>
      <c r="D20" s="144"/>
    </row>
    <row r="21" spans="2:5" x14ac:dyDescent="0.3">
      <c r="B21" t="s">
        <v>428</v>
      </c>
      <c r="D21" s="131" t="s">
        <v>455</v>
      </c>
      <c r="E21" s="118"/>
    </row>
    <row r="22" spans="2:5" x14ac:dyDescent="0.3">
      <c r="B22" t="s">
        <v>429</v>
      </c>
      <c r="D22" s="131" t="s">
        <v>456</v>
      </c>
      <c r="E22" s="118"/>
    </row>
    <row r="23" spans="2:5" x14ac:dyDescent="0.3">
      <c r="B23" t="s">
        <v>430</v>
      </c>
      <c r="D23" s="131" t="s">
        <v>457</v>
      </c>
      <c r="E23" s="118"/>
    </row>
    <row r="24" spans="2:5" x14ac:dyDescent="0.3">
      <c r="B24" t="s">
        <v>431</v>
      </c>
      <c r="D24" s="131" t="s">
        <v>458</v>
      </c>
      <c r="E24" s="118"/>
    </row>
    <row r="25" spans="2:5" x14ac:dyDescent="0.3">
      <c r="B25" t="s">
        <v>432</v>
      </c>
      <c r="D25" s="131" t="s">
        <v>459</v>
      </c>
      <c r="E25" s="118"/>
    </row>
    <row r="26" spans="2:5" x14ac:dyDescent="0.3">
      <c r="B26" s="144" t="s">
        <v>433</v>
      </c>
      <c r="D26" s="178" t="s">
        <v>460</v>
      </c>
      <c r="E26" s="118"/>
    </row>
    <row r="27" spans="2:5" s="118" customFormat="1" x14ac:dyDescent="0.3">
      <c r="B27" s="144"/>
      <c r="D27" s="178"/>
    </row>
    <row r="28" spans="2:5" x14ac:dyDescent="0.3">
      <c r="B28" s="144" t="s">
        <v>434</v>
      </c>
      <c r="D28" s="144" t="s">
        <v>461</v>
      </c>
      <c r="E28" s="118"/>
    </row>
    <row r="29" spans="2:5" s="118" customFormat="1" x14ac:dyDescent="0.3">
      <c r="B29" s="144"/>
      <c r="D29" s="144"/>
    </row>
    <row r="30" spans="2:5" x14ac:dyDescent="0.3">
      <c r="B30" t="s">
        <v>435</v>
      </c>
      <c r="D30" s="131" t="s">
        <v>462</v>
      </c>
      <c r="E30" s="118"/>
    </row>
    <row r="31" spans="2:5" x14ac:dyDescent="0.3">
      <c r="B31" t="s">
        <v>436</v>
      </c>
      <c r="D31" s="131" t="s">
        <v>463</v>
      </c>
      <c r="E31" s="118"/>
    </row>
    <row r="32" spans="2:5" x14ac:dyDescent="0.3">
      <c r="B32" t="s">
        <v>437</v>
      </c>
      <c r="D32" s="131" t="s">
        <v>450</v>
      </c>
      <c r="E32" s="118"/>
    </row>
    <row r="33" spans="4:5" x14ac:dyDescent="0.3">
      <c r="D33" s="26"/>
      <c r="E33" s="118"/>
    </row>
  </sheetData>
  <mergeCells count="12">
    <mergeCell ref="E7:E8"/>
    <mergeCell ref="D15:D18"/>
    <mergeCell ref="D19:D20"/>
    <mergeCell ref="D26:D27"/>
    <mergeCell ref="D28:D29"/>
    <mergeCell ref="B28:B29"/>
    <mergeCell ref="D7:D8"/>
    <mergeCell ref="A1:B1"/>
    <mergeCell ref="B7:B8"/>
    <mergeCell ref="B15:B18"/>
    <mergeCell ref="B19:B20"/>
    <mergeCell ref="B26:B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88E4-9859-4A74-8712-783338A08DB0}">
  <dimension ref="A1:P24"/>
  <sheetViews>
    <sheetView tabSelected="1" workbookViewId="0">
      <selection activeCell="G2" sqref="G2"/>
    </sheetView>
  </sheetViews>
  <sheetFormatPr defaultRowHeight="14.4" x14ac:dyDescent="0.3"/>
  <cols>
    <col min="1" max="1" width="9.33203125" style="132" customWidth="1"/>
    <col min="2" max="2" width="3.88671875" style="132" bestFit="1" customWidth="1"/>
    <col min="3" max="3" width="12" style="132" bestFit="1" customWidth="1"/>
    <col min="4" max="4" width="13.33203125" style="132" bestFit="1" customWidth="1"/>
    <col min="5" max="5" width="13.6640625" style="132" bestFit="1" customWidth="1"/>
    <col min="6" max="6" width="16.21875" style="132" bestFit="1" customWidth="1"/>
    <col min="7" max="7" width="12.5546875" style="132" bestFit="1" customWidth="1"/>
    <col min="8" max="8" width="11.6640625" style="132" bestFit="1" customWidth="1"/>
    <col min="9" max="9" width="11.77734375" style="132" bestFit="1" customWidth="1"/>
    <col min="10" max="10" width="12.5546875" style="132" bestFit="1" customWidth="1"/>
    <col min="11" max="11" width="12.6640625" style="132" bestFit="1" customWidth="1"/>
    <col min="12" max="12" width="6.5546875" style="132" bestFit="1" customWidth="1"/>
    <col min="13" max="13" width="11.5546875" style="132" bestFit="1" customWidth="1"/>
    <col min="14" max="14" width="11.44140625" style="132" bestFit="1" customWidth="1"/>
    <col min="15" max="15" width="12.5546875" style="132" bestFit="1" customWidth="1"/>
    <col min="16" max="16" width="12.6640625" style="132" bestFit="1" customWidth="1"/>
    <col min="17" max="17" width="8.88671875" style="132"/>
    <col min="18" max="18" width="11.44140625" style="132" bestFit="1" customWidth="1"/>
    <col min="19" max="22" width="7" style="132" bestFit="1" customWidth="1"/>
    <col min="23" max="23" width="16.21875" style="132" bestFit="1" customWidth="1"/>
    <col min="24" max="24" width="6.88671875" style="132" bestFit="1" customWidth="1"/>
    <col min="25" max="16384" width="8.88671875" style="132"/>
  </cols>
  <sheetData>
    <row r="1" spans="1:16" x14ac:dyDescent="0.3">
      <c r="A1" s="132" t="s">
        <v>368</v>
      </c>
      <c r="B1" s="132" t="s">
        <v>369</v>
      </c>
      <c r="C1" s="132" t="s">
        <v>364</v>
      </c>
      <c r="D1" s="132" t="s">
        <v>370</v>
      </c>
      <c r="E1" s="132" t="s">
        <v>371</v>
      </c>
      <c r="F1" s="139" t="s">
        <v>475</v>
      </c>
      <c r="G1" s="133" t="s">
        <v>464</v>
      </c>
      <c r="H1" s="133" t="s">
        <v>467</v>
      </c>
      <c r="I1" s="133" t="s">
        <v>468</v>
      </c>
      <c r="J1" s="133" t="s">
        <v>465</v>
      </c>
      <c r="K1" s="133" t="s">
        <v>466</v>
      </c>
      <c r="L1" s="134" t="s">
        <v>469</v>
      </c>
      <c r="M1" s="134" t="s">
        <v>470</v>
      </c>
      <c r="N1" s="134" t="s">
        <v>471</v>
      </c>
      <c r="O1" s="134" t="s">
        <v>465</v>
      </c>
      <c r="P1" s="134" t="s">
        <v>466</v>
      </c>
    </row>
    <row r="2" spans="1:16" x14ac:dyDescent="0.3">
      <c r="A2" s="132">
        <v>6388</v>
      </c>
      <c r="B2" s="132">
        <v>4</v>
      </c>
      <c r="C2" s="132">
        <v>3.3809040000000001</v>
      </c>
      <c r="D2" s="132">
        <v>0.18</v>
      </c>
      <c r="E2" s="132">
        <v>0.18</v>
      </c>
      <c r="F2" s="138" t="s">
        <v>472</v>
      </c>
      <c r="G2" s="179">
        <v>4.1143999999999998</v>
      </c>
      <c r="H2" s="135">
        <v>4.0918999999999999</v>
      </c>
      <c r="I2" s="135">
        <v>4.1380999999999997</v>
      </c>
      <c r="J2" s="135">
        <f>G2-H2</f>
        <v>2.2499999999999964E-2</v>
      </c>
      <c r="K2" s="135">
        <f>I2-G2</f>
        <v>2.3699999999999832E-2</v>
      </c>
      <c r="L2" s="136">
        <v>0.29030894370345578</v>
      </c>
      <c r="M2" s="136">
        <v>0.30655483486145091</v>
      </c>
      <c r="N2" s="136">
        <v>0.27416645005103035</v>
      </c>
      <c r="O2" s="136">
        <f>L2-N2</f>
        <v>1.6142493652425427E-2</v>
      </c>
      <c r="P2" s="136">
        <f>M2-L2</f>
        <v>1.6245891157995129E-2</v>
      </c>
    </row>
    <row r="3" spans="1:16" x14ac:dyDescent="0.3">
      <c r="A3" s="132">
        <v>6936</v>
      </c>
      <c r="B3" s="132">
        <v>2</v>
      </c>
      <c r="C3" s="132">
        <v>0.2021</v>
      </c>
      <c r="D3" s="132">
        <v>3.0345E-2</v>
      </c>
      <c r="E3" s="132">
        <v>3.1836000000000003E-2</v>
      </c>
      <c r="F3" s="138" t="s">
        <v>472</v>
      </c>
      <c r="G3" s="179">
        <v>5.0853999999999999</v>
      </c>
      <c r="H3" s="135">
        <v>5.0217999999999998</v>
      </c>
      <c r="I3" s="135">
        <v>5.1559999999999997</v>
      </c>
      <c r="J3" s="135">
        <v>6.3600000000000101E-2</v>
      </c>
      <c r="K3" s="135">
        <v>7.0599999999999774E-2</v>
      </c>
      <c r="L3" s="136">
        <v>3.1035619274815518E-2</v>
      </c>
      <c r="M3" s="136">
        <v>3.6025346781067509E-2</v>
      </c>
      <c r="N3" s="136">
        <v>2.6309603844704849E-2</v>
      </c>
      <c r="O3" s="136">
        <f t="shared" ref="O3:O24" si="0">L3-N3</f>
        <v>4.7260154301106694E-3</v>
      </c>
      <c r="P3" s="136">
        <f t="shared" ref="P3:P23" si="1">M3-L3</f>
        <v>4.9897275062519911E-3</v>
      </c>
    </row>
    <row r="4" spans="1:16" x14ac:dyDescent="0.3">
      <c r="A4" s="132">
        <v>7037</v>
      </c>
      <c r="B4" s="132">
        <v>2</v>
      </c>
      <c r="C4" s="132">
        <v>8.6941000000000004E-2</v>
      </c>
      <c r="D4" s="132">
        <v>1.3580999999999999E-2</v>
      </c>
      <c r="E4" s="132">
        <v>1.4222E-2</v>
      </c>
      <c r="F4" s="138" t="s">
        <v>472</v>
      </c>
      <c r="G4" s="179">
        <v>5.4016999999999999</v>
      </c>
      <c r="H4" s="135">
        <v>5.3358999999999996</v>
      </c>
      <c r="I4" s="135">
        <v>5.4755000000000003</v>
      </c>
      <c r="J4" s="135">
        <v>6.5800000000000303E-2</v>
      </c>
      <c r="K4" s="135">
        <v>7.380000000000031E-2</v>
      </c>
      <c r="L4" s="136">
        <v>1.4981676516717543E-2</v>
      </c>
      <c r="M4" s="136">
        <v>1.7478661433292395E-2</v>
      </c>
      <c r="N4" s="136">
        <v>1.2607074195745454E-2</v>
      </c>
      <c r="O4" s="136">
        <f t="shared" si="0"/>
        <v>2.3746023209720891E-3</v>
      </c>
      <c r="P4" s="136">
        <f t="shared" si="1"/>
        <v>2.4969849165748514E-3</v>
      </c>
    </row>
    <row r="5" spans="1:16" x14ac:dyDescent="0.3">
      <c r="A5" s="132">
        <v>7157.5</v>
      </c>
      <c r="B5" s="132">
        <v>11</v>
      </c>
      <c r="C5" s="132">
        <v>1.31</v>
      </c>
      <c r="D5" s="132">
        <v>0.02</v>
      </c>
      <c r="E5" s="132">
        <v>0.02</v>
      </c>
      <c r="F5" s="138" t="s">
        <v>472</v>
      </c>
      <c r="G5" s="179">
        <v>4.1623999999999999</v>
      </c>
      <c r="H5" s="135">
        <v>4.1558000000000002</v>
      </c>
      <c r="I5" s="135">
        <v>4.1691000000000003</v>
      </c>
      <c r="J5" s="135">
        <v>6.5999999999997172E-3</v>
      </c>
      <c r="K5" s="135">
        <v>6.7000000000003723E-3</v>
      </c>
      <c r="L5" s="136">
        <v>0.25993239931599493</v>
      </c>
      <c r="M5" s="136">
        <v>0.2646111681586335</v>
      </c>
      <c r="N5" s="136">
        <v>0.25527854083157137</v>
      </c>
      <c r="O5" s="136">
        <f t="shared" si="0"/>
        <v>4.6538584844235675E-3</v>
      </c>
      <c r="P5" s="136">
        <f t="shared" si="1"/>
        <v>4.6787688426385698E-3</v>
      </c>
    </row>
    <row r="6" spans="1:16" x14ac:dyDescent="0.3">
      <c r="A6" s="132">
        <v>7703</v>
      </c>
      <c r="B6" s="132">
        <v>3</v>
      </c>
      <c r="C6" s="132">
        <v>0.141675</v>
      </c>
      <c r="D6" s="132">
        <v>3.3552999999999999E-2</v>
      </c>
      <c r="E6" s="132">
        <v>3.4176999999999999E-2</v>
      </c>
      <c r="F6" s="138" t="s">
        <v>472</v>
      </c>
      <c r="G6" s="179">
        <v>4.8263999999999996</v>
      </c>
      <c r="H6" s="135">
        <v>4.7325999999999997</v>
      </c>
      <c r="I6" s="135">
        <v>4.9438000000000004</v>
      </c>
      <c r="J6" s="135">
        <v>9.3799999999999883E-2</v>
      </c>
      <c r="K6" s="135">
        <v>0.11740000000000084</v>
      </c>
      <c r="L6" s="136">
        <v>5.6345652897291515E-2</v>
      </c>
      <c r="M6" s="136">
        <v>7.0114553065777296E-2</v>
      </c>
      <c r="N6" s="136">
        <v>4.2885878294479388E-2</v>
      </c>
      <c r="O6" s="136">
        <f t="shared" si="0"/>
        <v>1.3459774602812127E-2</v>
      </c>
      <c r="P6" s="136">
        <f t="shared" si="1"/>
        <v>1.3768900168485781E-2</v>
      </c>
    </row>
    <row r="7" spans="1:16" x14ac:dyDescent="0.3">
      <c r="A7" s="132">
        <v>7797</v>
      </c>
      <c r="B7" s="132">
        <v>12</v>
      </c>
      <c r="C7" s="132">
        <v>5.4500000000000002E-4</v>
      </c>
      <c r="D7" s="132">
        <v>1.3300000000000001E-4</v>
      </c>
      <c r="E7" s="132">
        <v>1.3799999999999999E-4</v>
      </c>
      <c r="F7" s="139" t="s">
        <v>473</v>
      </c>
      <c r="G7" s="179">
        <v>7.1845999999999997</v>
      </c>
      <c r="H7" s="135">
        <v>7.0869999999999997</v>
      </c>
      <c r="I7" s="135">
        <v>7.306</v>
      </c>
      <c r="J7" s="135">
        <v>9.7599999999999909E-2</v>
      </c>
      <c r="K7" s="135">
        <v>0.1214000000000004</v>
      </c>
      <c r="L7" s="136">
        <v>2.4697922048889394E-4</v>
      </c>
      <c r="M7" s="136">
        <v>3.1003317655336094E-4</v>
      </c>
      <c r="N7" s="136">
        <v>1.862577313067549E-4</v>
      </c>
      <c r="O7" s="136">
        <f t="shared" si="0"/>
        <v>6.0721489182139041E-5</v>
      </c>
      <c r="P7" s="136">
        <f t="shared" si="1"/>
        <v>6.3053956064466996E-5</v>
      </c>
    </row>
    <row r="8" spans="1:16" x14ac:dyDescent="0.3">
      <c r="A8" s="132">
        <v>7887</v>
      </c>
      <c r="B8" s="132">
        <v>3</v>
      </c>
      <c r="C8" s="132">
        <v>3.7739000000000002E-2</v>
      </c>
      <c r="D8" s="132">
        <v>8.5470000000000008E-3</v>
      </c>
      <c r="E8" s="132">
        <v>9.8849999999999997E-3</v>
      </c>
      <c r="F8" s="138" t="s">
        <v>472</v>
      </c>
      <c r="G8" s="179">
        <v>5.2884000000000002</v>
      </c>
      <c r="H8" s="135">
        <v>5.1874000000000002</v>
      </c>
      <c r="I8" s="135">
        <v>5.4</v>
      </c>
      <c r="J8" s="135">
        <v>0.10099999999999998</v>
      </c>
      <c r="K8" s="135">
        <v>0.11160000000000014</v>
      </c>
      <c r="L8" s="136">
        <v>1.9447349336291372E-2</v>
      </c>
      <c r="M8" s="136">
        <v>2.4604138895285083E-2</v>
      </c>
      <c r="N8" s="136">
        <v>1.5000796130110889E-2</v>
      </c>
      <c r="O8" s="136">
        <f t="shared" si="0"/>
        <v>4.4465532061804831E-3</v>
      </c>
      <c r="P8" s="136">
        <f t="shared" si="1"/>
        <v>5.1567895589937109E-3</v>
      </c>
    </row>
    <row r="9" spans="1:16" x14ac:dyDescent="0.3">
      <c r="A9" s="132">
        <v>7905</v>
      </c>
      <c r="B9" s="132">
        <v>8</v>
      </c>
      <c r="C9" s="132">
        <v>2.6770000000000001E-3</v>
      </c>
      <c r="D9" s="132">
        <v>8.1599999999999999E-4</v>
      </c>
      <c r="E9" s="132">
        <v>8.4400000000000002E-4</v>
      </c>
      <c r="F9" s="138" t="s">
        <v>473</v>
      </c>
      <c r="G9" s="179">
        <v>6.4263000000000003</v>
      </c>
      <c r="H9" s="135">
        <v>6.3071999999999999</v>
      </c>
      <c r="I9" s="135">
        <v>6.5842000000000001</v>
      </c>
      <c r="J9" s="135">
        <v>0.11910000000000043</v>
      </c>
      <c r="K9" s="135">
        <v>0.15789999999999971</v>
      </c>
      <c r="L9" s="136">
        <v>1.4156647411998527E-3</v>
      </c>
      <c r="M9" s="136">
        <v>1.8672745156078977E-3</v>
      </c>
      <c r="N9" s="136">
        <v>9.8155425212212519E-4</v>
      </c>
      <c r="O9" s="136">
        <f t="shared" si="0"/>
        <v>4.3411048907772746E-4</v>
      </c>
      <c r="P9" s="136">
        <f t="shared" si="1"/>
        <v>4.5160977440804502E-4</v>
      </c>
    </row>
    <row r="10" spans="1:16" x14ac:dyDescent="0.3">
      <c r="A10" s="132">
        <v>8017</v>
      </c>
      <c r="B10" s="132">
        <v>3</v>
      </c>
      <c r="C10" s="132">
        <v>9.0033000000000002E-2</v>
      </c>
      <c r="D10" s="132">
        <v>2.0140000000000002E-2</v>
      </c>
      <c r="E10" s="132">
        <v>2.2075999999999998E-2</v>
      </c>
      <c r="F10" s="138" t="s">
        <v>472</v>
      </c>
      <c r="G10" s="179">
        <v>4.8276000000000003</v>
      </c>
      <c r="H10" s="135">
        <v>4.7323000000000004</v>
      </c>
      <c r="I10" s="135">
        <v>4.9375</v>
      </c>
      <c r="J10" s="135">
        <v>9.529999999999994E-2</v>
      </c>
      <c r="K10" s="135">
        <v>0.10989999999999966</v>
      </c>
      <c r="L10" s="136">
        <v>5.6190178998837145E-2</v>
      </c>
      <c r="M10" s="136">
        <v>7.0163003215346784E-2</v>
      </c>
      <c r="N10" s="136">
        <v>4.3512527300041716E-2</v>
      </c>
      <c r="O10" s="136">
        <f t="shared" si="0"/>
        <v>1.2677651698795429E-2</v>
      </c>
      <c r="P10" s="136">
        <f t="shared" si="1"/>
        <v>1.3972824216509638E-2</v>
      </c>
    </row>
    <row r="11" spans="1:16" x14ac:dyDescent="0.3">
      <c r="A11" s="132">
        <v>8024</v>
      </c>
      <c r="B11" s="132">
        <v>2</v>
      </c>
      <c r="C11" s="132">
        <v>3.774E-3</v>
      </c>
      <c r="D11" s="132">
        <v>1.238E-3</v>
      </c>
      <c r="E11" s="132">
        <v>1.281E-3</v>
      </c>
      <c r="F11" s="138" t="s">
        <v>473</v>
      </c>
      <c r="G11" s="179">
        <v>6.2005999999999997</v>
      </c>
      <c r="H11" s="135">
        <v>6.0736999999999997</v>
      </c>
      <c r="I11" s="135">
        <v>6.3731999999999998</v>
      </c>
      <c r="J11" s="135">
        <v>0.12690000000000001</v>
      </c>
      <c r="K11" s="135">
        <v>0.17260000000000009</v>
      </c>
      <c r="L11" s="136">
        <v>2.3804574093922054E-3</v>
      </c>
      <c r="M11" s="136">
        <v>3.1967462915557399E-3</v>
      </c>
      <c r="N11" s="136">
        <v>1.5955642932387209E-3</v>
      </c>
      <c r="O11" s="136">
        <f t="shared" si="0"/>
        <v>7.8489311615348445E-4</v>
      </c>
      <c r="P11" s="136">
        <f t="shared" si="1"/>
        <v>8.1628888216353458E-4</v>
      </c>
    </row>
    <row r="12" spans="1:16" x14ac:dyDescent="0.3">
      <c r="A12" s="132">
        <v>8275</v>
      </c>
      <c r="B12" s="132">
        <v>4</v>
      </c>
      <c r="C12" s="132">
        <v>7.0070000000000002E-3</v>
      </c>
      <c r="D12" s="132">
        <v>2.6979999999999999E-3</v>
      </c>
      <c r="E12" s="132">
        <v>2.7750000000000001E-3</v>
      </c>
      <c r="F12" s="139" t="s">
        <v>474</v>
      </c>
      <c r="G12" s="179">
        <v>5.7606000000000002</v>
      </c>
      <c r="H12" s="135">
        <v>5.6157000000000004</v>
      </c>
      <c r="I12" s="135">
        <v>5.9718</v>
      </c>
      <c r="J12" s="135">
        <v>0.14489999999999981</v>
      </c>
      <c r="K12" s="135">
        <v>0.21119999999999983</v>
      </c>
      <c r="L12" s="136">
        <v>6.5563241240220093E-3</v>
      </c>
      <c r="M12" s="136">
        <v>9.177157179457638E-3</v>
      </c>
      <c r="N12" s="136">
        <v>4.0208170122551174E-3</v>
      </c>
      <c r="O12" s="136">
        <f t="shared" si="0"/>
        <v>2.535507111766892E-3</v>
      </c>
      <c r="P12" s="136">
        <f t="shared" si="1"/>
        <v>2.6208330554356287E-3</v>
      </c>
    </row>
    <row r="13" spans="1:16" x14ac:dyDescent="0.3">
      <c r="A13" s="132">
        <v>8418</v>
      </c>
      <c r="B13" s="132">
        <v>3</v>
      </c>
      <c r="C13" s="132">
        <v>9.4607999999999998E-2</v>
      </c>
      <c r="D13" s="132">
        <v>2.1245E-2</v>
      </c>
      <c r="E13" s="137">
        <v>2.278467118605328E-2</v>
      </c>
      <c r="F13" s="138" t="s">
        <v>472</v>
      </c>
      <c r="G13" s="179">
        <v>4.5259999999999998</v>
      </c>
      <c r="H13" s="135">
        <v>4.4322999999999997</v>
      </c>
      <c r="I13" s="135">
        <v>4.6364000000000001</v>
      </c>
      <c r="J13" s="135">
        <v>9.3700000000000117E-2</v>
      </c>
      <c r="K13" s="135">
        <v>0.11040000000000028</v>
      </c>
      <c r="L13" s="136">
        <v>0.11252795219810433</v>
      </c>
      <c r="M13" s="136">
        <v>0.13999359622062213</v>
      </c>
      <c r="N13" s="136">
        <v>8.7039083381112659E-2</v>
      </c>
      <c r="O13" s="136">
        <f t="shared" si="0"/>
        <v>2.5488868816991667E-2</v>
      </c>
      <c r="P13" s="136">
        <f t="shared" si="1"/>
        <v>2.7465644022517804E-2</v>
      </c>
    </row>
    <row r="14" spans="1:16" x14ac:dyDescent="0.3">
      <c r="A14" s="132">
        <v>8557</v>
      </c>
      <c r="B14" s="132">
        <v>2</v>
      </c>
      <c r="C14" s="132">
        <v>1.5391999999999999E-2</v>
      </c>
      <c r="D14" s="132">
        <v>3.1570000000000001E-3</v>
      </c>
      <c r="E14" s="132">
        <v>3.3010000000000001E-3</v>
      </c>
      <c r="F14" s="138" t="s">
        <v>472</v>
      </c>
      <c r="G14" s="135">
        <v>5.2080000000000002</v>
      </c>
      <c r="H14" s="135">
        <v>5.1235999999999997</v>
      </c>
      <c r="I14" s="135">
        <v>5.3076999999999996</v>
      </c>
      <c r="J14" s="135">
        <v>8.4400000000000475E-2</v>
      </c>
      <c r="K14" s="135">
        <v>9.9699999999999456E-2</v>
      </c>
      <c r="L14" s="136">
        <v>2.3402400939296013E-2</v>
      </c>
      <c r="M14" s="136">
        <v>2.849759237098554E-2</v>
      </c>
      <c r="N14" s="136">
        <v>1.8553007014391557E-2</v>
      </c>
      <c r="O14" s="136">
        <f t="shared" si="0"/>
        <v>4.8493939249044556E-3</v>
      </c>
      <c r="P14" s="136">
        <f t="shared" si="1"/>
        <v>5.0951914316895268E-3</v>
      </c>
    </row>
    <row r="15" spans="1:16" x14ac:dyDescent="0.3">
      <c r="A15" s="132">
        <v>8669</v>
      </c>
      <c r="B15" s="132">
        <v>8</v>
      </c>
      <c r="C15" s="132">
        <v>1.8630000000000001E-3</v>
      </c>
      <c r="D15" s="132">
        <v>6.3100000000000005E-4</v>
      </c>
      <c r="E15" s="132">
        <v>6.7199999999999996E-4</v>
      </c>
      <c r="F15" s="139" t="s">
        <v>473</v>
      </c>
      <c r="G15" s="135">
        <v>6.0350000000000001</v>
      </c>
      <c r="H15" s="135">
        <v>5.9013</v>
      </c>
      <c r="I15" s="135">
        <v>6.2145999999999999</v>
      </c>
      <c r="J15" s="135">
        <v>0.13370000000000015</v>
      </c>
      <c r="K15" s="135">
        <v>0.17959999999999976</v>
      </c>
      <c r="L15" s="136">
        <v>3.4854625083972886E-3</v>
      </c>
      <c r="M15" s="136">
        <v>4.7545363277340293E-3</v>
      </c>
      <c r="N15" s="136">
        <v>2.2988694492455026E-3</v>
      </c>
      <c r="O15" s="136">
        <f t="shared" si="0"/>
        <v>1.186593059151786E-3</v>
      </c>
      <c r="P15" s="136">
        <f t="shared" si="1"/>
        <v>1.2690738193367407E-3</v>
      </c>
    </row>
    <row r="16" spans="1:16" x14ac:dyDescent="0.3">
      <c r="A16" s="132">
        <v>8708</v>
      </c>
      <c r="B16" s="132">
        <v>7</v>
      </c>
      <c r="C16" s="132">
        <v>2.8410000000000002E-3</v>
      </c>
      <c r="D16" s="132">
        <v>8.7500000000000002E-4</v>
      </c>
      <c r="E16" s="132">
        <v>9.6699999999999998E-4</v>
      </c>
      <c r="F16" s="138" t="s">
        <v>474</v>
      </c>
      <c r="G16" s="135">
        <v>5.8194999999999997</v>
      </c>
      <c r="H16" s="135">
        <v>5.6921999999999997</v>
      </c>
      <c r="I16" s="135">
        <v>5.9793000000000003</v>
      </c>
      <c r="J16" s="135">
        <v>0.12729999999999997</v>
      </c>
      <c r="K16" s="135">
        <v>0.15980000000000061</v>
      </c>
      <c r="L16" s="136">
        <v>5.7248012746010943E-3</v>
      </c>
      <c r="M16" s="136">
        <v>7.6949919535568454E-3</v>
      </c>
      <c r="N16" s="136">
        <v>3.9519760935446584E-3</v>
      </c>
      <c r="O16" s="136">
        <f t="shared" si="0"/>
        <v>1.7728251810564359E-3</v>
      </c>
      <c r="P16" s="136">
        <f t="shared" si="1"/>
        <v>1.9701906789557511E-3</v>
      </c>
    </row>
    <row r="17" spans="1:16" x14ac:dyDescent="0.3">
      <c r="A17" s="132">
        <v>8813</v>
      </c>
      <c r="B17" s="132">
        <v>2</v>
      </c>
      <c r="C17" s="132">
        <v>2.0322E-2</v>
      </c>
      <c r="D17" s="132">
        <v>6.0899999999999999E-3</v>
      </c>
      <c r="E17" s="132">
        <v>6.4879999999999998E-3</v>
      </c>
      <c r="F17" s="138" t="s">
        <v>472</v>
      </c>
      <c r="G17" s="135">
        <v>4.8754</v>
      </c>
      <c r="H17" s="135">
        <v>4.7550999999999997</v>
      </c>
      <c r="I17" s="135">
        <v>5.0301</v>
      </c>
      <c r="J17" s="135">
        <v>0.1203000000000003</v>
      </c>
      <c r="K17" s="135">
        <v>0.15470000000000006</v>
      </c>
      <c r="L17" s="136">
        <v>5.0333880717683223E-2</v>
      </c>
      <c r="M17" s="136">
        <v>6.6574539340101768E-2</v>
      </c>
      <c r="N17" s="136">
        <v>3.5157202363867011E-2</v>
      </c>
      <c r="O17" s="136">
        <f t="shared" si="0"/>
        <v>1.5176678353816211E-2</v>
      </c>
      <c r="P17" s="136">
        <f t="shared" si="1"/>
        <v>1.6240658622418545E-2</v>
      </c>
    </row>
    <row r="18" spans="1:16" x14ac:dyDescent="0.3">
      <c r="A18" s="132">
        <v>8950</v>
      </c>
      <c r="B18" s="132">
        <v>5</v>
      </c>
      <c r="C18" s="132">
        <v>9.7959999999999992E-3</v>
      </c>
      <c r="D18" s="132">
        <v>8.2319999999999997E-3</v>
      </c>
      <c r="E18" s="132">
        <v>8.3800000000000003E-3</v>
      </c>
      <c r="F18" s="138" t="s">
        <v>472</v>
      </c>
      <c r="G18" s="135">
        <v>5.0693000000000001</v>
      </c>
      <c r="H18" s="135">
        <v>4.8007999999999997</v>
      </c>
      <c r="I18" s="135">
        <v>5.8661000000000003</v>
      </c>
      <c r="J18" s="135">
        <v>0.26850000000000041</v>
      </c>
      <c r="K18" s="135">
        <v>0.79680000000000017</v>
      </c>
      <c r="L18" s="136">
        <v>3.2207752155383955E-2</v>
      </c>
      <c r="M18" s="136">
        <v>5.9925017569599975E-2</v>
      </c>
      <c r="N18" s="136">
        <v>5.1287828159795401E-3</v>
      </c>
      <c r="O18" s="136">
        <f t="shared" si="0"/>
        <v>2.7078969339404416E-2</v>
      </c>
      <c r="P18" s="136">
        <f t="shared" si="1"/>
        <v>2.771726541421602E-2</v>
      </c>
    </row>
    <row r="19" spans="1:16" x14ac:dyDescent="0.3">
      <c r="A19" s="132">
        <v>8964</v>
      </c>
      <c r="B19" s="132">
        <v>2</v>
      </c>
      <c r="C19" s="132">
        <v>8.9359999999999995E-3</v>
      </c>
      <c r="D19" s="132">
        <v>1.9980000000000002E-3</v>
      </c>
      <c r="E19" s="132">
        <v>2.2989999999999998E-3</v>
      </c>
      <c r="F19" s="138" t="s">
        <v>472</v>
      </c>
      <c r="G19" s="135">
        <v>5.0961999999999996</v>
      </c>
      <c r="H19" s="135">
        <v>4.9968000000000004</v>
      </c>
      <c r="I19" s="135">
        <v>5.2061000000000002</v>
      </c>
      <c r="J19" s="135">
        <v>9.9399999999999267E-2</v>
      </c>
      <c r="K19" s="135">
        <v>0.10990000000000055</v>
      </c>
      <c r="L19" s="136">
        <v>3.0273345374210784E-2</v>
      </c>
      <c r="M19" s="136">
        <v>3.8159982778649404E-2</v>
      </c>
      <c r="N19" s="136">
        <v>2.3443060522839707E-2</v>
      </c>
      <c r="O19" s="136">
        <f t="shared" si="0"/>
        <v>6.8302848513710768E-3</v>
      </c>
      <c r="P19" s="136">
        <f t="shared" si="1"/>
        <v>7.8866374044386199E-3</v>
      </c>
    </row>
    <row r="20" spans="1:16" x14ac:dyDescent="0.3">
      <c r="A20" s="132">
        <v>9238</v>
      </c>
      <c r="B20" s="132">
        <v>3</v>
      </c>
      <c r="C20" s="132">
        <v>1.5596E-2</v>
      </c>
      <c r="D20" s="132">
        <v>3.6679999999999998E-3</v>
      </c>
      <c r="E20" s="132">
        <v>3.7789999999999998E-3</v>
      </c>
      <c r="F20" s="138" t="s">
        <v>472</v>
      </c>
      <c r="G20" s="135">
        <v>4.5819000000000001</v>
      </c>
      <c r="H20" s="135">
        <v>4.4877000000000002</v>
      </c>
      <c r="I20" s="135">
        <v>4.6984000000000004</v>
      </c>
      <c r="J20" s="135">
        <v>9.4199999999999839E-2</v>
      </c>
      <c r="K20" s="135">
        <v>0.11650000000000027</v>
      </c>
      <c r="L20" s="136">
        <v>9.8937382306588523E-2</v>
      </c>
      <c r="M20" s="136">
        <v>0.12322765103430507</v>
      </c>
      <c r="N20" s="136">
        <v>7.5459566992365196E-2</v>
      </c>
      <c r="O20" s="136">
        <f t="shared" si="0"/>
        <v>2.3477815314223327E-2</v>
      </c>
      <c r="P20" s="136">
        <f t="shared" si="1"/>
        <v>2.4290268727716544E-2</v>
      </c>
    </row>
    <row r="21" spans="1:16" x14ac:dyDescent="0.3">
      <c r="A21" s="132">
        <v>9328</v>
      </c>
      <c r="B21" s="132">
        <v>5</v>
      </c>
      <c r="C21" s="132">
        <v>1.7335E-2</v>
      </c>
      <c r="D21" s="132">
        <v>7.5380000000000004E-3</v>
      </c>
      <c r="E21" s="132">
        <v>7.4009999999999996E-3</v>
      </c>
      <c r="F21" s="138" t="s">
        <v>472</v>
      </c>
      <c r="G21" s="135">
        <v>4.4379999999999997</v>
      </c>
      <c r="H21" s="135">
        <v>4.2835999999999999</v>
      </c>
      <c r="I21" s="135">
        <v>4.6859000000000002</v>
      </c>
      <c r="J21" s="135">
        <v>0.15439999999999987</v>
      </c>
      <c r="K21" s="135">
        <v>0.24790000000000045</v>
      </c>
      <c r="L21" s="136">
        <v>0.13780355313192152</v>
      </c>
      <c r="M21" s="136">
        <v>0.19715516998870983</v>
      </c>
      <c r="N21" s="136">
        <v>7.7663026130405516E-2</v>
      </c>
      <c r="O21" s="136">
        <f t="shared" si="0"/>
        <v>6.0140527001516009E-2</v>
      </c>
      <c r="P21" s="136">
        <f t="shared" si="1"/>
        <v>5.9351616856788303E-2</v>
      </c>
    </row>
    <row r="22" spans="1:16" x14ac:dyDescent="0.3">
      <c r="A22" s="132">
        <v>9405</v>
      </c>
      <c r="B22" s="132">
        <v>4</v>
      </c>
      <c r="C22" s="132">
        <v>3.258E-3</v>
      </c>
      <c r="D22" s="132">
        <v>9.2199999999999997E-4</v>
      </c>
      <c r="E22" s="132">
        <v>1.0679999999999999E-3</v>
      </c>
      <c r="F22" s="138" t="s">
        <v>472</v>
      </c>
      <c r="G22" s="135">
        <v>5.0762999999999998</v>
      </c>
      <c r="H22" s="135">
        <v>4.9531999999999998</v>
      </c>
      <c r="I22" s="135">
        <v>5.2207999999999997</v>
      </c>
      <c r="J22" s="135">
        <v>0.12309999999999999</v>
      </c>
      <c r="K22" s="135">
        <v>0.14449999999999985</v>
      </c>
      <c r="L22" s="136">
        <v>3.1692785812499916E-2</v>
      </c>
      <c r="M22" s="136">
        <v>4.218986833386535E-2</v>
      </c>
      <c r="N22" s="136">
        <v>2.2662838752925931E-2</v>
      </c>
      <c r="O22" s="136">
        <f t="shared" si="0"/>
        <v>9.0299470595739846E-3</v>
      </c>
      <c r="P22" s="136">
        <f t="shared" si="1"/>
        <v>1.0497082521365435E-2</v>
      </c>
    </row>
    <row r="23" spans="1:16" x14ac:dyDescent="0.3">
      <c r="A23" s="132">
        <v>9421</v>
      </c>
      <c r="B23" s="132">
        <v>8</v>
      </c>
      <c r="C23" s="132">
        <v>3.8470000000000002E-3</v>
      </c>
      <c r="D23" s="132">
        <v>1.9380000000000001E-3</v>
      </c>
      <c r="E23" s="132">
        <v>1.954E-3</v>
      </c>
      <c r="F23" s="138" t="s">
        <v>472</v>
      </c>
      <c r="G23" s="135">
        <v>4.9854000000000003</v>
      </c>
      <c r="H23" s="135">
        <v>4.8070000000000004</v>
      </c>
      <c r="I23" s="135">
        <v>5.29</v>
      </c>
      <c r="J23" s="135">
        <v>0.17839999999999989</v>
      </c>
      <c r="K23" s="135">
        <v>0.30459999999999976</v>
      </c>
      <c r="L23" s="136">
        <v>3.9071529775834085E-2</v>
      </c>
      <c r="M23" s="136">
        <v>5.9075603918779293E-2</v>
      </c>
      <c r="N23" s="136">
        <v>1.9324768889655463E-2</v>
      </c>
      <c r="O23" s="136">
        <f t="shared" si="0"/>
        <v>1.9746760886178622E-2</v>
      </c>
      <c r="P23" s="136">
        <f t="shared" si="1"/>
        <v>2.0004074142945208E-2</v>
      </c>
    </row>
    <row r="24" spans="1:16" x14ac:dyDescent="0.3">
      <c r="A24" s="132">
        <v>9730</v>
      </c>
      <c r="B24" s="132">
        <v>10</v>
      </c>
      <c r="C24" s="132">
        <v>5.13E-4</v>
      </c>
      <c r="D24" s="132">
        <v>5.0100000000000003E-4</v>
      </c>
      <c r="E24" s="132">
        <v>5.0299999999999997E-4</v>
      </c>
      <c r="F24" s="139" t="s">
        <v>474</v>
      </c>
      <c r="G24" s="135">
        <v>5.4614000000000003</v>
      </c>
      <c r="H24" s="135">
        <v>5.1646000000000001</v>
      </c>
      <c r="I24" s="135">
        <v>7.0919999999999996</v>
      </c>
      <c r="J24" s="135">
        <v>0.29680000000000017</v>
      </c>
      <c r="K24" s="135">
        <v>1.6305999999999994</v>
      </c>
      <c r="L24" s="136">
        <v>1.3057511457316392E-2</v>
      </c>
      <c r="M24" s="136">
        <v>2.5930337536423279E-2</v>
      </c>
      <c r="N24" s="136">
        <v>3.0486973184655827E-4</v>
      </c>
      <c r="O24" s="136">
        <f t="shared" si="0"/>
        <v>1.2752641725469834E-2</v>
      </c>
      <c r="P24" s="136">
        <f>M24-L24</f>
        <v>1.2872826079106886E-2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677keVLevel</vt:lpstr>
      <vt:lpstr>709keVLevel</vt:lpstr>
      <vt:lpstr>1454keVLevel</vt:lpstr>
      <vt:lpstr>1973keVLevel</vt:lpstr>
      <vt:lpstr>2539keVLevel</vt:lpstr>
      <vt:lpstr>AllLevelsFitStats</vt:lpstr>
      <vt:lpstr>GetSeGAEfficiency</vt:lpstr>
      <vt:lpstr>EfficiencyCorrections</vt:lpstr>
      <vt:lpstr>ContaminantEffects</vt:lpstr>
      <vt:lpstr>FinalEnergyCalibration</vt:lpstr>
      <vt:lpstr>FinalizeBetaFeedings</vt:lpstr>
      <vt:lpstr>TableI</vt:lpstr>
      <vt:lpstr>Log(ft)Values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Tamas Budner</dc:creator>
  <cp:lastModifiedBy>Lijie Sun</cp:lastModifiedBy>
  <dcterms:created xsi:type="dcterms:W3CDTF">2021-07-30T20:41:23Z</dcterms:created>
  <dcterms:modified xsi:type="dcterms:W3CDTF">2026-03-01T01:17:26Z</dcterms:modified>
</cp:coreProperties>
</file>