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S\CIAE_DNP_NRG\note\"/>
    </mc:Choice>
  </mc:AlternateContent>
  <xr:revisionPtr revIDLastSave="0" documentId="13_ncr:1_{D92C4137-280C-4B06-9C50-534012448F8E}" xr6:coauthVersionLast="47" xr6:coauthVersionMax="47" xr10:uidLastSave="{00000000-0000-0000-0000-000000000000}"/>
  <bookViews>
    <workbookView xWindow="-108" yWindow="-108" windowWidth="23256" windowHeight="12720" firstSheet="5" activeTab="5" xr2:uid="{67CA2594-08A1-4A9F-A8C6-144F199A0B79}"/>
  </bookViews>
  <sheets>
    <sheet name="source00-22" sheetId="69" state="hidden" r:id="rId1"/>
    <sheet name="source0028" sheetId="68" state="hidden" r:id="rId2"/>
    <sheet name="source003" sheetId="67" state="hidden" r:id="rId3"/>
    <sheet name="source000" sheetId="65" state="hidden" r:id="rId4"/>
    <sheet name="sourceupstream noFET" sheetId="73" state="hidden" r:id="rId5"/>
    <sheet name="logft&amp;BGT" sheetId="57" r:id="rId6"/>
    <sheet name="mixing" sheetId="8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57" l="1"/>
  <c r="M5" i="57"/>
  <c r="L5" i="57"/>
  <c r="C226" i="82" l="1"/>
  <c r="C227" i="82"/>
  <c r="C228" i="82"/>
  <c r="C229" i="82"/>
  <c r="N219" i="82"/>
  <c r="M219" i="82"/>
  <c r="C3" i="57"/>
  <c r="M220" i="82"/>
  <c r="F223" i="82"/>
  <c r="F224" i="82"/>
  <c r="I220" i="82"/>
  <c r="I258" i="82"/>
  <c r="L258" i="82"/>
  <c r="C87" i="57"/>
  <c r="A87" i="57" s="1"/>
  <c r="C58" i="57"/>
  <c r="E58" i="57" s="1"/>
  <c r="C59" i="57"/>
  <c r="E59" i="57" s="1"/>
  <c r="C60" i="57"/>
  <c r="E60" i="57" s="1"/>
  <c r="C61" i="57"/>
  <c r="E61" i="57" s="1"/>
  <c r="C62" i="57"/>
  <c r="E62" i="57" s="1"/>
  <c r="C63" i="57"/>
  <c r="E63" i="57" s="1"/>
  <c r="C64" i="57"/>
  <c r="E64" i="57" s="1"/>
  <c r="C65" i="57"/>
  <c r="E65" i="57" s="1"/>
  <c r="C66" i="57"/>
  <c r="E66" i="57" s="1"/>
  <c r="C67" i="57"/>
  <c r="E67" i="57" s="1"/>
  <c r="C68" i="57"/>
  <c r="E68" i="57" s="1"/>
  <c r="C69" i="57"/>
  <c r="E69" i="57" s="1"/>
  <c r="C70" i="57"/>
  <c r="E70" i="57" s="1"/>
  <c r="C71" i="57"/>
  <c r="E71" i="57" s="1"/>
  <c r="C72" i="57"/>
  <c r="E72" i="57" s="1"/>
  <c r="C73" i="57"/>
  <c r="E73" i="57" s="1"/>
  <c r="C74" i="57"/>
  <c r="E74" i="57" s="1"/>
  <c r="C75" i="57"/>
  <c r="E75" i="57" s="1"/>
  <c r="C76" i="57"/>
  <c r="E76" i="57" s="1"/>
  <c r="C77" i="57"/>
  <c r="E77" i="57" s="1"/>
  <c r="C78" i="57"/>
  <c r="E78" i="57" s="1"/>
  <c r="C79" i="57"/>
  <c r="E79" i="57" s="1"/>
  <c r="C80" i="57"/>
  <c r="E80" i="57" s="1"/>
  <c r="C81" i="57"/>
  <c r="E81" i="57" s="1"/>
  <c r="C82" i="57"/>
  <c r="E82" i="57" s="1"/>
  <c r="C83" i="57"/>
  <c r="E83" i="57" s="1"/>
  <c r="C84" i="57"/>
  <c r="E84" i="57" s="1"/>
  <c r="C85" i="57"/>
  <c r="E85" i="57" s="1"/>
  <c r="C57" i="57"/>
  <c r="E223" i="82"/>
  <c r="J219" i="82"/>
  <c r="I219" i="82"/>
  <c r="H219" i="82"/>
  <c r="I48" i="82"/>
  <c r="F3" i="57" l="1"/>
  <c r="N220" i="82" s="1"/>
  <c r="D3" i="57"/>
  <c r="C347" i="82"/>
  <c r="M334" i="82"/>
  <c r="M333" i="82"/>
  <c r="J334" i="82"/>
  <c r="H333" i="82"/>
  <c r="J333" i="82"/>
  <c r="G334" i="82"/>
  <c r="G333" i="82"/>
  <c r="E345" i="82"/>
  <c r="F345" i="82" s="1"/>
  <c r="D345" i="82" s="1"/>
  <c r="C345" i="82"/>
  <c r="H340" i="82"/>
  <c r="I340" i="82" s="1"/>
  <c r="C340" i="82"/>
  <c r="C341" i="82" s="1"/>
  <c r="I334" i="82"/>
  <c r="I333" i="82"/>
  <c r="C264" i="82"/>
  <c r="C265" i="82"/>
  <c r="E265" i="82"/>
  <c r="C29" i="57"/>
  <c r="E29" i="57" s="1"/>
  <c r="C30" i="57"/>
  <c r="E30" i="57" s="1"/>
  <c r="C31" i="57"/>
  <c r="E31" i="57" s="1"/>
  <c r="C32" i="57"/>
  <c r="E32" i="57" s="1"/>
  <c r="C33" i="57"/>
  <c r="E33" i="57"/>
  <c r="C34" i="57"/>
  <c r="E34" i="57"/>
  <c r="C53" i="57"/>
  <c r="E53" i="57" s="1"/>
  <c r="C54" i="57"/>
  <c r="E54" i="57"/>
  <c r="C55" i="57"/>
  <c r="E55" i="57"/>
  <c r="C56" i="57"/>
  <c r="E56" i="57" s="1"/>
  <c r="E57" i="57"/>
  <c r="C51" i="57"/>
  <c r="E51" i="57" s="1"/>
  <c r="C52" i="57"/>
  <c r="E52" i="57" s="1"/>
  <c r="C47" i="57"/>
  <c r="E47" i="57" s="1"/>
  <c r="C48" i="57"/>
  <c r="E48" i="57" s="1"/>
  <c r="C49" i="57"/>
  <c r="E49" i="57" s="1"/>
  <c r="C50" i="57"/>
  <c r="E50" i="57" s="1"/>
  <c r="C46" i="57"/>
  <c r="E46" i="57" s="1"/>
  <c r="C36" i="57"/>
  <c r="E36" i="57" s="1"/>
  <c r="C37" i="57"/>
  <c r="E37" i="57" s="1"/>
  <c r="C38" i="57"/>
  <c r="E38" i="57" s="1"/>
  <c r="C39" i="57"/>
  <c r="E39" i="57" s="1"/>
  <c r="C40" i="57"/>
  <c r="E40" i="57" s="1"/>
  <c r="C41" i="57"/>
  <c r="E41" i="57" s="1"/>
  <c r="C42" i="57"/>
  <c r="E42" i="57" s="1"/>
  <c r="C43" i="57"/>
  <c r="E43" i="57" s="1"/>
  <c r="C44" i="57"/>
  <c r="E44" i="57" s="1"/>
  <c r="C45" i="57"/>
  <c r="E45" i="57" s="1"/>
  <c r="C35" i="57"/>
  <c r="E35" i="57" s="1"/>
  <c r="I296" i="82"/>
  <c r="C79" i="82"/>
  <c r="I295" i="82"/>
  <c r="E299" i="82"/>
  <c r="G3" i="57" l="1"/>
  <c r="H3" i="57"/>
  <c r="D338" i="82"/>
  <c r="C338" i="82"/>
  <c r="D337" i="82"/>
  <c r="C337" i="82"/>
  <c r="E341" i="82"/>
  <c r="C342" i="82"/>
  <c r="D340" i="82"/>
  <c r="D341" i="82" s="1"/>
  <c r="H334" i="82"/>
  <c r="C112" i="82"/>
  <c r="I339" i="82" l="1"/>
  <c r="D339" i="82"/>
  <c r="F341" i="82"/>
  <c r="D342" i="82"/>
  <c r="F342" i="82" s="1"/>
  <c r="E342" i="82"/>
  <c r="H339" i="82"/>
  <c r="C339" i="82"/>
  <c r="D343" i="82" l="1"/>
  <c r="D346" i="82" s="1"/>
  <c r="H344" i="82"/>
  <c r="H343" i="82"/>
  <c r="C344" i="82"/>
  <c r="C343" i="82"/>
  <c r="D344" i="82"/>
  <c r="I344" i="82"/>
  <c r="I343" i="82"/>
  <c r="C346" i="82" l="1"/>
  <c r="J337" i="82"/>
  <c r="J338" i="82"/>
  <c r="I337" i="82" l="1"/>
  <c r="I338" i="82"/>
  <c r="J343" i="82" l="1"/>
  <c r="E326" i="82" l="1"/>
  <c r="F326" i="82" s="1"/>
  <c r="D326" i="82" s="1"/>
  <c r="C326" i="82"/>
  <c r="H321" i="82"/>
  <c r="I321" i="82" s="1"/>
  <c r="C321" i="82"/>
  <c r="D321" i="82" s="1"/>
  <c r="D322" i="82" s="1"/>
  <c r="G315" i="82"/>
  <c r="I315" i="82" s="1"/>
  <c r="G314" i="82"/>
  <c r="H314" i="82" s="1"/>
  <c r="I314" i="82" l="1"/>
  <c r="D323" i="82"/>
  <c r="F323" i="82" s="1"/>
  <c r="F322" i="82"/>
  <c r="M315" i="82"/>
  <c r="C322" i="82"/>
  <c r="H315" i="82"/>
  <c r="J315" i="82" s="1"/>
  <c r="C323" i="82" l="1"/>
  <c r="E322" i="82"/>
  <c r="D319" i="82"/>
  <c r="C319" i="82"/>
  <c r="M314" i="82"/>
  <c r="D318" i="82"/>
  <c r="J314" i="82"/>
  <c r="C318" i="82"/>
  <c r="H320" i="82" l="1"/>
  <c r="C320" i="82"/>
  <c r="I320" i="82"/>
  <c r="D320" i="82"/>
  <c r="E323" i="82"/>
  <c r="E90" i="82"/>
  <c r="C93" i="82" s="1"/>
  <c r="C94" i="82" s="1"/>
  <c r="E94" i="82" l="1"/>
  <c r="C95" i="82"/>
  <c r="D324" i="82"/>
  <c r="D327" i="82" s="1"/>
  <c r="I324" i="82"/>
  <c r="I325" i="82"/>
  <c r="C325" i="82"/>
  <c r="C324" i="82"/>
  <c r="C327" i="82" s="1"/>
  <c r="H325" i="82"/>
  <c r="H324" i="82"/>
  <c r="D325" i="82"/>
  <c r="G239" i="82"/>
  <c r="I239" i="82" s="1"/>
  <c r="G238" i="82"/>
  <c r="H238" i="82" s="1"/>
  <c r="H74" i="82"/>
  <c r="G68" i="82"/>
  <c r="H68" i="82" s="1"/>
  <c r="G67" i="82"/>
  <c r="I67" i="82" s="1"/>
  <c r="I318" i="82" l="1"/>
  <c r="I319" i="82"/>
  <c r="J318" i="82"/>
  <c r="J319" i="82"/>
  <c r="C328" i="82"/>
  <c r="I238" i="82"/>
  <c r="C243" i="82" s="1"/>
  <c r="E243" i="82"/>
  <c r="M239" i="82"/>
  <c r="M238" i="82"/>
  <c r="E242" i="82"/>
  <c r="H239" i="82"/>
  <c r="J239" i="82" s="1"/>
  <c r="F243" i="82" s="1"/>
  <c r="D243" i="82"/>
  <c r="C242" i="82"/>
  <c r="J238" i="82"/>
  <c r="F242" i="82" s="1"/>
  <c r="M67" i="82"/>
  <c r="E79" i="82"/>
  <c r="I68" i="82"/>
  <c r="C72" i="82" s="1"/>
  <c r="C74" i="82"/>
  <c r="H67" i="82"/>
  <c r="J67" i="82" s="1"/>
  <c r="G87" i="82"/>
  <c r="I87" i="82" s="1"/>
  <c r="G86" i="82"/>
  <c r="H86" i="82" l="1"/>
  <c r="I86" i="82"/>
  <c r="J324" i="82"/>
  <c r="D242" i="82"/>
  <c r="C71" i="82"/>
  <c r="H244" i="82"/>
  <c r="C244" i="82"/>
  <c r="H245" i="82"/>
  <c r="C245" i="82"/>
  <c r="E250" i="82"/>
  <c r="F250" i="82" s="1"/>
  <c r="D250" i="82" s="1"/>
  <c r="C250" i="82"/>
  <c r="I244" i="82"/>
  <c r="D244" i="82"/>
  <c r="C75" i="82"/>
  <c r="M68" i="82"/>
  <c r="J68" i="82"/>
  <c r="D72" i="82"/>
  <c r="D71" i="82"/>
  <c r="H93" i="82"/>
  <c r="E98" i="82"/>
  <c r="C98" i="82"/>
  <c r="M87" i="82"/>
  <c r="C90" i="82"/>
  <c r="H87" i="82"/>
  <c r="J87" i="82" s="1"/>
  <c r="F90" i="82" s="1"/>
  <c r="I301" i="82"/>
  <c r="D301" i="82"/>
  <c r="G296" i="82"/>
  <c r="G295" i="82"/>
  <c r="E288" i="82"/>
  <c r="F288" i="82" s="1"/>
  <c r="D288" i="82" s="1"/>
  <c r="C288" i="82"/>
  <c r="H283" i="82"/>
  <c r="I283" i="82" s="1"/>
  <c r="C283" i="82"/>
  <c r="C284" i="82" s="1"/>
  <c r="G277" i="82"/>
  <c r="I277" i="82" s="1"/>
  <c r="G276" i="82"/>
  <c r="I276" i="82" s="1"/>
  <c r="E174" i="82"/>
  <c r="F174" i="82" s="1"/>
  <c r="D174" i="82" s="1"/>
  <c r="C55" i="82"/>
  <c r="D55" i="82" s="1"/>
  <c r="D112" i="82"/>
  <c r="C131" i="82"/>
  <c r="D131" i="82" s="1"/>
  <c r="C169" i="82"/>
  <c r="D169" i="82" s="1"/>
  <c r="C188" i="82"/>
  <c r="D188" i="82" s="1"/>
  <c r="C207" i="82"/>
  <c r="D207" i="82" s="1"/>
  <c r="H296" i="82" l="1"/>
  <c r="E300" i="82"/>
  <c r="F72" i="82"/>
  <c r="F79" i="82" s="1"/>
  <c r="D79" i="82" s="1"/>
  <c r="I93" i="82"/>
  <c r="F98" i="82"/>
  <c r="D98" i="82" s="1"/>
  <c r="I245" i="82"/>
  <c r="I248" i="82" s="1"/>
  <c r="H249" i="82"/>
  <c r="H248" i="82"/>
  <c r="D245" i="82"/>
  <c r="D246" i="82" s="1"/>
  <c r="C246" i="82"/>
  <c r="I73" i="82"/>
  <c r="D73" i="82"/>
  <c r="C76" i="82"/>
  <c r="E75" i="82"/>
  <c r="D74" i="82"/>
  <c r="D75" i="82" s="1"/>
  <c r="C73" i="82"/>
  <c r="H73" i="82"/>
  <c r="D93" i="82"/>
  <c r="D94" i="82" s="1"/>
  <c r="D91" i="82"/>
  <c r="C91" i="82"/>
  <c r="D90" i="82"/>
  <c r="M86" i="82"/>
  <c r="J86" i="82"/>
  <c r="M295" i="82"/>
  <c r="H295" i="82"/>
  <c r="J295" i="82" s="1"/>
  <c r="F299" i="82" s="1"/>
  <c r="C281" i="82"/>
  <c r="M276" i="82"/>
  <c r="C280" i="82"/>
  <c r="E284" i="82"/>
  <c r="C285" i="82"/>
  <c r="M277" i="82"/>
  <c r="H277" i="82"/>
  <c r="J277" i="82" s="1"/>
  <c r="D283" i="82"/>
  <c r="D284" i="82" s="1"/>
  <c r="H276" i="82"/>
  <c r="J276" i="82" s="1"/>
  <c r="I74" i="82" l="1"/>
  <c r="I249" i="82"/>
  <c r="C247" i="82"/>
  <c r="E246" i="82"/>
  <c r="D247" i="82"/>
  <c r="F247" i="82" s="1"/>
  <c r="F246" i="82"/>
  <c r="D76" i="82"/>
  <c r="F76" i="82" s="1"/>
  <c r="F75" i="82"/>
  <c r="E76" i="82"/>
  <c r="H77" i="82"/>
  <c r="H78" i="82"/>
  <c r="C78" i="82"/>
  <c r="C77" i="82"/>
  <c r="C80" i="82" s="1"/>
  <c r="I78" i="82"/>
  <c r="I77" i="82"/>
  <c r="E95" i="82"/>
  <c r="F94" i="82"/>
  <c r="D95" i="82"/>
  <c r="F95" i="82" s="1"/>
  <c r="I92" i="82"/>
  <c r="D92" i="82"/>
  <c r="H92" i="82"/>
  <c r="C92" i="82"/>
  <c r="C300" i="82"/>
  <c r="C299" i="82"/>
  <c r="M296" i="82"/>
  <c r="J296" i="82"/>
  <c r="F300" i="82" s="1"/>
  <c r="E285" i="82"/>
  <c r="I282" i="82"/>
  <c r="D282" i="82"/>
  <c r="D285" i="82"/>
  <c r="F285" i="82" s="1"/>
  <c r="F284" i="82"/>
  <c r="H282" i="82"/>
  <c r="C282" i="82"/>
  <c r="H301" i="82" l="1"/>
  <c r="C97" i="82"/>
  <c r="C96" i="82"/>
  <c r="C301" i="82"/>
  <c r="E247" i="82"/>
  <c r="D249" i="82"/>
  <c r="D248" i="82"/>
  <c r="D251" i="82" s="1"/>
  <c r="C249" i="82"/>
  <c r="C248" i="82"/>
  <c r="D77" i="82"/>
  <c r="D80" i="82" s="1"/>
  <c r="J72" i="82" s="1"/>
  <c r="C81" i="82"/>
  <c r="I72" i="82"/>
  <c r="I71" i="82"/>
  <c r="D78" i="82"/>
  <c r="H97" i="82"/>
  <c r="H96" i="82"/>
  <c r="D97" i="82"/>
  <c r="D96" i="82"/>
  <c r="D99" i="82" s="1"/>
  <c r="I96" i="82"/>
  <c r="I97" i="82"/>
  <c r="E307" i="82"/>
  <c r="F307" i="82" s="1"/>
  <c r="D307" i="82" s="1"/>
  <c r="C307" i="82"/>
  <c r="H302" i="82"/>
  <c r="I302" i="82" s="1"/>
  <c r="C302" i="82"/>
  <c r="I286" i="82"/>
  <c r="I287" i="82"/>
  <c r="C286" i="82"/>
  <c r="C289" i="82" s="1"/>
  <c r="C287" i="82"/>
  <c r="H286" i="82"/>
  <c r="H287" i="82"/>
  <c r="D286" i="82"/>
  <c r="D289" i="82" s="1"/>
  <c r="D287" i="82"/>
  <c r="H306" i="82" l="1"/>
  <c r="J77" i="82"/>
  <c r="I306" i="82"/>
  <c r="I305" i="82"/>
  <c r="J243" i="82"/>
  <c r="J242" i="82"/>
  <c r="C252" i="82"/>
  <c r="C251" i="82"/>
  <c r="J71" i="82"/>
  <c r="C100" i="82"/>
  <c r="J90" i="82"/>
  <c r="J91" i="82"/>
  <c r="C99" i="82"/>
  <c r="D302" i="82"/>
  <c r="D303" i="82" s="1"/>
  <c r="C303" i="82"/>
  <c r="H305" i="82"/>
  <c r="J281" i="82"/>
  <c r="J280" i="82"/>
  <c r="I280" i="82"/>
  <c r="I281" i="82"/>
  <c r="C290" i="82"/>
  <c r="I243" i="82" l="1"/>
  <c r="I242" i="82"/>
  <c r="I90" i="82"/>
  <c r="I91" i="82"/>
  <c r="E303" i="82"/>
  <c r="C304" i="82"/>
  <c r="D304" i="82"/>
  <c r="F304" i="82" s="1"/>
  <c r="F303" i="82"/>
  <c r="J286" i="82"/>
  <c r="J248" i="82" l="1"/>
  <c r="J96" i="82"/>
  <c r="C305" i="82"/>
  <c r="D306" i="82"/>
  <c r="C306" i="82"/>
  <c r="E304" i="82"/>
  <c r="D305" i="82"/>
  <c r="D308" i="82" s="1"/>
  <c r="G258" i="82"/>
  <c r="G257" i="82"/>
  <c r="I257" i="82" s="1"/>
  <c r="M257" i="82" s="1"/>
  <c r="G220" i="82"/>
  <c r="E224" i="82" s="1"/>
  <c r="G219" i="82"/>
  <c r="C181" i="82"/>
  <c r="C200" i="82"/>
  <c r="G201" i="82"/>
  <c r="I201" i="82" s="1"/>
  <c r="G200" i="82"/>
  <c r="I200" i="82" s="1"/>
  <c r="G182" i="82"/>
  <c r="H182" i="82" s="1"/>
  <c r="G181" i="82"/>
  <c r="I181" i="82" s="1"/>
  <c r="M181" i="82" s="1"/>
  <c r="G163" i="82"/>
  <c r="I163" i="82" s="1"/>
  <c r="G162" i="82"/>
  <c r="H162" i="82" s="1"/>
  <c r="Q221" i="82"/>
  <c r="C132" i="82"/>
  <c r="C133" i="82" s="1"/>
  <c r="C136" i="82"/>
  <c r="G144" i="82"/>
  <c r="I144" i="82" s="1"/>
  <c r="E147" i="82" s="1"/>
  <c r="G143" i="82"/>
  <c r="H143" i="82" s="1"/>
  <c r="E60" i="82"/>
  <c r="F60" i="82" s="1"/>
  <c r="D60" i="82" s="1"/>
  <c r="C60" i="82"/>
  <c r="H55" i="82"/>
  <c r="I55" i="82" s="1"/>
  <c r="D56" i="82"/>
  <c r="E117" i="82"/>
  <c r="F117" i="82" s="1"/>
  <c r="D117" i="82" s="1"/>
  <c r="C117" i="82"/>
  <c r="H112" i="82"/>
  <c r="I112" i="82" s="1"/>
  <c r="E136" i="82"/>
  <c r="F136" i="82" s="1"/>
  <c r="D136" i="82" s="1"/>
  <c r="H131" i="82"/>
  <c r="G125" i="82"/>
  <c r="H125" i="82" s="1"/>
  <c r="G124" i="82"/>
  <c r="I124" i="82" s="1"/>
  <c r="M124" i="82" s="1"/>
  <c r="G106" i="82"/>
  <c r="I106" i="82" s="1"/>
  <c r="G105" i="82"/>
  <c r="S260" i="82"/>
  <c r="R49" i="82"/>
  <c r="T49" i="82" s="1"/>
  <c r="R48" i="82"/>
  <c r="S48" i="82" s="1"/>
  <c r="S263" i="82"/>
  <c r="Q260" i="82"/>
  <c r="S259" i="82"/>
  <c r="Q259" i="82"/>
  <c r="R51" i="82"/>
  <c r="S51" i="82" s="1"/>
  <c r="S130" i="82"/>
  <c r="I105" i="82" l="1"/>
  <c r="M105" i="82" s="1"/>
  <c r="S261" i="82"/>
  <c r="I143" i="82"/>
  <c r="E148" i="82" s="1"/>
  <c r="H150" i="82" s="1"/>
  <c r="C150" i="82"/>
  <c r="J299" i="82"/>
  <c r="J300" i="82"/>
  <c r="C309" i="82"/>
  <c r="C308" i="82"/>
  <c r="D261" i="82"/>
  <c r="C261" i="82"/>
  <c r="D262" i="82"/>
  <c r="C262" i="82"/>
  <c r="C263" i="82" s="1"/>
  <c r="H258" i="82"/>
  <c r="J258" i="82" s="1"/>
  <c r="H257" i="82"/>
  <c r="J257" i="82" s="1"/>
  <c r="C231" i="82"/>
  <c r="H220" i="82"/>
  <c r="J220" i="82" s="1"/>
  <c r="D204" i="82"/>
  <c r="C204" i="82"/>
  <c r="D205" i="82"/>
  <c r="C205" i="82"/>
  <c r="M200" i="82"/>
  <c r="M201" i="82"/>
  <c r="H201" i="82"/>
  <c r="J201" i="82" s="1"/>
  <c r="H200" i="82"/>
  <c r="J200" i="82" s="1"/>
  <c r="I162" i="82"/>
  <c r="J162" i="82" s="1"/>
  <c r="H181" i="82"/>
  <c r="J181" i="82" s="1"/>
  <c r="I182" i="82"/>
  <c r="E155" i="82"/>
  <c r="C109" i="82"/>
  <c r="H163" i="82"/>
  <c r="J163" i="82" s="1"/>
  <c r="H169" i="82"/>
  <c r="C174" i="82"/>
  <c r="C167" i="82"/>
  <c r="M163" i="82"/>
  <c r="D167" i="82"/>
  <c r="C166" i="82"/>
  <c r="M162" i="82"/>
  <c r="M106" i="82"/>
  <c r="D132" i="82"/>
  <c r="D133" i="82" s="1"/>
  <c r="C56" i="82"/>
  <c r="I131" i="82"/>
  <c r="C155" i="82"/>
  <c r="C148" i="82"/>
  <c r="D113" i="82"/>
  <c r="F113" i="82" s="1"/>
  <c r="C113" i="82"/>
  <c r="E113" i="82" s="1"/>
  <c r="D148" i="82"/>
  <c r="M144" i="82"/>
  <c r="C147" i="82"/>
  <c r="H144" i="82"/>
  <c r="J144" i="82" s="1"/>
  <c r="F147" i="82" s="1"/>
  <c r="D57" i="82"/>
  <c r="F57" i="82" s="1"/>
  <c r="F56" i="82"/>
  <c r="I125" i="82"/>
  <c r="M125" i="82" s="1"/>
  <c r="H124" i="82"/>
  <c r="J124" i="82" s="1"/>
  <c r="E132" i="82"/>
  <c r="C129" i="82"/>
  <c r="D109" i="82"/>
  <c r="D110" i="82"/>
  <c r="C110" i="82"/>
  <c r="H106" i="82"/>
  <c r="J106" i="82" s="1"/>
  <c r="H105" i="82"/>
  <c r="J105" i="82" s="1"/>
  <c r="S262" i="82"/>
  <c r="T260" i="82"/>
  <c r="T48" i="82"/>
  <c r="U48" i="82" s="1"/>
  <c r="S49" i="82"/>
  <c r="U49" i="82" s="1"/>
  <c r="T51" i="82"/>
  <c r="X49" i="82" s="1"/>
  <c r="Q262" i="82"/>
  <c r="Q261" i="82"/>
  <c r="C57" i="82" l="1"/>
  <c r="E57" i="82" s="1"/>
  <c r="H57" i="82"/>
  <c r="H56" i="82"/>
  <c r="C114" i="82"/>
  <c r="E114" i="82" s="1"/>
  <c r="M258" i="82"/>
  <c r="D264" i="82"/>
  <c r="D166" i="82"/>
  <c r="I168" i="82" s="1"/>
  <c r="D226" i="82"/>
  <c r="D227" i="82" s="1"/>
  <c r="D228" i="82" s="1"/>
  <c r="F228" i="82" s="1"/>
  <c r="H226" i="82"/>
  <c r="I226" i="82" s="1"/>
  <c r="E231" i="82"/>
  <c r="F231" i="82" s="1"/>
  <c r="D231" i="82" s="1"/>
  <c r="I300" i="82"/>
  <c r="I299" i="82"/>
  <c r="H264" i="82"/>
  <c r="E269" i="82"/>
  <c r="F269" i="82" s="1"/>
  <c r="D269" i="82" s="1"/>
  <c r="C269" i="82"/>
  <c r="H263" i="82"/>
  <c r="D263" i="82"/>
  <c r="I263" i="82"/>
  <c r="D224" i="82"/>
  <c r="C224" i="82"/>
  <c r="D223" i="82"/>
  <c r="C223" i="82"/>
  <c r="H206" i="82"/>
  <c r="C206" i="82"/>
  <c r="H207" i="82"/>
  <c r="E212" i="82"/>
  <c r="F212" i="82" s="1"/>
  <c r="D212" i="82" s="1"/>
  <c r="C212" i="82"/>
  <c r="D206" i="82"/>
  <c r="I206" i="82"/>
  <c r="D186" i="82"/>
  <c r="D185" i="82"/>
  <c r="C185" i="82"/>
  <c r="C186" i="82"/>
  <c r="J182" i="82"/>
  <c r="M182" i="82"/>
  <c r="D114" i="82"/>
  <c r="F114" i="82" s="1"/>
  <c r="E56" i="82"/>
  <c r="H168" i="82"/>
  <c r="C168" i="82"/>
  <c r="D170" i="82"/>
  <c r="C170" i="82"/>
  <c r="I169" i="82"/>
  <c r="C111" i="82"/>
  <c r="H111" i="82"/>
  <c r="D111" i="82"/>
  <c r="I111" i="82"/>
  <c r="C128" i="82"/>
  <c r="H130" i="82" s="1"/>
  <c r="H134" i="82" s="1"/>
  <c r="C151" i="82"/>
  <c r="M143" i="82"/>
  <c r="D147" i="82"/>
  <c r="I149" i="82" s="1"/>
  <c r="J143" i="82"/>
  <c r="F148" i="82" s="1"/>
  <c r="F155" i="82" s="1"/>
  <c r="D155" i="82" s="1"/>
  <c r="F132" i="82"/>
  <c r="C149" i="82"/>
  <c r="H149" i="82"/>
  <c r="D129" i="82"/>
  <c r="D128" i="82"/>
  <c r="D130" i="82" s="1"/>
  <c r="J125" i="82"/>
  <c r="E133" i="82"/>
  <c r="X51" i="82"/>
  <c r="T259" i="82"/>
  <c r="U258" i="82"/>
  <c r="U257" i="82"/>
  <c r="D168" i="82" l="1"/>
  <c r="F227" i="82"/>
  <c r="C116" i="82"/>
  <c r="J305" i="82"/>
  <c r="C115" i="82"/>
  <c r="C118" i="82" s="1"/>
  <c r="I109" i="82" s="1"/>
  <c r="I187" i="82"/>
  <c r="D150" i="82"/>
  <c r="D151" i="82" s="1"/>
  <c r="D152" i="82" s="1"/>
  <c r="F152" i="82" s="1"/>
  <c r="D116" i="82"/>
  <c r="H268" i="82"/>
  <c r="H267" i="82"/>
  <c r="D265" i="82"/>
  <c r="I264" i="82"/>
  <c r="I268" i="82" s="1"/>
  <c r="E227" i="82"/>
  <c r="I225" i="82"/>
  <c r="D225" i="82"/>
  <c r="H225" i="82"/>
  <c r="C225" i="82"/>
  <c r="E228" i="82"/>
  <c r="C208" i="82"/>
  <c r="D208" i="82"/>
  <c r="I207" i="82"/>
  <c r="I210" i="82" s="1"/>
  <c r="H211" i="82"/>
  <c r="H210" i="82"/>
  <c r="I172" i="82"/>
  <c r="C193" i="82"/>
  <c r="H188" i="82"/>
  <c r="I188" i="82" s="1"/>
  <c r="E193" i="82"/>
  <c r="F193" i="82" s="1"/>
  <c r="D193" i="82" s="1"/>
  <c r="H187" i="82"/>
  <c r="D187" i="82"/>
  <c r="C187" i="82"/>
  <c r="C130" i="82"/>
  <c r="C135" i="82" s="1"/>
  <c r="D149" i="82"/>
  <c r="I173" i="82"/>
  <c r="H173" i="82"/>
  <c r="H172" i="82"/>
  <c r="C171" i="82"/>
  <c r="E170" i="82"/>
  <c r="D171" i="82"/>
  <c r="F171" i="82" s="1"/>
  <c r="F170" i="82"/>
  <c r="D115" i="82"/>
  <c r="D118" i="82" s="1"/>
  <c r="H116" i="82"/>
  <c r="H115" i="82"/>
  <c r="I130" i="82"/>
  <c r="I150" i="82"/>
  <c r="I153" i="82" s="1"/>
  <c r="I116" i="82"/>
  <c r="I115" i="82"/>
  <c r="C152" i="82"/>
  <c r="E152" i="82" s="1"/>
  <c r="E151" i="82"/>
  <c r="F133" i="82"/>
  <c r="H154" i="82"/>
  <c r="H153" i="82"/>
  <c r="H135" i="82"/>
  <c r="C119" i="82" l="1"/>
  <c r="I154" i="82"/>
  <c r="I267" i="82"/>
  <c r="C266" i="82"/>
  <c r="C267" i="82" s="1"/>
  <c r="D266" i="82"/>
  <c r="F266" i="82" s="1"/>
  <c r="F265" i="82"/>
  <c r="H230" i="82"/>
  <c r="H229" i="82"/>
  <c r="C230" i="82"/>
  <c r="I230" i="82"/>
  <c r="I229" i="82"/>
  <c r="D229" i="82"/>
  <c r="D232" i="82" s="1"/>
  <c r="D230" i="82"/>
  <c r="H192" i="82"/>
  <c r="I211" i="82"/>
  <c r="D209" i="82"/>
  <c r="F209" i="82" s="1"/>
  <c r="F208" i="82"/>
  <c r="C209" i="82"/>
  <c r="E208" i="82"/>
  <c r="C134" i="82"/>
  <c r="C138" i="82" s="1"/>
  <c r="H191" i="82"/>
  <c r="C189" i="82"/>
  <c r="D189" i="82"/>
  <c r="I192" i="82"/>
  <c r="I191" i="82"/>
  <c r="D173" i="82"/>
  <c r="E171" i="82"/>
  <c r="D172" i="82"/>
  <c r="D175" i="82" s="1"/>
  <c r="C172" i="82"/>
  <c r="C173" i="82"/>
  <c r="I134" i="82"/>
  <c r="I135" i="82"/>
  <c r="F151" i="82"/>
  <c r="D135" i="82"/>
  <c r="D134" i="82"/>
  <c r="D137" i="82" s="1"/>
  <c r="C154" i="82"/>
  <c r="C153" i="82"/>
  <c r="C156" i="82" s="1"/>
  <c r="D153" i="82"/>
  <c r="D154" i="82"/>
  <c r="I110" i="82"/>
  <c r="J110" i="82"/>
  <c r="J109" i="82"/>
  <c r="C137" i="82" l="1"/>
  <c r="I128" i="82" s="1"/>
  <c r="D268" i="82"/>
  <c r="E266" i="82"/>
  <c r="D267" i="82"/>
  <c r="D270" i="82" s="1"/>
  <c r="C268" i="82"/>
  <c r="C233" i="82"/>
  <c r="J224" i="82"/>
  <c r="J223" i="82"/>
  <c r="C232" i="82"/>
  <c r="D211" i="82"/>
  <c r="E209" i="82"/>
  <c r="D210" i="82"/>
  <c r="D213" i="82" s="1"/>
  <c r="C210" i="82"/>
  <c r="C211" i="82"/>
  <c r="D190" i="82"/>
  <c r="F190" i="82" s="1"/>
  <c r="F189" i="82"/>
  <c r="C190" i="82"/>
  <c r="E189" i="82"/>
  <c r="C176" i="82"/>
  <c r="C175" i="82"/>
  <c r="J167" i="82"/>
  <c r="J166" i="82"/>
  <c r="J129" i="82"/>
  <c r="J128" i="82"/>
  <c r="C157" i="82"/>
  <c r="D156" i="82"/>
  <c r="J147" i="82" s="1"/>
  <c r="I148" i="82"/>
  <c r="I147" i="82"/>
  <c r="J115" i="82"/>
  <c r="Q127" i="82"/>
  <c r="I129" i="82" l="1"/>
  <c r="J134" i="82" s="1"/>
  <c r="J261" i="82"/>
  <c r="J262" i="82"/>
  <c r="C271" i="82"/>
  <c r="C270" i="82"/>
  <c r="I262" i="82" s="1"/>
  <c r="I223" i="82"/>
  <c r="I224" i="82"/>
  <c r="J205" i="82"/>
  <c r="J204" i="82"/>
  <c r="C214" i="82"/>
  <c r="C213" i="82"/>
  <c r="I204" i="82" s="1"/>
  <c r="E190" i="82"/>
  <c r="C191" i="82"/>
  <c r="D191" i="82"/>
  <c r="D194" i="82" s="1"/>
  <c r="D192" i="82"/>
  <c r="C192" i="82"/>
  <c r="J148" i="82"/>
  <c r="I167" i="82"/>
  <c r="I166" i="82"/>
  <c r="J153" i="82"/>
  <c r="I261" i="82" l="1"/>
  <c r="J229" i="82"/>
  <c r="I205" i="82"/>
  <c r="J186" i="82"/>
  <c r="J185" i="82"/>
  <c r="C194" i="82"/>
  <c r="C195" i="82"/>
  <c r="J172" i="82"/>
  <c r="J267" i="82" l="1"/>
  <c r="J210" i="82"/>
  <c r="I186" i="82"/>
  <c r="I185" i="82"/>
  <c r="Q222" i="82"/>
  <c r="S225" i="82"/>
  <c r="S222" i="82"/>
  <c r="S224" i="82" s="1"/>
  <c r="S221" i="82"/>
  <c r="S187" i="82"/>
  <c r="S149" i="82"/>
  <c r="S111" i="82"/>
  <c r="J191" i="82" l="1"/>
  <c r="Q224" i="82"/>
  <c r="S223" i="82"/>
  <c r="T221" i="82" s="1"/>
  <c r="Q223" i="82"/>
  <c r="T222" i="82"/>
  <c r="S184" i="82"/>
  <c r="T184" i="82" s="1"/>
  <c r="Q184" i="82"/>
  <c r="S183" i="82"/>
  <c r="Q183" i="82"/>
  <c r="Q126" i="82"/>
  <c r="Q128" i="82" s="1"/>
  <c r="U125" i="82" s="1"/>
  <c r="S126" i="82"/>
  <c r="S127" i="82"/>
  <c r="S146" i="82"/>
  <c r="T146" i="82" s="1"/>
  <c r="Q146" i="82"/>
  <c r="S145" i="82"/>
  <c r="Q145" i="82"/>
  <c r="S108" i="82"/>
  <c r="S107" i="82"/>
  <c r="G43" i="82"/>
  <c r="I43" i="82" s="1"/>
  <c r="G44" i="82"/>
  <c r="I44" i="82" s="1"/>
  <c r="H44" i="82" l="1"/>
  <c r="J44" i="82" s="1"/>
  <c r="S147" i="82"/>
  <c r="S148" i="82"/>
  <c r="Q186" i="82"/>
  <c r="H43" i="82"/>
  <c r="J43" i="82" s="1"/>
  <c r="Q147" i="82"/>
  <c r="U220" i="82"/>
  <c r="U219" i="82"/>
  <c r="S186" i="82"/>
  <c r="S185" i="82"/>
  <c r="Q185" i="82"/>
  <c r="S128" i="82"/>
  <c r="S129" i="82"/>
  <c r="Q129" i="82"/>
  <c r="T127" i="82"/>
  <c r="Q148" i="82"/>
  <c r="T108" i="82"/>
  <c r="S109" i="82"/>
  <c r="G42" i="82"/>
  <c r="G49" i="82"/>
  <c r="G48" i="82"/>
  <c r="G41" i="82"/>
  <c r="M48" i="82" l="1"/>
  <c r="T183" i="82"/>
  <c r="I49" i="82"/>
  <c r="M49" i="82" s="1"/>
  <c r="C52" i="82"/>
  <c r="T145" i="82"/>
  <c r="I41" i="82"/>
  <c r="M41" i="82" s="1"/>
  <c r="U182" i="82"/>
  <c r="U181" i="82"/>
  <c r="H42" i="82"/>
  <c r="I42" i="82"/>
  <c r="T126" i="82"/>
  <c r="U124" i="82"/>
  <c r="H48" i="82"/>
  <c r="H49" i="82"/>
  <c r="H41" i="82"/>
  <c r="D53" i="82" l="1"/>
  <c r="C53" i="82"/>
  <c r="D52" i="82"/>
  <c r="J49" i="82"/>
  <c r="J48" i="82"/>
  <c r="J41" i="82"/>
  <c r="J42" i="82"/>
  <c r="M42" i="82"/>
  <c r="D54" i="82" l="1"/>
  <c r="I54" i="82"/>
  <c r="H54" i="82"/>
  <c r="H59" i="82" s="1"/>
  <c r="C54" i="82"/>
  <c r="C59" i="82" s="1"/>
  <c r="H58" i="82" l="1"/>
  <c r="C58" i="82"/>
  <c r="C61" i="82" s="1"/>
  <c r="I52" i="82" s="1"/>
  <c r="I58" i="82"/>
  <c r="I59" i="82"/>
  <c r="D58" i="82"/>
  <c r="D61" i="82" s="1"/>
  <c r="J52" i="82" s="1"/>
  <c r="D59" i="82"/>
  <c r="I53" i="82" l="1"/>
  <c r="J53" i="82"/>
  <c r="C62" i="82"/>
  <c r="J58" i="82" l="1"/>
  <c r="Q108" i="82" l="1"/>
  <c r="Q107" i="82"/>
  <c r="S110" i="82" s="1"/>
  <c r="T107" i="82" s="1"/>
  <c r="U143" i="82"/>
  <c r="R50" i="82"/>
  <c r="G37" i="82"/>
  <c r="G36" i="82"/>
  <c r="I36" i="82" s="1"/>
  <c r="G35" i="82"/>
  <c r="I35" i="82" s="1"/>
  <c r="G34" i="82"/>
  <c r="I34" i="82" s="1"/>
  <c r="G33" i="82"/>
  <c r="I33" i="82" s="1"/>
  <c r="G32" i="82"/>
  <c r="I32" i="82" s="1"/>
  <c r="G31" i="82"/>
  <c r="I31" i="82" s="1"/>
  <c r="G30" i="82"/>
  <c r="I30" i="82" s="1"/>
  <c r="F6" i="82"/>
  <c r="H37" i="82" l="1"/>
  <c r="I37" i="82"/>
  <c r="T50" i="82"/>
  <c r="S50" i="82"/>
  <c r="Q110" i="82"/>
  <c r="U51" i="82"/>
  <c r="Q109" i="82"/>
  <c r="U105" i="82" s="1"/>
  <c r="U144" i="82"/>
  <c r="M37" i="82" l="1"/>
  <c r="J37" i="82"/>
  <c r="U50" i="82"/>
  <c r="U106" i="82"/>
  <c r="I311" i="73" l="1"/>
  <c r="I307" i="73"/>
  <c r="K304" i="73"/>
  <c r="I313" i="73" s="1"/>
  <c r="H304" i="73"/>
  <c r="H313" i="73" s="1"/>
  <c r="K303" i="73"/>
  <c r="I312" i="73" s="1"/>
  <c r="H303" i="73"/>
  <c r="H312" i="73" s="1"/>
  <c r="K302" i="73"/>
  <c r="H302" i="73"/>
  <c r="H311" i="73" s="1"/>
  <c r="K301" i="73"/>
  <c r="I310" i="73" s="1"/>
  <c r="H301" i="73"/>
  <c r="H310" i="73" s="1"/>
  <c r="K300" i="73"/>
  <c r="I309" i="73" s="1"/>
  <c r="H300" i="73"/>
  <c r="H309" i="73" s="1"/>
  <c r="K299" i="73"/>
  <c r="I308" i="73" s="1"/>
  <c r="H299" i="73"/>
  <c r="H308" i="73" s="1"/>
  <c r="K298" i="73"/>
  <c r="H298" i="73"/>
  <c r="H307" i="73" s="1"/>
  <c r="AI285" i="73"/>
  <c r="AH285" i="73"/>
  <c r="V285" i="73"/>
  <c r="U285" i="73"/>
  <c r="I285" i="73"/>
  <c r="H285" i="73"/>
  <c r="AI284" i="73"/>
  <c r="AH284" i="73"/>
  <c r="V284" i="73"/>
  <c r="U284" i="73"/>
  <c r="I284" i="73"/>
  <c r="H284" i="73"/>
  <c r="AI283" i="73"/>
  <c r="AH283" i="73"/>
  <c r="V283" i="73"/>
  <c r="U283" i="73"/>
  <c r="I283" i="73"/>
  <c r="H283" i="73"/>
  <c r="AI282" i="73"/>
  <c r="AH282" i="73"/>
  <c r="V282" i="73"/>
  <c r="U282" i="73"/>
  <c r="I282" i="73"/>
  <c r="H282" i="73"/>
  <c r="AI281" i="73"/>
  <c r="AH281" i="73"/>
  <c r="V281" i="73"/>
  <c r="U281" i="73"/>
  <c r="I281" i="73"/>
  <c r="H281" i="73"/>
  <c r="AI280" i="73"/>
  <c r="AH280" i="73"/>
  <c r="V280" i="73"/>
  <c r="U280" i="73"/>
  <c r="I280" i="73"/>
  <c r="H280" i="73"/>
  <c r="AI279" i="73"/>
  <c r="AH279" i="73"/>
  <c r="V279" i="73"/>
  <c r="U279" i="73"/>
  <c r="I279" i="73"/>
  <c r="H279" i="73"/>
  <c r="AI278" i="73"/>
  <c r="AH278" i="73"/>
  <c r="V278" i="73"/>
  <c r="U278" i="73"/>
  <c r="I278" i="73"/>
  <c r="H278" i="73"/>
  <c r="AI277" i="73"/>
  <c r="AH277" i="73"/>
  <c r="V277" i="73"/>
  <c r="U277" i="73"/>
  <c r="I277" i="73"/>
  <c r="H277" i="73"/>
  <c r="AI276" i="73"/>
  <c r="AH276" i="73"/>
  <c r="V276" i="73"/>
  <c r="U276" i="73"/>
  <c r="I276" i="73"/>
  <c r="H276" i="73"/>
  <c r="AI275" i="73"/>
  <c r="AH275" i="73"/>
  <c r="V275" i="73"/>
  <c r="U275" i="73"/>
  <c r="I275" i="73"/>
  <c r="H275" i="73"/>
  <c r="AI274" i="73"/>
  <c r="AH274" i="73"/>
  <c r="V274" i="73"/>
  <c r="U274" i="73"/>
  <c r="I274" i="73"/>
  <c r="H274" i="73"/>
  <c r="C271" i="73"/>
  <c r="C270" i="73"/>
  <c r="C269" i="73"/>
  <c r="C268" i="73"/>
  <c r="C267" i="73"/>
  <c r="C266" i="73"/>
  <c r="C265" i="73"/>
  <c r="C264" i="73"/>
  <c r="C263" i="73"/>
  <c r="C262" i="73"/>
  <c r="C261" i="73"/>
  <c r="AB33" i="73"/>
  <c r="X33" i="73"/>
  <c r="Y33" i="73" s="1"/>
  <c r="V33" i="73"/>
  <c r="T33" i="73"/>
  <c r="U33" i="73" s="1"/>
  <c r="R33" i="73"/>
  <c r="Q33" i="73"/>
  <c r="AB32" i="73"/>
  <c r="X32" i="73"/>
  <c r="Y32" i="73" s="1"/>
  <c r="V32" i="73"/>
  <c r="W32" i="73" s="1"/>
  <c r="T32" i="73"/>
  <c r="Q32" i="73"/>
  <c r="R32" i="73" s="1"/>
  <c r="AB31" i="73"/>
  <c r="X31" i="73"/>
  <c r="Y31" i="73" s="1"/>
  <c r="V31" i="73"/>
  <c r="W31" i="73" s="1"/>
  <c r="T31" i="73"/>
  <c r="U31" i="73" s="1"/>
  <c r="Q31" i="73"/>
  <c r="R31" i="73" s="1"/>
  <c r="AB30" i="73"/>
  <c r="Y30" i="73"/>
  <c r="X30" i="73"/>
  <c r="V30" i="73"/>
  <c r="W30" i="73" s="1"/>
  <c r="T30" i="73"/>
  <c r="Q30" i="73"/>
  <c r="R30" i="73" s="1"/>
  <c r="AB29" i="73"/>
  <c r="X29" i="73"/>
  <c r="Y29" i="73" s="1"/>
  <c r="V29" i="73"/>
  <c r="W29" i="73" s="1"/>
  <c r="T29" i="73"/>
  <c r="U29" i="73" s="1"/>
  <c r="Q29" i="73"/>
  <c r="R29" i="73" s="1"/>
  <c r="AB28" i="73"/>
  <c r="X28" i="73"/>
  <c r="Y28" i="73" s="1"/>
  <c r="V28" i="73"/>
  <c r="W28" i="73" s="1"/>
  <c r="T28" i="73"/>
  <c r="Q28" i="73"/>
  <c r="R28" i="73" s="1"/>
  <c r="AB27" i="73"/>
  <c r="X27" i="73"/>
  <c r="Y27" i="73" s="1"/>
  <c r="V27" i="73"/>
  <c r="W27" i="73" s="1"/>
  <c r="U27" i="73"/>
  <c r="T27" i="73"/>
  <c r="Q27" i="73"/>
  <c r="R27" i="73" s="1"/>
  <c r="AB26" i="73"/>
  <c r="X26" i="73"/>
  <c r="Y26" i="73" s="1"/>
  <c r="V26" i="73"/>
  <c r="U26" i="73"/>
  <c r="T26" i="73"/>
  <c r="Q26" i="73"/>
  <c r="R26" i="73" s="1"/>
  <c r="AB25" i="73"/>
  <c r="X25" i="73"/>
  <c r="Y25" i="73" s="1"/>
  <c r="V25" i="73"/>
  <c r="T25" i="73"/>
  <c r="U25" i="73" s="1"/>
  <c r="Q25" i="73"/>
  <c r="R25" i="73" s="1"/>
  <c r="AB24" i="73"/>
  <c r="X24" i="73"/>
  <c r="Y24" i="73" s="1"/>
  <c r="V24" i="73"/>
  <c r="W24" i="73" s="1"/>
  <c r="T24" i="73"/>
  <c r="Q24" i="73"/>
  <c r="R24" i="73" s="1"/>
  <c r="AB23" i="73"/>
  <c r="Y23" i="73"/>
  <c r="X23" i="73"/>
  <c r="V23" i="73"/>
  <c r="W23" i="73" s="1"/>
  <c r="T23" i="73"/>
  <c r="Q23" i="73"/>
  <c r="R23" i="73" s="1"/>
  <c r="AB22" i="73"/>
  <c r="Y22" i="73"/>
  <c r="X22" i="73"/>
  <c r="V22" i="73"/>
  <c r="W22" i="73" s="1"/>
  <c r="T22" i="73"/>
  <c r="Q22" i="73"/>
  <c r="R22" i="73" s="1"/>
  <c r="R20" i="73"/>
  <c r="G18" i="73"/>
  <c r="O17" i="73"/>
  <c r="L17" i="73"/>
  <c r="O16" i="73"/>
  <c r="L16" i="73"/>
  <c r="O15" i="73"/>
  <c r="L15" i="73"/>
  <c r="O14" i="73"/>
  <c r="L14" i="73"/>
  <c r="O13" i="73"/>
  <c r="L13" i="73"/>
  <c r="O12" i="73"/>
  <c r="L12" i="73"/>
  <c r="O11" i="73"/>
  <c r="L11" i="73"/>
  <c r="O10" i="73"/>
  <c r="L10" i="73"/>
  <c r="O9" i="73"/>
  <c r="L9" i="73"/>
  <c r="F9" i="73"/>
  <c r="O8" i="73"/>
  <c r="L8" i="73"/>
  <c r="O7" i="73"/>
  <c r="L7" i="73"/>
  <c r="F7" i="73"/>
  <c r="O6" i="73"/>
  <c r="L6" i="73"/>
  <c r="M2" i="73"/>
  <c r="O4" i="73" s="1"/>
  <c r="K304" i="65"/>
  <c r="I313" i="65" s="1"/>
  <c r="H304" i="65"/>
  <c r="H313" i="65" s="1"/>
  <c r="K303" i="65"/>
  <c r="I312" i="65" s="1"/>
  <c r="H303" i="65"/>
  <c r="H312" i="65" s="1"/>
  <c r="K302" i="65"/>
  <c r="I311" i="65" s="1"/>
  <c r="H302" i="65"/>
  <c r="H311" i="65" s="1"/>
  <c r="K301" i="65"/>
  <c r="I310" i="65" s="1"/>
  <c r="H301" i="65"/>
  <c r="H310" i="65" s="1"/>
  <c r="K300" i="65"/>
  <c r="I309" i="65" s="1"/>
  <c r="H300" i="65"/>
  <c r="H309" i="65" s="1"/>
  <c r="K299" i="65"/>
  <c r="I308" i="65" s="1"/>
  <c r="H299" i="65"/>
  <c r="H308" i="65" s="1"/>
  <c r="K298" i="65"/>
  <c r="I307" i="65" s="1"/>
  <c r="H298" i="65"/>
  <c r="H307" i="65" s="1"/>
  <c r="AI285" i="65"/>
  <c r="AH285" i="65"/>
  <c r="V285" i="65"/>
  <c r="U285" i="65"/>
  <c r="I285" i="65"/>
  <c r="H285" i="65"/>
  <c r="AI284" i="65"/>
  <c r="AH284" i="65"/>
  <c r="V284" i="65"/>
  <c r="U284" i="65"/>
  <c r="I284" i="65"/>
  <c r="H284" i="65"/>
  <c r="AI283" i="65"/>
  <c r="AH283" i="65"/>
  <c r="V283" i="65"/>
  <c r="U283" i="65"/>
  <c r="I283" i="65"/>
  <c r="H283" i="65"/>
  <c r="AI282" i="65"/>
  <c r="AH282" i="65"/>
  <c r="V282" i="65"/>
  <c r="U282" i="65"/>
  <c r="I282" i="65"/>
  <c r="H282" i="65"/>
  <c r="AI281" i="65"/>
  <c r="AH281" i="65"/>
  <c r="V281" i="65"/>
  <c r="U281" i="65"/>
  <c r="I281" i="65"/>
  <c r="H281" i="65"/>
  <c r="AI280" i="65"/>
  <c r="AH280" i="65"/>
  <c r="V280" i="65"/>
  <c r="U280" i="65"/>
  <c r="I280" i="65"/>
  <c r="H280" i="65"/>
  <c r="AI279" i="65"/>
  <c r="AH279" i="65"/>
  <c r="V279" i="65"/>
  <c r="U279" i="65"/>
  <c r="I279" i="65"/>
  <c r="H279" i="65"/>
  <c r="AI278" i="65"/>
  <c r="AH278" i="65"/>
  <c r="V278" i="65"/>
  <c r="U278" i="65"/>
  <c r="I278" i="65"/>
  <c r="H278" i="65"/>
  <c r="AI277" i="65"/>
  <c r="AH277" i="65"/>
  <c r="V277" i="65"/>
  <c r="U277" i="65"/>
  <c r="I277" i="65"/>
  <c r="H277" i="65"/>
  <c r="AI276" i="65"/>
  <c r="AH276" i="65"/>
  <c r="V276" i="65"/>
  <c r="U276" i="65"/>
  <c r="I276" i="65"/>
  <c r="H276" i="65"/>
  <c r="AI275" i="65"/>
  <c r="AH275" i="65"/>
  <c r="V275" i="65"/>
  <c r="U275" i="65"/>
  <c r="I275" i="65"/>
  <c r="H275" i="65"/>
  <c r="AI274" i="65"/>
  <c r="AH274" i="65"/>
  <c r="V274" i="65"/>
  <c r="U274" i="65"/>
  <c r="I274" i="65"/>
  <c r="H274" i="65"/>
  <c r="C271" i="65"/>
  <c r="C270" i="65"/>
  <c r="C269" i="65"/>
  <c r="C268" i="65"/>
  <c r="C267" i="65"/>
  <c r="C266" i="65"/>
  <c r="C265" i="65"/>
  <c r="C264" i="65"/>
  <c r="C263" i="65"/>
  <c r="C262" i="65"/>
  <c r="C261" i="65"/>
  <c r="AB33" i="65"/>
  <c r="X33" i="65"/>
  <c r="Y33" i="65" s="1"/>
  <c r="V33" i="65"/>
  <c r="T33" i="65"/>
  <c r="U33" i="65" s="1"/>
  <c r="Q33" i="65"/>
  <c r="R33" i="65" s="1"/>
  <c r="AB32" i="65"/>
  <c r="AC32" i="65" s="1"/>
  <c r="X32" i="65"/>
  <c r="Y32" i="65" s="1"/>
  <c r="V32" i="65"/>
  <c r="T32" i="65"/>
  <c r="U32" i="65" s="1"/>
  <c r="Q32" i="65"/>
  <c r="R32" i="65" s="1"/>
  <c r="AB31" i="65"/>
  <c r="AC31" i="65" s="1"/>
  <c r="X31" i="65"/>
  <c r="Y31" i="65" s="1"/>
  <c r="V31" i="65"/>
  <c r="T31" i="65"/>
  <c r="U31" i="65" s="1"/>
  <c r="Q31" i="65"/>
  <c r="R31" i="65" s="1"/>
  <c r="AB30" i="65"/>
  <c r="AC30" i="65" s="1"/>
  <c r="X30" i="65"/>
  <c r="Y30" i="65" s="1"/>
  <c r="V30" i="65"/>
  <c r="T30" i="65"/>
  <c r="U30" i="65" s="1"/>
  <c r="Q30" i="65"/>
  <c r="R30" i="65" s="1"/>
  <c r="AB29" i="65"/>
  <c r="X29" i="65"/>
  <c r="Y29" i="65" s="1"/>
  <c r="V29" i="65"/>
  <c r="T29" i="65"/>
  <c r="U29" i="65" s="1"/>
  <c r="Q29" i="65"/>
  <c r="R29" i="65" s="1"/>
  <c r="AB28" i="65"/>
  <c r="AC28" i="65" s="1"/>
  <c r="X28" i="65"/>
  <c r="Y28" i="65" s="1"/>
  <c r="V28" i="65"/>
  <c r="T28" i="65"/>
  <c r="U28" i="65" s="1"/>
  <c r="Q28" i="65"/>
  <c r="R28" i="65" s="1"/>
  <c r="AB27" i="65"/>
  <c r="AC27" i="65" s="1"/>
  <c r="X27" i="65"/>
  <c r="Y27" i="65" s="1"/>
  <c r="V27" i="65"/>
  <c r="T27" i="65"/>
  <c r="U27" i="65" s="1"/>
  <c r="Q27" i="65"/>
  <c r="R27" i="65" s="1"/>
  <c r="AB26" i="65"/>
  <c r="AC26" i="65" s="1"/>
  <c r="X26" i="65"/>
  <c r="Y26" i="65" s="1"/>
  <c r="V26" i="65"/>
  <c r="T26" i="65"/>
  <c r="U26" i="65" s="1"/>
  <c r="Q26" i="65"/>
  <c r="R26" i="65" s="1"/>
  <c r="AB25" i="65"/>
  <c r="X25" i="65"/>
  <c r="Y25" i="65" s="1"/>
  <c r="V25" i="65"/>
  <c r="T25" i="65"/>
  <c r="U25" i="65" s="1"/>
  <c r="Q25" i="65"/>
  <c r="R25" i="65" s="1"/>
  <c r="AB24" i="65"/>
  <c r="AC24" i="65" s="1"/>
  <c r="X24" i="65"/>
  <c r="Y24" i="65" s="1"/>
  <c r="V24" i="65"/>
  <c r="T24" i="65"/>
  <c r="U24" i="65" s="1"/>
  <c r="Q24" i="65"/>
  <c r="R24" i="65" s="1"/>
  <c r="AB23" i="65"/>
  <c r="AC23" i="65" s="1"/>
  <c r="X23" i="65"/>
  <c r="Y23" i="65" s="1"/>
  <c r="V23" i="65"/>
  <c r="T23" i="65"/>
  <c r="U23" i="65" s="1"/>
  <c r="Q23" i="65"/>
  <c r="R23" i="65" s="1"/>
  <c r="AB22" i="65"/>
  <c r="AC22" i="65" s="1"/>
  <c r="X22" i="65"/>
  <c r="Y22" i="65" s="1"/>
  <c r="V22" i="65"/>
  <c r="T22" i="65"/>
  <c r="U22" i="65" s="1"/>
  <c r="Q22" i="65"/>
  <c r="R22" i="65" s="1"/>
  <c r="R20" i="65"/>
  <c r="G18" i="65"/>
  <c r="F8" i="65" s="1"/>
  <c r="O17" i="65"/>
  <c r="L17" i="65"/>
  <c r="O16" i="65"/>
  <c r="L16" i="65"/>
  <c r="O15" i="65"/>
  <c r="L15" i="65"/>
  <c r="O14" i="65"/>
  <c r="L14" i="65"/>
  <c r="O13" i="65"/>
  <c r="L13" i="65"/>
  <c r="O12" i="65"/>
  <c r="L12" i="65"/>
  <c r="O11" i="65"/>
  <c r="L11" i="65"/>
  <c r="O10" i="65"/>
  <c r="L10" i="65"/>
  <c r="O9" i="65"/>
  <c r="L9" i="65"/>
  <c r="O8" i="65"/>
  <c r="L8" i="65"/>
  <c r="O7" i="65"/>
  <c r="L7" i="65"/>
  <c r="O6" i="65"/>
  <c r="L6" i="65"/>
  <c r="M4" i="65"/>
  <c r="M2" i="65"/>
  <c r="O4" i="65" s="1"/>
  <c r="I309" i="67"/>
  <c r="H309" i="67"/>
  <c r="K304" i="67"/>
  <c r="I313" i="67" s="1"/>
  <c r="H304" i="67"/>
  <c r="H313" i="67" s="1"/>
  <c r="K303" i="67"/>
  <c r="I312" i="67" s="1"/>
  <c r="H303" i="67"/>
  <c r="H312" i="67" s="1"/>
  <c r="K302" i="67"/>
  <c r="I311" i="67" s="1"/>
  <c r="H302" i="67"/>
  <c r="H311" i="67" s="1"/>
  <c r="K301" i="67"/>
  <c r="I310" i="67" s="1"/>
  <c r="H301" i="67"/>
  <c r="H310" i="67" s="1"/>
  <c r="K300" i="67"/>
  <c r="H300" i="67"/>
  <c r="K299" i="67"/>
  <c r="I308" i="67" s="1"/>
  <c r="H299" i="67"/>
  <c r="H308" i="67" s="1"/>
  <c r="K298" i="67"/>
  <c r="I307" i="67" s="1"/>
  <c r="H298" i="67"/>
  <c r="H307" i="67" s="1"/>
  <c r="AI285" i="67"/>
  <c r="AH285" i="67"/>
  <c r="V285" i="67"/>
  <c r="U285" i="67"/>
  <c r="I285" i="67"/>
  <c r="H285" i="67"/>
  <c r="AI284" i="67"/>
  <c r="AH284" i="67"/>
  <c r="V284" i="67"/>
  <c r="U284" i="67"/>
  <c r="I284" i="67"/>
  <c r="H284" i="67"/>
  <c r="AI283" i="67"/>
  <c r="AH283" i="67"/>
  <c r="V283" i="67"/>
  <c r="U283" i="67"/>
  <c r="I283" i="67"/>
  <c r="H283" i="67"/>
  <c r="AI282" i="67"/>
  <c r="AH282" i="67"/>
  <c r="V282" i="67"/>
  <c r="U282" i="67"/>
  <c r="I282" i="67"/>
  <c r="H282" i="67"/>
  <c r="AI281" i="67"/>
  <c r="AH281" i="67"/>
  <c r="V281" i="67"/>
  <c r="U281" i="67"/>
  <c r="I281" i="67"/>
  <c r="H281" i="67"/>
  <c r="AI280" i="67"/>
  <c r="AH280" i="67"/>
  <c r="V280" i="67"/>
  <c r="U280" i="67"/>
  <c r="I280" i="67"/>
  <c r="H280" i="67"/>
  <c r="AI279" i="67"/>
  <c r="AH279" i="67"/>
  <c r="V279" i="67"/>
  <c r="U279" i="67"/>
  <c r="I279" i="67"/>
  <c r="H279" i="67"/>
  <c r="AI278" i="67"/>
  <c r="AH278" i="67"/>
  <c r="V278" i="67"/>
  <c r="U278" i="67"/>
  <c r="I278" i="67"/>
  <c r="H278" i="67"/>
  <c r="AI277" i="67"/>
  <c r="AH277" i="67"/>
  <c r="V277" i="67"/>
  <c r="U277" i="67"/>
  <c r="I277" i="67"/>
  <c r="H277" i="67"/>
  <c r="AI276" i="67"/>
  <c r="AH276" i="67"/>
  <c r="V276" i="67"/>
  <c r="U276" i="67"/>
  <c r="I276" i="67"/>
  <c r="H276" i="67"/>
  <c r="AI275" i="67"/>
  <c r="AH275" i="67"/>
  <c r="V275" i="67"/>
  <c r="U275" i="67"/>
  <c r="I275" i="67"/>
  <c r="H275" i="67"/>
  <c r="AI274" i="67"/>
  <c r="AH274" i="67"/>
  <c r="V274" i="67"/>
  <c r="U274" i="67"/>
  <c r="I274" i="67"/>
  <c r="H274" i="67"/>
  <c r="C271" i="67"/>
  <c r="C270" i="67"/>
  <c r="C269" i="67"/>
  <c r="C268" i="67"/>
  <c r="C267" i="67"/>
  <c r="C266" i="67"/>
  <c r="C265" i="67"/>
  <c r="C264" i="67"/>
  <c r="C263" i="67"/>
  <c r="C262" i="67"/>
  <c r="C261" i="67"/>
  <c r="AB33" i="67"/>
  <c r="X33" i="67"/>
  <c r="Y33" i="67" s="1"/>
  <c r="V33" i="67"/>
  <c r="W33" i="67" s="1"/>
  <c r="T33" i="67"/>
  <c r="Q33" i="67"/>
  <c r="R33" i="67" s="1"/>
  <c r="AB32" i="67"/>
  <c r="X32" i="67"/>
  <c r="Y32" i="67" s="1"/>
  <c r="V32" i="67"/>
  <c r="W32" i="67" s="1"/>
  <c r="T32" i="67"/>
  <c r="U32" i="67" s="1"/>
  <c r="AA32" i="67" s="1"/>
  <c r="Q32" i="67"/>
  <c r="R32" i="67" s="1"/>
  <c r="AB31" i="67"/>
  <c r="X31" i="67"/>
  <c r="Y31" i="67" s="1"/>
  <c r="V31" i="67"/>
  <c r="W31" i="67" s="1"/>
  <c r="T31" i="67"/>
  <c r="Z31" i="67" s="1"/>
  <c r="AD31" i="67" s="1"/>
  <c r="Q31" i="67"/>
  <c r="R31" i="67" s="1"/>
  <c r="AB30" i="67"/>
  <c r="X30" i="67"/>
  <c r="Y30" i="67" s="1"/>
  <c r="V30" i="67"/>
  <c r="W30" i="67" s="1"/>
  <c r="U30" i="67"/>
  <c r="T30" i="67"/>
  <c r="Q30" i="67"/>
  <c r="R30" i="67" s="1"/>
  <c r="AB29" i="67"/>
  <c r="AC29" i="67" s="1"/>
  <c r="X29" i="67"/>
  <c r="Y29" i="67" s="1"/>
  <c r="V29" i="67"/>
  <c r="W29" i="67" s="1"/>
  <c r="T29" i="67"/>
  <c r="Q29" i="67"/>
  <c r="R29" i="67" s="1"/>
  <c r="AB28" i="67"/>
  <c r="X28" i="67"/>
  <c r="Y28" i="67" s="1"/>
  <c r="V28" i="67"/>
  <c r="W28" i="67" s="1"/>
  <c r="T28" i="67"/>
  <c r="Q28" i="67"/>
  <c r="R28" i="67" s="1"/>
  <c r="AB27" i="67"/>
  <c r="X27" i="67"/>
  <c r="Y27" i="67" s="1"/>
  <c r="V27" i="67"/>
  <c r="W27" i="67" s="1"/>
  <c r="T27" i="67"/>
  <c r="U27" i="67" s="1"/>
  <c r="AA27" i="67" s="1"/>
  <c r="Q27" i="67"/>
  <c r="R27" i="67" s="1"/>
  <c r="AB26" i="67"/>
  <c r="X26" i="67"/>
  <c r="Y26" i="67" s="1"/>
  <c r="V26" i="67"/>
  <c r="W26" i="67" s="1"/>
  <c r="T26" i="67"/>
  <c r="U26" i="67" s="1"/>
  <c r="Q26" i="67"/>
  <c r="R26" i="67" s="1"/>
  <c r="AB25" i="67"/>
  <c r="AC25" i="67" s="1"/>
  <c r="X25" i="67"/>
  <c r="Y25" i="67" s="1"/>
  <c r="V25" i="67"/>
  <c r="W25" i="67" s="1"/>
  <c r="T25" i="67"/>
  <c r="Q25" i="67"/>
  <c r="R25" i="67" s="1"/>
  <c r="AB24" i="67"/>
  <c r="X24" i="67"/>
  <c r="Y24" i="67" s="1"/>
  <c r="V24" i="67"/>
  <c r="W24" i="67" s="1"/>
  <c r="T24" i="67"/>
  <c r="Q24" i="67"/>
  <c r="R24" i="67" s="1"/>
  <c r="AB23" i="67"/>
  <c r="X23" i="67"/>
  <c r="Y23" i="67" s="1"/>
  <c r="V23" i="67"/>
  <c r="W23" i="67" s="1"/>
  <c r="T23" i="67"/>
  <c r="Q23" i="67"/>
  <c r="R23" i="67" s="1"/>
  <c r="AC22" i="67"/>
  <c r="AB22" i="67"/>
  <c r="X22" i="67"/>
  <c r="Y22" i="67" s="1"/>
  <c r="V22" i="67"/>
  <c r="W22" i="67" s="1"/>
  <c r="T22" i="67"/>
  <c r="Q22" i="67"/>
  <c r="R22" i="67" s="1"/>
  <c r="R20" i="67"/>
  <c r="G18" i="67"/>
  <c r="F10" i="67" s="1"/>
  <c r="O17" i="67"/>
  <c r="L17" i="67"/>
  <c r="O16" i="67"/>
  <c r="L16" i="67"/>
  <c r="O15" i="67"/>
  <c r="L15" i="67"/>
  <c r="O14" i="67"/>
  <c r="L14" i="67"/>
  <c r="O13" i="67"/>
  <c r="L13" i="67"/>
  <c r="O12" i="67"/>
  <c r="L12" i="67"/>
  <c r="O11" i="67"/>
  <c r="L11" i="67"/>
  <c r="O10" i="67"/>
  <c r="L10" i="67"/>
  <c r="O9" i="67"/>
  <c r="L9" i="67"/>
  <c r="O8" i="67"/>
  <c r="L8" i="67"/>
  <c r="O7" i="67"/>
  <c r="L7" i="67"/>
  <c r="O6" i="67"/>
  <c r="L6" i="67"/>
  <c r="M4" i="67"/>
  <c r="M2" i="67"/>
  <c r="K304" i="68"/>
  <c r="I313" i="68" s="1"/>
  <c r="H304" i="68"/>
  <c r="H313" i="68" s="1"/>
  <c r="K303" i="68"/>
  <c r="I312" i="68" s="1"/>
  <c r="H303" i="68"/>
  <c r="H312" i="68" s="1"/>
  <c r="K302" i="68"/>
  <c r="I311" i="68" s="1"/>
  <c r="H302" i="68"/>
  <c r="H311" i="68" s="1"/>
  <c r="K301" i="68"/>
  <c r="I310" i="68" s="1"/>
  <c r="H301" i="68"/>
  <c r="H310" i="68" s="1"/>
  <c r="K300" i="68"/>
  <c r="I309" i="68" s="1"/>
  <c r="H300" i="68"/>
  <c r="H309" i="68" s="1"/>
  <c r="K299" i="68"/>
  <c r="I308" i="68" s="1"/>
  <c r="H299" i="68"/>
  <c r="H308" i="68" s="1"/>
  <c r="K298" i="68"/>
  <c r="I307" i="68" s="1"/>
  <c r="H298" i="68"/>
  <c r="H307" i="68" s="1"/>
  <c r="AI285" i="68"/>
  <c r="AH285" i="68"/>
  <c r="V285" i="68"/>
  <c r="U285" i="68"/>
  <c r="I285" i="68"/>
  <c r="H285" i="68"/>
  <c r="AI284" i="68"/>
  <c r="AH284" i="68"/>
  <c r="V284" i="68"/>
  <c r="U284" i="68"/>
  <c r="I284" i="68"/>
  <c r="H284" i="68"/>
  <c r="AI283" i="68"/>
  <c r="AH283" i="68"/>
  <c r="V283" i="68"/>
  <c r="U283" i="68"/>
  <c r="I283" i="68"/>
  <c r="H283" i="68"/>
  <c r="AI282" i="68"/>
  <c r="AH282" i="68"/>
  <c r="V282" i="68"/>
  <c r="U282" i="68"/>
  <c r="I282" i="68"/>
  <c r="H282" i="68"/>
  <c r="AI281" i="68"/>
  <c r="AH281" i="68"/>
  <c r="V281" i="68"/>
  <c r="U281" i="68"/>
  <c r="I281" i="68"/>
  <c r="H281" i="68"/>
  <c r="AI280" i="68"/>
  <c r="AH280" i="68"/>
  <c r="V280" i="68"/>
  <c r="U280" i="68"/>
  <c r="I280" i="68"/>
  <c r="H280" i="68"/>
  <c r="AI279" i="68"/>
  <c r="AH279" i="68"/>
  <c r="V279" i="68"/>
  <c r="U279" i="68"/>
  <c r="I279" i="68"/>
  <c r="H279" i="68"/>
  <c r="AI278" i="68"/>
  <c r="AH278" i="68"/>
  <c r="V278" i="68"/>
  <c r="U278" i="68"/>
  <c r="I278" i="68"/>
  <c r="H278" i="68"/>
  <c r="AI277" i="68"/>
  <c r="AH277" i="68"/>
  <c r="V277" i="68"/>
  <c r="U277" i="68"/>
  <c r="I277" i="68"/>
  <c r="H277" i="68"/>
  <c r="AI276" i="68"/>
  <c r="AH276" i="68"/>
  <c r="V276" i="68"/>
  <c r="U276" i="68"/>
  <c r="I276" i="68"/>
  <c r="H276" i="68"/>
  <c r="AI275" i="68"/>
  <c r="AH275" i="68"/>
  <c r="V275" i="68"/>
  <c r="U275" i="68"/>
  <c r="I275" i="68"/>
  <c r="H275" i="68"/>
  <c r="AI274" i="68"/>
  <c r="AH274" i="68"/>
  <c r="V274" i="68"/>
  <c r="U274" i="68"/>
  <c r="I274" i="68"/>
  <c r="H274" i="68"/>
  <c r="C271" i="68"/>
  <c r="C270" i="68"/>
  <c r="C269" i="68"/>
  <c r="C268" i="68"/>
  <c r="C267" i="68"/>
  <c r="C266" i="68"/>
  <c r="C265" i="68"/>
  <c r="C264" i="68"/>
  <c r="C263" i="68"/>
  <c r="C262" i="68"/>
  <c r="C261" i="68"/>
  <c r="AB33" i="68"/>
  <c r="AC33" i="68" s="1"/>
  <c r="X33" i="68"/>
  <c r="Y33" i="68" s="1"/>
  <c r="V33" i="68"/>
  <c r="W33" i="68" s="1"/>
  <c r="T33" i="68"/>
  <c r="R33" i="68"/>
  <c r="Q33" i="68"/>
  <c r="AB32" i="68"/>
  <c r="X32" i="68"/>
  <c r="Y32" i="68" s="1"/>
  <c r="W32" i="68"/>
  <c r="V32" i="68"/>
  <c r="T32" i="68"/>
  <c r="U32" i="68" s="1"/>
  <c r="AA32" i="68" s="1"/>
  <c r="Q32" i="68"/>
  <c r="R32" i="68" s="1"/>
  <c r="AB31" i="68"/>
  <c r="X31" i="68"/>
  <c r="Y31" i="68" s="1"/>
  <c r="V31" i="68"/>
  <c r="W31" i="68" s="1"/>
  <c r="T31" i="68"/>
  <c r="U31" i="68" s="1"/>
  <c r="Q31" i="68"/>
  <c r="R31" i="68" s="1"/>
  <c r="AB30" i="68"/>
  <c r="X30" i="68"/>
  <c r="Y30" i="68" s="1"/>
  <c r="V30" i="68"/>
  <c r="W30" i="68" s="1"/>
  <c r="T30" i="68"/>
  <c r="U30" i="68" s="1"/>
  <c r="Q30" i="68"/>
  <c r="R30" i="68" s="1"/>
  <c r="AB29" i="68"/>
  <c r="X29" i="68"/>
  <c r="Y29" i="68" s="1"/>
  <c r="V29" i="68"/>
  <c r="W29" i="68" s="1"/>
  <c r="T29" i="68"/>
  <c r="U29" i="68" s="1"/>
  <c r="R29" i="68"/>
  <c r="Q29" i="68"/>
  <c r="AB28" i="68"/>
  <c r="X28" i="68"/>
  <c r="Y28" i="68" s="1"/>
  <c r="V28" i="68"/>
  <c r="W28" i="68" s="1"/>
  <c r="T28" i="68"/>
  <c r="Q28" i="68"/>
  <c r="R28" i="68" s="1"/>
  <c r="AB27" i="68"/>
  <c r="X27" i="68"/>
  <c r="Y27" i="68" s="1"/>
  <c r="V27" i="68"/>
  <c r="W27" i="68" s="1"/>
  <c r="T27" i="68"/>
  <c r="R27" i="68"/>
  <c r="Q27" i="68"/>
  <c r="AB26" i="68"/>
  <c r="X26" i="68"/>
  <c r="Y26" i="68" s="1"/>
  <c r="V26" i="68"/>
  <c r="W26" i="68" s="1"/>
  <c r="T26" i="68"/>
  <c r="R26" i="68"/>
  <c r="Q26" i="68"/>
  <c r="AB25" i="68"/>
  <c r="X25" i="68"/>
  <c r="Y25" i="68" s="1"/>
  <c r="V25" i="68"/>
  <c r="W25" i="68" s="1"/>
  <c r="T25" i="68"/>
  <c r="U25" i="68" s="1"/>
  <c r="Q25" i="68"/>
  <c r="R25" i="68" s="1"/>
  <c r="AB24" i="68"/>
  <c r="X24" i="68"/>
  <c r="Y24" i="68" s="1"/>
  <c r="V24" i="68"/>
  <c r="W24" i="68" s="1"/>
  <c r="T24" i="68"/>
  <c r="U24" i="68" s="1"/>
  <c r="Q24" i="68"/>
  <c r="R24" i="68" s="1"/>
  <c r="AB23" i="68"/>
  <c r="Y23" i="68"/>
  <c r="X23" i="68"/>
  <c r="V23" i="68"/>
  <c r="W23" i="68" s="1"/>
  <c r="T23" i="68"/>
  <c r="Q23" i="68"/>
  <c r="R23" i="68" s="1"/>
  <c r="AB22" i="68"/>
  <c r="X22" i="68"/>
  <c r="Y22" i="68" s="1"/>
  <c r="V22" i="68"/>
  <c r="W22" i="68" s="1"/>
  <c r="T22" i="68"/>
  <c r="U22" i="68" s="1"/>
  <c r="Q22" i="68"/>
  <c r="R22" i="68" s="1"/>
  <c r="R20" i="68"/>
  <c r="AC27" i="68" s="1"/>
  <c r="G18" i="68"/>
  <c r="O17" i="68"/>
  <c r="L17" i="68"/>
  <c r="O16" i="68"/>
  <c r="L16" i="68"/>
  <c r="O15" i="68"/>
  <c r="L15" i="68"/>
  <c r="O14" i="68"/>
  <c r="L14" i="68"/>
  <c r="O13" i="68"/>
  <c r="L13" i="68"/>
  <c r="O12" i="68"/>
  <c r="L12" i="68"/>
  <c r="O11" i="68"/>
  <c r="L11" i="68"/>
  <c r="O10" i="68"/>
  <c r="L10" i="68"/>
  <c r="O9" i="68"/>
  <c r="L9" i="68"/>
  <c r="O8" i="68"/>
  <c r="L8" i="68"/>
  <c r="O7" i="68"/>
  <c r="L7" i="68"/>
  <c r="O6" i="68"/>
  <c r="L6" i="68"/>
  <c r="M4" i="68"/>
  <c r="M2" i="68"/>
  <c r="H313" i="69"/>
  <c r="I310" i="69"/>
  <c r="K304" i="69"/>
  <c r="I313" i="69" s="1"/>
  <c r="H304" i="69"/>
  <c r="K303" i="69"/>
  <c r="I312" i="69" s="1"/>
  <c r="H303" i="69"/>
  <c r="H312" i="69" s="1"/>
  <c r="K302" i="69"/>
  <c r="I311" i="69" s="1"/>
  <c r="H302" i="69"/>
  <c r="H311" i="69" s="1"/>
  <c r="K301" i="69"/>
  <c r="H301" i="69"/>
  <c r="H310" i="69" s="1"/>
  <c r="K300" i="69"/>
  <c r="I309" i="69" s="1"/>
  <c r="H300" i="69"/>
  <c r="H309" i="69" s="1"/>
  <c r="K299" i="69"/>
  <c r="I308" i="69" s="1"/>
  <c r="H299" i="69"/>
  <c r="H308" i="69" s="1"/>
  <c r="K298" i="69"/>
  <c r="I307" i="69" s="1"/>
  <c r="H298" i="69"/>
  <c r="H307" i="69" s="1"/>
  <c r="AI285" i="69"/>
  <c r="AH285" i="69"/>
  <c r="V285" i="69"/>
  <c r="U285" i="69"/>
  <c r="I285" i="69"/>
  <c r="H285" i="69"/>
  <c r="AI284" i="69"/>
  <c r="AH284" i="69"/>
  <c r="V284" i="69"/>
  <c r="U284" i="69"/>
  <c r="I284" i="69"/>
  <c r="H284" i="69"/>
  <c r="AI283" i="69"/>
  <c r="AH283" i="69"/>
  <c r="V283" i="69"/>
  <c r="U283" i="69"/>
  <c r="I283" i="69"/>
  <c r="H283" i="69"/>
  <c r="AI282" i="69"/>
  <c r="AH282" i="69"/>
  <c r="V282" i="69"/>
  <c r="U282" i="69"/>
  <c r="I282" i="69"/>
  <c r="H282" i="69"/>
  <c r="AI281" i="69"/>
  <c r="AH281" i="69"/>
  <c r="V281" i="69"/>
  <c r="U281" i="69"/>
  <c r="I281" i="69"/>
  <c r="H281" i="69"/>
  <c r="AI280" i="69"/>
  <c r="AH280" i="69"/>
  <c r="V280" i="69"/>
  <c r="U280" i="69"/>
  <c r="I280" i="69"/>
  <c r="H280" i="69"/>
  <c r="AI279" i="69"/>
  <c r="AH279" i="69"/>
  <c r="V279" i="69"/>
  <c r="U279" i="69"/>
  <c r="I279" i="69"/>
  <c r="H279" i="69"/>
  <c r="AI278" i="69"/>
  <c r="AH278" i="69"/>
  <c r="V278" i="69"/>
  <c r="U278" i="69"/>
  <c r="I278" i="69"/>
  <c r="H278" i="69"/>
  <c r="AI277" i="69"/>
  <c r="AH277" i="69"/>
  <c r="V277" i="69"/>
  <c r="U277" i="69"/>
  <c r="I277" i="69"/>
  <c r="H277" i="69"/>
  <c r="AI276" i="69"/>
  <c r="AH276" i="69"/>
  <c r="V276" i="69"/>
  <c r="U276" i="69"/>
  <c r="I276" i="69"/>
  <c r="H276" i="69"/>
  <c r="AI275" i="69"/>
  <c r="AH275" i="69"/>
  <c r="V275" i="69"/>
  <c r="U275" i="69"/>
  <c r="I275" i="69"/>
  <c r="H275" i="69"/>
  <c r="AI274" i="69"/>
  <c r="AH274" i="69"/>
  <c r="V274" i="69"/>
  <c r="U274" i="69"/>
  <c r="I274" i="69"/>
  <c r="H274" i="69"/>
  <c r="C271" i="69"/>
  <c r="C270" i="69"/>
  <c r="C269" i="69"/>
  <c r="C268" i="69"/>
  <c r="C267" i="69"/>
  <c r="C266" i="69"/>
  <c r="C265" i="69"/>
  <c r="C264" i="69"/>
  <c r="C263" i="69"/>
  <c r="C262" i="69"/>
  <c r="C261" i="69"/>
  <c r="AB33" i="69"/>
  <c r="X33" i="69"/>
  <c r="Y33" i="69" s="1"/>
  <c r="V33" i="69"/>
  <c r="T33" i="69"/>
  <c r="U33" i="69" s="1"/>
  <c r="Q33" i="69"/>
  <c r="R33" i="69" s="1"/>
  <c r="AB32" i="69"/>
  <c r="X32" i="69"/>
  <c r="Y32" i="69" s="1"/>
  <c r="V32" i="69"/>
  <c r="W32" i="69" s="1"/>
  <c r="T32" i="69"/>
  <c r="U32" i="69" s="1"/>
  <c r="Q32" i="69"/>
  <c r="R32" i="69" s="1"/>
  <c r="AB31" i="69"/>
  <c r="AC31" i="69" s="1"/>
  <c r="X31" i="69"/>
  <c r="Y31" i="69" s="1"/>
  <c r="V31" i="69"/>
  <c r="W31" i="69" s="1"/>
  <c r="T31" i="69"/>
  <c r="U31" i="69" s="1"/>
  <c r="R31" i="69"/>
  <c r="Q31" i="69"/>
  <c r="AB30" i="69"/>
  <c r="X30" i="69"/>
  <c r="Y30" i="69" s="1"/>
  <c r="V30" i="69"/>
  <c r="U30" i="69"/>
  <c r="T30" i="69"/>
  <c r="Q30" i="69"/>
  <c r="R30" i="69" s="1"/>
  <c r="AB29" i="69"/>
  <c r="X29" i="69"/>
  <c r="Y29" i="69" s="1"/>
  <c r="V29" i="69"/>
  <c r="T29" i="69"/>
  <c r="U29" i="69" s="1"/>
  <c r="Q29" i="69"/>
  <c r="R29" i="69" s="1"/>
  <c r="AB28" i="69"/>
  <c r="X28" i="69"/>
  <c r="Y28" i="69" s="1"/>
  <c r="V28" i="69"/>
  <c r="W28" i="69" s="1"/>
  <c r="T28" i="69"/>
  <c r="R28" i="69"/>
  <c r="Q28" i="69"/>
  <c r="AB27" i="69"/>
  <c r="X27" i="69"/>
  <c r="Y27" i="69" s="1"/>
  <c r="V27" i="69"/>
  <c r="W27" i="69" s="1"/>
  <c r="T27" i="69"/>
  <c r="Q27" i="69"/>
  <c r="R27" i="69" s="1"/>
  <c r="AB26" i="69"/>
  <c r="X26" i="69"/>
  <c r="W26" i="69"/>
  <c r="V26" i="69"/>
  <c r="U26" i="69"/>
  <c r="T26" i="69"/>
  <c r="Q26" i="69"/>
  <c r="R26" i="69" s="1"/>
  <c r="AB25" i="69"/>
  <c r="X25" i="69"/>
  <c r="Y25" i="69" s="1"/>
  <c r="V25" i="69"/>
  <c r="W25" i="69" s="1"/>
  <c r="T25" i="69"/>
  <c r="U25" i="69" s="1"/>
  <c r="Q25" i="69"/>
  <c r="R25" i="69" s="1"/>
  <c r="AB24" i="69"/>
  <c r="X24" i="69"/>
  <c r="Y24" i="69" s="1"/>
  <c r="V24" i="69"/>
  <c r="W24" i="69" s="1"/>
  <c r="T24" i="69"/>
  <c r="U24" i="69" s="1"/>
  <c r="AA24" i="69" s="1"/>
  <c r="Q24" i="69"/>
  <c r="R24" i="69" s="1"/>
  <c r="AB23" i="69"/>
  <c r="X23" i="69"/>
  <c r="Y23" i="69" s="1"/>
  <c r="V23" i="69"/>
  <c r="W23" i="69" s="1"/>
  <c r="T23" i="69"/>
  <c r="Q23" i="69"/>
  <c r="R23" i="69" s="1"/>
  <c r="AB22" i="69"/>
  <c r="X22" i="69"/>
  <c r="Y22" i="69" s="1"/>
  <c r="V22" i="69"/>
  <c r="W22" i="69" s="1"/>
  <c r="T22" i="69"/>
  <c r="Q22" i="69"/>
  <c r="R22" i="69" s="1"/>
  <c r="R20" i="69"/>
  <c r="G18" i="69"/>
  <c r="F8" i="69" s="1"/>
  <c r="O17" i="69"/>
  <c r="L17" i="69"/>
  <c r="O16" i="69"/>
  <c r="L16" i="69"/>
  <c r="O15" i="69"/>
  <c r="L15" i="69"/>
  <c r="O14" i="69"/>
  <c r="L14" i="69"/>
  <c r="O13" i="69"/>
  <c r="L13" i="69"/>
  <c r="O12" i="69"/>
  <c r="L12" i="69"/>
  <c r="O11" i="69"/>
  <c r="L11" i="69"/>
  <c r="O10" i="69"/>
  <c r="L10" i="69"/>
  <c r="O9" i="69"/>
  <c r="L9" i="69"/>
  <c r="O8" i="69"/>
  <c r="L8" i="69"/>
  <c r="O7" i="69"/>
  <c r="L7" i="69"/>
  <c r="O6" i="69"/>
  <c r="L6" i="69"/>
  <c r="M4" i="69"/>
  <c r="M2" i="69"/>
  <c r="O4" i="69" l="1"/>
  <c r="AC23" i="69"/>
  <c r="AC25" i="68"/>
  <c r="F8" i="67"/>
  <c r="AC22" i="68"/>
  <c r="F17" i="67"/>
  <c r="F6" i="69"/>
  <c r="E6" i="69" s="1"/>
  <c r="Z30" i="69"/>
  <c r="AD30" i="69" s="1"/>
  <c r="AC28" i="67"/>
  <c r="W30" i="69"/>
  <c r="AA30" i="69" s="1"/>
  <c r="Z26" i="68"/>
  <c r="AD26" i="68" s="1"/>
  <c r="M264" i="68" s="1"/>
  <c r="J278" i="68" s="1"/>
  <c r="F9" i="67"/>
  <c r="AC32" i="67"/>
  <c r="F17" i="69"/>
  <c r="Z24" i="69"/>
  <c r="AD24" i="69" s="1"/>
  <c r="AC26" i="68"/>
  <c r="AC32" i="68"/>
  <c r="AC24" i="68"/>
  <c r="AA32" i="69"/>
  <c r="F7" i="67"/>
  <c r="F16" i="67"/>
  <c r="AC31" i="67"/>
  <c r="AC25" i="65"/>
  <c r="AC29" i="65"/>
  <c r="AC33" i="65"/>
  <c r="AC28" i="73"/>
  <c r="AC25" i="73"/>
  <c r="AC32" i="73"/>
  <c r="AC29" i="73"/>
  <c r="AC22" i="73"/>
  <c r="Z30" i="73"/>
  <c r="AD30" i="73" s="1"/>
  <c r="Z23" i="73"/>
  <c r="AD23" i="73" s="1"/>
  <c r="AC26" i="73"/>
  <c r="U30" i="73"/>
  <c r="B259" i="73"/>
  <c r="AC30" i="73"/>
  <c r="B259" i="69"/>
  <c r="D258" i="69"/>
  <c r="Z23" i="68"/>
  <c r="AD23" i="68" s="1"/>
  <c r="U23" i="68"/>
  <c r="AA23" i="68" s="1"/>
  <c r="C9" i="69"/>
  <c r="C11" i="69"/>
  <c r="U23" i="69"/>
  <c r="AA23" i="69" s="1"/>
  <c r="Z23" i="69"/>
  <c r="AD23" i="69" s="1"/>
  <c r="AA30" i="68"/>
  <c r="B259" i="67"/>
  <c r="D258" i="67"/>
  <c r="D262" i="67" s="1"/>
  <c r="B259" i="68"/>
  <c r="D264" i="67"/>
  <c r="Z22" i="69"/>
  <c r="AD22" i="69" s="1"/>
  <c r="U22" i="69"/>
  <c r="AA22" i="69" s="1"/>
  <c r="D258" i="68"/>
  <c r="D266" i="68" s="1"/>
  <c r="AA31" i="69"/>
  <c r="U22" i="73"/>
  <c r="AA22" i="73" s="1"/>
  <c r="Z22" i="73"/>
  <c r="AD22" i="73" s="1"/>
  <c r="B13" i="73" s="1"/>
  <c r="F10" i="68"/>
  <c r="F13" i="68"/>
  <c r="AC24" i="67"/>
  <c r="D259" i="69"/>
  <c r="AC30" i="67"/>
  <c r="AC33" i="67"/>
  <c r="F10" i="65"/>
  <c r="F7" i="65"/>
  <c r="F9" i="65"/>
  <c r="F11" i="65"/>
  <c r="Z32" i="69"/>
  <c r="AD32" i="69" s="1"/>
  <c r="O4" i="68"/>
  <c r="AA22" i="68"/>
  <c r="AC23" i="68"/>
  <c r="AC31" i="68"/>
  <c r="D265" i="68"/>
  <c r="AC26" i="67"/>
  <c r="Z28" i="67"/>
  <c r="AD28" i="67" s="1"/>
  <c r="AC23" i="73"/>
  <c r="Z26" i="73"/>
  <c r="AD26" i="73" s="1"/>
  <c r="Z29" i="73"/>
  <c r="AD29" i="73" s="1"/>
  <c r="Z32" i="67"/>
  <c r="AD32" i="67" s="1"/>
  <c r="AC27" i="73"/>
  <c r="AC31" i="73"/>
  <c r="D261" i="68"/>
  <c r="O4" i="67"/>
  <c r="U26" i="68"/>
  <c r="AA26" i="68" s="1"/>
  <c r="D262" i="68"/>
  <c r="D270" i="68"/>
  <c r="Z30" i="67"/>
  <c r="AD30" i="67" s="1"/>
  <c r="D266" i="67"/>
  <c r="Z28" i="73"/>
  <c r="AD28" i="73" s="1"/>
  <c r="M266" i="73" s="1"/>
  <c r="J280" i="73" s="1"/>
  <c r="AA25" i="69"/>
  <c r="Z31" i="69"/>
  <c r="AD31" i="69" s="1"/>
  <c r="Z33" i="69"/>
  <c r="AD33" i="69" s="1"/>
  <c r="AC23" i="67"/>
  <c r="AC27" i="67"/>
  <c r="Z29" i="67"/>
  <c r="AD29" i="67" s="1"/>
  <c r="AA30" i="73"/>
  <c r="AC32" i="69"/>
  <c r="Z25" i="69"/>
  <c r="AD25" i="69" s="1"/>
  <c r="W33" i="69"/>
  <c r="AA33" i="69" s="1"/>
  <c r="Z22" i="68"/>
  <c r="AD22" i="68" s="1"/>
  <c r="AA25" i="68"/>
  <c r="AC28" i="68"/>
  <c r="AC29" i="68"/>
  <c r="AC30" i="68"/>
  <c r="U29" i="67"/>
  <c r="AA29" i="67" s="1"/>
  <c r="D268" i="67"/>
  <c r="AC24" i="73"/>
  <c r="AA31" i="73"/>
  <c r="AC33" i="73"/>
  <c r="C12" i="68"/>
  <c r="M261" i="68"/>
  <c r="J275" i="68" s="1"/>
  <c r="AE23" i="68"/>
  <c r="P261" i="68" s="1"/>
  <c r="K275" i="68" s="1"/>
  <c r="C15" i="68"/>
  <c r="C10" i="68"/>
  <c r="Z24" i="67"/>
  <c r="AD24" i="67" s="1"/>
  <c r="U24" i="67"/>
  <c r="AA24" i="67" s="1"/>
  <c r="M263" i="69"/>
  <c r="J277" i="69" s="1"/>
  <c r="M271" i="69"/>
  <c r="J285" i="69" s="1"/>
  <c r="Z33" i="67"/>
  <c r="AD33" i="67" s="1"/>
  <c r="U33" i="67"/>
  <c r="AA33" i="67" s="1"/>
  <c r="Z28" i="69"/>
  <c r="AD28" i="69" s="1"/>
  <c r="U28" i="69"/>
  <c r="AA28" i="69" s="1"/>
  <c r="Z29" i="69"/>
  <c r="AD29" i="69" s="1"/>
  <c r="W29" i="69"/>
  <c r="Z33" i="68"/>
  <c r="AD33" i="68" s="1"/>
  <c r="U33" i="68"/>
  <c r="AA33" i="68" s="1"/>
  <c r="AC24" i="69"/>
  <c r="Y26" i="69"/>
  <c r="AA26" i="69" s="1"/>
  <c r="Z26" i="69"/>
  <c r="AD26" i="69" s="1"/>
  <c r="AC28" i="69"/>
  <c r="D271" i="69"/>
  <c r="D270" i="69"/>
  <c r="D269" i="69"/>
  <c r="D268" i="69"/>
  <c r="D267" i="69"/>
  <c r="D266" i="69"/>
  <c r="D265" i="69"/>
  <c r="D264" i="69"/>
  <c r="D263" i="69"/>
  <c r="D262" i="69"/>
  <c r="D273" i="69" s="1"/>
  <c r="D261" i="69"/>
  <c r="AE26" i="68"/>
  <c r="P264" i="68" s="1"/>
  <c r="K278" i="68" s="1"/>
  <c r="Z23" i="67"/>
  <c r="AD23" i="67" s="1"/>
  <c r="U23" i="67"/>
  <c r="AA23" i="67" s="1"/>
  <c r="K11" i="69"/>
  <c r="M11" i="69" s="1"/>
  <c r="AC29" i="69"/>
  <c r="B7" i="68"/>
  <c r="B10" i="68"/>
  <c r="K10" i="68" s="1"/>
  <c r="M10" i="68" s="1"/>
  <c r="B13" i="68"/>
  <c r="K13" i="68" s="1"/>
  <c r="M13" i="68" s="1"/>
  <c r="B12" i="68"/>
  <c r="B14" i="68"/>
  <c r="K14" i="68" s="1"/>
  <c r="M14" i="68" s="1"/>
  <c r="AE22" i="68"/>
  <c r="P260" i="68" s="1"/>
  <c r="K274" i="68" s="1"/>
  <c r="B15" i="68"/>
  <c r="K15" i="68" s="1"/>
  <c r="M15" i="68" s="1"/>
  <c r="M260" i="68"/>
  <c r="J274" i="68" s="1"/>
  <c r="B17" i="68"/>
  <c r="K17" i="68" s="1"/>
  <c r="M17" i="68" s="1"/>
  <c r="K9" i="69"/>
  <c r="M9" i="69" s="1"/>
  <c r="AC30" i="69"/>
  <c r="AC26" i="69"/>
  <c r="AC22" i="69"/>
  <c r="AE24" i="69" s="1"/>
  <c r="P262" i="69" s="1"/>
  <c r="K276" i="69" s="1"/>
  <c r="AC27" i="69"/>
  <c r="M261" i="69"/>
  <c r="J275" i="69" s="1"/>
  <c r="M269" i="69"/>
  <c r="J283" i="69" s="1"/>
  <c r="K12" i="68"/>
  <c r="M12" i="68" s="1"/>
  <c r="Z22" i="67"/>
  <c r="AD22" i="67" s="1"/>
  <c r="U22" i="67"/>
  <c r="AA22" i="67" s="1"/>
  <c r="M264" i="73"/>
  <c r="J278" i="73" s="1"/>
  <c r="M260" i="69"/>
  <c r="J274" i="69" s="1"/>
  <c r="B7" i="69"/>
  <c r="B14" i="69"/>
  <c r="K14" i="69" s="1"/>
  <c r="M14" i="69" s="1"/>
  <c r="B17" i="69"/>
  <c r="K17" i="69" s="1"/>
  <c r="M17" i="69" s="1"/>
  <c r="B15" i="69"/>
  <c r="B12" i="69"/>
  <c r="M268" i="69"/>
  <c r="J282" i="69" s="1"/>
  <c r="Z26" i="65"/>
  <c r="AD26" i="65" s="1"/>
  <c r="W26" i="65"/>
  <c r="AA26" i="65" s="1"/>
  <c r="C10" i="69"/>
  <c r="M262" i="69"/>
  <c r="J276" i="69" s="1"/>
  <c r="C16" i="69"/>
  <c r="K16" i="69" s="1"/>
  <c r="M16" i="69" s="1"/>
  <c r="U27" i="69"/>
  <c r="AA27" i="69" s="1"/>
  <c r="Z27" i="69"/>
  <c r="AD27" i="69" s="1"/>
  <c r="M270" i="69"/>
  <c r="J284" i="69" s="1"/>
  <c r="M266" i="67"/>
  <c r="J280" i="67" s="1"/>
  <c r="AE28" i="67"/>
  <c r="P266" i="67" s="1"/>
  <c r="K280" i="67" s="1"/>
  <c r="Z22" i="65"/>
  <c r="AD22" i="65" s="1"/>
  <c r="W22" i="65"/>
  <c r="AA22" i="65" s="1"/>
  <c r="AA29" i="68"/>
  <c r="U28" i="67"/>
  <c r="AA28" i="67" s="1"/>
  <c r="Z33" i="73"/>
  <c r="AD33" i="73" s="1"/>
  <c r="W33" i="73"/>
  <c r="AA33" i="73" s="1"/>
  <c r="F15" i="69"/>
  <c r="F10" i="69"/>
  <c r="F9" i="69"/>
  <c r="F16" i="69"/>
  <c r="F14" i="69"/>
  <c r="F13" i="69"/>
  <c r="F12" i="69"/>
  <c r="F11" i="69"/>
  <c r="F7" i="69"/>
  <c r="E7" i="69" s="1"/>
  <c r="E8" i="69" s="1"/>
  <c r="Z31" i="68"/>
  <c r="AD31" i="68" s="1"/>
  <c r="M270" i="67"/>
  <c r="J284" i="67" s="1"/>
  <c r="AE32" i="67"/>
  <c r="P270" i="67" s="1"/>
  <c r="K284" i="67" s="1"/>
  <c r="AA31" i="68"/>
  <c r="M269" i="67"/>
  <c r="J283" i="67" s="1"/>
  <c r="AA24" i="68"/>
  <c r="Z27" i="68"/>
  <c r="AD27" i="68" s="1"/>
  <c r="U27" i="68"/>
  <c r="AA27" i="68" s="1"/>
  <c r="M268" i="67"/>
  <c r="J282" i="67" s="1"/>
  <c r="U31" i="67"/>
  <c r="AA31" i="67" s="1"/>
  <c r="AE31" i="67" s="1"/>
  <c r="P269" i="67" s="1"/>
  <c r="K283" i="67" s="1"/>
  <c r="Z30" i="65"/>
  <c r="AD30" i="65" s="1"/>
  <c r="W30" i="65"/>
  <c r="AA30" i="65" s="1"/>
  <c r="D259" i="65"/>
  <c r="D258" i="65"/>
  <c r="D261" i="65" s="1"/>
  <c r="B259" i="65"/>
  <c r="M267" i="73"/>
  <c r="J281" i="73" s="1"/>
  <c r="AC25" i="69"/>
  <c r="AA29" i="69"/>
  <c r="AC33" i="69"/>
  <c r="F17" i="68"/>
  <c r="F16" i="68"/>
  <c r="F15" i="68"/>
  <c r="F14" i="68"/>
  <c r="F12" i="68"/>
  <c r="F11" i="68"/>
  <c r="F9" i="68"/>
  <c r="F8" i="68"/>
  <c r="F7" i="68"/>
  <c r="F6" i="68"/>
  <c r="E6" i="68" s="1"/>
  <c r="E7" i="68" s="1"/>
  <c r="E8" i="68" s="1"/>
  <c r="E9" i="68" s="1"/>
  <c r="E10" i="68" s="1"/>
  <c r="E11" i="68" s="1"/>
  <c r="Z28" i="68"/>
  <c r="AD28" i="68" s="1"/>
  <c r="U28" i="68"/>
  <c r="AA28" i="68" s="1"/>
  <c r="F14" i="67"/>
  <c r="F13" i="67"/>
  <c r="F12" i="67"/>
  <c r="F15" i="67"/>
  <c r="F6" i="67"/>
  <c r="E6" i="67" s="1"/>
  <c r="E7" i="67" s="1"/>
  <c r="E8" i="67" s="1"/>
  <c r="E9" i="67" s="1"/>
  <c r="E10" i="67" s="1"/>
  <c r="F11" i="67"/>
  <c r="M267" i="67"/>
  <c r="J281" i="67" s="1"/>
  <c r="AE29" i="67"/>
  <c r="P267" i="67" s="1"/>
  <c r="K281" i="67" s="1"/>
  <c r="AA30" i="67"/>
  <c r="AE30" i="67" s="1"/>
  <c r="P268" i="67" s="1"/>
  <c r="K282" i="67" s="1"/>
  <c r="AF22" i="73"/>
  <c r="M260" i="73"/>
  <c r="J274" i="73" s="1"/>
  <c r="AE22" i="73"/>
  <c r="P260" i="73" s="1"/>
  <c r="K274" i="73" s="1"/>
  <c r="B12" i="73"/>
  <c r="K12" i="73" s="1"/>
  <c r="M12" i="73" s="1"/>
  <c r="B7" i="73"/>
  <c r="B17" i="73"/>
  <c r="K17" i="73" s="1"/>
  <c r="M17" i="73" s="1"/>
  <c r="B14" i="73"/>
  <c r="K14" i="73" s="1"/>
  <c r="M14" i="73" s="1"/>
  <c r="B10" i="73"/>
  <c r="B15" i="73"/>
  <c r="Z24" i="68"/>
  <c r="AD24" i="68" s="1"/>
  <c r="Z32" i="68"/>
  <c r="AD32" i="68" s="1"/>
  <c r="D263" i="68"/>
  <c r="D267" i="68"/>
  <c r="D271" i="68"/>
  <c r="Z26" i="67"/>
  <c r="AD26" i="67" s="1"/>
  <c r="D263" i="65"/>
  <c r="Z25" i="73"/>
  <c r="AD25" i="73" s="1"/>
  <c r="W25" i="73"/>
  <c r="AA25" i="73" s="1"/>
  <c r="AA29" i="73"/>
  <c r="AE29" i="73" s="1"/>
  <c r="P267" i="73" s="1"/>
  <c r="K281" i="73" s="1"/>
  <c r="Z29" i="68"/>
  <c r="AD29" i="68" s="1"/>
  <c r="AA26" i="67"/>
  <c r="Z27" i="67"/>
  <c r="AD27" i="67" s="1"/>
  <c r="Z25" i="65"/>
  <c r="AD25" i="65" s="1"/>
  <c r="W25" i="65"/>
  <c r="AA25" i="65" s="1"/>
  <c r="Z29" i="65"/>
  <c r="AD29" i="65" s="1"/>
  <c r="W29" i="65"/>
  <c r="AA29" i="65" s="1"/>
  <c r="Z33" i="65"/>
  <c r="AD33" i="65" s="1"/>
  <c r="W33" i="65"/>
  <c r="AA33" i="65" s="1"/>
  <c r="F17" i="73"/>
  <c r="F16" i="73"/>
  <c r="F15" i="73"/>
  <c r="F14" i="73"/>
  <c r="F13" i="73"/>
  <c r="F12" i="73"/>
  <c r="F6" i="73"/>
  <c r="E6" i="73" s="1"/>
  <c r="E7" i="73" s="1"/>
  <c r="F8" i="73"/>
  <c r="F10" i="73"/>
  <c r="F11" i="73"/>
  <c r="Z25" i="68"/>
  <c r="AD25" i="68" s="1"/>
  <c r="Z25" i="67"/>
  <c r="AD25" i="67" s="1"/>
  <c r="D261" i="67"/>
  <c r="D263" i="67"/>
  <c r="D265" i="67"/>
  <c r="D267" i="67"/>
  <c r="D269" i="67"/>
  <c r="D271" i="67"/>
  <c r="F6" i="65"/>
  <c r="E6" i="65" s="1"/>
  <c r="E7" i="65" s="1"/>
  <c r="E8" i="65" s="1"/>
  <c r="E9" i="65" s="1"/>
  <c r="E10" i="65" s="1"/>
  <c r="E11" i="65" s="1"/>
  <c r="F17" i="65"/>
  <c r="F16" i="65"/>
  <c r="F15" i="65"/>
  <c r="F14" i="65"/>
  <c r="F13" i="65"/>
  <c r="F12" i="65"/>
  <c r="Z23" i="65"/>
  <c r="AD23" i="65" s="1"/>
  <c r="W23" i="65"/>
  <c r="AA23" i="65" s="1"/>
  <c r="Z27" i="65"/>
  <c r="AD27" i="65" s="1"/>
  <c r="W27" i="65"/>
  <c r="AA27" i="65" s="1"/>
  <c r="Z31" i="65"/>
  <c r="AD31" i="65" s="1"/>
  <c r="W31" i="65"/>
  <c r="AA31" i="65" s="1"/>
  <c r="D270" i="65"/>
  <c r="Z30" i="68"/>
  <c r="AD30" i="68" s="1"/>
  <c r="U25" i="67"/>
  <c r="AA25" i="67" s="1"/>
  <c r="Z24" i="65"/>
  <c r="AD24" i="65" s="1"/>
  <c r="W24" i="65"/>
  <c r="AA24" i="65" s="1"/>
  <c r="Z28" i="65"/>
  <c r="AD28" i="65" s="1"/>
  <c r="W28" i="65"/>
  <c r="AA28" i="65" s="1"/>
  <c r="Z32" i="65"/>
  <c r="AD32" i="65" s="1"/>
  <c r="W32" i="65"/>
  <c r="AA32" i="65" s="1"/>
  <c r="M261" i="73"/>
  <c r="J275" i="73" s="1"/>
  <c r="C10" i="73"/>
  <c r="C12" i="73"/>
  <c r="AF23" i="73"/>
  <c r="C15" i="73"/>
  <c r="K13" i="73"/>
  <c r="M13" i="73" s="1"/>
  <c r="D266" i="73"/>
  <c r="W26" i="73"/>
  <c r="AA26" i="73" s="1"/>
  <c r="AE26" i="73" s="1"/>
  <c r="P264" i="73" s="1"/>
  <c r="K278" i="73" s="1"/>
  <c r="U28" i="73"/>
  <c r="AA28" i="73" s="1"/>
  <c r="AE28" i="73" s="1"/>
  <c r="P266" i="73" s="1"/>
  <c r="K280" i="73" s="1"/>
  <c r="AF28" i="73"/>
  <c r="AF30" i="73"/>
  <c r="M268" i="73"/>
  <c r="J282" i="73" s="1"/>
  <c r="AE30" i="73"/>
  <c r="P268" i="73" s="1"/>
  <c r="K282" i="73" s="1"/>
  <c r="U23" i="73"/>
  <c r="AA23" i="73" s="1"/>
  <c r="AE23" i="73" s="1"/>
  <c r="P261" i="73" s="1"/>
  <c r="K275" i="73" s="1"/>
  <c r="Z31" i="73"/>
  <c r="AD31" i="73" s="1"/>
  <c r="U32" i="73"/>
  <c r="AA32" i="73" s="1"/>
  <c r="Z32" i="73"/>
  <c r="AD32" i="73" s="1"/>
  <c r="Z27" i="73"/>
  <c r="AD27" i="73" s="1"/>
  <c r="D261" i="73"/>
  <c r="D259" i="73"/>
  <c r="D258" i="73"/>
  <c r="D268" i="73" s="1"/>
  <c r="D263" i="73"/>
  <c r="D267" i="73"/>
  <c r="D259" i="67"/>
  <c r="AA27" i="73"/>
  <c r="D259" i="68"/>
  <c r="U24" i="73"/>
  <c r="AA24" i="73" s="1"/>
  <c r="Z24" i="73"/>
  <c r="AD24" i="73" s="1"/>
  <c r="D264" i="68" l="1"/>
  <c r="D273" i="68" s="1"/>
  <c r="E12" i="68"/>
  <c r="E13" i="68" s="1"/>
  <c r="E14" i="68" s="1"/>
  <c r="E15" i="68" s="1"/>
  <c r="E16" i="68" s="1"/>
  <c r="E17" i="68" s="1"/>
  <c r="D270" i="67"/>
  <c r="D271" i="73"/>
  <c r="K10" i="73"/>
  <c r="M10" i="73" s="1"/>
  <c r="D269" i="73"/>
  <c r="D269" i="68"/>
  <c r="D265" i="73"/>
  <c r="D270" i="73"/>
  <c r="D262" i="65"/>
  <c r="D262" i="73"/>
  <c r="E9" i="69"/>
  <c r="E10" i="69" s="1"/>
  <c r="E11" i="69" s="1"/>
  <c r="E12" i="69" s="1"/>
  <c r="E13" i="69" s="1"/>
  <c r="E14" i="69" s="1"/>
  <c r="E15" i="69" s="1"/>
  <c r="E16" i="69" s="1"/>
  <c r="E17" i="69" s="1"/>
  <c r="AE33" i="69"/>
  <c r="P271" i="69" s="1"/>
  <c r="K285" i="69" s="1"/>
  <c r="B13" i="69"/>
  <c r="K13" i="69" s="1"/>
  <c r="M13" i="69" s="1"/>
  <c r="B10" i="69"/>
  <c r="C12" i="69"/>
  <c r="K12" i="69" s="1"/>
  <c r="M12" i="69" s="1"/>
  <c r="C15" i="69"/>
  <c r="K15" i="69" s="1"/>
  <c r="M15" i="69" s="1"/>
  <c r="D268" i="68"/>
  <c r="E8" i="73"/>
  <c r="E9" i="73" s="1"/>
  <c r="E10" i="73" s="1"/>
  <c r="E11" i="73" s="1"/>
  <c r="E12" i="73" s="1"/>
  <c r="E13" i="73" s="1"/>
  <c r="E14" i="73" s="1"/>
  <c r="E15" i="73" s="1"/>
  <c r="E16" i="73" s="1"/>
  <c r="E17" i="73" s="1"/>
  <c r="D264" i="73"/>
  <c r="E30" i="73"/>
  <c r="N14" i="73"/>
  <c r="AC268" i="73" s="1"/>
  <c r="X282" i="73" s="1"/>
  <c r="Z268" i="73"/>
  <c r="W282" i="73" s="1"/>
  <c r="Z268" i="69"/>
  <c r="W282" i="69" s="1"/>
  <c r="E30" i="69"/>
  <c r="N14" i="69"/>
  <c r="AC268" i="69" s="1"/>
  <c r="X282" i="69" s="1"/>
  <c r="Z270" i="69"/>
  <c r="W284" i="69" s="1"/>
  <c r="N16" i="69"/>
  <c r="AC270" i="69" s="1"/>
  <c r="X284" i="69" s="1"/>
  <c r="E32" i="69"/>
  <c r="E31" i="68"/>
  <c r="Z269" i="68"/>
  <c r="W283" i="68" s="1"/>
  <c r="N15" i="68"/>
  <c r="AC269" i="68" s="1"/>
  <c r="X283" i="68" s="1"/>
  <c r="E28" i="73"/>
  <c r="Z266" i="73"/>
  <c r="W280" i="73" s="1"/>
  <c r="N12" i="73"/>
  <c r="AC266" i="73" s="1"/>
  <c r="X280" i="73" s="1"/>
  <c r="M271" i="65"/>
  <c r="J285" i="65" s="1"/>
  <c r="AE33" i="65"/>
  <c r="P271" i="65" s="1"/>
  <c r="K285" i="65" s="1"/>
  <c r="AE32" i="68"/>
  <c r="P270" i="68" s="1"/>
  <c r="K284" i="68" s="1"/>
  <c r="M270" i="68"/>
  <c r="J284" i="68" s="1"/>
  <c r="E29" i="68"/>
  <c r="Z267" i="68"/>
  <c r="W281" i="68" s="1"/>
  <c r="N13" i="68"/>
  <c r="AC267" i="68" s="1"/>
  <c r="X281" i="68" s="1"/>
  <c r="M271" i="73"/>
  <c r="J285" i="73" s="1"/>
  <c r="AE33" i="73"/>
  <c r="P271" i="73" s="1"/>
  <c r="K285" i="73" s="1"/>
  <c r="AF33" i="73"/>
  <c r="M265" i="69"/>
  <c r="J279" i="69" s="1"/>
  <c r="AE27" i="69"/>
  <c r="P265" i="69" s="1"/>
  <c r="K279" i="69" s="1"/>
  <c r="M266" i="69"/>
  <c r="J280" i="69" s="1"/>
  <c r="AE28" i="69"/>
  <c r="P266" i="69" s="1"/>
  <c r="K280" i="69" s="1"/>
  <c r="M262" i="73"/>
  <c r="J276" i="73" s="1"/>
  <c r="C11" i="73"/>
  <c r="K11" i="73" s="1"/>
  <c r="M11" i="73" s="1"/>
  <c r="AF24" i="73"/>
  <c r="AE24" i="73"/>
  <c r="P262" i="73" s="1"/>
  <c r="K276" i="73" s="1"/>
  <c r="C16" i="73"/>
  <c r="K16" i="73" s="1"/>
  <c r="M16" i="73" s="1"/>
  <c r="C9" i="73"/>
  <c r="M265" i="73"/>
  <c r="J279" i="73" s="1"/>
  <c r="AE27" i="73"/>
  <c r="P265" i="73" s="1"/>
  <c r="K279" i="73" s="1"/>
  <c r="AF27" i="73"/>
  <c r="D268" i="65"/>
  <c r="D265" i="65"/>
  <c r="M265" i="65"/>
  <c r="J279" i="65" s="1"/>
  <c r="AE27" i="65"/>
  <c r="P265" i="65" s="1"/>
  <c r="K279" i="65" s="1"/>
  <c r="M263" i="67"/>
  <c r="J277" i="67" s="1"/>
  <c r="AE25" i="67"/>
  <c r="P263" i="67" s="1"/>
  <c r="K277" i="67" s="1"/>
  <c r="C11" i="68"/>
  <c r="K11" i="68" s="1"/>
  <c r="M11" i="68" s="1"/>
  <c r="C9" i="68"/>
  <c r="M262" i="68"/>
  <c r="J276" i="68" s="1"/>
  <c r="AE24" i="68"/>
  <c r="P262" i="68" s="1"/>
  <c r="K276" i="68" s="1"/>
  <c r="C16" i="68"/>
  <c r="K16" i="68" s="1"/>
  <c r="M16" i="68" s="1"/>
  <c r="N17" i="73"/>
  <c r="AC271" i="73" s="1"/>
  <c r="X285" i="73" s="1"/>
  <c r="Z271" i="73"/>
  <c r="W285" i="73" s="1"/>
  <c r="E33" i="73"/>
  <c r="E11" i="67"/>
  <c r="E12" i="67" s="1"/>
  <c r="E13" i="67" s="1"/>
  <c r="E14" i="67" s="1"/>
  <c r="E15" i="67" s="1"/>
  <c r="E16" i="67" s="1"/>
  <c r="E17" i="67" s="1"/>
  <c r="M268" i="65"/>
  <c r="J282" i="65" s="1"/>
  <c r="AE30" i="65"/>
  <c r="P268" i="65" s="1"/>
  <c r="K282" i="65" s="1"/>
  <c r="E29" i="69"/>
  <c r="Z267" i="69"/>
  <c r="W281" i="69" s="1"/>
  <c r="N13" i="69"/>
  <c r="AC267" i="69" s="1"/>
  <c r="X281" i="69" s="1"/>
  <c r="D269" i="65"/>
  <c r="B12" i="65"/>
  <c r="M260" i="65"/>
  <c r="J274" i="65" s="1"/>
  <c r="B10" i="65"/>
  <c r="B7" i="65"/>
  <c r="AE22" i="65"/>
  <c r="P260" i="65" s="1"/>
  <c r="K274" i="65" s="1"/>
  <c r="B17" i="65"/>
  <c r="K17" i="65" s="1"/>
  <c r="M17" i="65" s="1"/>
  <c r="B15" i="65"/>
  <c r="B13" i="65"/>
  <c r="K13" i="65" s="1"/>
  <c r="M13" i="65" s="1"/>
  <c r="B14" i="65"/>
  <c r="K14" i="65" s="1"/>
  <c r="M14" i="65" s="1"/>
  <c r="AE25" i="69"/>
  <c r="P263" i="69" s="1"/>
  <c r="K277" i="69" s="1"/>
  <c r="E12" i="65"/>
  <c r="E13" i="65" s="1"/>
  <c r="E14" i="65" s="1"/>
  <c r="E15" i="65" s="1"/>
  <c r="E16" i="65" s="1"/>
  <c r="E17" i="65" s="1"/>
  <c r="AE25" i="68"/>
  <c r="P263" i="68" s="1"/>
  <c r="K277" i="68" s="1"/>
  <c r="M263" i="68"/>
  <c r="J277" i="68" s="1"/>
  <c r="M267" i="65"/>
  <c r="J281" i="65" s="1"/>
  <c r="AE29" i="65"/>
  <c r="P267" i="65" s="1"/>
  <c r="K281" i="65" s="1"/>
  <c r="E33" i="69"/>
  <c r="Z271" i="69"/>
  <c r="W285" i="69" s="1"/>
  <c r="N17" i="69"/>
  <c r="AC271" i="69" s="1"/>
  <c r="X285" i="69" s="1"/>
  <c r="B6" i="73"/>
  <c r="K6" i="73" s="1"/>
  <c r="M6" i="73" s="1"/>
  <c r="AF29" i="73"/>
  <c r="D264" i="65"/>
  <c r="M264" i="69"/>
  <c r="J278" i="69" s="1"/>
  <c r="AE26" i="69"/>
  <c r="P264" i="69" s="1"/>
  <c r="K278" i="69" s="1"/>
  <c r="D273" i="67"/>
  <c r="C7" i="73"/>
  <c r="M270" i="65"/>
  <c r="J284" i="65" s="1"/>
  <c r="AE32" i="65"/>
  <c r="P270" i="65" s="1"/>
  <c r="K284" i="65" s="1"/>
  <c r="C10" i="65"/>
  <c r="M261" i="65"/>
  <c r="J275" i="65" s="1"/>
  <c r="AE23" i="65"/>
  <c r="P261" i="65" s="1"/>
  <c r="K275" i="65" s="1"/>
  <c r="C15" i="65"/>
  <c r="C12" i="65"/>
  <c r="M263" i="73"/>
  <c r="J277" i="73" s="1"/>
  <c r="AE25" i="73"/>
  <c r="P263" i="73" s="1"/>
  <c r="K277" i="73" s="1"/>
  <c r="AF25" i="73"/>
  <c r="M260" i="67"/>
  <c r="J274" i="67" s="1"/>
  <c r="B10" i="67"/>
  <c r="B7" i="67"/>
  <c r="AE22" i="67"/>
  <c r="P260" i="67" s="1"/>
  <c r="K274" i="67" s="1"/>
  <c r="B17" i="67"/>
  <c r="K17" i="67" s="1"/>
  <c r="M17" i="67" s="1"/>
  <c r="B14" i="67"/>
  <c r="K14" i="67" s="1"/>
  <c r="M14" i="67" s="1"/>
  <c r="B12" i="67"/>
  <c r="B13" i="67"/>
  <c r="K13" i="67" s="1"/>
  <c r="M13" i="67" s="1"/>
  <c r="B15" i="67"/>
  <c r="Z268" i="68"/>
  <c r="W282" i="68" s="1"/>
  <c r="E30" i="68"/>
  <c r="N14" i="68"/>
  <c r="AC268" i="68" s="1"/>
  <c r="X282" i="68" s="1"/>
  <c r="Z265" i="69"/>
  <c r="W279" i="69" s="1"/>
  <c r="N11" i="69"/>
  <c r="AC265" i="69" s="1"/>
  <c r="X279" i="69" s="1"/>
  <c r="E27" i="69"/>
  <c r="B8" i="69"/>
  <c r="K8" i="69" s="1"/>
  <c r="M8" i="69" s="1"/>
  <c r="E26" i="73"/>
  <c r="N10" i="73"/>
  <c r="AC264" i="73" s="1"/>
  <c r="X278" i="73" s="1"/>
  <c r="Z264" i="73"/>
  <c r="W278" i="73" s="1"/>
  <c r="M270" i="73"/>
  <c r="J284" i="73" s="1"/>
  <c r="AF32" i="73"/>
  <c r="AE32" i="73"/>
  <c r="P270" i="73" s="1"/>
  <c r="K284" i="73" s="1"/>
  <c r="M263" i="65"/>
  <c r="J277" i="65" s="1"/>
  <c r="AE25" i="65"/>
  <c r="P263" i="65" s="1"/>
  <c r="K277" i="65" s="1"/>
  <c r="M264" i="67"/>
  <c r="J278" i="67" s="1"/>
  <c r="AE26" i="67"/>
  <c r="P264" i="67" s="1"/>
  <c r="K278" i="67" s="1"/>
  <c r="Z266" i="68"/>
  <c r="W280" i="68" s="1"/>
  <c r="E28" i="68"/>
  <c r="N12" i="68"/>
  <c r="AC266" i="68" s="1"/>
  <c r="X280" i="68" s="1"/>
  <c r="M271" i="68"/>
  <c r="J285" i="68" s="1"/>
  <c r="AE33" i="68"/>
  <c r="P271" i="68" s="1"/>
  <c r="K285" i="68" s="1"/>
  <c r="M266" i="65"/>
  <c r="J280" i="65" s="1"/>
  <c r="AE28" i="65"/>
  <c r="P266" i="65" s="1"/>
  <c r="K280" i="65" s="1"/>
  <c r="M265" i="67"/>
  <c r="J279" i="67" s="1"/>
  <c r="AE27" i="67"/>
  <c r="P265" i="67" s="1"/>
  <c r="K279" i="67" s="1"/>
  <c r="M269" i="68"/>
  <c r="J283" i="68" s="1"/>
  <c r="AE31" i="68"/>
  <c r="P269" i="68" s="1"/>
  <c r="K283" i="68" s="1"/>
  <c r="AE22" i="69"/>
  <c r="P260" i="69" s="1"/>
  <c r="K274" i="69" s="1"/>
  <c r="AF26" i="73"/>
  <c r="AE31" i="69"/>
  <c r="P269" i="69" s="1"/>
  <c r="K283" i="69" s="1"/>
  <c r="N9" i="69"/>
  <c r="AC263" i="69" s="1"/>
  <c r="X277" i="69" s="1"/>
  <c r="E25" i="69"/>
  <c r="Z263" i="69"/>
  <c r="W277" i="69" s="1"/>
  <c r="M262" i="67"/>
  <c r="J276" i="67" s="1"/>
  <c r="C9" i="67"/>
  <c r="AE24" i="67"/>
  <c r="P262" i="67" s="1"/>
  <c r="K276" i="67" s="1"/>
  <c r="C11" i="67"/>
  <c r="K11" i="67" s="1"/>
  <c r="M11" i="67" s="1"/>
  <c r="C16" i="67"/>
  <c r="K16" i="67" s="1"/>
  <c r="M16" i="67" s="1"/>
  <c r="AE31" i="73"/>
  <c r="P269" i="73" s="1"/>
  <c r="K283" i="73" s="1"/>
  <c r="M269" i="73"/>
  <c r="J283" i="73" s="1"/>
  <c r="AF31" i="73"/>
  <c r="E29" i="73"/>
  <c r="Z267" i="73"/>
  <c r="W281" i="73" s="1"/>
  <c r="N13" i="73"/>
  <c r="AC267" i="73" s="1"/>
  <c r="X281" i="73" s="1"/>
  <c r="M268" i="68"/>
  <c r="J282" i="68" s="1"/>
  <c r="AE30" i="68"/>
  <c r="P268" i="68" s="1"/>
  <c r="K282" i="68" s="1"/>
  <c r="D266" i="65"/>
  <c r="K15" i="73"/>
  <c r="M15" i="73" s="1"/>
  <c r="M265" i="68"/>
  <c r="J279" i="68" s="1"/>
  <c r="AE27" i="68"/>
  <c r="P265" i="68" s="1"/>
  <c r="K279" i="68" s="1"/>
  <c r="AE32" i="69"/>
  <c r="P270" i="69" s="1"/>
  <c r="K284" i="69" s="1"/>
  <c r="M264" i="65"/>
  <c r="J278" i="65" s="1"/>
  <c r="AE26" i="65"/>
  <c r="P264" i="65" s="1"/>
  <c r="K278" i="65" s="1"/>
  <c r="B6" i="69"/>
  <c r="K6" i="69" s="1"/>
  <c r="M6" i="69" s="1"/>
  <c r="D267" i="65"/>
  <c r="N10" i="68"/>
  <c r="AC264" i="68" s="1"/>
  <c r="X278" i="68" s="1"/>
  <c r="Z264" i="68"/>
  <c r="W278" i="68" s="1"/>
  <c r="E26" i="68"/>
  <c r="K10" i="69"/>
  <c r="M10" i="69" s="1"/>
  <c r="M267" i="69"/>
  <c r="J281" i="69" s="1"/>
  <c r="AE29" i="69"/>
  <c r="P267" i="69" s="1"/>
  <c r="K281" i="69" s="1"/>
  <c r="M271" i="67"/>
  <c r="J285" i="67" s="1"/>
  <c r="AE33" i="67"/>
  <c r="P271" i="67" s="1"/>
  <c r="K285" i="67" s="1"/>
  <c r="C7" i="68"/>
  <c r="D273" i="73"/>
  <c r="C11" i="65"/>
  <c r="K11" i="65" s="1"/>
  <c r="M11" i="65" s="1"/>
  <c r="M262" i="65"/>
  <c r="J276" i="65" s="1"/>
  <c r="C9" i="65"/>
  <c r="AE24" i="65"/>
  <c r="P262" i="65" s="1"/>
  <c r="K276" i="65" s="1"/>
  <c r="C16" i="65"/>
  <c r="K16" i="65" s="1"/>
  <c r="M16" i="65" s="1"/>
  <c r="M269" i="65"/>
  <c r="J283" i="65" s="1"/>
  <c r="AE31" i="65"/>
  <c r="P269" i="65" s="1"/>
  <c r="K283" i="65" s="1"/>
  <c r="M267" i="68"/>
  <c r="J281" i="68" s="1"/>
  <c r="AE29" i="68"/>
  <c r="P267" i="68" s="1"/>
  <c r="K281" i="68" s="1"/>
  <c r="D271" i="65"/>
  <c r="AE28" i="68"/>
  <c r="P266" i="68" s="1"/>
  <c r="K280" i="68" s="1"/>
  <c r="M266" i="68"/>
  <c r="J280" i="68" s="1"/>
  <c r="K7" i="73"/>
  <c r="M7" i="73" s="1"/>
  <c r="AE30" i="69"/>
  <c r="P268" i="69" s="1"/>
  <c r="K282" i="69" s="1"/>
  <c r="AE23" i="69"/>
  <c r="P261" i="69" s="1"/>
  <c r="K275" i="69" s="1"/>
  <c r="E33" i="68"/>
  <c r="N17" i="68"/>
  <c r="AC271" i="68" s="1"/>
  <c r="X285" i="68" s="1"/>
  <c r="Z271" i="68"/>
  <c r="W285" i="68" s="1"/>
  <c r="B6" i="68"/>
  <c r="K6" i="68" s="1"/>
  <c r="M6" i="68" s="1"/>
  <c r="K7" i="68"/>
  <c r="M7" i="68" s="1"/>
  <c r="M261" i="67"/>
  <c r="J275" i="67" s="1"/>
  <c r="AE23" i="67"/>
  <c r="P261" i="67" s="1"/>
  <c r="K275" i="67" s="1"/>
  <c r="C15" i="67"/>
  <c r="C12" i="67"/>
  <c r="C10" i="67"/>
  <c r="E31" i="69" l="1"/>
  <c r="Z269" i="69"/>
  <c r="W283" i="69" s="1"/>
  <c r="N15" i="69"/>
  <c r="AC269" i="69" s="1"/>
  <c r="X283" i="69" s="1"/>
  <c r="Z266" i="69"/>
  <c r="W280" i="69" s="1"/>
  <c r="N12" i="69"/>
  <c r="AC266" i="69" s="1"/>
  <c r="X280" i="69" s="1"/>
  <c r="E28" i="69"/>
  <c r="C7" i="69"/>
  <c r="K7" i="69" s="1"/>
  <c r="M7" i="69" s="1"/>
  <c r="D273" i="65"/>
  <c r="C7" i="65"/>
  <c r="K10" i="67"/>
  <c r="M10" i="67" s="1"/>
  <c r="N10" i="67"/>
  <c r="AC264" i="67" s="1"/>
  <c r="X278" i="67" s="1"/>
  <c r="E26" i="67"/>
  <c r="Z264" i="67"/>
  <c r="W278" i="67" s="1"/>
  <c r="N11" i="68"/>
  <c r="AC265" i="68" s="1"/>
  <c r="X279" i="68" s="1"/>
  <c r="Z265" i="68"/>
  <c r="W279" i="68" s="1"/>
  <c r="E27" i="68"/>
  <c r="C7" i="67"/>
  <c r="K15" i="67"/>
  <c r="M15" i="67" s="1"/>
  <c r="N14" i="65"/>
  <c r="AC268" i="65" s="1"/>
  <c r="X282" i="65" s="1"/>
  <c r="E30" i="65"/>
  <c r="Z268" i="65"/>
  <c r="W282" i="65" s="1"/>
  <c r="K12" i="65"/>
  <c r="M12" i="65" s="1"/>
  <c r="F33" i="73"/>
  <c r="AP271" i="73" s="1"/>
  <c r="AK285" i="73" s="1"/>
  <c r="AM271" i="73"/>
  <c r="AJ285" i="73" s="1"/>
  <c r="N11" i="65"/>
  <c r="AC265" i="65" s="1"/>
  <c r="X279" i="65" s="1"/>
  <c r="E27" i="65"/>
  <c r="Z265" i="65"/>
  <c r="W279" i="65" s="1"/>
  <c r="F31" i="69"/>
  <c r="AP269" i="69" s="1"/>
  <c r="AK283" i="69" s="1"/>
  <c r="AM269" i="69"/>
  <c r="AJ283" i="69" s="1"/>
  <c r="Z260" i="69"/>
  <c r="W274" i="69" s="1"/>
  <c r="E22" i="69"/>
  <c r="N6" i="69"/>
  <c r="AC260" i="69" s="1"/>
  <c r="X274" i="69" s="1"/>
  <c r="F27" i="69"/>
  <c r="AP265" i="69" s="1"/>
  <c r="AK279" i="69" s="1"/>
  <c r="AM265" i="69"/>
  <c r="AJ279" i="69" s="1"/>
  <c r="N13" i="67"/>
  <c r="AC267" i="67" s="1"/>
  <c r="X281" i="67" s="1"/>
  <c r="E29" i="67"/>
  <c r="Z267" i="67"/>
  <c r="W281" i="67" s="1"/>
  <c r="N13" i="65"/>
  <c r="AC267" i="65" s="1"/>
  <c r="X281" i="65" s="1"/>
  <c r="E29" i="65"/>
  <c r="Z267" i="65"/>
  <c r="W281" i="65" s="1"/>
  <c r="E23" i="68"/>
  <c r="Z261" i="68"/>
  <c r="W275" i="68" s="1"/>
  <c r="N7" i="68"/>
  <c r="AC261" i="68" s="1"/>
  <c r="X275" i="68" s="1"/>
  <c r="N15" i="73"/>
  <c r="AC269" i="73" s="1"/>
  <c r="X283" i="73" s="1"/>
  <c r="Z269" i="73"/>
  <c r="W283" i="73" s="1"/>
  <c r="E31" i="73"/>
  <c r="F29" i="73"/>
  <c r="AP267" i="73" s="1"/>
  <c r="AK281" i="73" s="1"/>
  <c r="AM267" i="73"/>
  <c r="AJ281" i="73" s="1"/>
  <c r="E32" i="67"/>
  <c r="N16" i="67"/>
  <c r="AC270" i="67" s="1"/>
  <c r="X284" i="67" s="1"/>
  <c r="Z270" i="67"/>
  <c r="W284" i="67" s="1"/>
  <c r="F26" i="73"/>
  <c r="AP264" i="73" s="1"/>
  <c r="AK278" i="73" s="1"/>
  <c r="AM264" i="73"/>
  <c r="AJ278" i="73" s="1"/>
  <c r="K12" i="67"/>
  <c r="M12" i="67" s="1"/>
  <c r="F33" i="69"/>
  <c r="AP271" i="69" s="1"/>
  <c r="AK285" i="69" s="1"/>
  <c r="AM271" i="69"/>
  <c r="AJ285" i="69" s="1"/>
  <c r="K15" i="65"/>
  <c r="M15" i="65" s="1"/>
  <c r="Z265" i="73"/>
  <c r="W279" i="73" s="1"/>
  <c r="E27" i="73"/>
  <c r="N11" i="73"/>
  <c r="AC265" i="73" s="1"/>
  <c r="X279" i="73" s="1"/>
  <c r="F30" i="69"/>
  <c r="AP268" i="69" s="1"/>
  <c r="AK282" i="69" s="1"/>
  <c r="AM268" i="69"/>
  <c r="AJ282" i="69" s="1"/>
  <c r="N16" i="73"/>
  <c r="AC270" i="73" s="1"/>
  <c r="X284" i="73" s="1"/>
  <c r="E32" i="73"/>
  <c r="Z270" i="73"/>
  <c r="W284" i="73" s="1"/>
  <c r="E22" i="68"/>
  <c r="Z260" i="68"/>
  <c r="W274" i="68" s="1"/>
  <c r="N6" i="68"/>
  <c r="AC260" i="68" s="1"/>
  <c r="X274" i="68" s="1"/>
  <c r="E23" i="73"/>
  <c r="Z261" i="73"/>
  <c r="W275" i="73" s="1"/>
  <c r="N7" i="73"/>
  <c r="AC261" i="73" s="1"/>
  <c r="X275" i="73" s="1"/>
  <c r="N16" i="65"/>
  <c r="AC270" i="65" s="1"/>
  <c r="X284" i="65" s="1"/>
  <c r="E32" i="65"/>
  <c r="Z270" i="65"/>
  <c r="W284" i="65" s="1"/>
  <c r="N11" i="67"/>
  <c r="AC265" i="67" s="1"/>
  <c r="X279" i="67" s="1"/>
  <c r="E27" i="67"/>
  <c r="Z265" i="67"/>
  <c r="W279" i="67" s="1"/>
  <c r="F28" i="68"/>
  <c r="AP266" i="68" s="1"/>
  <c r="AK280" i="68" s="1"/>
  <c r="AM266" i="68"/>
  <c r="AJ280" i="68" s="1"/>
  <c r="N14" i="67"/>
  <c r="AC268" i="67" s="1"/>
  <c r="X282" i="67" s="1"/>
  <c r="E30" i="67"/>
  <c r="Z268" i="67"/>
  <c r="W282" i="67" s="1"/>
  <c r="N17" i="65"/>
  <c r="AC271" i="65" s="1"/>
  <c r="X285" i="65" s="1"/>
  <c r="E33" i="65"/>
  <c r="Z271" i="65"/>
  <c r="W285" i="65" s="1"/>
  <c r="Z270" i="68"/>
  <c r="W284" i="68" s="1"/>
  <c r="E32" i="68"/>
  <c r="N16" i="68"/>
  <c r="AC270" i="68" s="1"/>
  <c r="X284" i="68" s="1"/>
  <c r="F29" i="68"/>
  <c r="AP267" i="68" s="1"/>
  <c r="AK281" i="68" s="1"/>
  <c r="AM267" i="68"/>
  <c r="AJ281" i="68" s="1"/>
  <c r="F32" i="69"/>
  <c r="AP270" i="69" s="1"/>
  <c r="AK284" i="69" s="1"/>
  <c r="AM270" i="69"/>
  <c r="AJ284" i="69" s="1"/>
  <c r="E22" i="73"/>
  <c r="N6" i="73"/>
  <c r="AC260" i="73" s="1"/>
  <c r="X274" i="73" s="1"/>
  <c r="Z260" i="73"/>
  <c r="W274" i="73" s="1"/>
  <c r="Z264" i="69"/>
  <c r="W278" i="69" s="1"/>
  <c r="N10" i="69"/>
  <c r="AC264" i="69" s="1"/>
  <c r="X278" i="69" s="1"/>
  <c r="E26" i="69"/>
  <c r="F25" i="69"/>
  <c r="AP263" i="69" s="1"/>
  <c r="AK277" i="69" s="1"/>
  <c r="AM263" i="69"/>
  <c r="AJ277" i="69" s="1"/>
  <c r="N17" i="67"/>
  <c r="AC271" i="67" s="1"/>
  <c r="X285" i="67" s="1"/>
  <c r="E33" i="67"/>
  <c r="Z271" i="67"/>
  <c r="W285" i="67" s="1"/>
  <c r="F29" i="69"/>
  <c r="AP267" i="69" s="1"/>
  <c r="AK281" i="69" s="1"/>
  <c r="AM267" i="69"/>
  <c r="AJ281" i="69" s="1"/>
  <c r="F31" i="68"/>
  <c r="AP269" i="68" s="1"/>
  <c r="AK283" i="68" s="1"/>
  <c r="AM269" i="68"/>
  <c r="AJ283" i="68" s="1"/>
  <c r="F26" i="68"/>
  <c r="AP264" i="68" s="1"/>
  <c r="AK278" i="68" s="1"/>
  <c r="AM264" i="68"/>
  <c r="AJ278" i="68" s="1"/>
  <c r="B8" i="65"/>
  <c r="K8" i="65" s="1"/>
  <c r="M8" i="65" s="1"/>
  <c r="K9" i="65"/>
  <c r="M9" i="65" s="1"/>
  <c r="B8" i="67"/>
  <c r="K8" i="67" s="1"/>
  <c r="M8" i="67" s="1"/>
  <c r="K9" i="67"/>
  <c r="M9" i="67" s="1"/>
  <c r="F30" i="68"/>
  <c r="AP268" i="68" s="1"/>
  <c r="AK282" i="68" s="1"/>
  <c r="AM268" i="68"/>
  <c r="AJ282" i="68" s="1"/>
  <c r="B6" i="65"/>
  <c r="K6" i="65" s="1"/>
  <c r="M6" i="65" s="1"/>
  <c r="K7" i="65"/>
  <c r="M7" i="65" s="1"/>
  <c r="F28" i="73"/>
  <c r="AP266" i="73" s="1"/>
  <c r="AK280" i="73" s="1"/>
  <c r="AM266" i="73"/>
  <c r="AJ280" i="73" s="1"/>
  <c r="F28" i="69"/>
  <c r="AP266" i="69" s="1"/>
  <c r="AK280" i="69" s="1"/>
  <c r="AM266" i="69"/>
  <c r="AJ280" i="69" s="1"/>
  <c r="F33" i="68"/>
  <c r="AP271" i="68" s="1"/>
  <c r="AK285" i="68" s="1"/>
  <c r="AM271" i="68"/>
  <c r="AJ285" i="68" s="1"/>
  <c r="N8" i="69"/>
  <c r="AC262" i="69" s="1"/>
  <c r="X276" i="69" s="1"/>
  <c r="Z262" i="69"/>
  <c r="W276" i="69" s="1"/>
  <c r="E24" i="69"/>
  <c r="B6" i="67"/>
  <c r="K6" i="67" s="1"/>
  <c r="M6" i="67" s="1"/>
  <c r="K7" i="67"/>
  <c r="M7" i="67" s="1"/>
  <c r="K10" i="65"/>
  <c r="M10" i="65" s="1"/>
  <c r="B8" i="68"/>
  <c r="K8" i="68" s="1"/>
  <c r="M8" i="68" s="1"/>
  <c r="K9" i="68"/>
  <c r="M9" i="68" s="1"/>
  <c r="B8" i="73"/>
  <c r="K8" i="73" s="1"/>
  <c r="M8" i="73" s="1"/>
  <c r="K9" i="73"/>
  <c r="M9" i="73" s="1"/>
  <c r="F30" i="73"/>
  <c r="AP268" i="73" s="1"/>
  <c r="AK282" i="73" s="1"/>
  <c r="AM268" i="73"/>
  <c r="AJ282" i="73" s="1"/>
  <c r="N7" i="69" l="1"/>
  <c r="AC261" i="69" s="1"/>
  <c r="X275" i="69" s="1"/>
  <c r="Z261" i="69"/>
  <c r="W275" i="69" s="1"/>
  <c r="E23" i="69"/>
  <c r="E24" i="65"/>
  <c r="Z262" i="65"/>
  <c r="W276" i="65" s="1"/>
  <c r="N8" i="65"/>
  <c r="AC262" i="65" s="1"/>
  <c r="X276" i="65" s="1"/>
  <c r="F22" i="73"/>
  <c r="AP260" i="73" s="1"/>
  <c r="AK274" i="73" s="1"/>
  <c r="AM260" i="73"/>
  <c r="AJ274" i="73" s="1"/>
  <c r="F32" i="68"/>
  <c r="AP270" i="68" s="1"/>
  <c r="AK284" i="68" s="1"/>
  <c r="AM270" i="68"/>
  <c r="AJ284" i="68" s="1"/>
  <c r="F32" i="67"/>
  <c r="AP270" i="67" s="1"/>
  <c r="AK284" i="67" s="1"/>
  <c r="AM270" i="67"/>
  <c r="AJ284" i="67" s="1"/>
  <c r="F22" i="69"/>
  <c r="AP260" i="69" s="1"/>
  <c r="AK274" i="69" s="1"/>
  <c r="AM260" i="69"/>
  <c r="AJ274" i="69" s="1"/>
  <c r="N12" i="65"/>
  <c r="AC266" i="65" s="1"/>
  <c r="X280" i="65" s="1"/>
  <c r="E28" i="65"/>
  <c r="Z266" i="65"/>
  <c r="W280" i="65" s="1"/>
  <c r="F26" i="69"/>
  <c r="AP264" i="69" s="1"/>
  <c r="AK278" i="69" s="1"/>
  <c r="AM264" i="69"/>
  <c r="AJ278" i="69" s="1"/>
  <c r="N15" i="65"/>
  <c r="AC269" i="65" s="1"/>
  <c r="X283" i="65" s="1"/>
  <c r="E31" i="65"/>
  <c r="Z269" i="65"/>
  <c r="W283" i="65" s="1"/>
  <c r="N9" i="73"/>
  <c r="AC263" i="73" s="1"/>
  <c r="X277" i="73" s="1"/>
  <c r="Z263" i="73"/>
  <c r="W277" i="73" s="1"/>
  <c r="E25" i="73"/>
  <c r="N10" i="65"/>
  <c r="AC264" i="65" s="1"/>
  <c r="X278" i="65" s="1"/>
  <c r="E26" i="65"/>
  <c r="Z264" i="65"/>
  <c r="W278" i="65" s="1"/>
  <c r="N9" i="67"/>
  <c r="AC263" i="67" s="1"/>
  <c r="X277" i="67" s="1"/>
  <c r="E25" i="67"/>
  <c r="Z263" i="67"/>
  <c r="W277" i="67" s="1"/>
  <c r="F22" i="68"/>
  <c r="AP260" i="68" s="1"/>
  <c r="AK274" i="68" s="1"/>
  <c r="AM260" i="68"/>
  <c r="AJ274" i="68" s="1"/>
  <c r="F31" i="73"/>
  <c r="AP269" i="73" s="1"/>
  <c r="AK283" i="73" s="1"/>
  <c r="AM269" i="73"/>
  <c r="AJ283" i="73" s="1"/>
  <c r="AM267" i="65"/>
  <c r="AJ281" i="65" s="1"/>
  <c r="F29" i="65"/>
  <c r="AP267" i="65" s="1"/>
  <c r="AK281" i="65" s="1"/>
  <c r="F29" i="67"/>
  <c r="AP267" i="67" s="1"/>
  <c r="AK281" i="67" s="1"/>
  <c r="AM267" i="67"/>
  <c r="AJ281" i="67" s="1"/>
  <c r="AM265" i="65"/>
  <c r="AJ279" i="65" s="1"/>
  <c r="F27" i="65"/>
  <c r="AP265" i="65" s="1"/>
  <c r="AK279" i="65" s="1"/>
  <c r="AM268" i="65"/>
  <c r="AJ282" i="65" s="1"/>
  <c r="F30" i="65"/>
  <c r="AP268" i="65" s="1"/>
  <c r="AK282" i="65" s="1"/>
  <c r="AM264" i="67"/>
  <c r="AJ278" i="67" s="1"/>
  <c r="F26" i="67"/>
  <c r="AP264" i="67" s="1"/>
  <c r="AK278" i="67" s="1"/>
  <c r="Z262" i="68"/>
  <c r="W276" i="68" s="1"/>
  <c r="N8" i="68"/>
  <c r="AC262" i="68" s="1"/>
  <c r="X276" i="68" s="1"/>
  <c r="E24" i="68"/>
  <c r="E24" i="73"/>
  <c r="Z262" i="73"/>
  <c r="W276" i="73" s="1"/>
  <c r="N8" i="73"/>
  <c r="AC262" i="73" s="1"/>
  <c r="X276" i="73" s="1"/>
  <c r="E24" i="67"/>
  <c r="N8" i="67"/>
  <c r="AC262" i="67" s="1"/>
  <c r="X276" i="67" s="1"/>
  <c r="Z262" i="67"/>
  <c r="W276" i="67" s="1"/>
  <c r="F27" i="67"/>
  <c r="AP265" i="67" s="1"/>
  <c r="AK279" i="67" s="1"/>
  <c r="AM265" i="67"/>
  <c r="AJ279" i="67" s="1"/>
  <c r="E22" i="67"/>
  <c r="N6" i="67"/>
  <c r="AC260" i="67" s="1"/>
  <c r="X274" i="67" s="1"/>
  <c r="Z260" i="67"/>
  <c r="W274" i="67" s="1"/>
  <c r="F24" i="69"/>
  <c r="AP262" i="69" s="1"/>
  <c r="AK276" i="69" s="1"/>
  <c r="AM262" i="69"/>
  <c r="AJ276" i="69" s="1"/>
  <c r="N15" i="67"/>
  <c r="AC269" i="67" s="1"/>
  <c r="X283" i="67" s="1"/>
  <c r="E31" i="67"/>
  <c r="Z269" i="67"/>
  <c r="W283" i="67" s="1"/>
  <c r="F27" i="68"/>
  <c r="AP265" i="68" s="1"/>
  <c r="AK279" i="68" s="1"/>
  <c r="AM265" i="68"/>
  <c r="AJ279" i="68" s="1"/>
  <c r="N7" i="67"/>
  <c r="AC261" i="67" s="1"/>
  <c r="X275" i="67" s="1"/>
  <c r="Z261" i="67"/>
  <c r="W275" i="67" s="1"/>
  <c r="E23" i="67"/>
  <c r="E23" i="65"/>
  <c r="N7" i="65"/>
  <c r="AC261" i="65" s="1"/>
  <c r="X275" i="65" s="1"/>
  <c r="Z261" i="65"/>
  <c r="W275" i="65" s="1"/>
  <c r="AM271" i="65"/>
  <c r="AJ285" i="65" s="1"/>
  <c r="F33" i="65"/>
  <c r="AP271" i="65" s="1"/>
  <c r="AK285" i="65" s="1"/>
  <c r="F23" i="73"/>
  <c r="AP261" i="73" s="1"/>
  <c r="AK275" i="73" s="1"/>
  <c r="AM261" i="73"/>
  <c r="AJ275" i="73" s="1"/>
  <c r="N12" i="67"/>
  <c r="AC266" i="67" s="1"/>
  <c r="X280" i="67" s="1"/>
  <c r="E28" i="67"/>
  <c r="Z266" i="67"/>
  <c r="W280" i="67" s="1"/>
  <c r="Z263" i="68"/>
  <c r="W277" i="68" s="1"/>
  <c r="N9" i="68"/>
  <c r="AC263" i="68" s="1"/>
  <c r="X277" i="68" s="1"/>
  <c r="E25" i="68"/>
  <c r="E22" i="65"/>
  <c r="N6" i="65"/>
  <c r="AC260" i="65" s="1"/>
  <c r="X274" i="65" s="1"/>
  <c r="Z260" i="65"/>
  <c r="W274" i="65" s="1"/>
  <c r="F30" i="67"/>
  <c r="AP268" i="67" s="1"/>
  <c r="AK282" i="67" s="1"/>
  <c r="AM268" i="67"/>
  <c r="AJ282" i="67" s="1"/>
  <c r="F32" i="73"/>
  <c r="AP270" i="73" s="1"/>
  <c r="AK284" i="73" s="1"/>
  <c r="AM270" i="73"/>
  <c r="AJ284" i="73" s="1"/>
  <c r="F27" i="73"/>
  <c r="AP265" i="73" s="1"/>
  <c r="AK279" i="73" s="1"/>
  <c r="AM265" i="73"/>
  <c r="AJ279" i="73" s="1"/>
  <c r="E25" i="65"/>
  <c r="Z263" i="65"/>
  <c r="W277" i="65" s="1"/>
  <c r="N9" i="65"/>
  <c r="AC263" i="65" s="1"/>
  <c r="X277" i="65" s="1"/>
  <c r="F33" i="67"/>
  <c r="AP271" i="67" s="1"/>
  <c r="AK285" i="67" s="1"/>
  <c r="AM271" i="67"/>
  <c r="AJ285" i="67" s="1"/>
  <c r="AM270" i="65"/>
  <c r="AJ284" i="65" s="1"/>
  <c r="F32" i="65"/>
  <c r="AP270" i="65" s="1"/>
  <c r="AK284" i="65" s="1"/>
  <c r="F23" i="68"/>
  <c r="AP261" i="68" s="1"/>
  <c r="AK275" i="68" s="1"/>
  <c r="AM261" i="68"/>
  <c r="AJ275" i="68" s="1"/>
  <c r="F23" i="69" l="1"/>
  <c r="AP261" i="69" s="1"/>
  <c r="AK275" i="69" s="1"/>
  <c r="AM261" i="69"/>
  <c r="AJ275" i="69" s="1"/>
  <c r="AM261" i="67"/>
  <c r="AJ275" i="67" s="1"/>
  <c r="F23" i="67"/>
  <c r="AP261" i="67" s="1"/>
  <c r="AK275" i="67" s="1"/>
  <c r="AM260" i="67"/>
  <c r="AJ274" i="67" s="1"/>
  <c r="F22" i="67"/>
  <c r="AP260" i="67" s="1"/>
  <c r="AK274" i="67" s="1"/>
  <c r="AM264" i="65"/>
  <c r="AJ278" i="65" s="1"/>
  <c r="F26" i="65"/>
  <c r="AP264" i="65" s="1"/>
  <c r="AK278" i="65" s="1"/>
  <c r="F25" i="73"/>
  <c r="AP263" i="73" s="1"/>
  <c r="AK277" i="73" s="1"/>
  <c r="AM263" i="73"/>
  <c r="AJ277" i="73" s="1"/>
  <c r="AM260" i="65"/>
  <c r="AJ274" i="65" s="1"/>
  <c r="F22" i="65"/>
  <c r="AP260" i="65" s="1"/>
  <c r="AK274" i="65" s="1"/>
  <c r="AM262" i="67"/>
  <c r="AJ276" i="67" s="1"/>
  <c r="F24" i="67"/>
  <c r="AP262" i="67" s="1"/>
  <c r="AK276" i="67" s="1"/>
  <c r="F28" i="67"/>
  <c r="AP266" i="67" s="1"/>
  <c r="AK280" i="67" s="1"/>
  <c r="AM266" i="67"/>
  <c r="AJ280" i="67" s="1"/>
  <c r="F31" i="67"/>
  <c r="AP269" i="67" s="1"/>
  <c r="AK283" i="67" s="1"/>
  <c r="AM269" i="67"/>
  <c r="AJ283" i="67" s="1"/>
  <c r="AM261" i="65"/>
  <c r="AJ275" i="65" s="1"/>
  <c r="F23" i="65"/>
  <c r="AP261" i="65" s="1"/>
  <c r="AK275" i="65" s="1"/>
  <c r="AM262" i="73"/>
  <c r="AJ276" i="73" s="1"/>
  <c r="F24" i="73"/>
  <c r="AP262" i="73" s="1"/>
  <c r="AK276" i="73" s="1"/>
  <c r="AM263" i="67"/>
  <c r="AJ277" i="67" s="1"/>
  <c r="F25" i="67"/>
  <c r="AP263" i="67" s="1"/>
  <c r="AK277" i="67" s="1"/>
  <c r="AM263" i="65"/>
  <c r="AJ277" i="65" s="1"/>
  <c r="F25" i="65"/>
  <c r="AP263" i="65" s="1"/>
  <c r="AK277" i="65" s="1"/>
  <c r="AM266" i="65"/>
  <c r="AJ280" i="65" s="1"/>
  <c r="F28" i="65"/>
  <c r="AP266" i="65" s="1"/>
  <c r="AK280" i="65" s="1"/>
  <c r="F25" i="68"/>
  <c r="AP263" i="68" s="1"/>
  <c r="AK277" i="68" s="1"/>
  <c r="AM263" i="68"/>
  <c r="AJ277" i="68" s="1"/>
  <c r="AM269" i="65"/>
  <c r="AJ283" i="65" s="1"/>
  <c r="F31" i="65"/>
  <c r="AP269" i="65" s="1"/>
  <c r="AK283" i="65" s="1"/>
  <c r="AM262" i="68"/>
  <c r="AJ276" i="68" s="1"/>
  <c r="F24" i="68"/>
  <c r="AP262" i="68" s="1"/>
  <c r="AK276" i="68" s="1"/>
  <c r="AM262" i="65"/>
  <c r="AJ276" i="65" s="1"/>
  <c r="F24" i="65"/>
  <c r="AP262" i="65" s="1"/>
  <c r="AK276" i="65" s="1"/>
</calcChain>
</file>

<file path=xl/sharedStrings.xml><?xml version="1.0" encoding="utf-8"?>
<sst xmlns="http://schemas.openxmlformats.org/spreadsheetml/2006/main" count="7299" uniqueCount="307">
  <si>
    <t>E</t>
  </si>
  <si>
    <t>a</t>
  </si>
  <si>
    <t>b</t>
  </si>
  <si>
    <t>θ</t>
  </si>
  <si>
    <t>+/-</t>
  </si>
  <si>
    <t>lower</t>
  </si>
  <si>
    <t>upper</t>
  </si>
  <si>
    <t>SeGA_0</t>
  </si>
  <si>
    <t>p1=</t>
  </si>
  <si>
    <t>p0=</t>
  </si>
  <si>
    <t>Chi2=</t>
  </si>
  <si>
    <t>ndf=</t>
  </si>
  <si>
    <t>p-value=</t>
  </si>
  <si>
    <t>Eg=</t>
  </si>
  <si>
    <t>Ex (keV)</t>
  </si>
  <si>
    <t>logft</t>
    <phoneticPr fontId="12" type="noConversion"/>
  </si>
  <si>
    <t>σlogft</t>
    <phoneticPr fontId="12" type="noConversion"/>
  </si>
  <si>
    <t>K/gV2</t>
    <phoneticPr fontId="12" type="noConversion"/>
  </si>
  <si>
    <t>(gA/gV)</t>
    <phoneticPr fontId="12" type="noConversion"/>
  </si>
  <si>
    <t>σB(GT)</t>
    <phoneticPr fontId="12" type="noConversion"/>
  </si>
  <si>
    <t>B(GT)</t>
    <phoneticPr fontId="12" type="noConversion"/>
  </si>
  <si>
    <t>ft+</t>
    <phoneticPr fontId="12" type="noConversion"/>
  </si>
  <si>
    <t>s</t>
    <phoneticPr fontId="1" type="noConversion"/>
  </si>
  <si>
    <t>ft</t>
  </si>
  <si>
    <t>1/2</t>
  </si>
  <si>
    <t>3/2</t>
  </si>
  <si>
    <t>logft</t>
  </si>
  <si>
    <t>B1</t>
  </si>
  <si>
    <t>B2</t>
  </si>
  <si>
    <t>R</t>
  </si>
  <si>
    <t>D</t>
  </si>
  <si>
    <t>V</t>
  </si>
  <si>
    <t>B(F)</t>
  </si>
  <si>
    <t>BGT</t>
  </si>
  <si>
    <t>BF</t>
  </si>
  <si>
    <r>
      <t>B(GT)=K/(gA/gV)</t>
    </r>
    <r>
      <rPr>
        <vertAlign val="superscript"/>
        <sz val="10"/>
        <rFont val="Times New Roman"/>
        <family val="1"/>
      </rPr>
      <t>2</t>
    </r>
    <r>
      <rPr>
        <sz val="10"/>
        <rFont val="Times New Roman"/>
        <family val="1"/>
      </rPr>
      <t>/ft</t>
    </r>
  </si>
  <si>
    <r>
      <t>B(F)=K/gV</t>
    </r>
    <r>
      <rPr>
        <vertAlign val="superscript"/>
        <sz val="10"/>
        <rFont val="Times New Roman"/>
        <family val="1"/>
      </rPr>
      <t>2</t>
    </r>
    <r>
      <rPr>
        <sz val="10"/>
        <rFont val="Times New Roman"/>
        <family val="1"/>
      </rPr>
      <t>/ft</t>
    </r>
  </si>
  <si>
    <t>B(F)+(gA/gV)^2B(GT)</t>
  </si>
  <si>
    <t>IAS</t>
    <phoneticPr fontId="1" type="noConversion"/>
  </si>
  <si>
    <t>unperturbed Ex</t>
    <phoneticPr fontId="1" type="noConversion"/>
  </si>
  <si>
    <t>Eg</t>
    <phoneticPr fontId="1" type="noConversion"/>
  </si>
  <si>
    <t>center</t>
    <phoneticPr fontId="1" type="noConversion"/>
  </si>
  <si>
    <t>run</t>
    <phoneticPr fontId="1" type="noConversion"/>
  </si>
  <si>
    <t>ch</t>
    <phoneticPr fontId="1" type="noConversion"/>
  </si>
  <si>
    <t>area</t>
    <phoneticPr fontId="1" type="noConversion"/>
  </si>
  <si>
    <t>SeGA0</t>
    <phoneticPr fontId="1" type="noConversion"/>
  </si>
  <si>
    <t>SeGA1</t>
    <phoneticPr fontId="1" type="noConversion"/>
  </si>
  <si>
    <t>SeGA2</t>
  </si>
  <si>
    <t>SeGA3</t>
  </si>
  <si>
    <t>SeGA4</t>
  </si>
  <si>
    <t>SeGA6</t>
  </si>
  <si>
    <t>SeGA7</t>
  </si>
  <si>
    <t>SeGA8</t>
  </si>
  <si>
    <t>SeGA9</t>
  </si>
  <si>
    <t>SeGA10</t>
  </si>
  <si>
    <t>SeGA11</t>
  </si>
  <si>
    <t>SeGA12</t>
  </si>
  <si>
    <t>SeGA13</t>
  </si>
  <si>
    <t>SeGA14</t>
  </si>
  <si>
    <t>nan</t>
  </si>
  <si>
    <t>SeGA15 bad resolution</t>
    <phoneticPr fontId="1" type="noConversion"/>
  </si>
  <si>
    <t>Ig</t>
    <phoneticPr fontId="1" type="noConversion"/>
  </si>
  <si>
    <t>Activity</t>
    <phoneticPr fontId="1" type="noConversion"/>
  </si>
  <si>
    <t>Bq</t>
    <phoneticPr fontId="1" type="noConversion"/>
  </si>
  <si>
    <t>Time</t>
    <phoneticPr fontId="1" type="noConversion"/>
  </si>
  <si>
    <t>Integral=</t>
  </si>
  <si>
    <t>bkgl=</t>
  </si>
  <si>
    <t>bkgh=</t>
  </si>
  <si>
    <t>hEnergyDepositSega_0</t>
  </si>
  <si>
    <t>hEnergyDepositSega_1</t>
  </si>
  <si>
    <t>hEnergyDepositSega_2</t>
  </si>
  <si>
    <t>hEnergyDepositSega_3</t>
  </si>
  <si>
    <t>hEnergyDepositSega_4</t>
  </si>
  <si>
    <t>hEnergyDepositSega_5</t>
  </si>
  <si>
    <t>hEnergyDepositSega_6</t>
  </si>
  <si>
    <t>hEnergyDepositSega_7</t>
  </si>
  <si>
    <t>hEnergyDepositSega_8</t>
  </si>
  <si>
    <t>hEnergyDepositSega_9</t>
  </si>
  <si>
    <t>hEnergyDepositSega_10</t>
  </si>
  <si>
    <t>hEnergyDepositSega_11</t>
  </si>
  <si>
    <t>hEnergyDepositSega_12</t>
  </si>
  <si>
    <t>hEnergyDepositSega_13</t>
  </si>
  <si>
    <t>hEnergyDepositSega_14</t>
  </si>
  <si>
    <t>hEnergyDepositSega_15</t>
  </si>
  <si>
    <t>hSega</t>
  </si>
  <si>
    <t>energy[0][0]=</t>
  </si>
  <si>
    <t>energy[0][1]=</t>
  </si>
  <si>
    <t>energy[0][2]=</t>
  </si>
  <si>
    <t>energy[0][3]=</t>
  </si>
  <si>
    <t>energy[0][4]=</t>
  </si>
  <si>
    <t>energy[0][5]=</t>
  </si>
  <si>
    <t>energy[0][6]=</t>
  </si>
  <si>
    <t>energy[0][7]=</t>
  </si>
  <si>
    <t>energy[0][8]=</t>
  </si>
  <si>
    <t>energy[0][9]=</t>
  </si>
  <si>
    <t>energy[0][10]=</t>
  </si>
  <si>
    <t>energy[0][11]=</t>
  </si>
  <si>
    <t>;</t>
    <phoneticPr fontId="1" type="noConversion"/>
  </si>
  <si>
    <t>energyerr[0][0]=</t>
  </si>
  <si>
    <t>energyerr[0][1]=</t>
  </si>
  <si>
    <t>energyerr[0][2]=</t>
  </si>
  <si>
    <t>energyerr[0][3]=</t>
  </si>
  <si>
    <t>energyerr[0][4]=</t>
  </si>
  <si>
    <t>energyerr[0][5]=</t>
  </si>
  <si>
    <t>energyerr[0][6]=</t>
  </si>
  <si>
    <t>energyerr[0][7]=</t>
  </si>
  <si>
    <t>energyerr[0][8]=</t>
  </si>
  <si>
    <t>energyerr[0][9]=</t>
  </si>
  <si>
    <t>energyerr[0][10]=</t>
  </si>
  <si>
    <t>energyerr[0][11]=</t>
  </si>
  <si>
    <t>eff[0][0]=</t>
  </si>
  <si>
    <t>eff[0][1]=</t>
  </si>
  <si>
    <t>eff[0][2]=</t>
  </si>
  <si>
    <t>eff[0][3]=</t>
  </si>
  <si>
    <t>eff[0][4]=</t>
  </si>
  <si>
    <t>eff[0][5]=</t>
  </si>
  <si>
    <t>eff[0][6]=</t>
  </si>
  <si>
    <t>eff[0][7]=</t>
  </si>
  <si>
    <t>eff[0][8]=</t>
  </si>
  <si>
    <t>eff[0][9]=</t>
  </si>
  <si>
    <t>eff[0][10]=</t>
  </si>
  <si>
    <t>eff[0][11]=</t>
  </si>
  <si>
    <t>efferr[0][0]=</t>
    <phoneticPr fontId="1" type="noConversion"/>
  </si>
  <si>
    <t>efferr[0][1]=</t>
  </si>
  <si>
    <t>efferr[0][2]=</t>
  </si>
  <si>
    <t>efferr[0][3]=</t>
  </si>
  <si>
    <t>efferr[0][4]=</t>
  </si>
  <si>
    <t>efferr[0][5]=</t>
  </si>
  <si>
    <t>efferr[0][6]=</t>
  </si>
  <si>
    <t>efferr[0][7]=</t>
  </si>
  <si>
    <t>efferr[0][8]=</t>
  </si>
  <si>
    <t>efferr[0][9]=</t>
  </si>
  <si>
    <t>efferr[0][10]=</t>
  </si>
  <si>
    <t>efferr[0][11]=</t>
  </si>
  <si>
    <t>y=logpol6</t>
  </si>
  <si>
    <t>p6=</t>
  </si>
  <si>
    <t>p5=</t>
  </si>
  <si>
    <t>p4=</t>
  </si>
  <si>
    <t>p3=</t>
  </si>
  <si>
    <t>p2=</t>
  </si>
  <si>
    <t>par[0][6]=</t>
    <phoneticPr fontId="1" type="noConversion"/>
  </si>
  <si>
    <t>par[0][5]=</t>
    <phoneticPr fontId="1" type="noConversion"/>
  </si>
  <si>
    <t>par[0][4]=</t>
    <phoneticPr fontId="1" type="noConversion"/>
  </si>
  <si>
    <t>par[0][3]=</t>
    <phoneticPr fontId="1" type="noConversion"/>
  </si>
  <si>
    <t>par[0][2]=</t>
    <phoneticPr fontId="1" type="noConversion"/>
  </si>
  <si>
    <t>par[0][1]=</t>
    <phoneticPr fontId="1" type="noConversion"/>
  </si>
  <si>
    <t>par[0][0]=</t>
    <phoneticPr fontId="1" type="noConversion"/>
  </si>
  <si>
    <t>parerr[0][5]=</t>
  </si>
  <si>
    <t>parerr[0][4]=</t>
  </si>
  <si>
    <t>parerr[0][3]=</t>
  </si>
  <si>
    <t>parerr[0][2]=</t>
  </si>
  <si>
    <t>parerr[0][1]=</t>
  </si>
  <si>
    <t>parerr[0][0]=</t>
  </si>
  <si>
    <t>parerr[0][6]=</t>
  </si>
  <si>
    <t>sumout</t>
    <phoneticPr fontId="1" type="noConversion"/>
  </si>
  <si>
    <t>Area 16SeGA</t>
    <phoneticPr fontId="1" type="noConversion"/>
  </si>
  <si>
    <t>Area 14SeGA</t>
    <phoneticPr fontId="1" type="noConversion"/>
  </si>
  <si>
    <t>Integral 14SeGA</t>
    <phoneticPr fontId="1" type="noConversion"/>
  </si>
  <si>
    <t>Igsum</t>
    <phoneticPr fontId="1" type="noConversion"/>
  </si>
  <si>
    <t>gg-coin</t>
    <phoneticPr fontId="1" type="noConversion"/>
  </si>
  <si>
    <t>ε data</t>
    <phoneticPr fontId="1" type="noConversion"/>
  </si>
  <si>
    <t>ε simu</t>
    <phoneticPr fontId="1" type="noConversion"/>
  </si>
  <si>
    <t>from graphlogpol6fit_band_twelve152Eupoints.C</t>
    <phoneticPr fontId="1" type="noConversion"/>
  </si>
  <si>
    <t>to graphlogpol6fit_band_twelve152Eupoints.C</t>
    <phoneticPr fontId="1" type="noConversion"/>
  </si>
  <si>
    <t>to graphpol0scale_eff_twelve152Eupoints.C</t>
    <phoneticPr fontId="1" type="noConversion"/>
  </si>
  <si>
    <t>from peakcalipara.dat</t>
    <phoneticPr fontId="1" type="noConversion"/>
  </si>
  <si>
    <t>to graphpol0scale_band_twelve152Eupoints.C</t>
    <phoneticPr fontId="1" type="noConversion"/>
  </si>
  <si>
    <t>ratio</t>
    <phoneticPr fontId="1" type="noConversion"/>
  </si>
  <si>
    <t>from GetBinContent.C</t>
    <phoneticPr fontId="1" type="noConversion"/>
  </si>
  <si>
    <t>upstream</t>
    <phoneticPr fontId="1" type="noConversion"/>
  </si>
  <si>
    <t>relative residual=</t>
  </si>
  <si>
    <t>counts</t>
    <phoneticPr fontId="1" type="noConversion"/>
  </si>
  <si>
    <t>mean</t>
    <phoneticPr fontId="1" type="noConversion"/>
  </si>
  <si>
    <t>RMS</t>
    <phoneticPr fontId="1" type="noConversion"/>
  </si>
  <si>
    <t>RMS ROOT</t>
    <phoneticPr fontId="1" type="noConversion"/>
  </si>
  <si>
    <t>to graphpol0ratio_band_twelve152Eupoints.C</t>
    <phoneticPr fontId="1" type="noConversion"/>
  </si>
  <si>
    <t>from graphpol0scale_band_twelve152Eupoints.C</t>
    <phoneticPr fontId="1" type="noConversion"/>
  </si>
  <si>
    <t>IAS</t>
    <phoneticPr fontId="1" type="noConversion"/>
  </si>
  <si>
    <t>53Ni → 53Co</t>
  </si>
  <si>
    <r>
      <rPr>
        <i/>
        <sz val="10"/>
        <color theme="1"/>
        <rFont val="Times New Roman"/>
        <family val="1"/>
      </rPr>
      <t>Tz</t>
    </r>
    <r>
      <rPr>
        <sz val="10"/>
        <color theme="1"/>
        <rFont val="Times New Roman"/>
        <family val="1"/>
      </rPr>
      <t xml:space="preserve"> = –3/2</t>
    </r>
    <phoneticPr fontId="1" type="noConversion"/>
  </si>
  <si>
    <t>55Cu → 55Ni</t>
  </si>
  <si>
    <t>31Cl → 31S</t>
  </si>
  <si>
    <t>IAS</t>
    <phoneticPr fontId="1" type="noConversion"/>
  </si>
  <si>
    <t>55Ni</t>
    <phoneticPr fontId="1" type="noConversion"/>
  </si>
  <si>
    <t>23Al</t>
    <phoneticPr fontId="1" type="noConversion"/>
  </si>
  <si>
    <t>a</t>
    <phoneticPr fontId="1" type="noConversion"/>
  </si>
  <si>
    <t>b</t>
    <phoneticPr fontId="1" type="noConversion"/>
  </si>
  <si>
    <t>ν</t>
    <phoneticPr fontId="1" type="noConversion"/>
  </si>
  <si>
    <t>ε</t>
    <phoneticPr fontId="1" type="noConversion"/>
  </si>
  <si>
    <t>θ</t>
    <phoneticPr fontId="1" type="noConversion"/>
  </si>
  <si>
    <t>ΔE</t>
    <phoneticPr fontId="1" type="noConversion"/>
  </si>
  <si>
    <t>isospin mixing matrix element</t>
  </si>
  <si>
    <t>mixing angle</t>
  </si>
  <si>
    <t>observed level spacing</t>
  </si>
  <si>
    <t>observed level spacing</t>
    <phoneticPr fontId="1" type="noConversion"/>
  </si>
  <si>
    <t>unmixed/unperturbed level spacing</t>
  </si>
  <si>
    <r>
      <t xml:space="preserve">56Zn </t>
    </r>
    <r>
      <rPr>
        <sz val="10"/>
        <color theme="1"/>
        <rFont val="宋体"/>
        <family val="3"/>
        <charset val="134"/>
      </rPr>
      <t>→</t>
    </r>
    <r>
      <rPr>
        <sz val="10"/>
        <color theme="1"/>
        <rFont val="Times New Roman"/>
        <family val="1"/>
      </rPr>
      <t xml:space="preserve"> 56Cu</t>
    </r>
    <phoneticPr fontId="1" type="noConversion"/>
  </si>
  <si>
    <t>a larger</t>
  </si>
  <si>
    <t>a larger</t>
    <phoneticPr fontId="1" type="noConversion"/>
  </si>
  <si>
    <t>b smaller</t>
  </si>
  <si>
    <t>b smaller</t>
    <phoneticPr fontId="1" type="noConversion"/>
  </si>
  <si>
    <t>isospin mixing matrix element</t>
    <phoneticPr fontId="1" type="noConversion"/>
  </si>
  <si>
    <r>
      <t xml:space="preserve">25Si </t>
    </r>
    <r>
      <rPr>
        <sz val="10"/>
        <color theme="1"/>
        <rFont val="宋体"/>
        <family val="3"/>
        <charset val="134"/>
      </rPr>
      <t>→</t>
    </r>
    <r>
      <rPr>
        <sz val="10"/>
        <color theme="1"/>
        <rFont val="Times New Roman"/>
        <family val="1"/>
      </rPr>
      <t xml:space="preserve"> 25Al</t>
    </r>
    <phoneticPr fontId="1" type="noConversion"/>
  </si>
  <si>
    <t>E</t>
    <phoneticPr fontId="1" type="noConversion"/>
  </si>
  <si>
    <r>
      <t>α</t>
    </r>
    <r>
      <rPr>
        <vertAlign val="superscript"/>
        <sz val="10"/>
        <color theme="1"/>
        <rFont val="Times New Roman"/>
        <family val="1"/>
      </rPr>
      <t>2</t>
    </r>
    <phoneticPr fontId="1" type="noConversion"/>
  </si>
  <si>
    <t>isospin impurity</t>
  </si>
  <si>
    <t>theoretical</t>
    <phoneticPr fontId="1" type="noConversion"/>
  </si>
  <si>
    <r>
      <t xml:space="preserve">23Al </t>
    </r>
    <r>
      <rPr>
        <sz val="10"/>
        <color theme="1"/>
        <rFont val="宋体"/>
        <family val="3"/>
        <charset val="134"/>
      </rPr>
      <t>→</t>
    </r>
    <r>
      <rPr>
        <sz val="10"/>
        <color theme="1"/>
        <rFont val="Times New Roman"/>
        <family val="1"/>
      </rPr>
      <t xml:space="preserve"> 23Mg</t>
    </r>
    <phoneticPr fontId="1" type="noConversion"/>
  </si>
  <si>
    <r>
      <rPr>
        <i/>
        <sz val="10"/>
        <color theme="1"/>
        <rFont val="Times New Roman"/>
        <family val="1"/>
      </rPr>
      <t>Tz</t>
    </r>
    <r>
      <rPr>
        <sz val="10"/>
        <color theme="1"/>
        <rFont val="Times New Roman"/>
        <family val="1"/>
      </rPr>
      <t xml:space="preserve"> = –2</t>
    </r>
    <phoneticPr fontId="1" type="noConversion"/>
  </si>
  <si>
    <r>
      <t xml:space="preserve">26P </t>
    </r>
    <r>
      <rPr>
        <sz val="10"/>
        <color theme="1"/>
        <rFont val="宋体"/>
        <family val="3"/>
        <charset val="134"/>
      </rPr>
      <t>→</t>
    </r>
    <r>
      <rPr>
        <sz val="10"/>
        <color theme="1"/>
        <rFont val="Times New Roman"/>
        <family val="1"/>
      </rPr>
      <t xml:space="preserve"> 26Si</t>
    </r>
    <phoneticPr fontId="1" type="noConversion"/>
  </si>
  <si>
    <t>IAS</t>
    <phoneticPr fontId="1" type="noConversion"/>
  </si>
  <si>
    <t>isospin mixing matrix element</t>
    <phoneticPr fontId="1" type="noConversion"/>
  </si>
  <si>
    <t>25Si</t>
    <phoneticPr fontId="1" type="noConversion"/>
  </si>
  <si>
    <t>B(F)+(gA/gV)^2B(GT)</t>
    <phoneticPr fontId="1" type="noConversion"/>
  </si>
  <si>
    <t>B(F)</t>
    <phoneticPr fontId="1" type="noConversion"/>
  </si>
  <si>
    <t>T</t>
    <phoneticPr fontId="1" type="noConversion"/>
  </si>
  <si>
    <t>3/2</t>
    <phoneticPr fontId="1" type="noConversion"/>
  </si>
  <si>
    <t>1/2</t>
    <phoneticPr fontId="1" type="noConversion"/>
  </si>
  <si>
    <t>Ex (keV)</t>
    <phoneticPr fontId="1" type="noConversion"/>
  </si>
  <si>
    <t>σEx (keV)</t>
    <phoneticPr fontId="1" type="noConversion"/>
  </si>
  <si>
    <t>log ft</t>
    <phoneticPr fontId="1" type="noConversion"/>
  </si>
  <si>
    <t>ft</t>
    <phoneticPr fontId="12" type="noConversion"/>
  </si>
  <si>
    <t>σft</t>
    <phoneticPr fontId="1" type="noConversion"/>
  </si>
  <si>
    <t>σlog ft</t>
    <phoneticPr fontId="1" type="noConversion"/>
  </si>
  <si>
    <t>σB</t>
    <phoneticPr fontId="1" type="noConversion"/>
  </si>
  <si>
    <t>3/2+</t>
    <phoneticPr fontId="1" type="noConversion"/>
  </si>
  <si>
    <t>Jπ</t>
    <phoneticPr fontId="1" type="noConversion"/>
  </si>
  <si>
    <t>B larger</t>
    <phoneticPr fontId="1" type="noConversion"/>
  </si>
  <si>
    <t>tanθ</t>
    <phoneticPr fontId="1" type="noConversion"/>
  </si>
  <si>
    <t>B(GT)</t>
    <phoneticPr fontId="1" type="noConversion"/>
  </si>
  <si>
    <t>σB(GT)</t>
    <phoneticPr fontId="1" type="noConversion"/>
  </si>
  <si>
    <t>σB(F)</t>
    <phoneticPr fontId="1" type="noConversion"/>
  </si>
  <si>
    <t>ΔE check</t>
    <phoneticPr fontId="1" type="noConversion"/>
  </si>
  <si>
    <t>unperturbed level spacing</t>
    <phoneticPr fontId="1" type="noConversion"/>
  </si>
  <si>
    <t>mixing matrix element</t>
    <phoneticPr fontId="1" type="noConversion"/>
  </si>
  <si>
    <t>2θ</t>
  </si>
  <si>
    <t>2θ</t>
    <phoneticPr fontId="1" type="noConversion"/>
  </si>
  <si>
    <t>δ</t>
  </si>
  <si>
    <t>δ</t>
    <phoneticPr fontId="1" type="noConversion"/>
  </si>
  <si>
    <t>perturbation</t>
  </si>
  <si>
    <t>3/2-</t>
    <phoneticPr fontId="1" type="noConversion"/>
  </si>
  <si>
    <t>2</t>
    <phoneticPr fontId="1" type="noConversion"/>
  </si>
  <si>
    <t>1</t>
    <phoneticPr fontId="1" type="noConversion"/>
  </si>
  <si>
    <t>ΔE</t>
  </si>
  <si>
    <t>tanθ</t>
  </si>
  <si>
    <t>ε</t>
  </si>
  <si>
    <t>unperturbed level spacing</t>
  </si>
  <si>
    <t>ν</t>
  </si>
  <si>
    <t>mixing matrix element</t>
  </si>
  <si>
    <t>α2</t>
  </si>
  <si>
    <t>ΔE check</t>
  </si>
  <si>
    <t>0+</t>
  </si>
  <si>
    <t>Sp = 560(140)</t>
  </si>
  <si>
    <t>https://www.mathway.com/Algebra</t>
  </si>
  <si>
    <t>B1</t>
    <phoneticPr fontId="1" type="noConversion"/>
  </si>
  <si>
    <t>Sp = 4614.9(7)</t>
  </si>
  <si>
    <t>Sp = 6130.64(24)</t>
  </si>
  <si>
    <t>Sp = 1615(7)</t>
  </si>
  <si>
    <t>7/2-</t>
    <phoneticPr fontId="1" type="noConversion"/>
  </si>
  <si>
    <t>1/2</t>
    <phoneticPr fontId="1" type="noConversion"/>
  </si>
  <si>
    <t>Sp = 2271.38(7)</t>
    <phoneticPr fontId="1" type="noConversion"/>
  </si>
  <si>
    <t>5/2+</t>
    <phoneticPr fontId="1" type="noConversion"/>
  </si>
  <si>
    <t>USDC</t>
    <phoneticPr fontId="1" type="noConversion"/>
  </si>
  <si>
    <t>USDCs</t>
    <phoneticPr fontId="1" type="noConversion"/>
  </si>
  <si>
    <t>1/2</t>
    <phoneticPr fontId="1" type="noConversion"/>
  </si>
  <si>
    <t>23Al → 23Mg</t>
  </si>
  <si>
    <t>Sp = 7580.97(23)</t>
    <phoneticPr fontId="1" type="noConversion"/>
  </si>
  <si>
    <t>26P → 26Si</t>
  </si>
  <si>
    <t>IAS is</t>
  </si>
  <si>
    <t>IAS is</t>
    <phoneticPr fontId="1" type="noConversion"/>
  </si>
  <si>
    <t>Sp = 5513.8(5)</t>
    <phoneticPr fontId="1" type="noConversion"/>
  </si>
  <si>
    <t>3+</t>
    <phoneticPr fontId="1" type="noConversion"/>
  </si>
  <si>
    <t>56Fe(3He,t)56Co</t>
    <phoneticPr fontId="1" type="noConversion"/>
  </si>
  <si>
    <t>0</t>
    <phoneticPr fontId="1" type="noConversion"/>
  </si>
  <si>
    <r>
      <t xml:space="preserve">24Al </t>
    </r>
    <r>
      <rPr>
        <sz val="10"/>
        <color theme="1"/>
        <rFont val="宋体"/>
        <family val="3"/>
        <charset val="134"/>
      </rPr>
      <t>→</t>
    </r>
    <r>
      <rPr>
        <sz val="10"/>
        <color theme="1"/>
        <rFont val="Times New Roman"/>
        <family val="1"/>
      </rPr>
      <t xml:space="preserve"> 24Mg</t>
    </r>
    <phoneticPr fontId="1" type="noConversion"/>
  </si>
  <si>
    <r>
      <rPr>
        <i/>
        <sz val="10"/>
        <color theme="1"/>
        <rFont val="Times New Roman"/>
        <family val="1"/>
      </rPr>
      <t>Tz</t>
    </r>
    <r>
      <rPr>
        <sz val="10"/>
        <color theme="1"/>
        <rFont val="Times New Roman"/>
        <family val="1"/>
      </rPr>
      <t xml:space="preserve"> = –1</t>
    </r>
    <phoneticPr fontId="1" type="noConversion"/>
  </si>
  <si>
    <t>4+</t>
    <phoneticPr fontId="1" type="noConversion"/>
  </si>
  <si>
    <t>32Cl → 32S</t>
    <phoneticPr fontId="1" type="noConversion"/>
  </si>
  <si>
    <t>1+</t>
    <phoneticPr fontId="1" type="noConversion"/>
  </si>
  <si>
    <t>Sp = 8863.9638(14)</t>
    <phoneticPr fontId="1" type="noConversion"/>
  </si>
  <si>
    <r>
      <t>Sα</t>
    </r>
    <r>
      <rPr>
        <sz val="10"/>
        <color theme="1"/>
        <rFont val="微软雅黑"/>
        <family val="1"/>
        <charset val="134"/>
      </rPr>
      <t xml:space="preserve"> </t>
    </r>
    <r>
      <rPr>
        <sz val="10"/>
        <color theme="1"/>
        <rFont val="Times New Roman"/>
        <family val="1"/>
      </rPr>
      <t>=</t>
    </r>
    <r>
      <rPr>
        <sz val="10"/>
        <color theme="1"/>
        <rFont val="微软雅黑"/>
        <family val="1"/>
        <charset val="134"/>
      </rPr>
      <t xml:space="preserve"> </t>
    </r>
    <r>
      <rPr>
        <sz val="10"/>
        <color theme="1"/>
        <rFont val="Times New Roman"/>
        <family val="1"/>
      </rPr>
      <t>6947.6559(14)</t>
    </r>
    <phoneticPr fontId="1" type="noConversion"/>
  </si>
  <si>
    <t>32Ar → 32Cl</t>
    <phoneticPr fontId="1" type="noConversion"/>
  </si>
  <si>
    <t>Sp = 1581.1(5)</t>
    <phoneticPr fontId="1" type="noConversion"/>
  </si>
  <si>
    <t>0+</t>
    <phoneticPr fontId="1" type="noConversion"/>
  </si>
  <si>
    <t>Saradindu</t>
    <phoneticPr fontId="1" type="noConversion"/>
  </si>
  <si>
    <t>Lijie recalc</t>
    <phoneticPr fontId="1" type="noConversion"/>
  </si>
  <si>
    <t>37Ca → 37K</t>
    <phoneticPr fontId="1" type="noConversion"/>
  </si>
  <si>
    <r>
      <rPr>
        <i/>
        <sz val="10"/>
        <color theme="1"/>
        <rFont val="Times New Roman"/>
        <family val="1"/>
      </rPr>
      <t>Tz</t>
    </r>
    <r>
      <rPr>
        <sz val="10"/>
        <color theme="1"/>
        <rFont val="Times New Roman"/>
        <family val="1"/>
      </rPr>
      <t xml:space="preserve"> = –</t>
    </r>
    <r>
      <rPr>
        <sz val="10"/>
        <color theme="1"/>
        <rFont val="宋体"/>
        <family val="1"/>
        <charset val="134"/>
      </rPr>
      <t>3/</t>
    </r>
    <r>
      <rPr>
        <sz val="10"/>
        <color theme="1"/>
        <rFont val="Times New Roman"/>
        <family val="1"/>
      </rPr>
      <t>2</t>
    </r>
    <phoneticPr fontId="1" type="noConversion"/>
  </si>
  <si>
    <t>Sp = 1857.63(9)</t>
    <phoneticPr fontId="1" type="noConversion"/>
  </si>
  <si>
    <t>unperturbed level spacing</t>
    <phoneticPr fontId="1" type="noConversion"/>
  </si>
  <si>
    <t>isospin impurity</t>
    <phoneticPr fontId="1" type="noConversion"/>
  </si>
  <si>
    <t>shell</t>
    <phoneticPr fontId="1" type="noConversion"/>
  </si>
  <si>
    <t>cosθ</t>
    <phoneticPr fontId="1" type="noConversion"/>
  </si>
  <si>
    <t>sinθ</t>
    <phoneticPr fontId="1" type="noConversion"/>
  </si>
  <si>
    <t>ft+</t>
  </si>
  <si>
    <r>
      <t xml:space="preserve">57Zn </t>
    </r>
    <r>
      <rPr>
        <sz val="10"/>
        <color theme="1"/>
        <rFont val="宋体"/>
        <family val="3"/>
        <charset val="134"/>
      </rPr>
      <t>→</t>
    </r>
    <r>
      <rPr>
        <sz val="10"/>
        <color theme="1"/>
        <rFont val="Times New Roman"/>
        <family val="1"/>
      </rPr>
      <t xml:space="preserve"> 57Cu</t>
    </r>
  </si>
  <si>
    <r>
      <rPr>
        <i/>
        <sz val="10"/>
        <color theme="1"/>
        <rFont val="Times New Roman"/>
        <family val="1"/>
      </rPr>
      <t>Tz</t>
    </r>
    <r>
      <rPr>
        <sz val="10"/>
        <color theme="1"/>
        <rFont val="Times New Roman"/>
        <family val="1"/>
      </rPr>
      <t xml:space="preserve"> = –3/2</t>
    </r>
  </si>
  <si>
    <t>Sp = 1210(200)</t>
  </si>
  <si>
    <t>7/2–</t>
  </si>
  <si>
    <t>Itay</t>
  </si>
  <si>
    <t>σBGT</t>
  </si>
  <si>
    <t>(gA/gV)^2</t>
  </si>
  <si>
    <t>https://doi.org/10.1103/PhysRevC.102.045501</t>
  </si>
  <si>
    <t>https://pdglive.lbl.gov/DataBlock.action?node=S017AV</t>
  </si>
  <si>
    <t>https://doi.org/10.1103/PhysRevD.110.030001</t>
  </si>
  <si>
    <t>σft</t>
  </si>
  <si>
    <t>Red input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</si>
</sst>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6">
    <numFmt numFmtId="164" formatCode="0.000"/>
    <numFmt numFmtId="165" formatCode="0.0"/>
    <numFmt numFmtId="166" formatCode="0.0_ "/>
    <numFmt numFmtId="167" formatCode="0_ "/>
    <numFmt numFmtId="168" formatCode="0.00_ "/>
    <numFmt numFmtId="169" formatCode="0.00000"/>
    <numFmt numFmtId="170" formatCode="0.0000"/>
    <numFmt numFmtId="171" formatCode="0.0000_ "/>
    <numFmt numFmtId="172" formatCode="0.0%"/>
    <numFmt numFmtId="173" formatCode="0.00000_ "/>
    <numFmt numFmtId="174" formatCode="0.000%"/>
    <numFmt numFmtId="175" formatCode="0_);[Red]\(0\)"/>
    <numFmt numFmtId="176" formatCode="0.00000_);[Red]\(0.00000\)"/>
    <numFmt numFmtId="177" formatCode="0.0000_);[Red]\(0.0000\)"/>
    <numFmt numFmtId="178" formatCode="0.00000000_);[Red]\(0.00000000\)"/>
    <numFmt numFmtId="179" formatCode="0.000000000_);[Red]\(0.000000000\)"/>
  </numFmts>
  <fonts count="37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sz val="10"/>
      <color theme="1"/>
      <name val="Times New Roman"/>
      <family val="1"/>
    </font>
    <font>
      <sz val="10"/>
      <color rgb="FFFF0000"/>
      <name val="Times New Roman"/>
      <family val="1"/>
    </font>
    <font>
      <sz val="11"/>
      <color theme="1"/>
      <name val="Calibri"/>
      <family val="2"/>
      <charset val="134"/>
      <scheme val="minor"/>
    </font>
    <font>
      <sz val="10"/>
      <color indexed="8"/>
      <name val="Times New Roman"/>
      <family val="1"/>
    </font>
    <font>
      <sz val="11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color indexed="8"/>
      <name val="Times New Roman"/>
      <family val="1"/>
    </font>
    <font>
      <u/>
      <sz val="11"/>
      <color theme="10"/>
      <name val="宋体"/>
      <family val="3"/>
      <charset val="134"/>
    </font>
    <font>
      <i/>
      <sz val="10"/>
      <color theme="1"/>
      <name val="Times New Roman"/>
      <family val="1"/>
    </font>
    <font>
      <b/>
      <sz val="10"/>
      <color indexed="8"/>
      <name val="Times New Roman"/>
      <family val="1"/>
    </font>
    <font>
      <sz val="8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name val="Times New Roman"/>
      <family val="1"/>
    </font>
    <font>
      <sz val="10"/>
      <color theme="0" tint="-0.14999847407452621"/>
      <name val="Times New Roman"/>
      <family val="1"/>
    </font>
    <font>
      <sz val="12"/>
      <name val="宋体"/>
      <family val="3"/>
      <charset val="134"/>
    </font>
    <font>
      <vertAlign val="superscript"/>
      <sz val="10"/>
      <name val="Times New Roman"/>
      <family val="1"/>
    </font>
    <font>
      <sz val="10"/>
      <color theme="0" tint="-0.499984740745262"/>
      <name val="Times New Roman"/>
      <family val="1"/>
    </font>
    <font>
      <vertAlign val="superscript"/>
      <sz val="10"/>
      <color theme="1"/>
      <name val="Times New Roman"/>
      <family val="1"/>
    </font>
    <font>
      <sz val="10"/>
      <color theme="1"/>
      <name val="宋体"/>
      <family val="3"/>
      <charset val="134"/>
    </font>
    <font>
      <sz val="10"/>
      <color rgb="FFCCFFFF"/>
      <name val="Times New Roman"/>
      <family val="1"/>
    </font>
    <font>
      <b/>
      <sz val="10"/>
      <color rgb="FFC00000"/>
      <name val="Times New Roman"/>
      <family val="1"/>
    </font>
    <font>
      <b/>
      <sz val="10"/>
      <color indexed="8"/>
      <name val="Times New Roman"/>
      <family val="3"/>
      <charset val="134"/>
    </font>
    <font>
      <sz val="10"/>
      <color theme="1"/>
      <name val="微软雅黑"/>
      <family val="1"/>
      <charset val="134"/>
    </font>
    <font>
      <sz val="10"/>
      <color theme="1"/>
      <name val="宋体"/>
      <family val="1"/>
      <charset val="134"/>
    </font>
    <font>
      <b/>
      <sz val="10"/>
      <color rgb="FF000000"/>
      <name val="Times New Roman"/>
      <family val="1"/>
    </font>
    <font>
      <sz val="12"/>
      <color indexed="8"/>
      <name val="Times New Roman"/>
      <family val="1"/>
    </font>
    <font>
      <sz val="12"/>
      <color theme="1"/>
      <name val="Times New Roman"/>
      <family val="1"/>
    </font>
    <font>
      <sz val="12"/>
      <name val="Times New Roman"/>
      <family val="1"/>
    </font>
    <font>
      <sz val="12"/>
      <color theme="9" tint="-0.249977111117893"/>
      <name val="Times New Roman"/>
      <family val="1"/>
    </font>
    <font>
      <u/>
      <sz val="11"/>
      <color theme="10"/>
      <name val="Times New Roman"/>
      <family val="1"/>
    </font>
    <font>
      <sz val="14"/>
      <color indexed="8"/>
      <name val="Times New Roman"/>
      <family val="1"/>
    </font>
    <font>
      <sz val="14"/>
      <color theme="1"/>
      <name val="Times New Roman"/>
      <family val="1"/>
    </font>
    <font>
      <b/>
      <sz val="14"/>
      <color rgb="FFFF0000"/>
      <name val="Times New Roman"/>
      <family val="1"/>
    </font>
    <font>
      <sz val="14"/>
      <color rgb="FF0000FF"/>
      <name val="Times New Roman"/>
      <family val="1"/>
    </font>
    <font>
      <sz val="12"/>
      <color rgb="FFFF0000"/>
      <name val="Times New Roman"/>
      <family val="1"/>
    </font>
  </fonts>
  <fills count="1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E5E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13">
    <xf numFmtId="0" fontId="0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9" fontId="7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/>
    <xf numFmtId="0" fontId="4" fillId="0" borderId="0">
      <alignment vertical="center"/>
    </xf>
    <xf numFmtId="0" fontId="6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/>
    <xf numFmtId="0" fontId="16" fillId="0" borderId="0"/>
    <xf numFmtId="9" fontId="16" fillId="0" borderId="0" applyFont="0" applyFill="0" applyBorder="0" applyAlignment="0" applyProtection="0"/>
  </cellStyleXfs>
  <cellXfs count="415">
    <xf numFmtId="0" fontId="0" fillId="0" borderId="0" xfId="0">
      <alignment vertical="center"/>
    </xf>
    <xf numFmtId="164" fontId="2" fillId="0" borderId="0" xfId="0" applyNumberFormat="1" applyFont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11" fontId="2" fillId="0" borderId="0" xfId="0" applyNumberFormat="1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2" fontId="2" fillId="2" borderId="0" xfId="0" applyNumberFormat="1" applyFont="1" applyFill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164" fontId="5" fillId="0" borderId="0" xfId="2" applyNumberFormat="1" applyFont="1" applyAlignment="1">
      <alignment horizontal="center" vertical="center"/>
    </xf>
    <xf numFmtId="0" fontId="5" fillId="2" borderId="0" xfId="2" applyFont="1" applyFill="1" applyAlignment="1">
      <alignment horizontal="center" vertical="center"/>
    </xf>
    <xf numFmtId="0" fontId="5" fillId="0" borderId="0" xfId="2" applyFont="1" applyFill="1" applyAlignment="1">
      <alignment horizontal="center" vertical="center"/>
    </xf>
    <xf numFmtId="170" fontId="2" fillId="0" borderId="0" xfId="0" applyNumberFormat="1" applyFont="1" applyAlignment="1">
      <alignment horizontal="center" vertical="center"/>
    </xf>
    <xf numFmtId="0" fontId="3" fillId="0" borderId="0" xfId="2" applyFont="1" applyAlignment="1">
      <alignment horizontal="center" vertical="center"/>
    </xf>
    <xf numFmtId="2" fontId="5" fillId="0" borderId="0" xfId="2" applyNumberFormat="1" applyFont="1" applyAlignment="1">
      <alignment horizontal="center" vertical="center"/>
    </xf>
    <xf numFmtId="170" fontId="2" fillId="0" borderId="0" xfId="0" applyNumberFormat="1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164" fontId="2" fillId="0" borderId="0" xfId="0" applyNumberFormat="1" applyFont="1" applyFill="1" applyAlignment="1">
      <alignment horizontal="center" vertical="center"/>
    </xf>
    <xf numFmtId="1" fontId="2" fillId="0" borderId="0" xfId="0" applyNumberFormat="1" applyFont="1" applyFill="1" applyAlignment="1">
      <alignment horizontal="center" vertical="center"/>
    </xf>
    <xf numFmtId="9" fontId="2" fillId="0" borderId="0" xfId="6" applyFont="1" applyAlignment="1">
      <alignment horizontal="center" vertical="center"/>
    </xf>
    <xf numFmtId="2" fontId="2" fillId="0" borderId="0" xfId="0" applyNumberFormat="1" applyFont="1" applyFill="1" applyAlignment="1">
      <alignment horizontal="center" vertical="center"/>
    </xf>
    <xf numFmtId="10" fontId="2" fillId="0" borderId="0" xfId="0" applyNumberFormat="1" applyFont="1" applyAlignment="1">
      <alignment horizontal="center" vertical="center"/>
    </xf>
    <xf numFmtId="169" fontId="5" fillId="0" borderId="0" xfId="2" applyNumberFormat="1" applyFont="1" applyFill="1" applyAlignment="1">
      <alignment horizontal="center" vertical="center"/>
    </xf>
    <xf numFmtId="173" fontId="2" fillId="0" borderId="0" xfId="0" applyNumberFormat="1" applyFont="1" applyAlignment="1">
      <alignment horizontal="center" vertical="center"/>
    </xf>
    <xf numFmtId="169" fontId="2" fillId="0" borderId="0" xfId="0" applyNumberFormat="1" applyFont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164" fontId="14" fillId="0" borderId="0" xfId="4" applyNumberFormat="1" applyFont="1" applyFill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172" fontId="2" fillId="9" borderId="0" xfId="6" applyNumberFormat="1" applyFont="1" applyFill="1" applyAlignment="1">
      <alignment horizontal="center" vertical="center"/>
    </xf>
    <xf numFmtId="172" fontId="5" fillId="0" borderId="0" xfId="6" applyNumberFormat="1" applyFont="1" applyFill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10" fontId="2" fillId="5" borderId="0" xfId="6" applyNumberFormat="1" applyFont="1" applyFill="1" applyAlignment="1">
      <alignment horizontal="center" vertical="center"/>
    </xf>
    <xf numFmtId="0" fontId="14" fillId="0" borderId="0" xfId="2" applyFont="1" applyFill="1" applyAlignment="1">
      <alignment horizontal="center" vertical="center"/>
    </xf>
    <xf numFmtId="0" fontId="5" fillId="6" borderId="0" xfId="2" applyFont="1" applyFill="1" applyBorder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5" fillId="6" borderId="0" xfId="2" applyFont="1" applyFill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10" fontId="15" fillId="0" borderId="0" xfId="4" applyNumberFormat="1" applyFont="1" applyFill="1" applyAlignment="1">
      <alignment horizontal="center" vertical="center"/>
    </xf>
    <xf numFmtId="10" fontId="5" fillId="0" borderId="0" xfId="4" applyNumberFormat="1" applyFont="1" applyFill="1" applyAlignment="1">
      <alignment horizontal="center" vertical="center"/>
    </xf>
    <xf numFmtId="2" fontId="5" fillId="0" borderId="0" xfId="2" applyNumberFormat="1" applyFont="1" applyFill="1" applyAlignment="1">
      <alignment horizontal="center" vertical="center"/>
    </xf>
    <xf numFmtId="2" fontId="2" fillId="0" borderId="0" xfId="2" applyNumberFormat="1" applyFont="1" applyFill="1" applyAlignment="1">
      <alignment horizontal="center" vertical="center"/>
    </xf>
    <xf numFmtId="0" fontId="5" fillId="12" borderId="0" xfId="2" applyFont="1" applyFill="1" applyAlignment="1">
      <alignment horizontal="center" vertical="center"/>
    </xf>
    <xf numFmtId="0" fontId="14" fillId="12" borderId="0" xfId="2" applyFont="1" applyFill="1" applyAlignment="1">
      <alignment horizontal="center" vertical="center"/>
    </xf>
    <xf numFmtId="10" fontId="5" fillId="0" borderId="0" xfId="6" applyNumberFormat="1" applyFont="1" applyAlignment="1">
      <alignment horizontal="center" vertical="center"/>
    </xf>
    <xf numFmtId="165" fontId="2" fillId="0" borderId="0" xfId="2" applyNumberFormat="1" applyFont="1" applyFill="1" applyAlignment="1">
      <alignment horizontal="center" vertical="center"/>
    </xf>
    <xf numFmtId="0" fontId="2" fillId="0" borderId="0" xfId="2" applyFont="1" applyFill="1" applyAlignment="1">
      <alignment horizontal="center" vertical="center"/>
    </xf>
    <xf numFmtId="175" fontId="2" fillId="0" borderId="0" xfId="2" applyNumberFormat="1" applyFont="1" applyFill="1" applyBorder="1" applyAlignment="1">
      <alignment horizontal="center" vertical="center"/>
    </xf>
    <xf numFmtId="1" fontId="2" fillId="0" borderId="0" xfId="2" applyNumberFormat="1" applyFont="1" applyFill="1" applyBorder="1" applyAlignment="1">
      <alignment horizontal="center" vertical="center"/>
    </xf>
    <xf numFmtId="164" fontId="14" fillId="0" borderId="0" xfId="2" applyNumberFormat="1" applyFont="1" applyFill="1" applyBorder="1" applyAlignment="1">
      <alignment horizontal="center" vertical="center"/>
    </xf>
    <xf numFmtId="0" fontId="2" fillId="0" borderId="0" xfId="2" applyFont="1" applyFill="1" applyBorder="1" applyAlignment="1">
      <alignment horizontal="center" vertical="center"/>
    </xf>
    <xf numFmtId="0" fontId="2" fillId="12" borderId="0" xfId="0" applyFont="1" applyFill="1" applyAlignment="1">
      <alignment horizontal="center" vertical="center"/>
    </xf>
    <xf numFmtId="167" fontId="14" fillId="0" borderId="0" xfId="4" applyNumberFormat="1" applyFont="1" applyFill="1" applyAlignment="1">
      <alignment horizontal="center" vertical="center"/>
    </xf>
    <xf numFmtId="167" fontId="14" fillId="0" borderId="0" xfId="2" applyNumberFormat="1" applyFont="1" applyFill="1" applyBorder="1" applyAlignment="1">
      <alignment horizontal="center" vertical="center"/>
    </xf>
    <xf numFmtId="0" fontId="5" fillId="0" borderId="0" xfId="2" applyFont="1" applyAlignment="1">
      <alignment vertical="center"/>
    </xf>
    <xf numFmtId="0" fontId="5" fillId="0" borderId="0" xfId="2" applyFont="1" applyFill="1" applyBorder="1" applyAlignment="1">
      <alignment horizontal="center" vertical="center"/>
    </xf>
    <xf numFmtId="1" fontId="14" fillId="0" borderId="0" xfId="2" applyNumberFormat="1" applyFont="1" applyFill="1" applyBorder="1" applyAlignment="1">
      <alignment horizontal="center" vertical="center"/>
    </xf>
    <xf numFmtId="168" fontId="14" fillId="0" borderId="0" xfId="2" applyNumberFormat="1" applyFont="1" applyFill="1" applyBorder="1" applyAlignment="1">
      <alignment horizontal="center" vertical="center"/>
    </xf>
    <xf numFmtId="177" fontId="5" fillId="0" borderId="0" xfId="6" applyNumberFormat="1" applyFont="1" applyFill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2" fontId="2" fillId="10" borderId="0" xfId="0" applyNumberFormat="1" applyFont="1" applyFill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172" fontId="2" fillId="8" borderId="1" xfId="6" applyNumberFormat="1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10" fontId="2" fillId="10" borderId="1" xfId="0" applyNumberFormat="1" applyFont="1" applyFill="1" applyBorder="1" applyAlignment="1">
      <alignment horizontal="center" vertical="center"/>
    </xf>
    <xf numFmtId="172" fontId="2" fillId="10" borderId="1" xfId="0" applyNumberFormat="1" applyFont="1" applyFill="1" applyBorder="1" applyAlignment="1">
      <alignment horizontal="center" vertical="center"/>
    </xf>
    <xf numFmtId="10" fontId="2" fillId="5" borderId="1" xfId="0" applyNumberFormat="1" applyFont="1" applyFill="1" applyBorder="1" applyAlignment="1">
      <alignment horizontal="center" vertical="center"/>
    </xf>
    <xf numFmtId="172" fontId="2" fillId="8" borderId="0" xfId="6" applyNumberFormat="1" applyFont="1" applyFill="1" applyAlignment="1">
      <alignment horizontal="center" vertical="center"/>
    </xf>
    <xf numFmtId="172" fontId="2" fillId="10" borderId="0" xfId="6" applyNumberFormat="1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175" fontId="2" fillId="0" borderId="0" xfId="0" applyNumberFormat="1" applyFont="1" applyAlignment="1">
      <alignment horizontal="center" vertical="center"/>
    </xf>
    <xf numFmtId="172" fontId="2" fillId="2" borderId="1" xfId="0" applyNumberFormat="1" applyFont="1" applyFill="1" applyBorder="1" applyAlignment="1">
      <alignment horizontal="center" vertical="center"/>
    </xf>
    <xf numFmtId="0" fontId="18" fillId="3" borderId="0" xfId="0" applyFont="1" applyFill="1" applyAlignment="1">
      <alignment horizontal="center" vertical="center"/>
    </xf>
    <xf numFmtId="0" fontId="2" fillId="11" borderId="0" xfId="0" applyFont="1" applyFill="1" applyAlignment="1">
      <alignment horizontal="center" vertical="center"/>
    </xf>
    <xf numFmtId="164" fontId="2" fillId="10" borderId="0" xfId="0" applyNumberFormat="1" applyFont="1" applyFill="1" applyAlignment="1">
      <alignment horizontal="center" vertical="center"/>
    </xf>
    <xf numFmtId="164" fontId="2" fillId="2" borderId="0" xfId="0" applyNumberFormat="1" applyFont="1" applyFill="1" applyAlignment="1">
      <alignment horizontal="center" vertical="center"/>
    </xf>
    <xf numFmtId="0" fontId="13" fillId="0" borderId="0" xfId="0" applyFont="1" applyAlignment="1">
      <alignment horizontal="center" vertical="center"/>
    </xf>
    <xf numFmtId="164" fontId="13" fillId="0" borderId="0" xfId="0" applyNumberFormat="1" applyFont="1" applyAlignment="1">
      <alignment horizontal="center" vertical="center"/>
    </xf>
    <xf numFmtId="2" fontId="2" fillId="8" borderId="0" xfId="0" applyNumberFormat="1" applyFont="1" applyFill="1" applyAlignment="1">
      <alignment horizontal="center" vertical="center"/>
    </xf>
    <xf numFmtId="1" fontId="2" fillId="5" borderId="0" xfId="0" applyNumberFormat="1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165" fontId="2" fillId="2" borderId="0" xfId="0" applyNumberFormat="1" applyFont="1" applyFill="1" applyAlignment="1">
      <alignment horizontal="center" vertical="center"/>
    </xf>
    <xf numFmtId="1" fontId="2" fillId="2" borderId="0" xfId="0" applyNumberFormat="1" applyFont="1" applyFill="1" applyAlignment="1">
      <alignment horizontal="center" vertical="center"/>
    </xf>
    <xf numFmtId="172" fontId="2" fillId="2" borderId="0" xfId="6" applyNumberFormat="1" applyFont="1" applyFill="1" applyAlignment="1">
      <alignment horizontal="center" vertical="center"/>
    </xf>
    <xf numFmtId="170" fontId="13" fillId="0" borderId="0" xfId="0" applyNumberFormat="1" applyFont="1" applyAlignment="1">
      <alignment horizontal="center" vertical="center"/>
    </xf>
    <xf numFmtId="164" fontId="2" fillId="8" borderId="0" xfId="0" applyNumberFormat="1" applyFont="1" applyFill="1" applyAlignment="1">
      <alignment horizontal="center" vertical="center"/>
    </xf>
    <xf numFmtId="1" fontId="13" fillId="2" borderId="0" xfId="0" applyNumberFormat="1" applyFont="1" applyFill="1" applyAlignment="1">
      <alignment horizontal="center" vertical="center"/>
    </xf>
    <xf numFmtId="164" fontId="2" fillId="5" borderId="0" xfId="0" applyNumberFormat="1" applyFont="1" applyFill="1" applyAlignment="1">
      <alignment horizontal="center" vertical="center"/>
    </xf>
    <xf numFmtId="2" fontId="2" fillId="9" borderId="0" xfId="0" applyNumberFormat="1" applyFont="1" applyFill="1" applyAlignment="1">
      <alignment horizontal="center" vertical="center"/>
    </xf>
    <xf numFmtId="164" fontId="2" fillId="9" borderId="0" xfId="0" applyNumberFormat="1" applyFont="1" applyFill="1" applyAlignment="1">
      <alignment horizontal="center" vertical="center"/>
    </xf>
    <xf numFmtId="165" fontId="2" fillId="8" borderId="0" xfId="0" applyNumberFormat="1" applyFont="1" applyFill="1" applyAlignment="1">
      <alignment horizontal="center" vertical="center"/>
    </xf>
    <xf numFmtId="165" fontId="2" fillId="9" borderId="0" xfId="0" applyNumberFormat="1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18" fillId="3" borderId="0" xfId="0" applyFont="1" applyFill="1" applyAlignment="1">
      <alignment horizontal="center" vertical="center"/>
    </xf>
    <xf numFmtId="177" fontId="2" fillId="0" borderId="0" xfId="6" applyNumberFormat="1" applyFont="1" applyAlignment="1">
      <alignment horizontal="center" vertical="center"/>
    </xf>
    <xf numFmtId="179" fontId="2" fillId="0" borderId="0" xfId="0" applyNumberFormat="1" applyFont="1" applyAlignment="1">
      <alignment horizontal="center" vertical="center"/>
    </xf>
    <xf numFmtId="3" fontId="2" fillId="0" borderId="0" xfId="0" applyNumberFormat="1" applyFont="1" applyAlignment="1">
      <alignment horizontal="center" vertical="center"/>
    </xf>
    <xf numFmtId="178" fontId="2" fillId="11" borderId="0" xfId="0" applyNumberFormat="1" applyFont="1" applyFill="1" applyAlignment="1">
      <alignment horizontal="center" vertical="center"/>
    </xf>
    <xf numFmtId="11" fontId="2" fillId="11" borderId="0" xfId="0" applyNumberFormat="1" applyFont="1" applyFill="1" applyAlignment="1">
      <alignment horizontal="center" vertical="center"/>
    </xf>
    <xf numFmtId="0" fontId="2" fillId="13" borderId="0" xfId="0" applyFont="1" applyFill="1" applyAlignment="1">
      <alignment horizontal="center" vertical="center"/>
    </xf>
    <xf numFmtId="170" fontId="2" fillId="13" borderId="0" xfId="0" applyNumberFormat="1" applyFont="1" applyFill="1" applyAlignment="1">
      <alignment horizontal="center" vertical="center"/>
    </xf>
    <xf numFmtId="177" fontId="2" fillId="13" borderId="0" xfId="6" applyNumberFormat="1" applyFont="1" applyFill="1" applyAlignment="1">
      <alignment horizontal="center" vertical="center"/>
    </xf>
    <xf numFmtId="177" fontId="2" fillId="13" borderId="0" xfId="0" applyNumberFormat="1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18" fillId="3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174" fontId="8" fillId="0" borderId="0" xfId="6" applyNumberFormat="1" applyFont="1" applyAlignment="1">
      <alignment horizontal="center"/>
    </xf>
    <xf numFmtId="0" fontId="2" fillId="0" borderId="0" xfId="0" applyFont="1" applyAlignment="1">
      <alignment horizontal="left" vertical="center"/>
    </xf>
    <xf numFmtId="176" fontId="2" fillId="0" borderId="0" xfId="6" applyNumberFormat="1" applyFont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171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2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67" fontId="5" fillId="2" borderId="0" xfId="6" applyNumberFormat="1" applyFont="1" applyFill="1" applyAlignment="1">
      <alignment horizontal="center" vertical="center"/>
    </xf>
    <xf numFmtId="172" fontId="5" fillId="2" borderId="0" xfId="6" applyNumberFormat="1" applyFont="1" applyFill="1" applyAlignment="1">
      <alignment horizontal="center" vertical="center"/>
    </xf>
    <xf numFmtId="167" fontId="14" fillId="2" borderId="0" xfId="4" applyNumberFormat="1" applyFont="1" applyFill="1" applyAlignment="1">
      <alignment horizontal="center" vertical="center"/>
    </xf>
    <xf numFmtId="167" fontId="14" fillId="2" borderId="0" xfId="2" applyNumberFormat="1" applyFont="1" applyFill="1" applyBorder="1" applyAlignment="1">
      <alignment horizontal="center" vertical="center"/>
    </xf>
    <xf numFmtId="2" fontId="5" fillId="2" borderId="0" xfId="2" applyNumberFormat="1" applyFont="1" applyFill="1" applyAlignment="1">
      <alignment horizontal="center" vertical="center"/>
    </xf>
    <xf numFmtId="10" fontId="5" fillId="2" borderId="0" xfId="6" applyNumberFormat="1" applyFont="1" applyFill="1" applyAlignment="1">
      <alignment horizontal="center" vertical="center"/>
    </xf>
    <xf numFmtId="165" fontId="2" fillId="2" borderId="0" xfId="2" applyNumberFormat="1" applyFont="1" applyFill="1" applyAlignment="1">
      <alignment horizontal="center" vertical="center"/>
    </xf>
    <xf numFmtId="165" fontId="5" fillId="2" borderId="0" xfId="2" applyNumberFormat="1" applyFont="1" applyFill="1" applyAlignment="1">
      <alignment horizontal="center" vertical="center"/>
    </xf>
    <xf numFmtId="167" fontId="5" fillId="7" borderId="0" xfId="6" applyNumberFormat="1" applyFont="1" applyFill="1" applyAlignment="1">
      <alignment horizontal="center" vertical="center"/>
    </xf>
    <xf numFmtId="172" fontId="5" fillId="7" borderId="0" xfId="6" applyNumberFormat="1" applyFont="1" applyFill="1" applyAlignment="1">
      <alignment horizontal="center" vertical="center"/>
    </xf>
    <xf numFmtId="2" fontId="5" fillId="7" borderId="0" xfId="2" applyNumberFormat="1" applyFont="1" applyFill="1" applyAlignment="1">
      <alignment horizontal="center" vertical="center"/>
    </xf>
    <xf numFmtId="0" fontId="5" fillId="7" borderId="0" xfId="2" applyFont="1" applyFill="1" applyAlignment="1">
      <alignment horizontal="center" vertical="center"/>
    </xf>
    <xf numFmtId="167" fontId="14" fillId="7" borderId="0" xfId="4" applyNumberFormat="1" applyFont="1" applyFill="1" applyAlignment="1">
      <alignment horizontal="center" vertical="center"/>
    </xf>
    <xf numFmtId="167" fontId="14" fillId="7" borderId="0" xfId="2" applyNumberFormat="1" applyFont="1" applyFill="1" applyBorder="1" applyAlignment="1">
      <alignment horizontal="center" vertical="center"/>
    </xf>
    <xf numFmtId="165" fontId="5" fillId="7" borderId="0" xfId="2" applyNumberFormat="1" applyFont="1" applyFill="1" applyAlignment="1">
      <alignment horizontal="center" vertical="center"/>
    </xf>
    <xf numFmtId="166" fontId="2" fillId="2" borderId="0" xfId="0" applyNumberFormat="1" applyFont="1" applyFill="1" applyAlignment="1">
      <alignment horizontal="center" vertical="center"/>
    </xf>
    <xf numFmtId="167" fontId="2" fillId="2" borderId="0" xfId="0" applyNumberFormat="1" applyFont="1" applyFill="1" applyAlignment="1">
      <alignment horizontal="center" vertical="center"/>
    </xf>
    <xf numFmtId="166" fontId="2" fillId="9" borderId="0" xfId="0" applyNumberFormat="1" applyFont="1" applyFill="1" applyAlignment="1">
      <alignment horizontal="center" vertical="center"/>
    </xf>
    <xf numFmtId="0" fontId="5" fillId="9" borderId="0" xfId="2" applyFont="1" applyFill="1" applyAlignment="1">
      <alignment horizontal="center" vertical="center"/>
    </xf>
    <xf numFmtId="1" fontId="2" fillId="9" borderId="0" xfId="0" applyNumberFormat="1" applyFont="1" applyFill="1" applyAlignment="1">
      <alignment horizontal="center" vertical="center"/>
    </xf>
    <xf numFmtId="167" fontId="2" fillId="9" borderId="0" xfId="0" applyNumberFormat="1" applyFont="1" applyFill="1" applyAlignment="1">
      <alignment horizontal="center" vertical="center"/>
    </xf>
    <xf numFmtId="166" fontId="2" fillId="8" borderId="0" xfId="0" applyNumberFormat="1" applyFont="1" applyFill="1" applyAlignment="1">
      <alignment horizontal="center" vertical="center"/>
    </xf>
    <xf numFmtId="1" fontId="2" fillId="8" borderId="0" xfId="0" applyNumberFormat="1" applyFont="1" applyFill="1" applyAlignment="1">
      <alignment horizontal="center" vertical="center"/>
    </xf>
    <xf numFmtId="167" fontId="2" fillId="8" borderId="0" xfId="0" applyNumberFormat="1" applyFont="1" applyFill="1" applyAlignment="1">
      <alignment horizontal="center" vertical="center"/>
    </xf>
    <xf numFmtId="2" fontId="2" fillId="7" borderId="0" xfId="2" applyNumberFormat="1" applyFont="1" applyFill="1" applyAlignment="1">
      <alignment horizontal="center" vertical="center"/>
    </xf>
    <xf numFmtId="2" fontId="2" fillId="5" borderId="0" xfId="0" applyNumberFormat="1" applyFont="1" applyFill="1" applyAlignment="1">
      <alignment horizontal="center" vertical="center"/>
    </xf>
    <xf numFmtId="166" fontId="2" fillId="5" borderId="0" xfId="0" applyNumberFormat="1" applyFont="1" applyFill="1" applyAlignment="1">
      <alignment horizontal="center" vertical="center"/>
    </xf>
    <xf numFmtId="167" fontId="2" fillId="5" borderId="0" xfId="0" applyNumberFormat="1" applyFont="1" applyFill="1" applyAlignment="1">
      <alignment horizontal="center" vertical="center"/>
    </xf>
    <xf numFmtId="165" fontId="2" fillId="5" borderId="0" xfId="0" applyNumberFormat="1" applyFont="1" applyFill="1" applyAlignment="1">
      <alignment horizontal="center" vertical="center"/>
    </xf>
    <xf numFmtId="2" fontId="11" fillId="0" borderId="0" xfId="2" applyNumberFormat="1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70" fontId="5" fillId="0" borderId="0" xfId="2" applyNumberFormat="1" applyFont="1" applyFill="1" applyAlignment="1">
      <alignment horizontal="center" vertical="center"/>
    </xf>
    <xf numFmtId="171" fontId="2" fillId="0" borderId="0" xfId="0" applyNumberFormat="1" applyFont="1" applyFill="1" applyAlignment="1">
      <alignment horizontal="center" vertical="center"/>
    </xf>
    <xf numFmtId="164" fontId="5" fillId="0" borderId="0" xfId="2" applyNumberFormat="1" applyFont="1" applyFill="1" applyAlignment="1">
      <alignment horizontal="center" vertical="center"/>
    </xf>
    <xf numFmtId="164" fontId="14" fillId="0" borderId="0" xfId="2" applyNumberFormat="1" applyFont="1" applyFill="1" applyAlignment="1">
      <alignment horizontal="center" vertical="center"/>
    </xf>
    <xf numFmtId="171" fontId="2" fillId="0" borderId="0" xfId="2" applyNumberFormat="1" applyFont="1" applyFill="1" applyAlignment="1">
      <alignment horizontal="center" vertical="center"/>
    </xf>
    <xf numFmtId="2" fontId="14" fillId="0" borderId="0" xfId="2" applyNumberFormat="1" applyFont="1" applyFill="1" applyBorder="1" applyAlignment="1">
      <alignment horizontal="center" vertical="center"/>
    </xf>
    <xf numFmtId="171" fontId="2" fillId="0" borderId="0" xfId="4" applyNumberFormat="1" applyFont="1" applyFill="1" applyAlignment="1">
      <alignment horizontal="center" vertical="center"/>
    </xf>
    <xf numFmtId="1" fontId="14" fillId="0" borderId="0" xfId="4" applyNumberFormat="1" applyFont="1" applyFill="1" applyBorder="1" applyAlignment="1">
      <alignment horizontal="center" vertical="center"/>
    </xf>
    <xf numFmtId="2" fontId="14" fillId="0" borderId="0" xfId="4" applyNumberFormat="1" applyFont="1" applyFill="1" applyBorder="1" applyAlignment="1">
      <alignment horizontal="center" vertical="center"/>
    </xf>
    <xf numFmtId="173" fontId="2" fillId="0" borderId="0" xfId="4" applyNumberFormat="1" applyFont="1" applyFill="1" applyAlignment="1">
      <alignment horizontal="center" vertical="center"/>
    </xf>
    <xf numFmtId="173" fontId="2" fillId="0" borderId="0" xfId="2" applyNumberFormat="1" applyFont="1" applyFill="1" applyAlignment="1">
      <alignment horizontal="center" vertical="center"/>
    </xf>
    <xf numFmtId="1" fontId="5" fillId="0" borderId="0" xfId="2" applyNumberFormat="1" applyFont="1" applyFill="1" applyAlignment="1">
      <alignment horizontal="center" vertical="center"/>
    </xf>
    <xf numFmtId="172" fontId="2" fillId="0" borderId="0" xfId="4" applyNumberFormat="1" applyFont="1" applyFill="1" applyAlignment="1">
      <alignment horizontal="center" vertical="center"/>
    </xf>
    <xf numFmtId="172" fontId="5" fillId="0" borderId="0" xfId="4" applyNumberFormat="1" applyFont="1" applyFill="1" applyAlignment="1">
      <alignment horizontal="center" vertical="center"/>
    </xf>
    <xf numFmtId="170" fontId="2" fillId="0" borderId="0" xfId="2" applyNumberFormat="1" applyFont="1" applyFill="1" applyAlignment="1">
      <alignment horizontal="center" vertical="center"/>
    </xf>
    <xf numFmtId="0" fontId="14" fillId="12" borderId="0" xfId="2" applyFont="1" applyFill="1" applyAlignment="1">
      <alignment horizontal="left" vertical="center"/>
    </xf>
    <xf numFmtId="2" fontId="5" fillId="10" borderId="1" xfId="2" applyNumberFormat="1" applyFont="1" applyFill="1" applyBorder="1" applyAlignment="1">
      <alignment horizontal="center" vertical="center"/>
    </xf>
    <xf numFmtId="2" fontId="2" fillId="10" borderId="1" xfId="0" applyNumberFormat="1" applyFont="1" applyFill="1" applyBorder="1" applyAlignment="1">
      <alignment horizontal="center" vertical="center"/>
    </xf>
    <xf numFmtId="0" fontId="5" fillId="10" borderId="1" xfId="2" applyFont="1" applyFill="1" applyBorder="1" applyAlignment="1">
      <alignment horizontal="center" vertical="center"/>
    </xf>
    <xf numFmtId="164" fontId="14" fillId="10" borderId="1" xfId="2" applyNumberFormat="1" applyFont="1" applyFill="1" applyBorder="1" applyAlignment="1">
      <alignment horizontal="center" vertical="center"/>
    </xf>
    <xf numFmtId="49" fontId="5" fillId="10" borderId="1" xfId="6" applyNumberFormat="1" applyFont="1" applyFill="1" applyBorder="1" applyAlignment="1">
      <alignment horizontal="center" vertical="center"/>
    </xf>
    <xf numFmtId="164" fontId="5" fillId="10" borderId="1" xfId="2" applyNumberFormat="1" applyFont="1" applyFill="1" applyBorder="1" applyAlignment="1">
      <alignment horizontal="center" vertical="center"/>
    </xf>
    <xf numFmtId="167" fontId="14" fillId="10" borderId="1" xfId="4" applyNumberFormat="1" applyFont="1" applyFill="1" applyBorder="1" applyAlignment="1">
      <alignment horizontal="center" vertical="center"/>
    </xf>
    <xf numFmtId="167" fontId="14" fillId="10" borderId="1" xfId="2" applyNumberFormat="1" applyFont="1" applyFill="1" applyBorder="1" applyAlignment="1">
      <alignment horizontal="center" vertical="center"/>
    </xf>
    <xf numFmtId="2" fontId="2" fillId="10" borderId="1" xfId="2" applyNumberFormat="1" applyFont="1" applyFill="1" applyBorder="1" applyAlignment="1">
      <alignment horizontal="center" vertical="center"/>
    </xf>
    <xf numFmtId="165" fontId="2" fillId="10" borderId="1" xfId="0" applyNumberFormat="1" applyFont="1" applyFill="1" applyBorder="1" applyAlignment="1">
      <alignment horizontal="center" vertical="center"/>
    </xf>
    <xf numFmtId="166" fontId="2" fillId="10" borderId="1" xfId="0" applyNumberFormat="1" applyFont="1" applyFill="1" applyBorder="1" applyAlignment="1">
      <alignment horizontal="center" vertical="center"/>
    </xf>
    <xf numFmtId="164" fontId="2" fillId="10" borderId="1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1" fillId="10" borderId="1" xfId="0" applyFont="1" applyFill="1" applyBorder="1" applyAlignment="1">
      <alignment horizontal="center" vertical="center"/>
    </xf>
    <xf numFmtId="0" fontId="13" fillId="10" borderId="1" xfId="0" applyFont="1" applyFill="1" applyBorder="1" applyAlignment="1">
      <alignment horizontal="center" vertical="center"/>
    </xf>
    <xf numFmtId="164" fontId="11" fillId="10" borderId="1" xfId="2" applyNumberFormat="1" applyFont="1" applyFill="1" applyBorder="1" applyAlignment="1">
      <alignment horizontal="center" vertical="center"/>
    </xf>
    <xf numFmtId="0" fontId="11" fillId="10" borderId="1" xfId="2" applyFont="1" applyFill="1" applyBorder="1" applyAlignment="1">
      <alignment horizontal="center" vertical="center"/>
    </xf>
    <xf numFmtId="2" fontId="11" fillId="10" borderId="1" xfId="2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2" fontId="5" fillId="2" borderId="1" xfId="2" applyNumberFormat="1" applyFont="1" applyFill="1" applyBorder="1" applyAlignment="1">
      <alignment horizontal="center" vertical="center"/>
    </xf>
    <xf numFmtId="2" fontId="2" fillId="2" borderId="1" xfId="0" applyNumberFormat="1" applyFont="1" applyFill="1" applyBorder="1" applyAlignment="1">
      <alignment horizontal="center" vertical="center"/>
    </xf>
    <xf numFmtId="0" fontId="5" fillId="2" borderId="1" xfId="2" applyFont="1" applyFill="1" applyBorder="1" applyAlignment="1">
      <alignment horizontal="center" vertical="center"/>
    </xf>
    <xf numFmtId="164" fontId="14" fillId="2" borderId="1" xfId="2" applyNumberFormat="1" applyFont="1" applyFill="1" applyBorder="1" applyAlignment="1">
      <alignment horizontal="center" vertical="center"/>
    </xf>
    <xf numFmtId="49" fontId="5" fillId="2" borderId="1" xfId="6" applyNumberFormat="1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11" fillId="2" borderId="1" xfId="2" applyFont="1" applyFill="1" applyBorder="1" applyAlignment="1">
      <alignment horizontal="center" vertical="center"/>
    </xf>
    <xf numFmtId="167" fontId="14" fillId="2" borderId="1" xfId="4" applyNumberFormat="1" applyFont="1" applyFill="1" applyBorder="1" applyAlignment="1">
      <alignment horizontal="center" vertical="center"/>
    </xf>
    <xf numFmtId="167" fontId="14" fillId="2" borderId="1" xfId="2" applyNumberFormat="1" applyFont="1" applyFill="1" applyBorder="1" applyAlignment="1">
      <alignment horizontal="center" vertical="center"/>
    </xf>
    <xf numFmtId="2" fontId="2" fillId="2" borderId="1" xfId="2" applyNumberFormat="1" applyFont="1" applyFill="1" applyBorder="1" applyAlignment="1">
      <alignment horizontal="center" vertical="center"/>
    </xf>
    <xf numFmtId="164" fontId="5" fillId="2" borderId="1" xfId="2" applyNumberFormat="1" applyFont="1" applyFill="1" applyBorder="1" applyAlignment="1">
      <alignment horizontal="center" vertical="center"/>
    </xf>
    <xf numFmtId="2" fontId="11" fillId="2" borderId="1" xfId="2" applyNumberFormat="1" applyFont="1" applyFill="1" applyBorder="1" applyAlignment="1">
      <alignment horizontal="center" vertical="center"/>
    </xf>
    <xf numFmtId="165" fontId="2" fillId="2" borderId="1" xfId="0" applyNumberFormat="1" applyFont="1" applyFill="1" applyBorder="1" applyAlignment="1">
      <alignment horizontal="center" vertical="center"/>
    </xf>
    <xf numFmtId="166" fontId="2" fillId="2" borderId="1" xfId="0" applyNumberFormat="1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0" fontId="21" fillId="2" borderId="1" xfId="0" applyFont="1" applyFill="1" applyBorder="1" applyAlignment="1">
      <alignment horizontal="center" vertical="center"/>
    </xf>
    <xf numFmtId="165" fontId="11" fillId="2" borderId="1" xfId="2" applyNumberFormat="1" applyFont="1" applyFill="1" applyBorder="1" applyAlignment="1">
      <alignment horizontal="center" vertical="center"/>
    </xf>
    <xf numFmtId="2" fontId="5" fillId="8" borderId="1" xfId="2" applyNumberFormat="1" applyFont="1" applyFill="1" applyBorder="1" applyAlignment="1">
      <alignment horizontal="center" vertical="center"/>
    </xf>
    <xf numFmtId="2" fontId="2" fillId="8" borderId="1" xfId="0" applyNumberFormat="1" applyFont="1" applyFill="1" applyBorder="1" applyAlignment="1">
      <alignment horizontal="center" vertical="center"/>
    </xf>
    <xf numFmtId="0" fontId="5" fillId="8" borderId="1" xfId="2" applyFont="1" applyFill="1" applyBorder="1" applyAlignment="1">
      <alignment horizontal="center" vertical="center"/>
    </xf>
    <xf numFmtId="164" fontId="14" fillId="8" borderId="1" xfId="2" applyNumberFormat="1" applyFont="1" applyFill="1" applyBorder="1" applyAlignment="1">
      <alignment horizontal="center" vertical="center"/>
    </xf>
    <xf numFmtId="49" fontId="5" fillId="8" borderId="1" xfId="6" applyNumberFormat="1" applyFont="1" applyFill="1" applyBorder="1" applyAlignment="1">
      <alignment horizontal="center" vertical="center"/>
    </xf>
    <xf numFmtId="0" fontId="13" fillId="8" borderId="1" xfId="0" applyFont="1" applyFill="1" applyBorder="1" applyAlignment="1">
      <alignment horizontal="center" vertical="center"/>
    </xf>
    <xf numFmtId="0" fontId="11" fillId="8" borderId="1" xfId="2" applyFont="1" applyFill="1" applyBorder="1" applyAlignment="1">
      <alignment horizontal="center" vertical="center"/>
    </xf>
    <xf numFmtId="167" fontId="14" fillId="8" borderId="1" xfId="4" applyNumberFormat="1" applyFont="1" applyFill="1" applyBorder="1" applyAlignment="1">
      <alignment horizontal="center" vertical="center"/>
    </xf>
    <xf numFmtId="167" fontId="14" fillId="8" borderId="1" xfId="2" applyNumberFormat="1" applyFont="1" applyFill="1" applyBorder="1" applyAlignment="1">
      <alignment horizontal="center" vertical="center"/>
    </xf>
    <xf numFmtId="2" fontId="2" fillId="8" borderId="1" xfId="2" applyNumberFormat="1" applyFont="1" applyFill="1" applyBorder="1" applyAlignment="1">
      <alignment horizontal="center" vertical="center"/>
    </xf>
    <xf numFmtId="164" fontId="5" fillId="8" borderId="1" xfId="2" applyNumberFormat="1" applyFont="1" applyFill="1" applyBorder="1" applyAlignment="1">
      <alignment horizontal="center" vertical="center"/>
    </xf>
    <xf numFmtId="2" fontId="11" fillId="8" borderId="1" xfId="2" applyNumberFormat="1" applyFont="1" applyFill="1" applyBorder="1" applyAlignment="1">
      <alignment horizontal="center" vertical="center"/>
    </xf>
    <xf numFmtId="165" fontId="13" fillId="8" borderId="1" xfId="0" applyNumberFormat="1" applyFont="1" applyFill="1" applyBorder="1" applyAlignment="1">
      <alignment horizontal="center" vertical="center"/>
    </xf>
    <xf numFmtId="165" fontId="2" fillId="8" borderId="1" xfId="0" applyNumberFormat="1" applyFont="1" applyFill="1" applyBorder="1" applyAlignment="1">
      <alignment horizontal="center" vertical="center"/>
    </xf>
    <xf numFmtId="166" fontId="2" fillId="8" borderId="1" xfId="0" applyNumberFormat="1" applyFont="1" applyFill="1" applyBorder="1" applyAlignment="1">
      <alignment horizontal="center" vertical="center"/>
    </xf>
    <xf numFmtId="164" fontId="2" fillId="8" borderId="1" xfId="0" applyNumberFormat="1" applyFont="1" applyFill="1" applyBorder="1" applyAlignment="1">
      <alignment horizontal="center" vertical="center"/>
    </xf>
    <xf numFmtId="0" fontId="21" fillId="8" borderId="1" xfId="0" applyFont="1" applyFill="1" applyBorder="1" applyAlignment="1">
      <alignment horizontal="center" vertical="center"/>
    </xf>
    <xf numFmtId="0" fontId="22" fillId="8" borderId="1" xfId="0" applyFont="1" applyFill="1" applyBorder="1" applyAlignment="1">
      <alignment horizontal="center" vertical="center"/>
    </xf>
    <xf numFmtId="0" fontId="22" fillId="2" borderId="1" xfId="0" applyFont="1" applyFill="1" applyBorder="1" applyAlignment="1">
      <alignment horizontal="center" vertical="center"/>
    </xf>
    <xf numFmtId="165" fontId="22" fillId="10" borderId="1" xfId="0" applyNumberFormat="1" applyFont="1" applyFill="1" applyBorder="1" applyAlignment="1">
      <alignment horizontal="center" vertical="center"/>
    </xf>
    <xf numFmtId="167" fontId="5" fillId="0" borderId="0" xfId="6" applyNumberFormat="1" applyFont="1" applyFill="1" applyAlignment="1">
      <alignment horizontal="center" vertical="center"/>
    </xf>
    <xf numFmtId="1" fontId="2" fillId="2" borderId="1" xfId="0" applyNumberFormat="1" applyFont="1" applyFill="1" applyBorder="1" applyAlignment="1">
      <alignment horizontal="center" vertical="center"/>
    </xf>
    <xf numFmtId="9" fontId="2" fillId="8" borderId="1" xfId="6" applyNumberFormat="1" applyFont="1" applyFill="1" applyBorder="1" applyAlignment="1">
      <alignment horizontal="center" vertical="center"/>
    </xf>
    <xf numFmtId="1" fontId="2" fillId="8" borderId="1" xfId="0" applyNumberFormat="1" applyFont="1" applyFill="1" applyBorder="1" applyAlignment="1">
      <alignment horizontal="center" vertical="center"/>
    </xf>
    <xf numFmtId="1" fontId="2" fillId="14" borderId="1" xfId="0" applyNumberFormat="1" applyFont="1" applyFill="1" applyBorder="1" applyAlignment="1">
      <alignment horizontal="center" vertical="center"/>
    </xf>
    <xf numFmtId="165" fontId="2" fillId="14" borderId="1" xfId="0" applyNumberFormat="1" applyFont="1" applyFill="1" applyBorder="1" applyAlignment="1">
      <alignment horizontal="center" vertical="center"/>
    </xf>
    <xf numFmtId="9" fontId="2" fillId="14" borderId="1" xfId="6" applyNumberFormat="1" applyFont="1" applyFill="1" applyBorder="1" applyAlignment="1">
      <alignment horizontal="center" vertical="center"/>
    </xf>
    <xf numFmtId="1" fontId="2" fillId="14" borderId="1" xfId="6" applyNumberFormat="1" applyFont="1" applyFill="1" applyBorder="1" applyAlignment="1">
      <alignment horizontal="center" vertical="center"/>
    </xf>
    <xf numFmtId="166" fontId="2" fillId="14" borderId="1" xfId="0" applyNumberFormat="1" applyFont="1" applyFill="1" applyBorder="1" applyAlignment="1">
      <alignment horizontal="center" vertical="center"/>
    </xf>
    <xf numFmtId="2" fontId="2" fillId="14" borderId="1" xfId="0" applyNumberFormat="1" applyFont="1" applyFill="1" applyBorder="1" applyAlignment="1">
      <alignment horizontal="center" vertical="center"/>
    </xf>
    <xf numFmtId="172" fontId="2" fillId="14" borderId="1" xfId="6" applyNumberFormat="1" applyFont="1" applyFill="1" applyBorder="1" applyAlignment="1">
      <alignment horizontal="center" vertical="center"/>
    </xf>
    <xf numFmtId="165" fontId="2" fillId="14" borderId="1" xfId="6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2" fontId="5" fillId="5" borderId="1" xfId="2" applyNumberFormat="1" applyFont="1" applyFill="1" applyBorder="1" applyAlignment="1">
      <alignment horizontal="center" vertical="center"/>
    </xf>
    <xf numFmtId="2" fontId="2" fillId="5" borderId="1" xfId="0" applyNumberFormat="1" applyFont="1" applyFill="1" applyBorder="1" applyAlignment="1">
      <alignment horizontal="center" vertical="center"/>
    </xf>
    <xf numFmtId="0" fontId="5" fillId="5" borderId="1" xfId="2" applyFont="1" applyFill="1" applyBorder="1" applyAlignment="1">
      <alignment horizontal="center" vertical="center"/>
    </xf>
    <xf numFmtId="164" fontId="14" fillId="5" borderId="1" xfId="2" applyNumberFormat="1" applyFont="1" applyFill="1" applyBorder="1" applyAlignment="1">
      <alignment horizontal="center" vertical="center"/>
    </xf>
    <xf numFmtId="49" fontId="5" fillId="5" borderId="1" xfId="6" applyNumberFormat="1" applyFont="1" applyFill="1" applyBorder="1" applyAlignment="1">
      <alignment horizontal="center" vertical="center"/>
    </xf>
    <xf numFmtId="0" fontId="13" fillId="5" borderId="1" xfId="0" applyFont="1" applyFill="1" applyBorder="1" applyAlignment="1">
      <alignment horizontal="center" vertical="center"/>
    </xf>
    <xf numFmtId="2" fontId="11" fillId="5" borderId="1" xfId="2" applyNumberFormat="1" applyFont="1" applyFill="1" applyBorder="1" applyAlignment="1">
      <alignment horizontal="center" vertical="center"/>
    </xf>
    <xf numFmtId="0" fontId="11" fillId="5" borderId="1" xfId="2" applyFont="1" applyFill="1" applyBorder="1" applyAlignment="1">
      <alignment horizontal="center" vertical="center"/>
    </xf>
    <xf numFmtId="167" fontId="14" fillId="5" borderId="1" xfId="4" applyNumberFormat="1" applyFont="1" applyFill="1" applyBorder="1" applyAlignment="1">
      <alignment horizontal="center" vertical="center"/>
    </xf>
    <xf numFmtId="167" fontId="14" fillId="5" borderId="1" xfId="2" applyNumberFormat="1" applyFont="1" applyFill="1" applyBorder="1" applyAlignment="1">
      <alignment horizontal="center" vertical="center"/>
    </xf>
    <xf numFmtId="2" fontId="2" fillId="5" borderId="1" xfId="2" applyNumberFormat="1" applyFont="1" applyFill="1" applyBorder="1" applyAlignment="1">
      <alignment horizontal="center" vertical="center"/>
    </xf>
    <xf numFmtId="164" fontId="5" fillId="5" borderId="1" xfId="2" applyNumberFormat="1" applyFont="1" applyFill="1" applyBorder="1" applyAlignment="1">
      <alignment horizontal="center" vertical="center"/>
    </xf>
    <xf numFmtId="0" fontId="22" fillId="5" borderId="1" xfId="0" applyFont="1" applyFill="1" applyBorder="1" applyAlignment="1">
      <alignment horizontal="center" vertical="center"/>
    </xf>
    <xf numFmtId="165" fontId="2" fillId="5" borderId="1" xfId="0" applyNumberFormat="1" applyFont="1" applyFill="1" applyBorder="1" applyAlignment="1">
      <alignment horizontal="center" vertical="center"/>
    </xf>
    <xf numFmtId="2" fontId="13" fillId="5" borderId="1" xfId="0" applyNumberFormat="1" applyFont="1" applyFill="1" applyBorder="1" applyAlignment="1">
      <alignment horizontal="center" vertical="center"/>
    </xf>
    <xf numFmtId="166" fontId="2" fillId="5" borderId="1" xfId="0" applyNumberFormat="1" applyFont="1" applyFill="1" applyBorder="1" applyAlignment="1">
      <alignment horizontal="center" vertical="center"/>
    </xf>
    <xf numFmtId="164" fontId="2" fillId="5" borderId="1" xfId="0" applyNumberFormat="1" applyFont="1" applyFill="1" applyBorder="1" applyAlignment="1">
      <alignment horizontal="center" vertical="center"/>
    </xf>
    <xf numFmtId="0" fontId="21" fillId="5" borderId="1" xfId="0" applyFont="1" applyFill="1" applyBorder="1" applyAlignment="1">
      <alignment horizontal="center" vertical="center"/>
    </xf>
    <xf numFmtId="172" fontId="2" fillId="5" borderId="1" xfId="0" applyNumberFormat="1" applyFont="1" applyFill="1" applyBorder="1" applyAlignment="1">
      <alignment horizontal="center" vertical="center"/>
    </xf>
    <xf numFmtId="166" fontId="2" fillId="0" borderId="1" xfId="0" applyNumberFormat="1" applyFont="1" applyFill="1" applyBorder="1" applyAlignment="1">
      <alignment horizontal="center" vertical="center"/>
    </xf>
    <xf numFmtId="165" fontId="2" fillId="0" borderId="1" xfId="0" applyNumberFormat="1" applyFont="1" applyFill="1" applyBorder="1" applyAlignment="1">
      <alignment horizontal="center" vertical="center"/>
    </xf>
    <xf numFmtId="2" fontId="2" fillId="0" borderId="1" xfId="0" applyNumberFormat="1" applyFont="1" applyFill="1" applyBorder="1" applyAlignment="1">
      <alignment horizontal="center" vertical="center"/>
    </xf>
    <xf numFmtId="172" fontId="2" fillId="0" borderId="1" xfId="6" applyNumberFormat="1" applyFont="1" applyFill="1" applyBorder="1" applyAlignment="1">
      <alignment horizontal="center" vertical="center"/>
    </xf>
    <xf numFmtId="165" fontId="2" fillId="0" borderId="1" xfId="6" applyNumberFormat="1" applyFont="1" applyFill="1" applyBorder="1" applyAlignment="1">
      <alignment horizontal="center" vertical="center"/>
    </xf>
    <xf numFmtId="169" fontId="13" fillId="5" borderId="1" xfId="0" applyNumberFormat="1" applyFont="1" applyFill="1" applyBorder="1" applyAlignment="1">
      <alignment horizontal="center" vertical="center"/>
    </xf>
    <xf numFmtId="10" fontId="2" fillId="0" borderId="1" xfId="6" applyNumberFormat="1" applyFont="1" applyFill="1" applyBorder="1" applyAlignment="1">
      <alignment horizontal="center" vertical="center"/>
    </xf>
    <xf numFmtId="2" fontId="2" fillId="0" borderId="1" xfId="6" applyNumberFormat="1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2" fontId="5" fillId="9" borderId="1" xfId="2" applyNumberFormat="1" applyFont="1" applyFill="1" applyBorder="1" applyAlignment="1">
      <alignment horizontal="center" vertical="center"/>
    </xf>
    <xf numFmtId="2" fontId="2" fillId="9" borderId="1" xfId="0" applyNumberFormat="1" applyFont="1" applyFill="1" applyBorder="1" applyAlignment="1">
      <alignment horizontal="center" vertical="center"/>
    </xf>
    <xf numFmtId="0" fontId="5" fillId="9" borderId="1" xfId="2" applyFont="1" applyFill="1" applyBorder="1" applyAlignment="1">
      <alignment horizontal="center" vertical="center"/>
    </xf>
    <xf numFmtId="164" fontId="14" fillId="9" borderId="1" xfId="2" applyNumberFormat="1" applyFont="1" applyFill="1" applyBorder="1" applyAlignment="1">
      <alignment horizontal="center" vertical="center"/>
    </xf>
    <xf numFmtId="49" fontId="5" fillId="9" borderId="1" xfId="6" applyNumberFormat="1" applyFont="1" applyFill="1" applyBorder="1" applyAlignment="1">
      <alignment horizontal="center" vertical="center"/>
    </xf>
    <xf numFmtId="0" fontId="13" fillId="9" borderId="1" xfId="0" applyFont="1" applyFill="1" applyBorder="1" applyAlignment="1">
      <alignment horizontal="center" vertical="center"/>
    </xf>
    <xf numFmtId="2" fontId="11" fillId="9" borderId="1" xfId="2" applyNumberFormat="1" applyFont="1" applyFill="1" applyBorder="1" applyAlignment="1">
      <alignment horizontal="center" vertical="center"/>
    </xf>
    <xf numFmtId="167" fontId="14" fillId="9" borderId="1" xfId="4" applyNumberFormat="1" applyFont="1" applyFill="1" applyBorder="1" applyAlignment="1">
      <alignment horizontal="center" vertical="center"/>
    </xf>
    <xf numFmtId="167" fontId="14" fillId="9" borderId="1" xfId="2" applyNumberFormat="1" applyFont="1" applyFill="1" applyBorder="1" applyAlignment="1">
      <alignment horizontal="center" vertical="center"/>
    </xf>
    <xf numFmtId="2" fontId="2" fillId="9" borderId="1" xfId="2" applyNumberFormat="1" applyFont="1" applyFill="1" applyBorder="1" applyAlignment="1">
      <alignment horizontal="center" vertical="center"/>
    </xf>
    <xf numFmtId="164" fontId="5" fillId="9" borderId="1" xfId="2" applyNumberFormat="1" applyFont="1" applyFill="1" applyBorder="1" applyAlignment="1">
      <alignment horizontal="center" vertical="center"/>
    </xf>
    <xf numFmtId="0" fontId="22" fillId="9" borderId="1" xfId="0" applyFont="1" applyFill="1" applyBorder="1" applyAlignment="1">
      <alignment horizontal="center" vertical="center"/>
    </xf>
    <xf numFmtId="165" fontId="2" fillId="9" borderId="1" xfId="0" applyNumberFormat="1" applyFont="1" applyFill="1" applyBorder="1" applyAlignment="1">
      <alignment horizontal="center" vertical="center"/>
    </xf>
    <xf numFmtId="2" fontId="13" fillId="9" borderId="1" xfId="0" applyNumberFormat="1" applyFont="1" applyFill="1" applyBorder="1" applyAlignment="1">
      <alignment horizontal="center" vertical="center"/>
    </xf>
    <xf numFmtId="166" fontId="2" fillId="9" borderId="1" xfId="0" applyNumberFormat="1" applyFont="1" applyFill="1" applyBorder="1" applyAlignment="1">
      <alignment horizontal="center" vertical="center"/>
    </xf>
    <xf numFmtId="164" fontId="2" fillId="9" borderId="1" xfId="0" applyNumberFormat="1" applyFont="1" applyFill="1" applyBorder="1" applyAlignment="1">
      <alignment horizontal="center" vertical="center"/>
    </xf>
    <xf numFmtId="0" fontId="21" fillId="9" borderId="1" xfId="0" applyFont="1" applyFill="1" applyBorder="1" applyAlignment="1">
      <alignment horizontal="center" vertical="center"/>
    </xf>
    <xf numFmtId="10" fontId="2" fillId="9" borderId="1" xfId="0" applyNumberFormat="1" applyFont="1" applyFill="1" applyBorder="1" applyAlignment="1">
      <alignment horizontal="center" vertical="center"/>
    </xf>
    <xf numFmtId="164" fontId="11" fillId="9" borderId="1" xfId="2" applyNumberFormat="1" applyFont="1" applyFill="1" applyBorder="1" applyAlignment="1">
      <alignment horizontal="center" vertical="center"/>
    </xf>
    <xf numFmtId="164" fontId="2" fillId="9" borderId="1" xfId="2" applyNumberFormat="1" applyFont="1" applyFill="1" applyBorder="1" applyAlignment="1">
      <alignment horizontal="center" vertical="center"/>
    </xf>
    <xf numFmtId="164" fontId="13" fillId="9" borderId="1" xfId="0" applyNumberFormat="1" applyFont="1" applyFill="1" applyBorder="1" applyAlignment="1">
      <alignment horizontal="center" vertical="center"/>
    </xf>
    <xf numFmtId="164" fontId="2" fillId="10" borderId="1" xfId="2" applyNumberFormat="1" applyFont="1" applyFill="1" applyBorder="1" applyAlignment="1">
      <alignment horizontal="center" vertical="center"/>
    </xf>
    <xf numFmtId="0" fontId="22" fillId="10" borderId="1" xfId="0" applyFont="1" applyFill="1" applyBorder="1" applyAlignment="1">
      <alignment horizontal="center" vertical="center"/>
    </xf>
    <xf numFmtId="164" fontId="13" fillId="10" borderId="1" xfId="0" applyNumberFormat="1" applyFont="1" applyFill="1" applyBorder="1" applyAlignment="1">
      <alignment horizontal="center" vertical="center"/>
    </xf>
    <xf numFmtId="2" fontId="13" fillId="10" borderId="1" xfId="0" applyNumberFormat="1" applyFont="1" applyFill="1" applyBorder="1" applyAlignment="1">
      <alignment horizontal="center" vertical="center"/>
    </xf>
    <xf numFmtId="1" fontId="2" fillId="10" borderId="0" xfId="0" applyNumberFormat="1" applyFont="1" applyFill="1" applyAlignment="1">
      <alignment horizontal="center" vertical="center"/>
    </xf>
    <xf numFmtId="166" fontId="2" fillId="10" borderId="0" xfId="0" applyNumberFormat="1" applyFont="1" applyFill="1" applyAlignment="1">
      <alignment horizontal="center" vertical="center"/>
    </xf>
    <xf numFmtId="0" fontId="5" fillId="10" borderId="0" xfId="2" applyFont="1" applyFill="1" applyAlignment="1">
      <alignment horizontal="center" vertical="center"/>
    </xf>
    <xf numFmtId="167" fontId="2" fillId="10" borderId="0" xfId="0" applyNumberFormat="1" applyFont="1" applyFill="1" applyAlignment="1">
      <alignment horizontal="center" vertical="center"/>
    </xf>
    <xf numFmtId="165" fontId="2" fillId="10" borderId="0" xfId="0" applyNumberFormat="1" applyFont="1" applyFill="1" applyAlignment="1">
      <alignment horizontal="center" vertical="center"/>
    </xf>
    <xf numFmtId="164" fontId="11" fillId="2" borderId="1" xfId="2" applyNumberFormat="1" applyFont="1" applyFill="1" applyBorder="1" applyAlignment="1">
      <alignment horizontal="center" vertical="center"/>
    </xf>
    <xf numFmtId="164" fontId="2" fillId="2" borderId="1" xfId="2" applyNumberFormat="1" applyFont="1" applyFill="1" applyBorder="1" applyAlignment="1">
      <alignment horizontal="center" vertical="center"/>
    </xf>
    <xf numFmtId="164" fontId="13" fillId="2" borderId="1" xfId="0" applyNumberFormat="1" applyFont="1" applyFill="1" applyBorder="1" applyAlignment="1">
      <alignment horizontal="center" vertical="center"/>
    </xf>
    <xf numFmtId="10" fontId="2" fillId="2" borderId="1" xfId="0" applyNumberFormat="1" applyFont="1" applyFill="1" applyBorder="1" applyAlignment="1">
      <alignment horizontal="center" vertical="center"/>
    </xf>
    <xf numFmtId="164" fontId="23" fillId="2" borderId="1" xfId="2" applyNumberFormat="1" applyFont="1" applyFill="1" applyBorder="1" applyAlignment="1">
      <alignment horizontal="center" vertical="center"/>
    </xf>
    <xf numFmtId="1" fontId="13" fillId="8" borderId="1" xfId="0" applyNumberFormat="1" applyFont="1" applyFill="1" applyBorder="1" applyAlignment="1">
      <alignment horizontal="center" vertical="center"/>
    </xf>
    <xf numFmtId="2" fontId="13" fillId="8" borderId="1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2" fillId="0" borderId="0" xfId="0" applyNumberFormat="1" applyFont="1" applyFill="1" applyBorder="1" applyAlignment="1">
      <alignment horizontal="center" vertical="center"/>
    </xf>
    <xf numFmtId="164" fontId="11" fillId="5" borderId="1" xfId="2" applyNumberFormat="1" applyFont="1" applyFill="1" applyBorder="1" applyAlignment="1">
      <alignment horizontal="center" vertical="center"/>
    </xf>
    <xf numFmtId="165" fontId="22" fillId="5" borderId="1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2" fillId="5" borderId="1" xfId="2" applyNumberFormat="1" applyFont="1" applyFill="1" applyBorder="1" applyAlignment="1">
      <alignment horizontal="center" vertical="center"/>
    </xf>
    <xf numFmtId="164" fontId="13" fillId="5" borderId="1" xfId="0" applyNumberFormat="1" applyFont="1" applyFill="1" applyBorder="1" applyAlignment="1">
      <alignment horizontal="center" vertical="center"/>
    </xf>
    <xf numFmtId="0" fontId="2" fillId="13" borderId="1" xfId="0" applyFont="1" applyFill="1" applyBorder="1" applyAlignment="1">
      <alignment horizontal="center" vertical="center"/>
    </xf>
    <xf numFmtId="2" fontId="5" fillId="13" borderId="1" xfId="2" applyNumberFormat="1" applyFont="1" applyFill="1" applyBorder="1" applyAlignment="1">
      <alignment horizontal="center" vertical="center"/>
    </xf>
    <xf numFmtId="2" fontId="2" fillId="13" borderId="1" xfId="0" applyNumberFormat="1" applyFont="1" applyFill="1" applyBorder="1" applyAlignment="1">
      <alignment horizontal="center" vertical="center"/>
    </xf>
    <xf numFmtId="0" fontId="5" fillId="13" borderId="1" xfId="2" applyFont="1" applyFill="1" applyBorder="1" applyAlignment="1">
      <alignment horizontal="center" vertical="center"/>
    </xf>
    <xf numFmtId="164" fontId="14" fillId="13" borderId="1" xfId="2" applyNumberFormat="1" applyFont="1" applyFill="1" applyBorder="1" applyAlignment="1">
      <alignment horizontal="center" vertical="center"/>
    </xf>
    <xf numFmtId="49" fontId="5" fillId="13" borderId="1" xfId="6" applyNumberFormat="1" applyFont="1" applyFill="1" applyBorder="1" applyAlignment="1">
      <alignment horizontal="center" vertical="center"/>
    </xf>
    <xf numFmtId="0" fontId="13" fillId="13" borderId="1" xfId="0" applyFont="1" applyFill="1" applyBorder="1" applyAlignment="1">
      <alignment horizontal="center" vertical="center"/>
    </xf>
    <xf numFmtId="2" fontId="11" fillId="13" borderId="1" xfId="2" applyNumberFormat="1" applyFont="1" applyFill="1" applyBorder="1" applyAlignment="1">
      <alignment horizontal="center" vertical="center"/>
    </xf>
    <xf numFmtId="0" fontId="11" fillId="13" borderId="1" xfId="2" applyFont="1" applyFill="1" applyBorder="1" applyAlignment="1">
      <alignment horizontal="center" vertical="center"/>
    </xf>
    <xf numFmtId="167" fontId="14" fillId="13" borderId="1" xfId="4" applyNumberFormat="1" applyFont="1" applyFill="1" applyBorder="1" applyAlignment="1">
      <alignment horizontal="center" vertical="center"/>
    </xf>
    <xf numFmtId="167" fontId="14" fillId="13" borderId="1" xfId="2" applyNumberFormat="1" applyFont="1" applyFill="1" applyBorder="1" applyAlignment="1">
      <alignment horizontal="center" vertical="center"/>
    </xf>
    <xf numFmtId="164" fontId="2" fillId="13" borderId="1" xfId="2" applyNumberFormat="1" applyFont="1" applyFill="1" applyBorder="1" applyAlignment="1">
      <alignment horizontal="center" vertical="center"/>
    </xf>
    <xf numFmtId="164" fontId="5" fillId="13" borderId="1" xfId="2" applyNumberFormat="1" applyFont="1" applyFill="1" applyBorder="1" applyAlignment="1">
      <alignment horizontal="center" vertical="center"/>
    </xf>
    <xf numFmtId="164" fontId="11" fillId="13" borderId="1" xfId="2" applyNumberFormat="1" applyFont="1" applyFill="1" applyBorder="1" applyAlignment="1">
      <alignment horizontal="center" vertical="center"/>
    </xf>
    <xf numFmtId="164" fontId="2" fillId="13" borderId="1" xfId="0" applyNumberFormat="1" applyFont="1" applyFill="1" applyBorder="1" applyAlignment="1">
      <alignment horizontal="center" vertical="center"/>
    </xf>
    <xf numFmtId="2" fontId="2" fillId="13" borderId="1" xfId="2" applyNumberFormat="1" applyFont="1" applyFill="1" applyBorder="1" applyAlignment="1">
      <alignment horizontal="center" vertical="center"/>
    </xf>
    <xf numFmtId="165" fontId="2" fillId="13" borderId="1" xfId="0" applyNumberFormat="1" applyFont="1" applyFill="1" applyBorder="1" applyAlignment="1">
      <alignment horizontal="center" vertical="center"/>
    </xf>
    <xf numFmtId="166" fontId="2" fillId="13" borderId="1" xfId="0" applyNumberFormat="1" applyFont="1" applyFill="1" applyBorder="1" applyAlignment="1">
      <alignment horizontal="center" vertical="center"/>
    </xf>
    <xf numFmtId="164" fontId="13" fillId="13" borderId="1" xfId="0" applyNumberFormat="1" applyFont="1" applyFill="1" applyBorder="1" applyAlignment="1">
      <alignment horizontal="center" vertical="center"/>
    </xf>
    <xf numFmtId="0" fontId="21" fillId="13" borderId="1" xfId="0" applyFont="1" applyFill="1" applyBorder="1" applyAlignment="1">
      <alignment horizontal="center" vertical="center"/>
    </xf>
    <xf numFmtId="0" fontId="22" fillId="13" borderId="1" xfId="0" applyFont="1" applyFill="1" applyBorder="1" applyAlignment="1">
      <alignment horizontal="center" vertical="center"/>
    </xf>
    <xf numFmtId="165" fontId="13" fillId="13" borderId="1" xfId="0" applyNumberFormat="1" applyFont="1" applyFill="1" applyBorder="1" applyAlignment="1">
      <alignment horizontal="center" vertical="center"/>
    </xf>
    <xf numFmtId="170" fontId="2" fillId="13" borderId="1" xfId="2" applyNumberFormat="1" applyFont="1" applyFill="1" applyBorder="1" applyAlignment="1">
      <alignment horizontal="center" vertical="center"/>
    </xf>
    <xf numFmtId="170" fontId="2" fillId="13" borderId="1" xfId="0" applyNumberFormat="1" applyFont="1" applyFill="1" applyBorder="1" applyAlignment="1">
      <alignment horizontal="center" vertical="center"/>
    </xf>
    <xf numFmtId="169" fontId="13" fillId="13" borderId="1" xfId="0" applyNumberFormat="1" applyFon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/>
    </xf>
    <xf numFmtId="1" fontId="2" fillId="13" borderId="1" xfId="0" applyNumberFormat="1" applyFont="1" applyFill="1" applyBorder="1" applyAlignment="1">
      <alignment horizontal="center" vertical="center"/>
    </xf>
    <xf numFmtId="174" fontId="2" fillId="13" borderId="1" xfId="0" applyNumberFormat="1" applyFont="1" applyFill="1" applyBorder="1" applyAlignment="1">
      <alignment horizontal="center" vertical="center"/>
    </xf>
    <xf numFmtId="174" fontId="2" fillId="0" borderId="1" xfId="6" applyNumberFormat="1" applyFont="1" applyFill="1" applyBorder="1" applyAlignment="1">
      <alignment horizontal="center" vertical="center"/>
    </xf>
    <xf numFmtId="164" fontId="26" fillId="2" borderId="1" xfId="2" applyNumberFormat="1" applyFont="1" applyFill="1" applyBorder="1" applyAlignment="1">
      <alignment horizontal="center" vertical="center"/>
    </xf>
    <xf numFmtId="167" fontId="2" fillId="2" borderId="1" xfId="0" applyNumberFormat="1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2" fontId="5" fillId="11" borderId="1" xfId="2" applyNumberFormat="1" applyFont="1" applyFill="1" applyBorder="1" applyAlignment="1">
      <alignment horizontal="center" vertical="center"/>
    </xf>
    <xf numFmtId="2" fontId="2" fillId="11" borderId="1" xfId="0" applyNumberFormat="1" applyFont="1" applyFill="1" applyBorder="1" applyAlignment="1">
      <alignment horizontal="center" vertical="center"/>
    </xf>
    <xf numFmtId="0" fontId="5" fillId="11" borderId="1" xfId="2" applyFont="1" applyFill="1" applyBorder="1" applyAlignment="1">
      <alignment horizontal="center" vertical="center"/>
    </xf>
    <xf numFmtId="164" fontId="14" fillId="11" borderId="1" xfId="2" applyNumberFormat="1" applyFont="1" applyFill="1" applyBorder="1" applyAlignment="1">
      <alignment horizontal="center" vertical="center"/>
    </xf>
    <xf numFmtId="49" fontId="5" fillId="11" borderId="1" xfId="6" applyNumberFormat="1" applyFont="1" applyFill="1" applyBorder="1" applyAlignment="1">
      <alignment horizontal="center" vertical="center"/>
    </xf>
    <xf numFmtId="0" fontId="22" fillId="11" borderId="1" xfId="0" applyFont="1" applyFill="1" applyBorder="1" applyAlignment="1">
      <alignment horizontal="center" vertical="center"/>
    </xf>
    <xf numFmtId="0" fontId="13" fillId="11" borderId="1" xfId="0" applyFont="1" applyFill="1" applyBorder="1" applyAlignment="1">
      <alignment horizontal="center" vertical="center"/>
    </xf>
    <xf numFmtId="2" fontId="11" fillId="11" borderId="1" xfId="2" applyNumberFormat="1" applyFont="1" applyFill="1" applyBorder="1" applyAlignment="1">
      <alignment horizontal="center" vertical="center"/>
    </xf>
    <xf numFmtId="0" fontId="11" fillId="11" borderId="1" xfId="2" applyFont="1" applyFill="1" applyBorder="1" applyAlignment="1">
      <alignment horizontal="center" vertical="center"/>
    </xf>
    <xf numFmtId="167" fontId="14" fillId="11" borderId="1" xfId="4" applyNumberFormat="1" applyFont="1" applyFill="1" applyBorder="1" applyAlignment="1">
      <alignment horizontal="center" vertical="center"/>
    </xf>
    <xf numFmtId="167" fontId="14" fillId="11" borderId="1" xfId="2" applyNumberFormat="1" applyFont="1" applyFill="1" applyBorder="1" applyAlignment="1">
      <alignment horizontal="center" vertical="center"/>
    </xf>
    <xf numFmtId="2" fontId="2" fillId="11" borderId="1" xfId="2" applyNumberFormat="1" applyFont="1" applyFill="1" applyBorder="1" applyAlignment="1">
      <alignment horizontal="center" vertical="center"/>
    </xf>
    <xf numFmtId="164" fontId="5" fillId="11" borderId="1" xfId="2" applyNumberFormat="1" applyFont="1" applyFill="1" applyBorder="1" applyAlignment="1">
      <alignment horizontal="center" vertical="center"/>
    </xf>
    <xf numFmtId="165" fontId="2" fillId="11" borderId="1" xfId="0" applyNumberFormat="1" applyFont="1" applyFill="1" applyBorder="1" applyAlignment="1">
      <alignment horizontal="center" vertical="center"/>
    </xf>
    <xf numFmtId="166" fontId="2" fillId="11" borderId="1" xfId="0" applyNumberFormat="1" applyFont="1" applyFill="1" applyBorder="1" applyAlignment="1">
      <alignment horizontal="center" vertical="center"/>
    </xf>
    <xf numFmtId="164" fontId="2" fillId="11" borderId="1" xfId="0" applyNumberFormat="1" applyFont="1" applyFill="1" applyBorder="1" applyAlignment="1">
      <alignment horizontal="center" vertical="center"/>
    </xf>
    <xf numFmtId="1" fontId="2" fillId="11" borderId="1" xfId="0" applyNumberFormat="1" applyFont="1" applyFill="1" applyBorder="1" applyAlignment="1">
      <alignment horizontal="center" vertical="center"/>
    </xf>
    <xf numFmtId="0" fontId="21" fillId="11" borderId="1" xfId="0" applyFont="1" applyFill="1" applyBorder="1" applyAlignment="1">
      <alignment horizontal="center" vertical="center"/>
    </xf>
    <xf numFmtId="9" fontId="2" fillId="11" borderId="1" xfId="6" applyNumberFormat="1" applyFont="1" applyFill="1" applyBorder="1" applyAlignment="1">
      <alignment horizontal="center" vertical="center"/>
    </xf>
    <xf numFmtId="1" fontId="2" fillId="11" borderId="1" xfId="6" applyNumberFormat="1" applyFont="1" applyFill="1" applyBorder="1" applyAlignment="1">
      <alignment horizontal="center" vertical="center"/>
    </xf>
    <xf numFmtId="1" fontId="13" fillId="11" borderId="1" xfId="0" applyNumberFormat="1" applyFont="1" applyFill="1" applyBorder="1" applyAlignment="1">
      <alignment horizontal="center" vertical="center"/>
    </xf>
    <xf numFmtId="0" fontId="27" fillId="0" borderId="0" xfId="2" applyFont="1" applyFill="1" applyAlignment="1">
      <alignment horizontal="center" vertical="center"/>
    </xf>
    <xf numFmtId="0" fontId="27" fillId="0" borderId="0" xfId="2" applyFont="1" applyFill="1" applyBorder="1" applyAlignment="1">
      <alignment horizontal="center" vertical="center"/>
    </xf>
    <xf numFmtId="0" fontId="28" fillId="0" borderId="0" xfId="0" applyFont="1" applyFill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28" fillId="4" borderId="0" xfId="0" applyFont="1" applyFill="1" applyAlignment="1">
      <alignment horizontal="center" vertical="center"/>
    </xf>
    <xf numFmtId="0" fontId="28" fillId="0" borderId="0" xfId="2" applyFont="1" applyFill="1" applyBorder="1" applyAlignment="1">
      <alignment horizontal="center" vertical="center"/>
    </xf>
    <xf numFmtId="0" fontId="27" fillId="4" borderId="0" xfId="2" applyFont="1" applyFill="1" applyAlignment="1">
      <alignment horizontal="center" vertical="center"/>
    </xf>
    <xf numFmtId="0" fontId="27" fillId="12" borderId="0" xfId="2" applyFont="1" applyFill="1" applyAlignment="1">
      <alignment horizontal="center" vertical="center"/>
    </xf>
    <xf numFmtId="1" fontId="28" fillId="0" borderId="0" xfId="2" applyNumberFormat="1" applyFont="1" applyFill="1" applyBorder="1" applyAlignment="1">
      <alignment horizontal="center" vertical="center"/>
    </xf>
    <xf numFmtId="10" fontId="27" fillId="0" borderId="0" xfId="4" applyNumberFormat="1" applyFont="1" applyFill="1" applyAlignment="1">
      <alignment horizontal="center" vertical="center"/>
    </xf>
    <xf numFmtId="164" fontId="29" fillId="0" borderId="0" xfId="2" applyNumberFormat="1" applyFont="1" applyFill="1" applyBorder="1" applyAlignment="1">
      <alignment horizontal="center" vertical="center"/>
    </xf>
    <xf numFmtId="1" fontId="29" fillId="0" borderId="0" xfId="2" applyNumberFormat="1" applyFont="1" applyFill="1" applyBorder="1" applyAlignment="1">
      <alignment horizontal="center" vertical="center"/>
    </xf>
    <xf numFmtId="167" fontId="29" fillId="0" borderId="0" xfId="2" applyNumberFormat="1" applyFont="1" applyFill="1" applyBorder="1" applyAlignment="1">
      <alignment horizontal="center" vertical="center"/>
    </xf>
    <xf numFmtId="170" fontId="27" fillId="0" borderId="0" xfId="2" applyNumberFormat="1" applyFont="1" applyFill="1" applyAlignment="1">
      <alignment horizontal="center" vertical="center"/>
    </xf>
    <xf numFmtId="0" fontId="29" fillId="12" borderId="0" xfId="2" applyFont="1" applyFill="1" applyAlignment="1">
      <alignment horizontal="center" vertical="center"/>
    </xf>
    <xf numFmtId="164" fontId="27" fillId="0" borderId="0" xfId="2" applyNumberFormat="1" applyFont="1" applyFill="1" applyBorder="1" applyAlignment="1">
      <alignment horizontal="center" vertical="center"/>
    </xf>
    <xf numFmtId="175" fontId="28" fillId="0" borderId="0" xfId="2" applyNumberFormat="1" applyFont="1" applyFill="1" applyBorder="1" applyAlignment="1">
      <alignment horizontal="center" vertical="center"/>
    </xf>
    <xf numFmtId="2" fontId="27" fillId="0" borderId="0" xfId="2" applyNumberFormat="1" applyFont="1" applyFill="1" applyBorder="1" applyAlignment="1">
      <alignment horizontal="center" vertical="center"/>
    </xf>
    <xf numFmtId="2" fontId="29" fillId="0" borderId="0" xfId="2" applyNumberFormat="1" applyFont="1" applyFill="1" applyBorder="1" applyAlignment="1">
      <alignment horizontal="center" vertical="center"/>
    </xf>
    <xf numFmtId="169" fontId="27" fillId="0" borderId="0" xfId="2" applyNumberFormat="1" applyFont="1" applyFill="1" applyAlignment="1">
      <alignment horizontal="center" vertical="center"/>
    </xf>
    <xf numFmtId="0" fontId="29" fillId="0" borderId="0" xfId="2" applyFont="1" applyFill="1" applyAlignment="1">
      <alignment horizontal="center" vertical="center"/>
    </xf>
    <xf numFmtId="2" fontId="29" fillId="0" borderId="0" xfId="4" applyNumberFormat="1" applyFont="1" applyFill="1" applyBorder="1" applyAlignment="1">
      <alignment horizontal="center" vertical="center"/>
    </xf>
    <xf numFmtId="167" fontId="29" fillId="0" borderId="0" xfId="4" applyNumberFormat="1" applyFont="1" applyFill="1" applyAlignment="1">
      <alignment horizontal="center" vertical="center"/>
    </xf>
    <xf numFmtId="164" fontId="28" fillId="0" borderId="0" xfId="2" applyNumberFormat="1" applyFont="1" applyFill="1" applyAlignment="1">
      <alignment horizontal="center" vertical="center"/>
    </xf>
    <xf numFmtId="164" fontId="27" fillId="0" borderId="0" xfId="2" applyNumberFormat="1" applyFont="1" applyFill="1" applyAlignment="1">
      <alignment horizontal="center" vertical="center"/>
    </xf>
    <xf numFmtId="165" fontId="28" fillId="0" borderId="0" xfId="2" applyNumberFormat="1" applyFont="1" applyFill="1" applyAlignment="1">
      <alignment horizontal="center" vertical="center"/>
    </xf>
    <xf numFmtId="172" fontId="27" fillId="0" borderId="0" xfId="4" applyNumberFormat="1" applyFont="1" applyFill="1" applyAlignment="1">
      <alignment horizontal="center" vertical="center"/>
    </xf>
    <xf numFmtId="177" fontId="27" fillId="0" borderId="0" xfId="6" applyNumberFormat="1" applyFont="1" applyFill="1" applyAlignment="1">
      <alignment horizontal="center" vertical="center"/>
    </xf>
    <xf numFmtId="170" fontId="28" fillId="0" borderId="0" xfId="2" applyNumberFormat="1" applyFont="1" applyFill="1" applyAlignment="1">
      <alignment horizontal="center" vertical="center"/>
    </xf>
    <xf numFmtId="10" fontId="27" fillId="0" borderId="0" xfId="6" applyNumberFormat="1" applyFont="1" applyAlignment="1">
      <alignment horizontal="center" vertical="center"/>
    </xf>
    <xf numFmtId="0" fontId="27" fillId="0" borderId="0" xfId="2" applyFont="1" applyAlignment="1">
      <alignment horizontal="center" vertical="center"/>
    </xf>
    <xf numFmtId="168" fontId="29" fillId="0" borderId="0" xfId="2" applyNumberFormat="1" applyFont="1" applyFill="1" applyBorder="1" applyAlignment="1">
      <alignment horizontal="center" vertical="center"/>
    </xf>
    <xf numFmtId="2" fontId="28" fillId="0" borderId="0" xfId="2" applyNumberFormat="1" applyFont="1" applyFill="1" applyAlignment="1">
      <alignment horizontal="center" vertical="center"/>
    </xf>
    <xf numFmtId="164" fontId="30" fillId="0" borderId="0" xfId="0" applyNumberFormat="1" applyFont="1" applyFill="1" applyAlignment="1">
      <alignment horizontal="center" vertical="center"/>
    </xf>
    <xf numFmtId="0" fontId="30" fillId="0" borderId="0" xfId="0" applyFont="1" applyFill="1" applyAlignment="1">
      <alignment horizontal="center" vertical="center"/>
    </xf>
    <xf numFmtId="2" fontId="30" fillId="0" borderId="0" xfId="0" applyNumberFormat="1" applyFont="1" applyFill="1" applyAlignment="1">
      <alignment horizontal="center" vertical="center"/>
    </xf>
    <xf numFmtId="170" fontId="28" fillId="12" borderId="0" xfId="0" applyNumberFormat="1" applyFont="1" applyFill="1" applyAlignment="1">
      <alignment horizontal="center" vertical="center"/>
    </xf>
    <xf numFmtId="0" fontId="28" fillId="0" borderId="0" xfId="0" quotePrefix="1" applyFont="1" applyAlignment="1">
      <alignment horizontal="center" vertical="center"/>
    </xf>
    <xf numFmtId="0" fontId="31" fillId="0" borderId="0" xfId="5" applyFont="1" applyAlignment="1">
      <alignment horizontal="left" vertical="center"/>
    </xf>
    <xf numFmtId="0" fontId="32" fillId="0" borderId="0" xfId="2" applyFont="1" applyFill="1" applyAlignment="1">
      <alignment horizontal="center" vertical="center"/>
    </xf>
    <xf numFmtId="0" fontId="33" fillId="0" borderId="0" xfId="2" applyFont="1" applyFill="1" applyAlignment="1">
      <alignment horizontal="center" vertical="center"/>
    </xf>
    <xf numFmtId="0" fontId="32" fillId="0" borderId="0" xfId="2" applyFont="1" applyFill="1" applyBorder="1" applyAlignment="1">
      <alignment horizontal="center" vertical="center"/>
    </xf>
    <xf numFmtId="0" fontId="33" fillId="0" borderId="0" xfId="0" applyFont="1" applyFill="1" applyAlignment="1">
      <alignment horizontal="center" vertical="center"/>
    </xf>
    <xf numFmtId="164" fontId="34" fillId="0" borderId="0" xfId="2" applyNumberFormat="1" applyFont="1" applyFill="1" applyBorder="1" applyAlignment="1">
      <alignment horizontal="center" vertical="center"/>
    </xf>
    <xf numFmtId="164" fontId="35" fillId="0" borderId="0" xfId="2" applyNumberFormat="1" applyFont="1" applyFill="1" applyAlignment="1">
      <alignment horizontal="center" vertical="center"/>
    </xf>
    <xf numFmtId="171" fontId="33" fillId="0" borderId="0" xfId="0" applyNumberFormat="1" applyFont="1" applyFill="1" applyAlignment="1">
      <alignment horizontal="center" vertical="center"/>
    </xf>
    <xf numFmtId="2" fontId="35" fillId="0" borderId="0" xfId="2" applyNumberFormat="1" applyFont="1" applyFill="1" applyBorder="1" applyAlignment="1">
      <alignment horizontal="center" vertical="center"/>
    </xf>
    <xf numFmtId="0" fontId="36" fillId="0" borderId="0" xfId="0" applyFont="1" applyFill="1" applyAlignment="1">
      <alignment horizontal="left" vertical="center"/>
    </xf>
    <xf numFmtId="170" fontId="35" fillId="0" borderId="0" xfId="2" applyNumberFormat="1" applyFont="1" applyFill="1" applyAlignment="1">
      <alignment horizontal="center" vertical="center"/>
    </xf>
    <xf numFmtId="0" fontId="9" fillId="0" borderId="0" xfId="5" applyAlignment="1">
      <alignment horizontal="left" vertical="center"/>
    </xf>
    <xf numFmtId="0" fontId="2" fillId="3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18" fillId="3" borderId="0" xfId="0" applyFont="1" applyFill="1" applyAlignment="1">
      <alignment horizontal="center" vertical="center"/>
    </xf>
  </cellXfs>
  <cellStyles count="13">
    <cellStyle name="Hyperlink" xfId="5" builtinId="8"/>
    <cellStyle name="Normal" xfId="0" builtinId="0"/>
    <cellStyle name="Normal 2" xfId="10" xr:uid="{00000000-0005-0000-0000-000002000000}"/>
    <cellStyle name="Normal 3" xfId="11" xr:uid="{00000000-0005-0000-0000-000003000000}"/>
    <cellStyle name="Percent" xfId="6" builtinId="5"/>
    <cellStyle name="Percent 2" xfId="12" xr:uid="{00000000-0005-0000-0000-000005000000}"/>
    <cellStyle name="常规 2" xfId="2" xr:uid="{00000000-0005-0000-0000-000008000000}"/>
    <cellStyle name="常规 2 2" xfId="3" xr:uid="{00000000-0005-0000-0000-000009000000}"/>
    <cellStyle name="常规 2 2 2" xfId="8" xr:uid="{00000000-0005-0000-0000-00000A000000}"/>
    <cellStyle name="常规 2 3" xfId="7" xr:uid="{00000000-0005-0000-0000-00000B000000}"/>
    <cellStyle name="常规 8" xfId="1" xr:uid="{00000000-0005-0000-0000-00000C000000}"/>
    <cellStyle name="百分比 2" xfId="4" xr:uid="{00000000-0005-0000-0000-000006000000}"/>
    <cellStyle name="百分比 3" xfId="9" xr:uid="{00000000-0005-0000-0000-000007000000}"/>
  </cellStyles>
  <dxfs count="0"/>
  <tableStyles count="0" defaultTableStyle="TableStyleMedium2" defaultPivotStyle="PivotStyleLight16"/>
  <colors>
    <mruColors>
      <color rgb="FF0000FF"/>
      <color rgb="FFFFE5E5"/>
      <color rgb="FFCCFF99"/>
      <color rgb="FFFFCCFF"/>
      <color rgb="FFCCFFFF"/>
      <color rgb="FFCCFFCC"/>
      <color rgb="FFCC99FF"/>
      <color rgb="FF66FFFF"/>
      <color rgb="FFFFCCCC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'source00-22'!$I$4</c:f>
              <c:strCache>
                <c:ptCount val="1"/>
                <c:pt idx="0">
                  <c:v>upstream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'source00-22'!$I$6:$I$17</c:f>
              <c:numCache>
                <c:formatCode>0</c:formatCode>
                <c:ptCount val="12"/>
                <c:pt idx="0">
                  <c:v>121.7817</c:v>
                </c:pt>
                <c:pt idx="1">
                  <c:v>244.69739999999999</c:v>
                </c:pt>
                <c:pt idx="2">
                  <c:v>344.27850000000001</c:v>
                </c:pt>
                <c:pt idx="3">
                  <c:v>411.11649999999997</c:v>
                </c:pt>
                <c:pt idx="4">
                  <c:v>443.96499999999997</c:v>
                </c:pt>
                <c:pt idx="5">
                  <c:v>778.90449999999998</c:v>
                </c:pt>
                <c:pt idx="6">
                  <c:v>867.38</c:v>
                </c:pt>
                <c:pt idx="7">
                  <c:v>964.072</c:v>
                </c:pt>
                <c:pt idx="8">
                  <c:v>1112.076</c:v>
                </c:pt>
                <c:pt idx="9">
                  <c:v>1212.9480000000001</c:v>
                </c:pt>
                <c:pt idx="10">
                  <c:v>1299.1420000000001</c:v>
                </c:pt>
                <c:pt idx="11">
                  <c:v>1408.0129999999999</c:v>
                </c:pt>
              </c:numCache>
            </c:numRef>
          </c:xVal>
          <c:yVal>
            <c:numRef>
              <c:f>'source00-22'!$E$22:$E$33</c:f>
              <c:numCache>
                <c:formatCode>0.000</c:formatCode>
                <c:ptCount val="12"/>
                <c:pt idx="0">
                  <c:v>24.136696056825471</c:v>
                </c:pt>
                <c:pt idx="1">
                  <c:v>24.876435462124782</c:v>
                </c:pt>
                <c:pt idx="2">
                  <c:v>26.084284982311669</c:v>
                </c:pt>
                <c:pt idx="3">
                  <c:v>25.638937167654927</c:v>
                </c:pt>
                <c:pt idx="4">
                  <c:v>26.804911478568279</c:v>
                </c:pt>
                <c:pt idx="5">
                  <c:v>27.828472543407706</c:v>
                </c:pt>
                <c:pt idx="6">
                  <c:v>27.251266983897224</c:v>
                </c:pt>
                <c:pt idx="7">
                  <c:v>28.757776841126276</c:v>
                </c:pt>
                <c:pt idx="8">
                  <c:v>29.315222545993429</c:v>
                </c:pt>
                <c:pt idx="9">
                  <c:v>28.383594989508637</c:v>
                </c:pt>
                <c:pt idx="10">
                  <c:v>28.850922335372527</c:v>
                </c:pt>
                <c:pt idx="11">
                  <c:v>28.711056340648334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EA-471E-9C09-C40B9A03E9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9415960"/>
        <c:axId val="1139408416"/>
      </c:scatterChart>
      <c:valAx>
        <c:axId val="1139415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9408416"/>
        <c:crosses val="autoZero"/>
        <c:crossBetween val="midCat"/>
      </c:valAx>
      <c:valAx>
        <c:axId val="113940841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9415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source0028!$I$4</c:f>
              <c:strCache>
                <c:ptCount val="1"/>
                <c:pt idx="0">
                  <c:v>upstream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source0028!$I$6:$I$17</c:f>
              <c:numCache>
                <c:formatCode>0</c:formatCode>
                <c:ptCount val="12"/>
                <c:pt idx="0">
                  <c:v>121.7817</c:v>
                </c:pt>
                <c:pt idx="1">
                  <c:v>244.69739999999999</c:v>
                </c:pt>
                <c:pt idx="2">
                  <c:v>344.27850000000001</c:v>
                </c:pt>
                <c:pt idx="3">
                  <c:v>411.11649999999997</c:v>
                </c:pt>
                <c:pt idx="4">
                  <c:v>443.96499999999997</c:v>
                </c:pt>
                <c:pt idx="5">
                  <c:v>778.90449999999998</c:v>
                </c:pt>
                <c:pt idx="6">
                  <c:v>867.38</c:v>
                </c:pt>
                <c:pt idx="7">
                  <c:v>964.072</c:v>
                </c:pt>
                <c:pt idx="8">
                  <c:v>1112.076</c:v>
                </c:pt>
                <c:pt idx="9">
                  <c:v>1212.9480000000001</c:v>
                </c:pt>
                <c:pt idx="10">
                  <c:v>1299.1420000000001</c:v>
                </c:pt>
                <c:pt idx="11">
                  <c:v>1408.0129999999999</c:v>
                </c:pt>
              </c:numCache>
            </c:numRef>
          </c:xVal>
          <c:yVal>
            <c:numRef>
              <c:f>source0028!$E$22:$E$33</c:f>
              <c:numCache>
                <c:formatCode>0.000</c:formatCode>
                <c:ptCount val="12"/>
                <c:pt idx="0">
                  <c:v>18.687424119256111</c:v>
                </c:pt>
                <c:pt idx="1">
                  <c:v>18.9481188275862</c:v>
                </c:pt>
                <c:pt idx="2">
                  <c:v>20.223262664464684</c:v>
                </c:pt>
                <c:pt idx="3">
                  <c:v>19.118725063578029</c:v>
                </c:pt>
                <c:pt idx="4">
                  <c:v>20.671759248773057</c:v>
                </c:pt>
                <c:pt idx="5">
                  <c:v>21.655126188788064</c:v>
                </c:pt>
                <c:pt idx="6">
                  <c:v>21.44773008205221</c:v>
                </c:pt>
                <c:pt idx="7">
                  <c:v>21.796748255908913</c:v>
                </c:pt>
                <c:pt idx="8">
                  <c:v>22.218536149255158</c:v>
                </c:pt>
                <c:pt idx="9">
                  <c:v>21.363271268969108</c:v>
                </c:pt>
                <c:pt idx="10">
                  <c:v>21.053095173818331</c:v>
                </c:pt>
                <c:pt idx="11">
                  <c:v>22.770696125741818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52-4127-84A5-4B961C4C91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9415960"/>
        <c:axId val="1139408416"/>
      </c:scatterChart>
      <c:valAx>
        <c:axId val="1139415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9408416"/>
        <c:crosses val="autoZero"/>
        <c:crossBetween val="midCat"/>
      </c:valAx>
      <c:valAx>
        <c:axId val="113940841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9415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source003!$I$4</c:f>
              <c:strCache>
                <c:ptCount val="1"/>
                <c:pt idx="0">
                  <c:v>center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source003!$I$6:$I$17</c:f>
              <c:numCache>
                <c:formatCode>0</c:formatCode>
                <c:ptCount val="12"/>
                <c:pt idx="0">
                  <c:v>121.7817</c:v>
                </c:pt>
                <c:pt idx="1">
                  <c:v>244.69739999999999</c:v>
                </c:pt>
                <c:pt idx="2">
                  <c:v>344.27850000000001</c:v>
                </c:pt>
                <c:pt idx="3">
                  <c:v>411.11649999999997</c:v>
                </c:pt>
                <c:pt idx="4">
                  <c:v>443.96499999999997</c:v>
                </c:pt>
                <c:pt idx="5">
                  <c:v>778.90449999999998</c:v>
                </c:pt>
                <c:pt idx="6">
                  <c:v>867.38</c:v>
                </c:pt>
                <c:pt idx="7">
                  <c:v>964.072</c:v>
                </c:pt>
                <c:pt idx="8">
                  <c:v>1112.076</c:v>
                </c:pt>
                <c:pt idx="9">
                  <c:v>1212.9480000000001</c:v>
                </c:pt>
                <c:pt idx="10">
                  <c:v>1299.1420000000001</c:v>
                </c:pt>
                <c:pt idx="11">
                  <c:v>1408.0129999999999</c:v>
                </c:pt>
              </c:numCache>
            </c:numRef>
          </c:xVal>
          <c:yVal>
            <c:numRef>
              <c:f>source003!$E$22:$E$33</c:f>
              <c:numCache>
                <c:formatCode>0.000</c:formatCode>
                <c:ptCount val="12"/>
                <c:pt idx="0">
                  <c:v>11.760319566920089</c:v>
                </c:pt>
                <c:pt idx="1">
                  <c:v>10.161151737158018</c:v>
                </c:pt>
                <c:pt idx="2">
                  <c:v>10.295518272441006</c:v>
                </c:pt>
                <c:pt idx="3">
                  <c:v>10.042803400732835</c:v>
                </c:pt>
                <c:pt idx="4">
                  <c:v>10.678702385694184</c:v>
                </c:pt>
                <c:pt idx="5">
                  <c:v>10.470645320669799</c:v>
                </c:pt>
                <c:pt idx="6">
                  <c:v>10.359973055323838</c:v>
                </c:pt>
                <c:pt idx="7">
                  <c:v>10.504535819526131</c:v>
                </c:pt>
                <c:pt idx="8">
                  <c:v>11.010178530955717</c:v>
                </c:pt>
                <c:pt idx="9">
                  <c:v>10.158737479147657</c:v>
                </c:pt>
                <c:pt idx="10">
                  <c:v>9.8224657746385517</c:v>
                </c:pt>
                <c:pt idx="11">
                  <c:v>10.718343505473308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2D-47DE-9AA1-91E4EB4624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9415960"/>
        <c:axId val="1139408416"/>
      </c:scatterChart>
      <c:valAx>
        <c:axId val="1139415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9408416"/>
        <c:crosses val="autoZero"/>
        <c:crossBetween val="midCat"/>
      </c:valAx>
      <c:valAx>
        <c:axId val="113940841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9415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source000!$I$4</c:f>
              <c:strCache>
                <c:ptCount val="1"/>
                <c:pt idx="0">
                  <c:v>center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source000!$I$6:$I$17</c:f>
              <c:numCache>
                <c:formatCode>0</c:formatCode>
                <c:ptCount val="12"/>
                <c:pt idx="0">
                  <c:v>121.7817</c:v>
                </c:pt>
                <c:pt idx="1">
                  <c:v>244.69739999999999</c:v>
                </c:pt>
                <c:pt idx="2">
                  <c:v>344.27850000000001</c:v>
                </c:pt>
                <c:pt idx="3">
                  <c:v>411.11649999999997</c:v>
                </c:pt>
                <c:pt idx="4">
                  <c:v>443.96499999999997</c:v>
                </c:pt>
                <c:pt idx="5">
                  <c:v>778.90449999999998</c:v>
                </c:pt>
                <c:pt idx="6">
                  <c:v>867.38</c:v>
                </c:pt>
                <c:pt idx="7">
                  <c:v>964.072</c:v>
                </c:pt>
                <c:pt idx="8">
                  <c:v>1112.076</c:v>
                </c:pt>
                <c:pt idx="9">
                  <c:v>1212.9480000000001</c:v>
                </c:pt>
                <c:pt idx="10">
                  <c:v>1299.1420000000001</c:v>
                </c:pt>
                <c:pt idx="11">
                  <c:v>1408.0129999999999</c:v>
                </c:pt>
              </c:numCache>
            </c:numRef>
          </c:xVal>
          <c:yVal>
            <c:numRef>
              <c:f>source000!$E$22:$E$33</c:f>
              <c:numCache>
                <c:formatCode>0.000</c:formatCode>
                <c:ptCount val="12"/>
                <c:pt idx="0">
                  <c:v>12.366885112925953</c:v>
                </c:pt>
                <c:pt idx="1">
                  <c:v>10.421358148291219</c:v>
                </c:pt>
                <c:pt idx="2">
                  <c:v>10.495017349256463</c:v>
                </c:pt>
                <c:pt idx="3">
                  <c:v>10.128512383123253</c:v>
                </c:pt>
                <c:pt idx="4">
                  <c:v>10.665069966518768</c:v>
                </c:pt>
                <c:pt idx="5">
                  <c:v>10.501539388812244</c:v>
                </c:pt>
                <c:pt idx="6">
                  <c:v>10.377652668867851</c:v>
                </c:pt>
                <c:pt idx="7">
                  <c:v>10.578734017212513</c:v>
                </c:pt>
                <c:pt idx="8">
                  <c:v>10.745653616196915</c:v>
                </c:pt>
                <c:pt idx="9">
                  <c:v>10.507809979097894</c:v>
                </c:pt>
                <c:pt idx="10">
                  <c:v>9.8884219106213855</c:v>
                </c:pt>
                <c:pt idx="11">
                  <c:v>10.603160925043202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4A-4984-9A21-C9E978CA8A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9415960"/>
        <c:axId val="1139408416"/>
      </c:scatterChart>
      <c:valAx>
        <c:axId val="1139415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9408416"/>
        <c:crosses val="autoZero"/>
        <c:crossBetween val="midCat"/>
      </c:valAx>
      <c:valAx>
        <c:axId val="113940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9415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'sourceupstream noFET'!$I$4</c:f>
              <c:strCache>
                <c:ptCount val="1"/>
                <c:pt idx="0">
                  <c:v>upstream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'sourceupstream noFET'!$I$6:$I$17</c:f>
              <c:numCache>
                <c:formatCode>0</c:formatCode>
                <c:ptCount val="12"/>
                <c:pt idx="0">
                  <c:v>121.7817</c:v>
                </c:pt>
                <c:pt idx="1">
                  <c:v>244.69739999999999</c:v>
                </c:pt>
                <c:pt idx="2">
                  <c:v>344.27850000000001</c:v>
                </c:pt>
                <c:pt idx="3">
                  <c:v>411.11649999999997</c:v>
                </c:pt>
                <c:pt idx="4">
                  <c:v>443.96499999999997</c:v>
                </c:pt>
                <c:pt idx="5">
                  <c:v>778.90449999999998</c:v>
                </c:pt>
                <c:pt idx="6">
                  <c:v>867.38</c:v>
                </c:pt>
                <c:pt idx="7">
                  <c:v>964.072</c:v>
                </c:pt>
                <c:pt idx="8">
                  <c:v>1112.076</c:v>
                </c:pt>
                <c:pt idx="9">
                  <c:v>1212.9480000000001</c:v>
                </c:pt>
                <c:pt idx="10">
                  <c:v>1299.1420000000001</c:v>
                </c:pt>
                <c:pt idx="11">
                  <c:v>1408.0129999999999</c:v>
                </c:pt>
              </c:numCache>
            </c:numRef>
          </c:xVal>
          <c:yVal>
            <c:numRef>
              <c:f>'sourceupstream noFET'!$E$22:$E$33</c:f>
              <c:numCache>
                <c:formatCode>0.000</c:formatCode>
                <c:ptCount val="12"/>
                <c:pt idx="0">
                  <c:v>0.45035306784619838</c:v>
                </c:pt>
                <c:pt idx="1">
                  <c:v>0.46144904765034017</c:v>
                </c:pt>
                <c:pt idx="2">
                  <c:v>0.47523321261348472</c:v>
                </c:pt>
                <c:pt idx="3">
                  <c:v>0.45686324561426495</c:v>
                </c:pt>
                <c:pt idx="4">
                  <c:v>0.51511371582268339</c:v>
                </c:pt>
                <c:pt idx="5">
                  <c:v>0.52305324029554756</c:v>
                </c:pt>
                <c:pt idx="6">
                  <c:v>0.51004384915622325</c:v>
                </c:pt>
                <c:pt idx="7">
                  <c:v>0.52034820973513152</c:v>
                </c:pt>
                <c:pt idx="8">
                  <c:v>0.52871802357539011</c:v>
                </c:pt>
                <c:pt idx="9">
                  <c:v>0.52682547789998957</c:v>
                </c:pt>
                <c:pt idx="10">
                  <c:v>0.49945467017899342</c:v>
                </c:pt>
                <c:pt idx="11">
                  <c:v>0.53798384281747824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4B-44F3-B54A-600533CD32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9415960"/>
        <c:axId val="1139408416"/>
      </c:scatterChart>
      <c:valAx>
        <c:axId val="1139415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9408416"/>
        <c:crosses val="autoZero"/>
        <c:crossBetween val="midCat"/>
      </c:valAx>
      <c:valAx>
        <c:axId val="113940841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9415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'logft&amp;BGT'!$E$28</c:f>
              <c:strCache>
                <c:ptCount val="1"/>
                <c:pt idx="0">
                  <c:v>B(F)+(gA/gV)^2B(GT)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'logft&amp;BGT'!$A$29:$A$85</c:f>
              <c:numCache>
                <c:formatCode>General</c:formatCode>
                <c:ptCount val="57"/>
                <c:pt idx="0">
                  <c:v>2.4</c:v>
                </c:pt>
                <c:pt idx="1">
                  <c:v>2.4500000000000002</c:v>
                </c:pt>
                <c:pt idx="2">
                  <c:v>2.5</c:v>
                </c:pt>
                <c:pt idx="3">
                  <c:v>2.5499999999999998</c:v>
                </c:pt>
                <c:pt idx="4">
                  <c:v>2.6</c:v>
                </c:pt>
                <c:pt idx="5">
                  <c:v>2.65</c:v>
                </c:pt>
                <c:pt idx="6">
                  <c:v>2.7</c:v>
                </c:pt>
                <c:pt idx="7">
                  <c:v>2.75</c:v>
                </c:pt>
                <c:pt idx="8">
                  <c:v>2.8</c:v>
                </c:pt>
                <c:pt idx="9">
                  <c:v>2.85</c:v>
                </c:pt>
                <c:pt idx="10">
                  <c:v>2.9</c:v>
                </c:pt>
                <c:pt idx="11">
                  <c:v>2.95</c:v>
                </c:pt>
                <c:pt idx="12">
                  <c:v>3</c:v>
                </c:pt>
                <c:pt idx="13">
                  <c:v>3.05</c:v>
                </c:pt>
                <c:pt idx="14">
                  <c:v>3.1</c:v>
                </c:pt>
                <c:pt idx="15">
                  <c:v>3.15</c:v>
                </c:pt>
                <c:pt idx="16">
                  <c:v>3.2</c:v>
                </c:pt>
                <c:pt idx="17">
                  <c:v>3.25</c:v>
                </c:pt>
                <c:pt idx="18">
                  <c:v>3.30000000000001</c:v>
                </c:pt>
                <c:pt idx="19">
                  <c:v>3.35</c:v>
                </c:pt>
                <c:pt idx="20">
                  <c:v>3.4000000000000101</c:v>
                </c:pt>
                <c:pt idx="21">
                  <c:v>3.4500000000000099</c:v>
                </c:pt>
                <c:pt idx="22">
                  <c:v>3.5000000000000102</c:v>
                </c:pt>
                <c:pt idx="23">
                  <c:v>3.55000000000001</c:v>
                </c:pt>
                <c:pt idx="24">
                  <c:v>3.6000000000000099</c:v>
                </c:pt>
                <c:pt idx="25">
                  <c:v>3.6500000000000101</c:v>
                </c:pt>
                <c:pt idx="26">
                  <c:v>3.7000000000000099</c:v>
                </c:pt>
                <c:pt idx="27">
                  <c:v>3.7500000000000102</c:v>
                </c:pt>
                <c:pt idx="28">
                  <c:v>3.80000000000001</c:v>
                </c:pt>
                <c:pt idx="29">
                  <c:v>3.8500000000000099</c:v>
                </c:pt>
                <c:pt idx="30">
                  <c:v>3.9000000000000101</c:v>
                </c:pt>
                <c:pt idx="31">
                  <c:v>3.9500000000000099</c:v>
                </c:pt>
                <c:pt idx="32">
                  <c:v>4.0000000000000098</c:v>
                </c:pt>
                <c:pt idx="33">
                  <c:v>4.0500000000000096</c:v>
                </c:pt>
                <c:pt idx="34">
                  <c:v>4.1000000000000103</c:v>
                </c:pt>
                <c:pt idx="35">
                  <c:v>4.1500000000000101</c:v>
                </c:pt>
                <c:pt idx="36">
                  <c:v>4.2000000000000099</c:v>
                </c:pt>
                <c:pt idx="37">
                  <c:v>4.2500000000000098</c:v>
                </c:pt>
                <c:pt idx="38">
                  <c:v>4.3000000000000096</c:v>
                </c:pt>
                <c:pt idx="39">
                  <c:v>4.3500000000000103</c:v>
                </c:pt>
                <c:pt idx="40">
                  <c:v>4.4000000000000101</c:v>
                </c:pt>
                <c:pt idx="41">
                  <c:v>4.4500000000000099</c:v>
                </c:pt>
                <c:pt idx="42">
                  <c:v>4.5000000000000098</c:v>
                </c:pt>
                <c:pt idx="43">
                  <c:v>4.5500000000000096</c:v>
                </c:pt>
                <c:pt idx="44">
                  <c:v>4.6000000000000103</c:v>
                </c:pt>
                <c:pt idx="45">
                  <c:v>4.6500000000000101</c:v>
                </c:pt>
                <c:pt idx="46">
                  <c:v>4.7000000000000099</c:v>
                </c:pt>
                <c:pt idx="47">
                  <c:v>4.7500000000000098</c:v>
                </c:pt>
                <c:pt idx="48">
                  <c:v>4.8000000000000096</c:v>
                </c:pt>
                <c:pt idx="49">
                  <c:v>4.8500000000000103</c:v>
                </c:pt>
                <c:pt idx="50">
                  <c:v>4.9000000000000101</c:v>
                </c:pt>
                <c:pt idx="51">
                  <c:v>4.9500000000000099</c:v>
                </c:pt>
                <c:pt idx="52">
                  <c:v>5.0000000000000098</c:v>
                </c:pt>
                <c:pt idx="53">
                  <c:v>5.0500000000000096</c:v>
                </c:pt>
                <c:pt idx="54">
                  <c:v>5.1000000000000103</c:v>
                </c:pt>
                <c:pt idx="55">
                  <c:v>5.1500000000000101</c:v>
                </c:pt>
                <c:pt idx="56">
                  <c:v>5.2000000000000099</c:v>
                </c:pt>
              </c:numCache>
            </c:numRef>
          </c:xVal>
          <c:yVal>
            <c:numRef>
              <c:f>'logft&amp;BGT'!$E$29:$E$85</c:f>
              <c:numCache>
                <c:formatCode>0.00</c:formatCode>
                <c:ptCount val="57"/>
                <c:pt idx="0">
                  <c:v>24.461615473225521</c:v>
                </c:pt>
                <c:pt idx="1">
                  <c:v>21.801437738779185</c:v>
                </c:pt>
                <c:pt idx="2">
                  <c:v>19.430551837351384</c:v>
                </c:pt>
                <c:pt idx="3">
                  <c:v>17.317497553495802</c:v>
                </c:pt>
                <c:pt idx="4">
                  <c:v>15.434235940681969</c:v>
                </c:pt>
                <c:pt idx="5">
                  <c:v>13.755777261510385</c:v>
                </c:pt>
                <c:pt idx="6">
                  <c:v>12.259849389079971</c:v>
                </c:pt>
                <c:pt idx="7">
                  <c:v>10.926602269395955</c:v>
                </c:pt>
                <c:pt idx="8">
                  <c:v>9.7383445232134616</c:v>
                </c:pt>
                <c:pt idx="9">
                  <c:v>8.6793086921836107</c:v>
                </c:pt>
                <c:pt idx="10">
                  <c:v>7.7354420142610181</c:v>
                </c:pt>
                <c:pt idx="11">
                  <c:v>6.8942199520893199</c:v>
                </c:pt>
                <c:pt idx="12">
                  <c:v>6.1444799999999997</c:v>
                </c:pt>
                <c:pt idx="13">
                  <c:v>5.4762735643440354</c:v>
                </c:pt>
                <c:pt idx="14">
                  <c:v>4.8807339516986499</c:v>
                </c:pt>
                <c:pt idx="15">
                  <c:v>4.3499587132326472</c:v>
                </c:pt>
                <c:pt idx="16">
                  <c:v>3.8769047840116522</c:v>
                </c:pt>
                <c:pt idx="17">
                  <c:v>3.4552950258055928</c:v>
                </c:pt>
                <c:pt idx="18">
                  <c:v>3.0795349332780293</c:v>
                </c:pt>
                <c:pt idx="19">
                  <c:v>2.7446383982997471</c:v>
                </c:pt>
                <c:pt idx="20">
                  <c:v>2.4461615473224931</c:v>
                </c:pt>
                <c:pt idx="21">
                  <c:v>2.1801437738778673</c:v>
                </c:pt>
                <c:pt idx="22">
                  <c:v>1.9430551837350949</c:v>
                </c:pt>
                <c:pt idx="23">
                  <c:v>1.7317497553495382</c:v>
                </c:pt>
                <c:pt idx="24">
                  <c:v>1.5434235940681611</c:v>
                </c:pt>
                <c:pt idx="25">
                  <c:v>1.3755777261510065</c:v>
                </c:pt>
                <c:pt idx="26">
                  <c:v>1.2259849389079696</c:v>
                </c:pt>
                <c:pt idx="27">
                  <c:v>1.0926602269395691</c:v>
                </c:pt>
                <c:pt idx="28">
                  <c:v>0.97383445232132271</c:v>
                </c:pt>
                <c:pt idx="29">
                  <c:v>0.86793086921834151</c:v>
                </c:pt>
                <c:pt idx="30">
                  <c:v>0.77354420142608316</c:v>
                </c:pt>
                <c:pt idx="31">
                  <c:v>0.68942199520891589</c:v>
                </c:pt>
                <c:pt idx="32">
                  <c:v>0.61444799999998523</c:v>
                </c:pt>
                <c:pt idx="33">
                  <c:v>0.54762735643439076</c:v>
                </c:pt>
                <c:pt idx="34">
                  <c:v>0.48807339516985321</c:v>
                </c:pt>
                <c:pt idx="35">
                  <c:v>0.43499587132325418</c:v>
                </c:pt>
                <c:pt idx="36">
                  <c:v>0.38769047840115656</c:v>
                </c:pt>
                <c:pt idx="37">
                  <c:v>0.34552950258055148</c:v>
                </c:pt>
                <c:pt idx="38">
                  <c:v>0.30795349332780314</c:v>
                </c:pt>
                <c:pt idx="39">
                  <c:v>0.2744638398299683</c:v>
                </c:pt>
                <c:pt idx="40">
                  <c:v>0.24461615473224946</c:v>
                </c:pt>
                <c:pt idx="41">
                  <c:v>0.2180143773877869</c:v>
                </c:pt>
                <c:pt idx="42">
                  <c:v>0.19430551837350959</c:v>
                </c:pt>
                <c:pt idx="43">
                  <c:v>0.17317497553495423</c:v>
                </c:pt>
                <c:pt idx="44">
                  <c:v>0.15434235940681593</c:v>
                </c:pt>
                <c:pt idx="45">
                  <c:v>0.13755777261510049</c:v>
                </c:pt>
                <c:pt idx="46">
                  <c:v>0.12259849389079681</c:v>
                </c:pt>
                <c:pt idx="47">
                  <c:v>0.10926602269395698</c:v>
                </c:pt>
                <c:pt idx="48">
                  <c:v>9.738344523213234E-2</c:v>
                </c:pt>
                <c:pt idx="49">
                  <c:v>8.6793086921834059E-2</c:v>
                </c:pt>
                <c:pt idx="50">
                  <c:v>7.7354420142608363E-2</c:v>
                </c:pt>
                <c:pt idx="51">
                  <c:v>6.8942199520891631E-2</c:v>
                </c:pt>
                <c:pt idx="52">
                  <c:v>6.1444799999998564E-2</c:v>
                </c:pt>
                <c:pt idx="53">
                  <c:v>5.4762735643439114E-2</c:v>
                </c:pt>
                <c:pt idx="54">
                  <c:v>4.8807339516985349E-2</c:v>
                </c:pt>
                <c:pt idx="55">
                  <c:v>4.3499587132325448E-2</c:v>
                </c:pt>
                <c:pt idx="56">
                  <c:v>3.8769047840115679E-2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BFF-4B4F-B2D2-B5F90192FA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870840"/>
        <c:axId val="571859080"/>
      </c:scatterChart>
      <c:valAx>
        <c:axId val="571870840"/>
        <c:scaling>
          <c:orientation val="minMax"/>
          <c:max val="5"/>
          <c:min val="2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log </a:t>
                </a:r>
                <a:r>
                  <a:rPr lang="en-US" i="1"/>
                  <a:t>ft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71859080"/>
        <c:crosses val="autoZero"/>
        <c:crossBetween val="midCat"/>
      </c:valAx>
      <c:valAx>
        <c:axId val="571859080"/>
        <c:scaling>
          <c:orientation val="minMax"/>
          <c:max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i="1"/>
                  <a:t>B</a:t>
                </a:r>
                <a:r>
                  <a:rPr lang="en-US"/>
                  <a:t>(F)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71870840"/>
        <c:crosses val="autoZero"/>
        <c:crossBetween val="midCat"/>
        <c:majorUnit val="2"/>
        <c:min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600">
                <a:latin typeface="Times New Roman" panose="02020603050405020304" pitchFamily="18" charset="0"/>
                <a:cs typeface="Times New Roman" panose="02020603050405020304" pitchFamily="18" charset="0"/>
              </a:rPr>
              <a:t>log </a:t>
            </a:r>
            <a:r>
              <a:rPr lang="en-US" sz="1600" i="1">
                <a:latin typeface="Times New Roman" panose="02020603050405020304" pitchFamily="18" charset="0"/>
                <a:cs typeface="Times New Roman" panose="02020603050405020304" pitchFamily="18" charset="0"/>
              </a:rPr>
              <a:t>ft</a:t>
            </a:r>
            <a:r>
              <a:rPr lang="en-US" sz="1600" i="0">
                <a:latin typeface="Times New Roman" panose="02020603050405020304" pitchFamily="18" charset="0"/>
                <a:cs typeface="Times New Roman" panose="02020603050405020304" pitchFamily="18" charset="0"/>
              </a:rPr>
              <a:t> and </a:t>
            </a:r>
            <a:r>
              <a:rPr lang="en-US" sz="1600" i="1">
                <a:latin typeface="Times New Roman" panose="02020603050405020304" pitchFamily="18" charset="0"/>
                <a:cs typeface="Times New Roman" panose="02020603050405020304" pitchFamily="18" charset="0"/>
              </a:rPr>
              <a:t>B</a:t>
            </a:r>
            <a:r>
              <a:rPr lang="en-US" sz="1600" i="0">
                <a:latin typeface="Times New Roman" panose="02020603050405020304" pitchFamily="18" charset="0"/>
                <a:cs typeface="Times New Roman" panose="02020603050405020304" pitchFamily="18" charset="0"/>
              </a:rPr>
              <a:t>(F) </a:t>
            </a:r>
            <a:r>
              <a:rPr lang="en-US" altLang="zh-CN" sz="1600" i="0">
                <a:latin typeface="Times New Roman" panose="02020603050405020304" pitchFamily="18" charset="0"/>
                <a:cs typeface="Times New Roman" panose="02020603050405020304" pitchFamily="18" charset="0"/>
              </a:rPr>
              <a:t>vs. </a:t>
            </a:r>
            <a:r>
              <a:rPr lang="en-US" altLang="zh-CN" sz="1600" i="1">
                <a:latin typeface="Times New Roman" panose="02020603050405020304" pitchFamily="18" charset="0"/>
                <a:cs typeface="Times New Roman" panose="02020603050405020304" pitchFamily="18" charset="0"/>
              </a:rPr>
              <a:t>I</a:t>
            </a:r>
            <a:r>
              <a:rPr lang="en-US" altLang="zh-CN" sz="1600" i="1" baseline="-25000">
                <a:latin typeface="Times New Roman" panose="02020603050405020304" pitchFamily="18" charset="0"/>
                <a:cs typeface="Times New Roman" panose="02020603050405020304" pitchFamily="18" charset="0"/>
              </a:rPr>
              <a:t>β</a:t>
            </a:r>
            <a:endParaRPr lang="en-US" sz="1600" i="1" baseline="-25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mixing!$E$29</c:f>
              <c:strCache>
                <c:ptCount val="1"/>
                <c:pt idx="0">
                  <c:v>logft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mixing!$C$30:$C$36</c:f>
              <c:numCache>
                <c:formatCode>0%</c:formatCode>
                <c:ptCount val="7"/>
                <c:pt idx="0">
                  <c:v>0.08</c:v>
                </c:pt>
                <c:pt idx="1">
                  <c:v>0.09</c:v>
                </c:pt>
                <c:pt idx="2">
                  <c:v>0.1</c:v>
                </c:pt>
                <c:pt idx="3">
                  <c:v>0.11</c:v>
                </c:pt>
                <c:pt idx="4">
                  <c:v>0.12</c:v>
                </c:pt>
                <c:pt idx="5">
                  <c:v>0.13</c:v>
                </c:pt>
                <c:pt idx="6">
                  <c:v>0.14000000000000001</c:v>
                </c:pt>
              </c:numCache>
            </c:numRef>
          </c:xVal>
          <c:yVal>
            <c:numRef>
              <c:f>mixing!$E$30:$E$36</c:f>
              <c:numCache>
                <c:formatCode>General</c:formatCode>
                <c:ptCount val="7"/>
                <c:pt idx="0">
                  <c:v>3.4540000000000002</c:v>
                </c:pt>
                <c:pt idx="1">
                  <c:v>3.403</c:v>
                </c:pt>
                <c:pt idx="2">
                  <c:v>3.3570000000000002</c:v>
                </c:pt>
                <c:pt idx="3">
                  <c:v>3.3159999999999998</c:v>
                </c:pt>
                <c:pt idx="4">
                  <c:v>3.278</c:v>
                </c:pt>
                <c:pt idx="5">
                  <c:v>3.2429999999999999</c:v>
                </c:pt>
                <c:pt idx="6">
                  <c:v>3.2109999999999999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49E-4269-A2C0-DE63BCEA41C2}"/>
            </c:ext>
          </c:extLst>
        </c:ser>
        <c:ser>
          <c:idx val="1"/>
          <c:order val="1"/>
          <c:tx>
            <c:strRef>
              <c:f>mixing!$I$29</c:f>
              <c:strCache>
                <c:ptCount val="1"/>
                <c:pt idx="0">
                  <c:v>B(F)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mixing!$C$30:$C$36</c:f>
              <c:numCache>
                <c:formatCode>0%</c:formatCode>
                <c:ptCount val="7"/>
                <c:pt idx="0">
                  <c:v>0.08</c:v>
                </c:pt>
                <c:pt idx="1">
                  <c:v>0.09</c:v>
                </c:pt>
                <c:pt idx="2">
                  <c:v>0.1</c:v>
                </c:pt>
                <c:pt idx="3">
                  <c:v>0.11</c:v>
                </c:pt>
                <c:pt idx="4">
                  <c:v>0.12</c:v>
                </c:pt>
                <c:pt idx="5">
                  <c:v>0.13</c:v>
                </c:pt>
                <c:pt idx="6">
                  <c:v>0.14000000000000001</c:v>
                </c:pt>
              </c:numCache>
            </c:numRef>
          </c:xVal>
          <c:yVal>
            <c:numRef>
              <c:f>mixing!$I$30:$I$36</c:f>
              <c:numCache>
                <c:formatCode>0.00</c:formatCode>
                <c:ptCount val="7"/>
                <c:pt idx="0">
                  <c:v>2.1601560956173151</c:v>
                </c:pt>
                <c:pt idx="1">
                  <c:v>2.4293222896762088</c:v>
                </c:pt>
                <c:pt idx="2">
                  <c:v>2.7007546652254004</c:v>
                </c:pt>
                <c:pt idx="3">
                  <c:v>2.9681451479573422</c:v>
                </c:pt>
                <c:pt idx="4">
                  <c:v>3.2395533389153024</c:v>
                </c:pt>
                <c:pt idx="5">
                  <c:v>3.5114390534575515</c:v>
                </c:pt>
                <c:pt idx="6">
                  <c:v>3.7799419908283292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49E-4269-A2C0-DE63BCEA41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870448"/>
        <c:axId val="571870056"/>
      </c:scatterChart>
      <c:valAx>
        <c:axId val="571870448"/>
        <c:scaling>
          <c:orientation val="minMax"/>
          <c:max val="0.14000000000000001"/>
          <c:min val="8.0000000000000016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600" b="0" i="1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  <a:r>
                  <a:rPr lang="en-US" sz="1600" b="0" i="1" baseline="-25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β</a:t>
                </a:r>
                <a:r>
                  <a:rPr lang="en-US" sz="16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(%)</a:t>
                </a:r>
                <a:endParaRPr lang="en-US" sz="1600" i="0" baseline="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71870056"/>
        <c:crosses val="autoZero"/>
        <c:crossBetween val="midCat"/>
      </c:valAx>
      <c:valAx>
        <c:axId val="571870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6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log </a:t>
                </a:r>
                <a:r>
                  <a:rPr lang="en-US" sz="16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71870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600" i="1">
                <a:latin typeface="Times New Roman" panose="02020603050405020304" pitchFamily="18" charset="0"/>
                <a:cs typeface="Times New Roman" panose="02020603050405020304" pitchFamily="18" charset="0"/>
              </a:rPr>
              <a:t>B</a:t>
            </a:r>
            <a:r>
              <a:rPr lang="en-US" sz="1600" i="0">
                <a:latin typeface="Times New Roman" panose="02020603050405020304" pitchFamily="18" charset="0"/>
                <a:cs typeface="Times New Roman" panose="02020603050405020304" pitchFamily="18" charset="0"/>
              </a:rPr>
              <a:t>(F) vs. </a:t>
            </a:r>
            <a:r>
              <a:rPr lang="en-US" sz="1600" b="0" i="0" u="none" strike="noStrike" baseline="0">
                <a:effectLst/>
              </a:rPr>
              <a:t>log </a:t>
            </a:r>
            <a:r>
              <a:rPr lang="en-US" sz="1600" b="0" i="1" u="none" strike="noStrike" baseline="0">
                <a:effectLst/>
              </a:rPr>
              <a:t>ft</a:t>
            </a:r>
            <a:r>
              <a:rPr lang="en-US" sz="1600" b="0" i="0" u="none" strike="noStrike" baseline="0">
                <a:effectLst/>
              </a:rPr>
              <a:t> </a:t>
            </a:r>
            <a:endParaRPr lang="en-US" sz="1600" i="1" baseline="-25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mixing!$I$29</c:f>
              <c:strCache>
                <c:ptCount val="1"/>
                <c:pt idx="0">
                  <c:v>B(F)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mixing!$E$30:$E$36</c:f>
              <c:numCache>
                <c:formatCode>General</c:formatCode>
                <c:ptCount val="7"/>
                <c:pt idx="0">
                  <c:v>3.4540000000000002</c:v>
                </c:pt>
                <c:pt idx="1">
                  <c:v>3.403</c:v>
                </c:pt>
                <c:pt idx="2">
                  <c:v>3.3570000000000002</c:v>
                </c:pt>
                <c:pt idx="3">
                  <c:v>3.3159999999999998</c:v>
                </c:pt>
                <c:pt idx="4">
                  <c:v>3.278</c:v>
                </c:pt>
                <c:pt idx="5">
                  <c:v>3.2429999999999999</c:v>
                </c:pt>
                <c:pt idx="6">
                  <c:v>3.2109999999999999</c:v>
                </c:pt>
              </c:numCache>
            </c:numRef>
          </c:xVal>
          <c:yVal>
            <c:numRef>
              <c:f>mixing!$I$30:$I$36</c:f>
              <c:numCache>
                <c:formatCode>0.00</c:formatCode>
                <c:ptCount val="7"/>
                <c:pt idx="0">
                  <c:v>2.1601560956173151</c:v>
                </c:pt>
                <c:pt idx="1">
                  <c:v>2.4293222896762088</c:v>
                </c:pt>
                <c:pt idx="2">
                  <c:v>2.7007546652254004</c:v>
                </c:pt>
                <c:pt idx="3">
                  <c:v>2.9681451479573422</c:v>
                </c:pt>
                <c:pt idx="4">
                  <c:v>3.2395533389153024</c:v>
                </c:pt>
                <c:pt idx="5">
                  <c:v>3.5114390534575515</c:v>
                </c:pt>
                <c:pt idx="6">
                  <c:v>3.7799419908283292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B23-499B-BBE9-8AFDA48AB4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870840"/>
        <c:axId val="571859080"/>
      </c:scatterChart>
      <c:valAx>
        <c:axId val="571870840"/>
        <c:scaling>
          <c:orientation val="minMax"/>
          <c:min val="3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800" b="0" i="0" baseline="0">
                    <a:effectLst/>
                  </a:rPr>
                  <a:t>log </a:t>
                </a:r>
                <a:r>
                  <a:rPr lang="en-US" sz="1800" b="0" i="1" baseline="0">
                    <a:effectLst/>
                  </a:rPr>
                  <a:t>ft</a:t>
                </a:r>
                <a:endParaRPr lang="en-US" sz="16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71859080"/>
        <c:crosses val="autoZero"/>
        <c:crossBetween val="midCat"/>
      </c:valAx>
      <c:valAx>
        <c:axId val="571859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6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B</a:t>
                </a:r>
                <a:r>
                  <a:rPr lang="en-US" sz="16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(F)</a:t>
                </a:r>
                <a:endParaRPr lang="en-US" sz="1600" i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71870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image" Target="../media/image5.pn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114300</xdr:colOff>
      <xdr:row>34</xdr:row>
      <xdr:rowOff>57150</xdr:rowOff>
    </xdr:from>
    <xdr:to>
      <xdr:col>25</xdr:col>
      <xdr:colOff>158003</xdr:colOff>
      <xdr:row>51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3B3929-D166-4A18-9F9E-5D0B78C204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114300</xdr:colOff>
      <xdr:row>34</xdr:row>
      <xdr:rowOff>57150</xdr:rowOff>
    </xdr:from>
    <xdr:to>
      <xdr:col>25</xdr:col>
      <xdr:colOff>158003</xdr:colOff>
      <xdr:row>51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A710CC-0E04-42F8-A339-0AC8EF1AF2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57150</xdr:colOff>
      <xdr:row>34</xdr:row>
      <xdr:rowOff>142875</xdr:rowOff>
    </xdr:from>
    <xdr:to>
      <xdr:col>25</xdr:col>
      <xdr:colOff>100853</xdr:colOff>
      <xdr:row>52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B69659-BD25-47F1-8D10-FFE5529395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85725</xdr:colOff>
      <xdr:row>35</xdr:row>
      <xdr:rowOff>104775</xdr:rowOff>
    </xdr:from>
    <xdr:to>
      <xdr:col>25</xdr:col>
      <xdr:colOff>129428</xdr:colOff>
      <xdr:row>53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8737C27-7228-4B02-A33C-69292BF7E5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114300</xdr:colOff>
      <xdr:row>34</xdr:row>
      <xdr:rowOff>57150</xdr:rowOff>
    </xdr:from>
    <xdr:to>
      <xdr:col>25</xdr:col>
      <xdr:colOff>158003</xdr:colOff>
      <xdr:row>51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EC6E55-680D-4A3E-9FB7-14C336968C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507583</xdr:colOff>
      <xdr:row>14</xdr:row>
      <xdr:rowOff>125730</xdr:rowOff>
    </xdr:from>
    <xdr:to>
      <xdr:col>14</xdr:col>
      <xdr:colOff>510065</xdr:colOff>
      <xdr:row>16</xdr:row>
      <xdr:rowOff>185511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00000000-0008-0000-1F00-000007000000}"/>
                </a:ext>
              </a:extLst>
            </xdr:cNvPr>
            <xdr:cNvSpPr txBox="1"/>
          </xdr:nvSpPr>
          <xdr:spPr>
            <a:xfrm>
              <a:off x="6100663" y="2701290"/>
              <a:ext cx="2524702" cy="456021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type m:val="lin"/>
                        <m:ctrlPr>
                          <a:rPr lang="en-US" sz="18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800" i="1">
                            <a:latin typeface="Cambria Math" panose="02040503050406030204" pitchFamily="18" charset="0"/>
                          </a:rPr>
                          <m:t>𝐾</m:t>
                        </m:r>
                      </m:num>
                      <m:den>
                        <m:sSubSup>
                          <m:sSubSupPr>
                            <m:ctrlPr>
                              <a:rPr lang="en-US" sz="180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n-US" sz="1800" i="1">
                                <a:latin typeface="Cambria Math" panose="02040503050406030204" pitchFamily="18" charset="0"/>
                              </a:rPr>
                              <m:t>𝑔</m:t>
                            </m:r>
                          </m:e>
                          <m:sub>
                            <m:r>
                              <a:rPr lang="en-US" sz="180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𝑉</m:t>
                            </m:r>
                          </m:sub>
                          <m:sup>
                            <m:r>
                              <a:rPr lang="en-US" sz="180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sup>
                        </m:sSubSup>
                        <m:r>
                          <a:rPr lang="en-US" sz="1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=6144.5(37)</m:t>
                        </m:r>
                      </m:den>
                    </m:f>
                  </m:oMath>
                </m:oMathPara>
              </a14:m>
              <a:endParaRPr lang="en-US" sz="1800"/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00000000-0008-0000-1F00-000007000000}"/>
                </a:ext>
              </a:extLst>
            </xdr:cNvPr>
            <xdr:cNvSpPr txBox="1"/>
          </xdr:nvSpPr>
          <xdr:spPr>
            <a:xfrm>
              <a:off x="6100663" y="2701290"/>
              <a:ext cx="2524702" cy="456021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1800" i="0">
                  <a:latin typeface="Cambria Math" panose="02040503050406030204" pitchFamily="18" charset="0"/>
                </a:rPr>
                <a:t>𝐾∕〖𝑔_</a:t>
              </a:r>
              <a:r>
                <a:rPr lang="en-US" sz="18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𝑉^2</a:t>
              </a:r>
              <a:r>
                <a:rPr lang="en-US" sz="1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=6144.5(37)〗</a:t>
              </a:r>
              <a:endParaRPr lang="en-US" sz="1800"/>
            </a:p>
          </xdr:txBody>
        </xdr:sp>
      </mc:Fallback>
    </mc:AlternateContent>
    <xdr:clientData/>
  </xdr:twoCellAnchor>
  <xdr:twoCellAnchor>
    <xdr:from>
      <xdr:col>10</xdr:col>
      <xdr:colOff>249555</xdr:colOff>
      <xdr:row>17</xdr:row>
      <xdr:rowOff>144332</xdr:rowOff>
    </xdr:from>
    <xdr:to>
      <xdr:col>15</xdr:col>
      <xdr:colOff>381535</xdr:colOff>
      <xdr:row>20</xdr:row>
      <xdr:rowOff>32048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00000000-0008-0000-1F00-000008000000}"/>
                </a:ext>
              </a:extLst>
            </xdr:cNvPr>
            <xdr:cNvSpPr txBox="1"/>
          </xdr:nvSpPr>
          <xdr:spPr>
            <a:xfrm>
              <a:off x="5842635" y="3314252"/>
              <a:ext cx="3279040" cy="482076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8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sz="18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type m:val="lin"/>
                                <m:ctrlPr>
                                  <a:rPr lang="en-US" sz="180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sSub>
                                  <m:sSubPr>
                                    <m:ctrlPr>
                                      <a:rPr lang="en-US" sz="180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800" i="1">
                                        <a:latin typeface="Cambria Math" panose="02040503050406030204" pitchFamily="18" charset="0"/>
                                      </a:rPr>
                                      <m:t>𝑔</m:t>
                                    </m:r>
                                  </m:e>
                                  <m:sub>
                                    <m:r>
                                      <a:rPr lang="en-US" sz="1800" i="1">
                                        <a:latin typeface="Cambria Math" panose="02040503050406030204" pitchFamily="18" charset="0"/>
                                      </a:rPr>
                                      <m:t>𝐴</m:t>
                                    </m:r>
                                  </m:sub>
                                </m:sSub>
                              </m:num>
                              <m:den>
                                <m:sSub>
                                  <m:sSubPr>
                                    <m:ctrlPr>
                                      <a:rPr lang="en-US" sz="180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800" i="1">
                                        <a:latin typeface="Cambria Math" panose="02040503050406030204" pitchFamily="18" charset="0"/>
                                      </a:rPr>
                                      <m:t>𝑔</m:t>
                                    </m:r>
                                  </m:e>
                                  <m:sub>
                                    <m:r>
                                      <a:rPr lang="en-US" sz="1800" i="1">
                                        <a:latin typeface="Cambria Math" panose="02040503050406030204" pitchFamily="18" charset="0"/>
                                      </a:rPr>
                                      <m:t>𝑉</m:t>
                                    </m:r>
                                  </m:sub>
                                </m:sSub>
                              </m:den>
                            </m:f>
                          </m:e>
                        </m:d>
                      </m:e>
                      <m:sup>
                        <m:r>
                          <a:rPr lang="en-US" sz="180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altLang="zh-CN" sz="180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en-US" altLang="zh-CN" sz="18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zh-CN" sz="18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zh-CN" sz="1800">
                                <a:latin typeface="Cambria Math" panose="02040503050406030204" pitchFamily="18" charset="0"/>
                              </a:rPr>
                              <m:t>−1</m:t>
                            </m:r>
                            <m:r>
                              <a:rPr lang="en-US" altLang="zh-CN" sz="1800" i="1">
                                <a:latin typeface="Cambria Math" panose="02040503050406030204" pitchFamily="18" charset="0"/>
                              </a:rPr>
                              <m:t>.</m:t>
                            </m:r>
                            <m:r>
                              <a:rPr lang="en-US" altLang="zh-CN" sz="1800">
                                <a:latin typeface="Cambria Math" panose="02040503050406030204" pitchFamily="18" charset="0"/>
                              </a:rPr>
                              <m:t>2</m:t>
                            </m:r>
                            <m:r>
                              <a:rPr lang="en-US" altLang="zh-CN" sz="1800" b="0" i="1">
                                <a:latin typeface="Cambria Math" panose="02040503050406030204" pitchFamily="18" charset="0"/>
                              </a:rPr>
                              <m:t>756(13)</m:t>
                            </m:r>
                          </m:e>
                        </m:d>
                      </m:e>
                      <m:sup>
                        <m:r>
                          <a:rPr lang="en-US" altLang="zh-CN" sz="18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n-US" sz="1800"/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00000000-0008-0000-1F00-000008000000}"/>
                </a:ext>
              </a:extLst>
            </xdr:cNvPr>
            <xdr:cNvSpPr txBox="1"/>
          </xdr:nvSpPr>
          <xdr:spPr>
            <a:xfrm>
              <a:off x="5842635" y="3314252"/>
              <a:ext cx="3279040" cy="482076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1800" i="0">
                  <a:latin typeface="Cambria Math" panose="02040503050406030204" pitchFamily="18" charset="0"/>
                </a:rPr>
                <a:t>(𝑔_𝐴∕𝑔_𝑉 )^2</a:t>
              </a:r>
              <a:r>
                <a:rPr lang="en-US" altLang="zh-CN" sz="1800" i="0">
                  <a:latin typeface="Cambria Math" panose="02040503050406030204" pitchFamily="18" charset="0"/>
                </a:rPr>
                <a:t>=(−1.2</a:t>
              </a:r>
              <a:r>
                <a:rPr lang="en-US" altLang="zh-CN" sz="1800" b="0" i="0">
                  <a:latin typeface="Cambria Math" panose="02040503050406030204" pitchFamily="18" charset="0"/>
                </a:rPr>
                <a:t>756(13))^2</a:t>
              </a:r>
              <a:endParaRPr lang="en-US" sz="1800"/>
            </a:p>
          </xdr:txBody>
        </xdr:sp>
      </mc:Fallback>
    </mc:AlternateContent>
    <xdr:clientData/>
  </xdr:twoCellAnchor>
  <xdr:twoCellAnchor>
    <xdr:from>
      <xdr:col>10</xdr:col>
      <xdr:colOff>76200</xdr:colOff>
      <xdr:row>6</xdr:row>
      <xdr:rowOff>24765</xdr:rowOff>
    </xdr:from>
    <xdr:to>
      <xdr:col>15</xdr:col>
      <xdr:colOff>360860</xdr:colOff>
      <xdr:row>13</xdr:row>
      <xdr:rowOff>58570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2">
              <a:extLst>
                <a:ext uri="{FF2B5EF4-FFF2-40B4-BE49-F238E27FC236}">
                  <a16:creationId xmlns:a16="http://schemas.microsoft.com/office/drawing/2014/main" id="{00000000-0008-0000-1F00-00000A000000}"/>
                </a:ext>
              </a:extLst>
            </xdr:cNvPr>
            <xdr:cNvSpPr txBox="1"/>
          </xdr:nvSpPr>
          <xdr:spPr>
            <a:xfrm>
              <a:off x="5669280" y="1015365"/>
              <a:ext cx="3431720" cy="1420645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2000" i="1">
                        <a:latin typeface="Cambria Math" panose="02040503050406030204" pitchFamily="18" charset="0"/>
                      </a:rPr>
                      <m:t>𝑓𝑡</m:t>
                    </m:r>
                    <m:r>
                      <a:rPr lang="en-US" sz="20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20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2000" i="1">
                            <a:latin typeface="Cambria Math" panose="02040503050406030204" pitchFamily="18" charset="0"/>
                          </a:rPr>
                          <m:t>𝐾</m:t>
                        </m:r>
                      </m:num>
                      <m:den>
                        <m:sSubSup>
                          <m:sSubSupPr>
                            <m:ctrlPr>
                              <a:rPr lang="en-US" sz="200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n-US" sz="2000" i="1">
                                <a:latin typeface="Cambria Math" panose="02040503050406030204" pitchFamily="18" charset="0"/>
                              </a:rPr>
                              <m:t>𝑔</m:t>
                            </m:r>
                          </m:e>
                          <m:sub>
                            <m:r>
                              <a:rPr lang="en-US" sz="200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𝑉</m:t>
                            </m:r>
                          </m:sub>
                          <m:sup>
                            <m:r>
                              <a:rPr lang="en-US" sz="200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sup>
                        </m:sSubSup>
                        <m:sSub>
                          <m:sSubPr>
                            <m:ctrlPr>
                              <a:rPr lang="en-US" sz="20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2000" i="1">
                                <a:latin typeface="Cambria Math" panose="02040503050406030204" pitchFamily="18" charset="0"/>
                              </a:rPr>
                              <m:t>𝐵</m:t>
                            </m:r>
                          </m:e>
                          <m:sub>
                            <m:r>
                              <m:rPr>
                                <m:sty m:val="p"/>
                              </m:rPr>
                              <a:rPr lang="en-US" sz="2000">
                                <a:latin typeface="Cambria Math" panose="02040503050406030204" pitchFamily="18" charset="0"/>
                              </a:rPr>
                              <m:t>F</m:t>
                            </m:r>
                          </m:sub>
                        </m:sSub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+</m:t>
                        </m:r>
                        <m:sSubSup>
                          <m:sSubSupPr>
                            <m:ctrlPr>
                              <a:rPr lang="en-US" sz="200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n-US" sz="2000" i="1">
                                <a:latin typeface="Cambria Math" panose="02040503050406030204" pitchFamily="18" charset="0"/>
                              </a:rPr>
                              <m:t>𝑔</m:t>
                            </m:r>
                          </m:e>
                          <m:sub>
                            <m:r>
                              <a:rPr lang="en-US" sz="20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𝐴</m:t>
                            </m:r>
                          </m:sub>
                          <m:sup>
                            <m:r>
                              <a:rPr lang="en-US" sz="200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sup>
                        </m:sSubSup>
                        <m:sSub>
                          <m:sSubPr>
                            <m:ctrlPr>
                              <a:rPr lang="en-US" sz="20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2000" i="1">
                                <a:latin typeface="Cambria Math" panose="02040503050406030204" pitchFamily="18" charset="0"/>
                              </a:rPr>
                              <m:t>𝐵</m:t>
                            </m:r>
                          </m:e>
                          <m:sub>
                            <m:r>
                              <m:rPr>
                                <m:sty m:val="p"/>
                              </m:rPr>
                              <a:rPr lang="en-US" sz="2000" b="0" i="0">
                                <a:latin typeface="Cambria Math" panose="02040503050406030204" pitchFamily="18" charset="0"/>
                              </a:rPr>
                              <m:t>GT</m:t>
                            </m:r>
                          </m:sub>
                        </m:sSub>
                      </m:den>
                    </m:f>
                    <m:r>
                      <a:rPr lang="en-US" altLang="zh-CN" sz="200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20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f>
                          <m:fPr>
                            <m:type m:val="lin"/>
                            <m:ctrlPr>
                              <a:rPr lang="en-US" sz="200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2000" i="1">
                                <a:latin typeface="Cambria Math" panose="02040503050406030204" pitchFamily="18" charset="0"/>
                              </a:rPr>
                              <m:t>𝐾</m:t>
                            </m:r>
                          </m:num>
                          <m:den>
                            <m:sSubSup>
                              <m:sSubSupPr>
                                <m:ctrlPr>
                                  <a:rPr lang="en-US" sz="2000" i="1">
                                    <a:latin typeface="Cambria Math" panose="02040503050406030204" pitchFamily="18" charset="0"/>
                                  </a:rPr>
                                </m:ctrlPr>
                              </m:sSubSupPr>
                              <m:e>
                                <m:r>
                                  <a:rPr lang="en-US" sz="2000" i="1">
                                    <a:latin typeface="Cambria Math" panose="02040503050406030204" pitchFamily="18" charset="0"/>
                                  </a:rPr>
                                  <m:t>𝑔</m:t>
                                </m:r>
                              </m:e>
                              <m:sub>
                                <m:r>
                                  <a:rPr lang="en-US" sz="200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𝑉</m:t>
                                </m:r>
                              </m:sub>
                              <m:sup>
                                <m:r>
                                  <a:rPr lang="en-US" sz="200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bSup>
                          </m:den>
                        </m:f>
                      </m:num>
                      <m:den>
                        <m:sSub>
                          <m:sSubPr>
                            <m:ctrlPr>
                              <a:rPr lang="en-US" sz="20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2000" i="1">
                                <a:latin typeface="Cambria Math" panose="02040503050406030204" pitchFamily="18" charset="0"/>
                              </a:rPr>
                              <m:t>𝐵</m:t>
                            </m:r>
                          </m:e>
                          <m:sub>
                            <m:r>
                              <m:rPr>
                                <m:sty m:val="p"/>
                              </m:rPr>
                              <a:rPr lang="en-US" sz="2000">
                                <a:latin typeface="Cambria Math" panose="02040503050406030204" pitchFamily="18" charset="0"/>
                              </a:rPr>
                              <m:t>F</m:t>
                            </m:r>
                          </m:sub>
                        </m:sSub>
                        <m:r>
                          <a:rPr lang="en-US" sz="2000" i="1">
                            <a:latin typeface="Cambria Math" panose="02040503050406030204" pitchFamily="18" charset="0"/>
                          </a:rPr>
                          <m:t>+</m:t>
                        </m:r>
                        <m:sSup>
                          <m:sSupPr>
                            <m:ctrlPr>
                              <a:rPr lang="en-US" sz="20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sz="200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type m:val="lin"/>
                                    <m:ctrlPr>
                                      <a:rPr lang="en-US" sz="2000" i="1">
                                        <a:latin typeface="Cambria Math" panose="02040503050406030204" pitchFamily="18" charset="0"/>
                                      </a:rPr>
                                    </m:ctrlPr>
                                  </m:fPr>
                                  <m:num>
                                    <m:sSub>
                                      <m:sSubPr>
                                        <m:ctrlPr>
                                          <a:rPr lang="en-US" sz="200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sz="2000" i="1">
                                            <a:latin typeface="Cambria Math" panose="02040503050406030204" pitchFamily="18" charset="0"/>
                                          </a:rPr>
                                          <m:t>𝑔</m:t>
                                        </m:r>
                                      </m:e>
                                      <m:sub>
                                        <m:r>
                                          <a:rPr lang="en-US" sz="2000" i="1">
                                            <a:latin typeface="Cambria Math" panose="02040503050406030204" pitchFamily="18" charset="0"/>
                                          </a:rPr>
                                          <m:t>𝐴</m:t>
                                        </m:r>
                                      </m:sub>
                                    </m:sSub>
                                  </m:num>
                                  <m:den>
                                    <m:sSub>
                                      <m:sSubPr>
                                        <m:ctrlPr>
                                          <a:rPr lang="en-US" sz="200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sz="2000" i="1">
                                            <a:latin typeface="Cambria Math" panose="02040503050406030204" pitchFamily="18" charset="0"/>
                                          </a:rPr>
                                          <m:t>𝑔</m:t>
                                        </m:r>
                                      </m:e>
                                      <m:sub>
                                        <m:r>
                                          <a:rPr lang="en-US" sz="2000" i="1">
                                            <a:latin typeface="Cambria Math" panose="02040503050406030204" pitchFamily="18" charset="0"/>
                                          </a:rPr>
                                          <m:t>𝑉</m:t>
                                        </m:r>
                                      </m:sub>
                                    </m:sSub>
                                  </m:den>
                                </m:f>
                              </m:e>
                            </m:d>
                          </m:e>
                          <m:sup>
                            <m:r>
                              <a:rPr lang="en-US" sz="200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sSub>
                          <m:sSubPr>
                            <m:ctrlPr>
                              <a:rPr lang="en-US" sz="20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2000" i="1">
                                <a:latin typeface="Cambria Math" panose="02040503050406030204" pitchFamily="18" charset="0"/>
                              </a:rPr>
                              <m:t>𝐵</m:t>
                            </m:r>
                          </m:e>
                          <m:sub>
                            <m:r>
                              <m:rPr>
                                <m:sty m:val="p"/>
                              </m:rPr>
                              <a:rPr lang="en-US" sz="2000">
                                <a:latin typeface="Cambria Math" panose="02040503050406030204" pitchFamily="18" charset="0"/>
                              </a:rPr>
                              <m:t>GT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n-US" sz="2000"/>
            </a:p>
          </xdr:txBody>
        </xdr:sp>
      </mc:Choice>
      <mc:Fallback xmlns="">
        <xdr:sp macro="" textlink="">
          <xdr:nvSpPr>
            <xdr:cNvPr id="10" name="TextBox 2">
              <a:extLst>
                <a:ext uri="{FF2B5EF4-FFF2-40B4-BE49-F238E27FC236}">
                  <a16:creationId xmlns:a16="http://schemas.microsoft.com/office/drawing/2014/main" id="{00000000-0008-0000-1F00-00000A000000}"/>
                </a:ext>
              </a:extLst>
            </xdr:cNvPr>
            <xdr:cNvSpPr txBox="1"/>
          </xdr:nvSpPr>
          <xdr:spPr>
            <a:xfrm>
              <a:off x="5669280" y="1015365"/>
              <a:ext cx="3431720" cy="1420645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2000" i="0">
                  <a:latin typeface="Cambria Math" panose="02040503050406030204" pitchFamily="18" charset="0"/>
                </a:rPr>
                <a:t>𝑓𝑡</a:t>
              </a:r>
              <a:r>
                <a:rPr lang="en-US" sz="2000" b="0" i="0">
                  <a:latin typeface="Cambria Math" panose="02040503050406030204" pitchFamily="18" charset="0"/>
                </a:rPr>
                <a:t>=</a:t>
              </a:r>
              <a:r>
                <a:rPr lang="en-US" sz="2000" i="0">
                  <a:latin typeface="Cambria Math" panose="02040503050406030204" pitchFamily="18" charset="0"/>
                </a:rPr>
                <a:t>𝐾/(𝑔_</a:t>
              </a:r>
              <a:r>
                <a:rPr lang="en-US" sz="20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𝑉^2 </a:t>
              </a:r>
              <a:r>
                <a:rPr lang="en-US" sz="2000" i="0">
                  <a:latin typeface="Cambria Math" panose="02040503050406030204" pitchFamily="18" charset="0"/>
                </a:rPr>
                <a:t>𝐵_F</a:t>
              </a:r>
              <a:r>
                <a:rPr lang="en-US" sz="2000" b="0" i="0">
                  <a:latin typeface="Cambria Math" panose="02040503050406030204" pitchFamily="18" charset="0"/>
                </a:rPr>
                <a:t>+</a:t>
              </a:r>
              <a:r>
                <a:rPr lang="en-US" sz="2000" i="0">
                  <a:latin typeface="Cambria Math" panose="02040503050406030204" pitchFamily="18" charset="0"/>
                </a:rPr>
                <a:t>𝑔_</a:t>
              </a:r>
              <a:r>
                <a:rPr lang="en-US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𝐴^</a:t>
              </a:r>
              <a:r>
                <a:rPr lang="en-US" sz="2000" i="0">
                  <a:latin typeface="Cambria Math" panose="02040503050406030204" pitchFamily="18" charset="0"/>
                  <a:ea typeface="Cambria Math" panose="02040503050406030204" pitchFamily="18" charset="0"/>
                </a:rPr>
                <a:t>2 </a:t>
              </a:r>
              <a:r>
                <a:rPr lang="en-US" sz="2000" i="0">
                  <a:latin typeface="Cambria Math" panose="02040503050406030204" pitchFamily="18" charset="0"/>
                </a:rPr>
                <a:t>𝐵_</a:t>
              </a:r>
              <a:r>
                <a:rPr lang="en-US" sz="2000" b="0" i="0">
                  <a:latin typeface="Cambria Math" panose="02040503050406030204" pitchFamily="18" charset="0"/>
                </a:rPr>
                <a:t>GT )</a:t>
              </a:r>
              <a:r>
                <a:rPr lang="en-US" altLang="zh-CN" sz="2000" i="0">
                  <a:latin typeface="Cambria Math" panose="02040503050406030204" pitchFamily="18" charset="0"/>
                </a:rPr>
                <a:t>=</a:t>
              </a:r>
              <a:r>
                <a:rPr lang="en-US" sz="2000" i="0">
                  <a:latin typeface="Cambria Math" panose="02040503050406030204" pitchFamily="18" charset="0"/>
                </a:rPr>
                <a:t>(𝐾∕𝑔_</a:t>
              </a:r>
              <a:r>
                <a:rPr lang="en-US" sz="20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𝑉^2 )/(</a:t>
              </a:r>
              <a:r>
                <a:rPr lang="en-US" sz="2000" i="0">
                  <a:latin typeface="Cambria Math" panose="02040503050406030204" pitchFamily="18" charset="0"/>
                </a:rPr>
                <a:t>𝐵_F+(𝑔_𝐴∕𝑔_𝑉 )^2 𝐵_GT )</a:t>
              </a:r>
              <a:endParaRPr lang="en-US" sz="2000"/>
            </a:p>
          </xdr:txBody>
        </xdr:sp>
      </mc:Fallback>
    </mc:AlternateContent>
    <xdr:clientData/>
  </xdr:twoCellAnchor>
  <xdr:twoCellAnchor>
    <xdr:from>
      <xdr:col>0</xdr:col>
      <xdr:colOff>69925</xdr:colOff>
      <xdr:row>10</xdr:row>
      <xdr:rowOff>101974</xdr:rowOff>
    </xdr:from>
    <xdr:to>
      <xdr:col>8</xdr:col>
      <xdr:colOff>121025</xdr:colOff>
      <xdr:row>25</xdr:row>
      <xdr:rowOff>155090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1F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547642</xdr:colOff>
      <xdr:row>6</xdr:row>
      <xdr:rowOff>38100</xdr:rowOff>
    </xdr:from>
    <xdr:to>
      <xdr:col>23</xdr:col>
      <xdr:colOff>175260</xdr:colOff>
      <xdr:row>27</xdr:row>
      <xdr:rowOff>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27524C79-BD7C-42AA-AFE3-5E44799EF6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48742" y="1287780"/>
          <a:ext cx="5251178" cy="41224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19049</xdr:colOff>
      <xdr:row>10</xdr:row>
      <xdr:rowOff>28575</xdr:rowOff>
    </xdr:from>
    <xdr:to>
      <xdr:col>20</xdr:col>
      <xdr:colOff>682438</xdr:colOff>
      <xdr:row>27</xdr:row>
      <xdr:rowOff>115981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A8ACC7-BDB1-4024-A380-EBCA95E10A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426901</xdr:colOff>
      <xdr:row>16</xdr:row>
      <xdr:rowOff>108698</xdr:rowOff>
    </xdr:from>
    <xdr:to>
      <xdr:col>6</xdr:col>
      <xdr:colOff>276535</xdr:colOff>
      <xdr:row>18</xdr:row>
      <xdr:rowOff>153662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9BB572D5-D59E-44DC-9D02-E283BAF927C7}"/>
                </a:ext>
              </a:extLst>
            </xdr:cNvPr>
            <xdr:cNvSpPr txBox="1"/>
          </xdr:nvSpPr>
          <xdr:spPr>
            <a:xfrm>
              <a:off x="1688434" y="2868831"/>
              <a:ext cx="2186434" cy="383631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type m:val="lin"/>
                        <m:ctrlPr>
                          <a:rPr lang="en-US" sz="18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800" i="1">
                            <a:latin typeface="Cambria Math" panose="02040503050406030204" pitchFamily="18" charset="0"/>
                          </a:rPr>
                          <m:t>𝐾</m:t>
                        </m:r>
                      </m:num>
                      <m:den>
                        <m:sSubSup>
                          <m:sSubSupPr>
                            <m:ctrlPr>
                              <a:rPr lang="en-US" sz="180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n-US" sz="1800" i="1">
                                <a:latin typeface="Cambria Math" panose="02040503050406030204" pitchFamily="18" charset="0"/>
                              </a:rPr>
                              <m:t>𝑔</m:t>
                            </m:r>
                          </m:e>
                          <m:sub>
                            <m:r>
                              <a:rPr lang="en-US" sz="180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𝑉</m:t>
                            </m:r>
                          </m:sub>
                          <m:sup>
                            <m:r>
                              <a:rPr lang="en-US" sz="180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sup>
                        </m:sSubSup>
                        <m:r>
                          <a:rPr lang="en-US" sz="1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=6144.48(3.7)</m:t>
                        </m:r>
                      </m:den>
                    </m:f>
                  </m:oMath>
                </m:oMathPara>
              </a14:m>
              <a:endParaRPr lang="en-US" sz="18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9BB572D5-D59E-44DC-9D02-E283BAF927C7}"/>
                </a:ext>
              </a:extLst>
            </xdr:cNvPr>
            <xdr:cNvSpPr txBox="1"/>
          </xdr:nvSpPr>
          <xdr:spPr>
            <a:xfrm>
              <a:off x="1688434" y="2868831"/>
              <a:ext cx="2186434" cy="383631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1800" i="0">
                  <a:latin typeface="Cambria Math" panose="02040503050406030204" pitchFamily="18" charset="0"/>
                </a:rPr>
                <a:t>𝐾∕〖𝑔_</a:t>
              </a:r>
              <a:r>
                <a:rPr lang="en-US" sz="18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𝑉^2</a:t>
              </a:r>
              <a:r>
                <a:rPr lang="en-US" sz="1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=6144.48(3.7)〗</a:t>
              </a:r>
              <a:endParaRPr lang="en-US" sz="1800"/>
            </a:p>
          </xdr:txBody>
        </xdr:sp>
      </mc:Fallback>
    </mc:AlternateContent>
    <xdr:clientData/>
  </xdr:twoCellAnchor>
  <xdr:twoCellAnchor>
    <xdr:from>
      <xdr:col>2</xdr:col>
      <xdr:colOff>140634</xdr:colOff>
      <xdr:row>19</xdr:row>
      <xdr:rowOff>153296</xdr:rowOff>
    </xdr:from>
    <xdr:to>
      <xdr:col>8</xdr:col>
      <xdr:colOff>246530</xdr:colOff>
      <xdr:row>22</xdr:row>
      <xdr:rowOff>61855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DA302319-E4EB-4CF2-A1A4-5B06B5433DA7}"/>
                </a:ext>
              </a:extLst>
            </xdr:cNvPr>
            <xdr:cNvSpPr txBox="1"/>
          </xdr:nvSpPr>
          <xdr:spPr>
            <a:xfrm>
              <a:off x="812987" y="3223708"/>
              <a:ext cx="3209925" cy="379206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8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sz="18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type m:val="lin"/>
                                <m:ctrlPr>
                                  <a:rPr lang="en-US" sz="180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sSub>
                                  <m:sSubPr>
                                    <m:ctrlPr>
                                      <a:rPr lang="en-US" sz="180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800" i="1">
                                        <a:latin typeface="Cambria Math" panose="02040503050406030204" pitchFamily="18" charset="0"/>
                                      </a:rPr>
                                      <m:t>𝑔</m:t>
                                    </m:r>
                                  </m:e>
                                  <m:sub>
                                    <m:r>
                                      <a:rPr lang="en-US" sz="1800" i="1">
                                        <a:latin typeface="Cambria Math" panose="02040503050406030204" pitchFamily="18" charset="0"/>
                                      </a:rPr>
                                      <m:t>𝐴</m:t>
                                    </m:r>
                                  </m:sub>
                                </m:sSub>
                              </m:num>
                              <m:den>
                                <m:sSub>
                                  <m:sSubPr>
                                    <m:ctrlPr>
                                      <a:rPr lang="en-US" sz="180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800" i="1">
                                        <a:latin typeface="Cambria Math" panose="02040503050406030204" pitchFamily="18" charset="0"/>
                                      </a:rPr>
                                      <m:t>𝑔</m:t>
                                    </m:r>
                                  </m:e>
                                  <m:sub>
                                    <m:r>
                                      <a:rPr lang="en-US" sz="1800" i="1">
                                        <a:latin typeface="Cambria Math" panose="02040503050406030204" pitchFamily="18" charset="0"/>
                                      </a:rPr>
                                      <m:t>𝑉</m:t>
                                    </m:r>
                                  </m:sub>
                                </m:sSub>
                              </m:den>
                            </m:f>
                          </m:e>
                        </m:d>
                      </m:e>
                      <m:sup>
                        <m:r>
                          <a:rPr lang="en-US" sz="180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altLang="zh-CN" sz="180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en-US" altLang="zh-CN" sz="18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zh-CN" sz="18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zh-CN" sz="1800">
                                <a:latin typeface="Cambria Math" panose="02040503050406030204" pitchFamily="18" charset="0"/>
                              </a:rPr>
                              <m:t>−1</m:t>
                            </m:r>
                            <m:r>
                              <a:rPr lang="en-US" altLang="zh-CN" sz="1800" i="1">
                                <a:latin typeface="Cambria Math" panose="02040503050406030204" pitchFamily="18" charset="0"/>
                              </a:rPr>
                              <m:t>.</m:t>
                            </m:r>
                            <m:r>
                              <a:rPr lang="en-US" altLang="zh-CN" sz="1800">
                                <a:latin typeface="Cambria Math" panose="02040503050406030204" pitchFamily="18" charset="0"/>
                              </a:rPr>
                              <m:t>2</m:t>
                            </m:r>
                            <m:r>
                              <a:rPr lang="en-US" altLang="zh-CN" sz="1800" b="0" i="1">
                                <a:latin typeface="Cambria Math" panose="02040503050406030204" pitchFamily="18" charset="0"/>
                              </a:rPr>
                              <m:t>756(13)</m:t>
                            </m:r>
                          </m:e>
                        </m:d>
                      </m:e>
                      <m:sup>
                        <m:r>
                          <a:rPr lang="en-US" altLang="zh-CN" sz="18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n-US" sz="18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DA302319-E4EB-4CF2-A1A4-5B06B5433DA7}"/>
                </a:ext>
              </a:extLst>
            </xdr:cNvPr>
            <xdr:cNvSpPr txBox="1"/>
          </xdr:nvSpPr>
          <xdr:spPr>
            <a:xfrm>
              <a:off x="812987" y="3223708"/>
              <a:ext cx="3209925" cy="379206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altLang="zh-CN" sz="1800" i="0">
                  <a:latin typeface="Cambria Math" panose="02040503050406030204" pitchFamily="18" charset="0"/>
                </a:rPr>
                <a:t>(</a:t>
              </a:r>
              <a:r>
                <a:rPr lang="en-US" sz="1800" i="0">
                  <a:latin typeface="Cambria Math" panose="02040503050406030204" pitchFamily="18" charset="0"/>
                </a:rPr>
                <a:t>𝑔_𝐴∕𝑔_𝑉 )^2</a:t>
              </a:r>
              <a:r>
                <a:rPr lang="en-US" altLang="zh-CN" sz="1800" i="0">
                  <a:latin typeface="Cambria Math" panose="02040503050406030204" pitchFamily="18" charset="0"/>
                </a:rPr>
                <a:t>=(−1.2</a:t>
              </a:r>
              <a:r>
                <a:rPr lang="en-US" altLang="zh-CN" sz="1800" b="0" i="0">
                  <a:latin typeface="Cambria Math" panose="02040503050406030204" pitchFamily="18" charset="0"/>
                </a:rPr>
                <a:t>756(13))^2</a:t>
              </a:r>
              <a:endParaRPr lang="en-US" sz="1800"/>
            </a:p>
          </xdr:txBody>
        </xdr:sp>
      </mc:Fallback>
    </mc:AlternateContent>
    <xdr:clientData/>
  </xdr:twoCellAnchor>
  <xdr:twoCellAnchor>
    <xdr:from>
      <xdr:col>1</xdr:col>
      <xdr:colOff>666749</xdr:colOff>
      <xdr:row>10</xdr:row>
      <xdr:rowOff>85725</xdr:rowOff>
    </xdr:from>
    <xdr:to>
      <xdr:col>10</xdr:col>
      <xdr:colOff>593912</xdr:colOff>
      <xdr:row>16</xdr:row>
      <xdr:rowOff>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2">
              <a:extLst>
                <a:ext uri="{FF2B5EF4-FFF2-40B4-BE49-F238E27FC236}">
                  <a16:creationId xmlns:a16="http://schemas.microsoft.com/office/drawing/2014/main" id="{48CDA04C-F6B3-4DE2-8BC8-DA80F6B060B1}"/>
                </a:ext>
              </a:extLst>
            </xdr:cNvPr>
            <xdr:cNvSpPr txBox="1"/>
          </xdr:nvSpPr>
          <xdr:spPr>
            <a:xfrm>
              <a:off x="666749" y="1744196"/>
              <a:ext cx="4958604" cy="855569"/>
            </a:xfrm>
            <a:prstGeom prst="rect">
              <a:avLst/>
            </a:prstGeom>
            <a:noFill/>
          </xdr:spPr>
          <xdr:txBody>
            <a:bodyPr wrap="square" rtlCol="0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2000" i="1">
                        <a:latin typeface="Cambria Math" panose="02040503050406030204" pitchFamily="18" charset="0"/>
                      </a:rPr>
                      <m:t>𝑓𝑡</m:t>
                    </m:r>
                    <m:r>
                      <a:rPr lang="en-US" sz="20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20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2000" i="1">
                            <a:latin typeface="Cambria Math" panose="02040503050406030204" pitchFamily="18" charset="0"/>
                          </a:rPr>
                          <m:t>𝐾</m:t>
                        </m:r>
                      </m:num>
                      <m:den>
                        <m:sSubSup>
                          <m:sSubSupPr>
                            <m:ctrlPr>
                              <a:rPr lang="en-US" sz="200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n-US" sz="2000" i="1">
                                <a:latin typeface="Cambria Math" panose="02040503050406030204" pitchFamily="18" charset="0"/>
                              </a:rPr>
                              <m:t>𝑔</m:t>
                            </m:r>
                          </m:e>
                          <m:sub>
                            <m:r>
                              <a:rPr lang="en-US" sz="200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𝑉</m:t>
                            </m:r>
                          </m:sub>
                          <m:sup>
                            <m:r>
                              <a:rPr lang="en-US" sz="200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sup>
                        </m:sSubSup>
                        <m:sSub>
                          <m:sSubPr>
                            <m:ctrlPr>
                              <a:rPr lang="en-US" sz="20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2000" i="1">
                                <a:latin typeface="Cambria Math" panose="02040503050406030204" pitchFamily="18" charset="0"/>
                              </a:rPr>
                              <m:t>𝐵</m:t>
                            </m:r>
                          </m:e>
                          <m:sub>
                            <m:r>
                              <m:rPr>
                                <m:sty m:val="p"/>
                              </m:rPr>
                              <a:rPr lang="en-US" sz="2000">
                                <a:latin typeface="Cambria Math" panose="02040503050406030204" pitchFamily="18" charset="0"/>
                              </a:rPr>
                              <m:t>F</m:t>
                            </m:r>
                          </m:sub>
                        </m:sSub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+</m:t>
                        </m:r>
                        <m:sSubSup>
                          <m:sSubSupPr>
                            <m:ctrlPr>
                              <a:rPr lang="en-US" sz="200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n-US" sz="2000" i="1">
                                <a:latin typeface="Cambria Math" panose="02040503050406030204" pitchFamily="18" charset="0"/>
                              </a:rPr>
                              <m:t>𝑔</m:t>
                            </m:r>
                          </m:e>
                          <m:sub>
                            <m:r>
                              <a:rPr lang="en-US" sz="20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𝐴</m:t>
                            </m:r>
                          </m:sub>
                          <m:sup>
                            <m:r>
                              <a:rPr lang="en-US" sz="200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sup>
                        </m:sSubSup>
                        <m:sSub>
                          <m:sSubPr>
                            <m:ctrlPr>
                              <a:rPr lang="en-US" sz="20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2000" i="1">
                                <a:latin typeface="Cambria Math" panose="02040503050406030204" pitchFamily="18" charset="0"/>
                              </a:rPr>
                              <m:t>𝐵</m:t>
                            </m:r>
                          </m:e>
                          <m:sub>
                            <m:r>
                              <m:rPr>
                                <m:sty m:val="p"/>
                              </m:rPr>
                              <a:rPr lang="en-US" sz="2000" b="0" i="0">
                                <a:latin typeface="Cambria Math" panose="02040503050406030204" pitchFamily="18" charset="0"/>
                              </a:rPr>
                              <m:t>GT</m:t>
                            </m:r>
                          </m:sub>
                        </m:sSub>
                      </m:den>
                    </m:f>
                    <m:r>
                      <a:rPr lang="en-US" altLang="zh-CN" sz="200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20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f>
                          <m:fPr>
                            <m:type m:val="lin"/>
                            <m:ctrlPr>
                              <a:rPr lang="en-US" sz="200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2000" i="1">
                                <a:latin typeface="Cambria Math" panose="02040503050406030204" pitchFamily="18" charset="0"/>
                              </a:rPr>
                              <m:t>𝐾</m:t>
                            </m:r>
                          </m:num>
                          <m:den>
                            <m:sSubSup>
                              <m:sSubSupPr>
                                <m:ctrlPr>
                                  <a:rPr lang="en-US" sz="2000" i="1">
                                    <a:latin typeface="Cambria Math" panose="02040503050406030204" pitchFamily="18" charset="0"/>
                                  </a:rPr>
                                </m:ctrlPr>
                              </m:sSubSupPr>
                              <m:e>
                                <m:r>
                                  <a:rPr lang="en-US" sz="2000" i="1">
                                    <a:latin typeface="Cambria Math" panose="02040503050406030204" pitchFamily="18" charset="0"/>
                                  </a:rPr>
                                  <m:t>𝑔</m:t>
                                </m:r>
                              </m:e>
                              <m:sub>
                                <m:r>
                                  <a:rPr lang="en-US" sz="200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𝑉</m:t>
                                </m:r>
                              </m:sub>
                              <m:sup>
                                <m:r>
                                  <a:rPr lang="en-US" sz="200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bSup>
                          </m:den>
                        </m:f>
                      </m:num>
                      <m:den>
                        <m:sSub>
                          <m:sSubPr>
                            <m:ctrlPr>
                              <a:rPr lang="en-US" sz="20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2000" i="1">
                                <a:latin typeface="Cambria Math" panose="02040503050406030204" pitchFamily="18" charset="0"/>
                              </a:rPr>
                              <m:t>𝐵</m:t>
                            </m:r>
                          </m:e>
                          <m:sub>
                            <m:r>
                              <m:rPr>
                                <m:sty m:val="p"/>
                              </m:rPr>
                              <a:rPr lang="en-US" sz="2000">
                                <a:latin typeface="Cambria Math" panose="02040503050406030204" pitchFamily="18" charset="0"/>
                              </a:rPr>
                              <m:t>F</m:t>
                            </m:r>
                          </m:sub>
                        </m:sSub>
                        <m:r>
                          <a:rPr lang="en-US" sz="2000" i="1">
                            <a:latin typeface="Cambria Math" panose="02040503050406030204" pitchFamily="18" charset="0"/>
                          </a:rPr>
                          <m:t>+</m:t>
                        </m:r>
                        <m:sSup>
                          <m:sSupPr>
                            <m:ctrlPr>
                              <a:rPr lang="en-US" sz="20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sz="200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type m:val="lin"/>
                                    <m:ctrlPr>
                                      <a:rPr lang="en-US" sz="2000" i="1">
                                        <a:latin typeface="Cambria Math" panose="02040503050406030204" pitchFamily="18" charset="0"/>
                                      </a:rPr>
                                    </m:ctrlPr>
                                  </m:fPr>
                                  <m:num>
                                    <m:sSub>
                                      <m:sSubPr>
                                        <m:ctrlPr>
                                          <a:rPr lang="en-US" sz="200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sz="2000" i="1">
                                            <a:latin typeface="Cambria Math" panose="02040503050406030204" pitchFamily="18" charset="0"/>
                                          </a:rPr>
                                          <m:t>𝑔</m:t>
                                        </m:r>
                                      </m:e>
                                      <m:sub>
                                        <m:r>
                                          <a:rPr lang="en-US" sz="2000" i="1">
                                            <a:latin typeface="Cambria Math" panose="02040503050406030204" pitchFamily="18" charset="0"/>
                                          </a:rPr>
                                          <m:t>𝐴</m:t>
                                        </m:r>
                                      </m:sub>
                                    </m:sSub>
                                  </m:num>
                                  <m:den>
                                    <m:sSub>
                                      <m:sSubPr>
                                        <m:ctrlPr>
                                          <a:rPr lang="en-US" sz="200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sz="2000" i="1">
                                            <a:latin typeface="Cambria Math" panose="02040503050406030204" pitchFamily="18" charset="0"/>
                                          </a:rPr>
                                          <m:t>𝑔</m:t>
                                        </m:r>
                                      </m:e>
                                      <m:sub>
                                        <m:r>
                                          <a:rPr lang="en-US" sz="2000" i="1">
                                            <a:latin typeface="Cambria Math" panose="02040503050406030204" pitchFamily="18" charset="0"/>
                                          </a:rPr>
                                          <m:t>𝑉</m:t>
                                        </m:r>
                                      </m:sub>
                                    </m:sSub>
                                  </m:den>
                                </m:f>
                              </m:e>
                            </m:d>
                          </m:e>
                          <m:sup>
                            <m:r>
                              <a:rPr lang="en-US" sz="200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sSub>
                          <m:sSubPr>
                            <m:ctrlPr>
                              <a:rPr lang="en-US" sz="20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2000" i="1">
                                <a:latin typeface="Cambria Math" panose="02040503050406030204" pitchFamily="18" charset="0"/>
                              </a:rPr>
                              <m:t>𝐵</m:t>
                            </m:r>
                          </m:e>
                          <m:sub>
                            <m:r>
                              <m:rPr>
                                <m:sty m:val="p"/>
                              </m:rPr>
                              <a:rPr lang="en-US" sz="2000">
                                <a:latin typeface="Cambria Math" panose="02040503050406030204" pitchFamily="18" charset="0"/>
                              </a:rPr>
                              <m:t>GT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n-US" sz="2000"/>
            </a:p>
          </xdr:txBody>
        </xdr:sp>
      </mc:Choice>
      <mc:Fallback xmlns="">
        <xdr:sp macro="" textlink="">
          <xdr:nvSpPr>
            <xdr:cNvPr id="6" name="TextBox 2">
              <a:extLst>
                <a:ext uri="{FF2B5EF4-FFF2-40B4-BE49-F238E27FC236}">
                  <a16:creationId xmlns:a16="http://schemas.microsoft.com/office/drawing/2014/main" id="{48CDA04C-F6B3-4DE2-8BC8-DA80F6B060B1}"/>
                </a:ext>
              </a:extLst>
            </xdr:cNvPr>
            <xdr:cNvSpPr txBox="1"/>
          </xdr:nvSpPr>
          <xdr:spPr>
            <a:xfrm>
              <a:off x="666749" y="1744196"/>
              <a:ext cx="4958604" cy="855569"/>
            </a:xfrm>
            <a:prstGeom prst="rect">
              <a:avLst/>
            </a:prstGeom>
            <a:noFill/>
          </xdr:spPr>
          <xdr:txBody>
            <a:bodyPr wrap="square" rtlCol="0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2000" i="0">
                  <a:latin typeface="Cambria Math" panose="02040503050406030204" pitchFamily="18" charset="0"/>
                </a:rPr>
                <a:t>𝑓𝑡</a:t>
              </a:r>
              <a:r>
                <a:rPr lang="en-US" sz="2000" b="0" i="0">
                  <a:latin typeface="Cambria Math" panose="02040503050406030204" pitchFamily="18" charset="0"/>
                </a:rPr>
                <a:t>=</a:t>
              </a:r>
              <a:r>
                <a:rPr lang="en-US" sz="2000" i="0">
                  <a:latin typeface="Cambria Math" panose="02040503050406030204" pitchFamily="18" charset="0"/>
                </a:rPr>
                <a:t>𝐾/(𝑔_</a:t>
              </a:r>
              <a:r>
                <a:rPr lang="en-US" sz="20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𝑉^2 </a:t>
              </a:r>
              <a:r>
                <a:rPr lang="en-US" sz="2000" i="0">
                  <a:latin typeface="Cambria Math" panose="02040503050406030204" pitchFamily="18" charset="0"/>
                </a:rPr>
                <a:t>𝐵_F</a:t>
              </a:r>
              <a:r>
                <a:rPr lang="en-US" sz="2000" b="0" i="0">
                  <a:latin typeface="Cambria Math" panose="02040503050406030204" pitchFamily="18" charset="0"/>
                </a:rPr>
                <a:t>+</a:t>
              </a:r>
              <a:r>
                <a:rPr lang="en-US" sz="2000" i="0">
                  <a:latin typeface="Cambria Math" panose="02040503050406030204" pitchFamily="18" charset="0"/>
                </a:rPr>
                <a:t>𝑔_</a:t>
              </a:r>
              <a:r>
                <a:rPr lang="en-US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𝐴^</a:t>
              </a:r>
              <a:r>
                <a:rPr lang="en-US" sz="2000" i="0">
                  <a:latin typeface="Cambria Math" panose="02040503050406030204" pitchFamily="18" charset="0"/>
                  <a:ea typeface="Cambria Math" panose="02040503050406030204" pitchFamily="18" charset="0"/>
                </a:rPr>
                <a:t>2 </a:t>
              </a:r>
              <a:r>
                <a:rPr lang="en-US" sz="2000" i="0">
                  <a:latin typeface="Cambria Math" panose="02040503050406030204" pitchFamily="18" charset="0"/>
                </a:rPr>
                <a:t>𝐵_</a:t>
              </a:r>
              <a:r>
                <a:rPr lang="en-US" sz="2000" b="0" i="0">
                  <a:latin typeface="Cambria Math" panose="02040503050406030204" pitchFamily="18" charset="0"/>
                </a:rPr>
                <a:t>GT )</a:t>
              </a:r>
              <a:r>
                <a:rPr lang="en-US" altLang="zh-CN" sz="2000" i="0">
                  <a:latin typeface="Cambria Math" panose="02040503050406030204" pitchFamily="18" charset="0"/>
                </a:rPr>
                <a:t>=(</a:t>
              </a:r>
              <a:r>
                <a:rPr lang="en-US" sz="2000" i="0">
                  <a:latin typeface="Cambria Math" panose="02040503050406030204" pitchFamily="18" charset="0"/>
                </a:rPr>
                <a:t>𝐾∕𝑔_</a:t>
              </a:r>
              <a:r>
                <a:rPr lang="en-US" sz="20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𝑉^2 )/(</a:t>
              </a:r>
              <a:r>
                <a:rPr lang="en-US" sz="2000" i="0">
                  <a:latin typeface="Cambria Math" panose="02040503050406030204" pitchFamily="18" charset="0"/>
                </a:rPr>
                <a:t>𝐵_F+(𝑔_𝐴∕𝑔_𝑉 )^2 𝐵_GT )</a:t>
              </a:r>
              <a:endParaRPr lang="en-US" sz="2000"/>
            </a:p>
          </xdr:txBody>
        </xdr:sp>
      </mc:Fallback>
    </mc:AlternateContent>
    <xdr:clientData/>
  </xdr:twoCellAnchor>
  <xdr:twoCellAnchor>
    <xdr:from>
      <xdr:col>14</xdr:col>
      <xdr:colOff>19050</xdr:colOff>
      <xdr:row>28</xdr:row>
      <xdr:rowOff>0</xdr:rowOff>
    </xdr:from>
    <xdr:to>
      <xdr:col>20</xdr:col>
      <xdr:colOff>682439</xdr:colOff>
      <xdr:row>42</xdr:row>
      <xdr:rowOff>104775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2C17027-E3D8-450F-961D-A7CC151AFF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400051</xdr:colOff>
      <xdr:row>21</xdr:row>
      <xdr:rowOff>57150</xdr:rowOff>
    </xdr:from>
    <xdr:to>
      <xdr:col>11</xdr:col>
      <xdr:colOff>266701</xdr:colOff>
      <xdr:row>24</xdr:row>
      <xdr:rowOff>39375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F55A2DA0-0C02-4BFA-BB83-8D5F2380F0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76826" y="3533775"/>
          <a:ext cx="1752600" cy="46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373457</xdr:colOff>
      <xdr:row>24</xdr:row>
      <xdr:rowOff>38100</xdr:rowOff>
    </xdr:from>
    <xdr:to>
      <xdr:col>11</xdr:col>
      <xdr:colOff>291498</xdr:colOff>
      <xdr:row>27</xdr:row>
      <xdr:rowOff>20325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7DA2EC7C-9F96-412C-AB77-F4E7647288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50232" y="4000500"/>
          <a:ext cx="1803991" cy="46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323850</xdr:colOff>
      <xdr:row>1</xdr:row>
      <xdr:rowOff>114300</xdr:rowOff>
    </xdr:from>
    <xdr:to>
      <xdr:col>38</xdr:col>
      <xdr:colOff>160815</xdr:colOff>
      <xdr:row>34</xdr:row>
      <xdr:rowOff>151718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F9D19F6-ABD6-4C88-A2E2-119B828ED7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6735425" y="276225"/>
          <a:ext cx="8876190" cy="5457143"/>
        </a:xfrm>
        <a:prstGeom prst="rect">
          <a:avLst/>
        </a:prstGeom>
      </xdr:spPr>
    </xdr:pic>
    <xdr:clientData/>
  </xdr:twoCellAnchor>
  <xdr:twoCellAnchor editAs="oneCell">
    <xdr:from>
      <xdr:col>22</xdr:col>
      <xdr:colOff>0</xdr:colOff>
      <xdr:row>2</xdr:row>
      <xdr:rowOff>0</xdr:rowOff>
    </xdr:from>
    <xdr:to>
      <xdr:col>25</xdr:col>
      <xdr:colOff>266437</xdr:colOff>
      <xdr:row>22</xdr:row>
      <xdr:rowOff>66252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A18177FA-7F8E-443E-9352-A194A4100A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4563725" y="323850"/>
          <a:ext cx="2114286" cy="3380952"/>
        </a:xfrm>
        <a:prstGeom prst="rect">
          <a:avLst/>
        </a:prstGeom>
      </xdr:spPr>
    </xdr:pic>
    <xdr:clientData/>
  </xdr:twoCellAnchor>
  <xdr:twoCellAnchor>
    <xdr:from>
      <xdr:col>21</xdr:col>
      <xdr:colOff>190500</xdr:colOff>
      <xdr:row>24</xdr:row>
      <xdr:rowOff>0</xdr:rowOff>
    </xdr:from>
    <xdr:to>
      <xdr:col>25</xdr:col>
      <xdr:colOff>333375</xdr:colOff>
      <xdr:row>43</xdr:row>
      <xdr:rowOff>88972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7" name="TextBox 4">
              <a:extLst>
                <a:ext uri="{FF2B5EF4-FFF2-40B4-BE49-F238E27FC236}">
                  <a16:creationId xmlns:a16="http://schemas.microsoft.com/office/drawing/2014/main" id="{5DAE01FA-C72F-46B6-830F-DD3E4E310CA2}"/>
                </a:ext>
              </a:extLst>
            </xdr:cNvPr>
            <xdr:cNvSpPr txBox="1"/>
          </xdr:nvSpPr>
          <xdr:spPr>
            <a:xfrm>
              <a:off x="13716000" y="3962400"/>
              <a:ext cx="2505075" cy="3165547"/>
            </a:xfrm>
            <a:prstGeom prst="rect">
              <a:avLst/>
            </a:prstGeom>
            <a:noFill/>
          </xdr:spPr>
          <xdr:txBody>
            <a:bodyPr wrap="square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indent="304800" algn="just">
                <a:lnSpc>
                  <a:spcPct val="150000"/>
                </a:lnSpc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altLang="zh-CN" sz="1800" kern="100">
                        <a:solidFill>
                          <a:srgbClr val="000000"/>
                        </a:solidFill>
                        <a:effectLst/>
                        <a:latin typeface="Cambria Math" panose="02040503050406030204" pitchFamily="18" charset="0"/>
                        <a:ea typeface="宋体" panose="02010600030101010101" pitchFamily="2" charset="-122"/>
                      </a:rPr>
                      <m:t>Δ</m:t>
                    </m:r>
                    <m:r>
                      <a:rPr lang="en-US" altLang="zh-CN" sz="1800" i="1" kern="100">
                        <a:solidFill>
                          <a:srgbClr val="000000"/>
                        </a:solidFill>
                        <a:effectLst/>
                        <a:latin typeface="Cambria Math" panose="02040503050406030204" pitchFamily="18" charset="0"/>
                        <a:ea typeface="宋体" panose="02010600030101010101" pitchFamily="2" charset="-122"/>
                      </a:rPr>
                      <m:t>𝐸</m:t>
                    </m:r>
                    <m:r>
                      <a:rPr lang="en-US" altLang="zh-CN" sz="1800" i="1" kern="100">
                        <a:solidFill>
                          <a:srgbClr val="000000"/>
                        </a:solidFill>
                        <a:effectLst/>
                        <a:latin typeface="Cambria Math" panose="02040503050406030204" pitchFamily="18" charset="0"/>
                        <a:ea typeface="宋体" panose="02010600030101010101" pitchFamily="2" charset="-122"/>
                      </a:rPr>
                      <m:t>=</m:t>
                    </m:r>
                    <m:sSub>
                      <m:sSubPr>
                        <m:ctrlPr>
                          <a:rPr lang="zh-CN" altLang="zh-CN" sz="1800" i="1" kern="100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800" i="1" kern="100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宋体" panose="02010600030101010101" pitchFamily="2" charset="-122"/>
                          </a:rPr>
                          <m:t>𝐸</m:t>
                        </m:r>
                      </m:e>
                      <m:sub>
                        <m:r>
                          <a:rPr lang="en-US" altLang="zh-CN" sz="1800" i="1" kern="100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宋体" panose="02010600030101010101" pitchFamily="2" charset="-122"/>
                          </a:rPr>
                          <m:t>𝑎</m:t>
                        </m:r>
                      </m:sub>
                    </m:sSub>
                    <m:r>
                      <a:rPr lang="en-US" altLang="zh-CN" sz="1800" i="1" kern="100">
                        <a:solidFill>
                          <a:srgbClr val="000000"/>
                        </a:solidFill>
                        <a:effectLst/>
                        <a:latin typeface="Cambria Math" panose="02040503050406030204" pitchFamily="18" charset="0"/>
                        <a:ea typeface="宋体" panose="02010600030101010101" pitchFamily="2" charset="-122"/>
                      </a:rPr>
                      <m:t>−</m:t>
                    </m:r>
                    <m:sSub>
                      <m:sSubPr>
                        <m:ctrlPr>
                          <a:rPr lang="zh-CN" altLang="zh-CN" sz="1800" i="1" kern="100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800" i="1" kern="100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宋体" panose="02010600030101010101" pitchFamily="2" charset="-122"/>
                          </a:rPr>
                          <m:t>𝐸</m:t>
                        </m:r>
                      </m:e>
                      <m:sub>
                        <m:r>
                          <a:rPr lang="en-US" altLang="zh-CN" sz="1800" i="1" kern="100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宋体" panose="02010600030101010101" pitchFamily="2" charset="-122"/>
                          </a:rPr>
                          <m:t>𝑏</m:t>
                        </m:r>
                      </m:sub>
                    </m:sSub>
                  </m:oMath>
                </m:oMathPara>
              </a14:m>
              <a:endParaRPr lang="zh-CN" altLang="zh-CN" sz="1800" kern="100">
                <a:effectLst/>
                <a:latin typeface="Times New Roman" panose="02020603050405020304" pitchFamily="18" charset="0"/>
                <a:ea typeface="宋体" panose="02010600030101010101" pitchFamily="2" charset="-122"/>
              </a:endParaRPr>
            </a:p>
            <a:p>
              <a:pPr indent="304800" algn="just">
                <a:lnSpc>
                  <a:spcPct val="150000"/>
                </a:lnSpc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lang="zh-CN" altLang="zh-CN" sz="1800" i="1" kern="100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uncPr>
                      <m:fName>
                        <m:sSup>
                          <m:sSupPr>
                            <m:ctrlPr>
                              <a:rPr lang="zh-CN" altLang="zh-CN" sz="1800" i="1" kern="100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m:rPr>
                                <m:sty m:val="p"/>
                              </m:rPr>
                              <a:rPr lang="en-US" altLang="zh-CN" sz="1800" kern="100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宋体" panose="02010600030101010101" pitchFamily="2" charset="-122"/>
                              </a:rPr>
                              <m:t>tan</m:t>
                            </m:r>
                          </m:e>
                          <m:sup>
                            <m:r>
                              <a:rPr lang="en-US" altLang="zh-CN" sz="1800" kern="100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宋体" panose="02010600030101010101" pitchFamily="2" charset="-122"/>
                              </a:rPr>
                              <m:t>2</m:t>
                            </m:r>
                          </m:sup>
                        </m:sSup>
                      </m:fName>
                      <m:e>
                        <m:r>
                          <a:rPr lang="en-US" altLang="zh-CN" sz="1800" i="1" kern="100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宋体" panose="02010600030101010101" pitchFamily="2" charset="-122"/>
                          </a:rPr>
                          <m:t>𝜃</m:t>
                        </m:r>
                      </m:e>
                    </m:func>
                    <m:r>
                      <a:rPr lang="en-US" altLang="zh-CN" sz="1800" i="1" kern="100">
                        <a:solidFill>
                          <a:srgbClr val="000000"/>
                        </a:solidFill>
                        <a:effectLst/>
                        <a:latin typeface="Cambria Math" panose="02040503050406030204" pitchFamily="18" charset="0"/>
                        <a:ea typeface="宋体" panose="02010600030101010101" pitchFamily="2" charset="-122"/>
                      </a:rPr>
                      <m:t>=</m:t>
                    </m:r>
                    <m:f>
                      <m:fPr>
                        <m:ctrlPr>
                          <a:rPr lang="zh-CN" altLang="zh-CN" sz="1800" i="1" kern="100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zh-CN" altLang="zh-CN" sz="1800" i="1" kern="100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zh-CN" sz="1800" i="1" kern="100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宋体" panose="02010600030101010101" pitchFamily="2" charset="-122"/>
                              </a:rPr>
                              <m:t>𝐵</m:t>
                            </m:r>
                            <m:d>
                              <m:dPr>
                                <m:ctrlPr>
                                  <a:rPr lang="zh-CN" altLang="zh-CN" sz="1800" i="1" kern="100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m:rPr>
                                    <m:sty m:val="p"/>
                                  </m:rPr>
                                  <a:rPr lang="en-US" altLang="zh-CN" sz="1800" kern="100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宋体" panose="02010600030101010101" pitchFamily="2" charset="-122"/>
                                  </a:rPr>
                                  <m:t>F</m:t>
                                </m:r>
                              </m:e>
                            </m:d>
                          </m:e>
                          <m:sub>
                            <m:r>
                              <a:rPr lang="en-US" altLang="zh-CN" sz="1800" i="1" kern="100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宋体" panose="02010600030101010101" pitchFamily="2" charset="-122"/>
                              </a:rPr>
                              <m:t>𝑏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zh-CN" altLang="zh-CN" sz="1800" i="1" kern="100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zh-CN" sz="1800" i="1" kern="100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宋体" panose="02010600030101010101" pitchFamily="2" charset="-122"/>
                              </a:rPr>
                              <m:t>𝐵</m:t>
                            </m:r>
                            <m:d>
                              <m:dPr>
                                <m:ctrlPr>
                                  <a:rPr lang="zh-CN" altLang="zh-CN" sz="1800" i="1" kern="100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m:rPr>
                                    <m:sty m:val="p"/>
                                  </m:rPr>
                                  <a:rPr lang="en-US" altLang="zh-CN" sz="1800" kern="100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宋体" panose="02010600030101010101" pitchFamily="2" charset="-122"/>
                                  </a:rPr>
                                  <m:t>F</m:t>
                                </m:r>
                              </m:e>
                            </m:d>
                          </m:e>
                          <m:sub>
                            <m:r>
                              <a:rPr lang="en-US" altLang="zh-CN" sz="1800" i="1" kern="100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宋体" panose="02010600030101010101" pitchFamily="2" charset="-122"/>
                              </a:rPr>
                              <m:t>𝑎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zh-CN" altLang="zh-CN" sz="1800" kern="100">
                <a:effectLst/>
                <a:latin typeface="Times New Roman" panose="02020603050405020304" pitchFamily="18" charset="0"/>
                <a:ea typeface="宋体" panose="02010600030101010101" pitchFamily="2" charset="-122"/>
              </a:endParaRPr>
            </a:p>
            <a:p>
              <a:pPr indent="304800" algn="just">
                <a:lnSpc>
                  <a:spcPct val="150000"/>
                </a:lnSpc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zh-CN" sz="1800" i="1" kern="100">
                        <a:solidFill>
                          <a:srgbClr val="000000"/>
                        </a:solidFill>
                        <a:effectLst/>
                        <a:latin typeface="Cambria Math" panose="02040503050406030204" pitchFamily="18" charset="0"/>
                        <a:ea typeface="宋体" panose="02010600030101010101" pitchFamily="2" charset="-122"/>
                      </a:rPr>
                      <m:t>𝜀</m:t>
                    </m:r>
                    <m:r>
                      <a:rPr lang="en-US" altLang="zh-CN" sz="1800" i="1" kern="100">
                        <a:solidFill>
                          <a:srgbClr val="000000"/>
                        </a:solidFill>
                        <a:effectLst/>
                        <a:latin typeface="Cambria Math" panose="02040503050406030204" pitchFamily="18" charset="0"/>
                        <a:ea typeface="宋体" panose="02010600030101010101" pitchFamily="2" charset="-122"/>
                      </a:rPr>
                      <m:t>=</m:t>
                    </m:r>
                    <m:r>
                      <m:rPr>
                        <m:sty m:val="p"/>
                      </m:rPr>
                      <a:rPr lang="en-US" altLang="zh-CN" sz="1800" kern="100">
                        <a:solidFill>
                          <a:srgbClr val="000000"/>
                        </a:solidFill>
                        <a:effectLst/>
                        <a:latin typeface="Cambria Math" panose="02040503050406030204" pitchFamily="18" charset="0"/>
                        <a:ea typeface="宋体" panose="02010600030101010101" pitchFamily="2" charset="-122"/>
                      </a:rPr>
                      <m:t>Δ</m:t>
                    </m:r>
                    <m:r>
                      <a:rPr lang="en-US" altLang="zh-CN" sz="1800" i="1" kern="100">
                        <a:solidFill>
                          <a:srgbClr val="000000"/>
                        </a:solidFill>
                        <a:effectLst/>
                        <a:latin typeface="Cambria Math" panose="02040503050406030204" pitchFamily="18" charset="0"/>
                        <a:ea typeface="宋体" panose="02010600030101010101" pitchFamily="2" charset="-122"/>
                      </a:rPr>
                      <m:t>𝐸</m:t>
                    </m:r>
                    <m:func>
                      <m:funcPr>
                        <m:ctrlPr>
                          <a:rPr lang="zh-CN" altLang="zh-CN" sz="1800" i="1" kern="100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US" altLang="zh-CN" sz="1800" kern="100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宋体" panose="02010600030101010101" pitchFamily="2" charset="-122"/>
                          </a:rPr>
                          <m:t>cos</m:t>
                        </m:r>
                      </m:fName>
                      <m:e>
                        <m:r>
                          <a:rPr lang="en-US" altLang="zh-CN" sz="1800" i="1" kern="100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宋体" panose="02010600030101010101" pitchFamily="2" charset="-122"/>
                          </a:rPr>
                          <m:t>2</m:t>
                        </m:r>
                        <m:r>
                          <a:rPr lang="en-US" altLang="zh-CN" sz="1800" i="1" kern="100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宋体" panose="02010600030101010101" pitchFamily="2" charset="-122"/>
                          </a:rPr>
                          <m:t>𝜃</m:t>
                        </m:r>
                      </m:e>
                    </m:func>
                  </m:oMath>
                </m:oMathPara>
              </a14:m>
              <a:endParaRPr lang="zh-CN" altLang="zh-CN" sz="1800" kern="100">
                <a:effectLst/>
                <a:latin typeface="Times New Roman" panose="02020603050405020304" pitchFamily="18" charset="0"/>
                <a:ea typeface="宋体" panose="02010600030101010101" pitchFamily="2" charset="-122"/>
              </a:endParaRPr>
            </a:p>
            <a:p>
              <a:pPr indent="304800" algn="just">
                <a:lnSpc>
                  <a:spcPct val="150000"/>
                </a:lnSpc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zh-CN" sz="1800" i="1" kern="100">
                        <a:solidFill>
                          <a:srgbClr val="000000"/>
                        </a:solidFill>
                        <a:effectLst/>
                        <a:latin typeface="Cambria Math" panose="02040503050406030204" pitchFamily="18" charset="0"/>
                        <a:ea typeface="宋体" panose="02010600030101010101" pitchFamily="2" charset="-122"/>
                      </a:rPr>
                      <m:t>𝜈</m:t>
                    </m:r>
                    <m:r>
                      <a:rPr lang="en-US" altLang="zh-CN" sz="1800" i="1" kern="100">
                        <a:solidFill>
                          <a:srgbClr val="000000"/>
                        </a:solidFill>
                        <a:effectLst/>
                        <a:latin typeface="Cambria Math" panose="02040503050406030204" pitchFamily="18" charset="0"/>
                        <a:ea typeface="宋体" panose="02010600030101010101" pitchFamily="2" charset="-122"/>
                      </a:rPr>
                      <m:t>=</m:t>
                    </m:r>
                    <m:f>
                      <m:fPr>
                        <m:ctrlPr>
                          <a:rPr lang="zh-CN" altLang="zh-CN" sz="1800" i="1" kern="100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m:rPr>
                            <m:sty m:val="p"/>
                          </m:rPr>
                          <a:rPr lang="en-US" altLang="zh-CN" sz="1800" kern="100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宋体" panose="02010600030101010101" pitchFamily="2" charset="-122"/>
                          </a:rPr>
                          <m:t>Δ</m:t>
                        </m:r>
                        <m:r>
                          <a:rPr lang="en-US" altLang="zh-CN" sz="1800" i="1" kern="100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宋体" panose="02010600030101010101" pitchFamily="2" charset="-122"/>
                          </a:rPr>
                          <m:t>𝐸</m:t>
                        </m:r>
                        <m:func>
                          <m:funcPr>
                            <m:ctrlPr>
                              <a:rPr lang="zh-CN" altLang="zh-CN" sz="1800" i="1" kern="100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funcPr>
                          <m:fName>
                            <m:r>
                              <m:rPr>
                                <m:sty m:val="p"/>
                              </m:rPr>
                              <a:rPr lang="en-US" altLang="zh-CN" sz="1800" kern="100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宋体" panose="02010600030101010101" pitchFamily="2" charset="-122"/>
                              </a:rPr>
                              <m:t>sin</m:t>
                            </m:r>
                          </m:fName>
                          <m:e>
                            <m:r>
                              <a:rPr lang="en-US" altLang="zh-CN" sz="1800" i="1" kern="100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宋体" panose="02010600030101010101" pitchFamily="2" charset="-122"/>
                              </a:rPr>
                              <m:t>2</m:t>
                            </m:r>
                            <m:r>
                              <a:rPr lang="en-US" altLang="zh-CN" sz="1800" i="1" kern="100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宋体" panose="02010600030101010101" pitchFamily="2" charset="-122"/>
                              </a:rPr>
                              <m:t>𝜃</m:t>
                            </m:r>
                          </m:e>
                        </m:func>
                      </m:num>
                      <m:den>
                        <m:r>
                          <a:rPr lang="en-US" altLang="zh-CN" sz="1800" i="1" kern="100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宋体" panose="02010600030101010101" pitchFamily="2" charset="-122"/>
                          </a:rPr>
                          <m:t>2</m:t>
                        </m:r>
                      </m:den>
                    </m:f>
                  </m:oMath>
                </m:oMathPara>
              </a14:m>
              <a:endParaRPr lang="zh-CN" altLang="zh-CN" sz="1800" kern="100">
                <a:effectLst/>
                <a:latin typeface="Times New Roman" panose="02020603050405020304" pitchFamily="18" charset="0"/>
                <a:ea typeface="宋体" panose="02010600030101010101" pitchFamily="2" charset="-122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zh-CN" altLang="zh-CN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m:rPr>
                            <m:sty m:val="p"/>
                          </m:rPr>
                          <a:rPr lang="en-US" altLang="zh-CN" sz="1800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宋体" panose="02010600030101010101" pitchFamily="2" charset="-122"/>
                            <a:cs typeface="Times New Roman" panose="02020603050405020304" pitchFamily="18" charset="0"/>
                          </a:rPr>
                          <m:t>α</m:t>
                        </m:r>
                      </m:e>
                      <m:sup>
                        <m:r>
                          <a:rPr lang="en-US" altLang="zh-CN" sz="1800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宋体" panose="02010600030101010101" pitchFamily="2" charset="-122"/>
                            <a:cs typeface="Times New Roman" panose="02020603050405020304" pitchFamily="18" charset="0"/>
                          </a:rPr>
                          <m:t>2</m:t>
                        </m:r>
                      </m:sup>
                    </m:sSup>
                    <m:r>
                      <a:rPr lang="en-US" altLang="zh-CN" sz="1800" i="1">
                        <a:solidFill>
                          <a:srgbClr val="000000"/>
                        </a:solidFill>
                        <a:effectLst/>
                        <a:latin typeface="Cambria Math" panose="02040503050406030204" pitchFamily="18" charset="0"/>
                        <a:ea typeface="宋体" panose="02010600030101010101" pitchFamily="2" charset="-122"/>
                        <a:cs typeface="Times New Roman" panose="02020603050405020304" pitchFamily="18" charset="0"/>
                      </a:rPr>
                      <m:t>=</m:t>
                    </m:r>
                    <m:f>
                      <m:fPr>
                        <m:ctrlPr>
                          <a:rPr lang="zh-CN" altLang="zh-CN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zh-CN" altLang="zh-CN" i="1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zh-CN" sz="1800" i="1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宋体" panose="02010600030101010101" pitchFamily="2" charset="-122"/>
                                <a:cs typeface="Times New Roman" panose="02020603050405020304" pitchFamily="18" charset="0"/>
                              </a:rPr>
                              <m:t>𝐵</m:t>
                            </m:r>
                            <m:d>
                              <m:dPr>
                                <m:ctrlPr>
                                  <a:rPr lang="zh-CN" altLang="zh-CN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m:rPr>
                                    <m:sty m:val="p"/>
                                  </m:rPr>
                                  <a:rPr lang="en-US" altLang="zh-CN" sz="1800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宋体" panose="02010600030101010101" pitchFamily="2" charset="-122"/>
                                    <a:cs typeface="Times New Roman" panose="02020603050405020304" pitchFamily="18" charset="0"/>
                                  </a:rPr>
                                  <m:t>F</m:t>
                                </m:r>
                              </m:e>
                            </m:d>
                          </m:e>
                          <m:sub>
                            <m:r>
                              <a:rPr lang="en-US" altLang="zh-CN" sz="1800" i="1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宋体" panose="02010600030101010101" pitchFamily="2" charset="-122"/>
                                <a:cs typeface="Times New Roman" panose="02020603050405020304" pitchFamily="18" charset="0"/>
                              </a:rPr>
                              <m:t>𝑏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zh-CN" altLang="zh-CN" i="1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zh-CN" sz="1800" i="1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宋体" panose="02010600030101010101" pitchFamily="2" charset="-122"/>
                                <a:cs typeface="Times New Roman" panose="02020603050405020304" pitchFamily="18" charset="0"/>
                              </a:rPr>
                              <m:t>𝐵</m:t>
                            </m:r>
                            <m:d>
                              <m:dPr>
                                <m:ctrlPr>
                                  <a:rPr lang="zh-CN" altLang="zh-CN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m:rPr>
                                    <m:sty m:val="p"/>
                                  </m:rPr>
                                  <a:rPr lang="en-US" altLang="zh-CN" sz="1800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宋体" panose="02010600030101010101" pitchFamily="2" charset="-122"/>
                                    <a:cs typeface="Times New Roman" panose="02020603050405020304" pitchFamily="18" charset="0"/>
                                  </a:rPr>
                                  <m:t>F</m:t>
                                </m:r>
                              </m:e>
                            </m:d>
                          </m:e>
                          <m:sub>
                            <m:r>
                              <a:rPr lang="en-US" altLang="zh-CN" sz="1800" i="1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宋体" panose="02010600030101010101" pitchFamily="2" charset="-122"/>
                                <a:cs typeface="Times New Roman" panose="02020603050405020304" pitchFamily="18" charset="0"/>
                              </a:rPr>
                              <m:t>𝑎</m:t>
                            </m:r>
                          </m:sub>
                        </m:sSub>
                        <m:r>
                          <a:rPr lang="en-US" altLang="zh-CN" sz="18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宋体" panose="02010600030101010101" pitchFamily="2" charset="-122"/>
                            <a:cs typeface="Times New Roman" panose="02020603050405020304" pitchFamily="18" charset="0"/>
                          </a:rPr>
                          <m:t>+</m:t>
                        </m:r>
                        <m:sSub>
                          <m:sSubPr>
                            <m:ctrlPr>
                              <a:rPr lang="zh-CN" altLang="zh-CN" i="1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zh-CN" sz="1800" i="1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宋体" panose="02010600030101010101" pitchFamily="2" charset="-122"/>
                                <a:cs typeface="Times New Roman" panose="02020603050405020304" pitchFamily="18" charset="0"/>
                              </a:rPr>
                              <m:t>𝐵</m:t>
                            </m:r>
                            <m:d>
                              <m:dPr>
                                <m:ctrlPr>
                                  <a:rPr lang="zh-CN" altLang="zh-CN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m:rPr>
                                    <m:sty m:val="p"/>
                                  </m:rPr>
                                  <a:rPr lang="en-US" altLang="zh-CN" sz="1800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宋体" panose="02010600030101010101" pitchFamily="2" charset="-122"/>
                                    <a:cs typeface="Times New Roman" panose="02020603050405020304" pitchFamily="18" charset="0"/>
                                  </a:rPr>
                                  <m:t>F</m:t>
                                </m:r>
                              </m:e>
                            </m:d>
                          </m:e>
                          <m:sub>
                            <m:r>
                              <a:rPr lang="en-US" altLang="zh-CN" sz="1800" i="1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宋体" panose="02010600030101010101" pitchFamily="2" charset="-122"/>
                                <a:cs typeface="Times New Roman" panose="02020603050405020304" pitchFamily="18" charset="0"/>
                              </a:rPr>
                              <m:t>𝑏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zh-CN" altLang="en-US"/>
            </a:p>
          </xdr:txBody>
        </xdr:sp>
      </mc:Choice>
      <mc:Fallback xmlns="">
        <xdr:sp macro="" textlink="">
          <xdr:nvSpPr>
            <xdr:cNvPr id="27" name="TextBox 4">
              <a:extLst>
                <a:ext uri="{FF2B5EF4-FFF2-40B4-BE49-F238E27FC236}">
                  <a16:creationId xmlns:a16="http://schemas.microsoft.com/office/drawing/2014/main" id="{5DAE01FA-C72F-46B6-830F-DD3E4E310CA2}"/>
                </a:ext>
              </a:extLst>
            </xdr:cNvPr>
            <xdr:cNvSpPr txBox="1"/>
          </xdr:nvSpPr>
          <xdr:spPr>
            <a:xfrm>
              <a:off x="13716000" y="3962400"/>
              <a:ext cx="2505075" cy="3165547"/>
            </a:xfrm>
            <a:prstGeom prst="rect">
              <a:avLst/>
            </a:prstGeom>
            <a:noFill/>
          </xdr:spPr>
          <xdr:txBody>
            <a:bodyPr wrap="square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indent="304800" algn="just">
                <a:lnSpc>
                  <a:spcPct val="150000"/>
                </a:lnSpc>
              </a:pPr>
              <a:r>
                <a:rPr lang="en-US" altLang="zh-CN" sz="1800" i="0" kern="10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宋体" panose="02010600030101010101" pitchFamily="2" charset="-122"/>
                </a:rPr>
                <a:t>Δ𝐸=𝐸</a:t>
              </a:r>
              <a:r>
                <a:rPr lang="zh-CN" altLang="zh-CN" sz="1800" i="0" kern="10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宋体" panose="02010600030101010101" pitchFamily="2" charset="-122"/>
                </a:rPr>
                <a:t>_</a:t>
              </a:r>
              <a:r>
                <a:rPr lang="en-US" altLang="zh-CN" sz="1800" i="0" kern="10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宋体" panose="02010600030101010101" pitchFamily="2" charset="-122"/>
                </a:rPr>
                <a:t>𝑎−𝐸</a:t>
              </a:r>
              <a:r>
                <a:rPr lang="zh-CN" altLang="zh-CN" sz="1800" i="0" kern="10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宋体" panose="02010600030101010101" pitchFamily="2" charset="-122"/>
                </a:rPr>
                <a:t>_</a:t>
              </a:r>
              <a:r>
                <a:rPr lang="en-US" altLang="zh-CN" sz="1800" i="0" kern="10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宋体" panose="02010600030101010101" pitchFamily="2" charset="-122"/>
                </a:rPr>
                <a:t>𝑏</a:t>
              </a:r>
              <a:endParaRPr lang="zh-CN" altLang="zh-CN" sz="1800" kern="100">
                <a:effectLst/>
                <a:latin typeface="Times New Roman" panose="02020603050405020304" pitchFamily="18" charset="0"/>
                <a:ea typeface="宋体" panose="02010600030101010101" pitchFamily="2" charset="-122"/>
              </a:endParaRPr>
            </a:p>
            <a:p>
              <a:pPr indent="304800" algn="just">
                <a:lnSpc>
                  <a:spcPct val="150000"/>
                </a:lnSpc>
              </a:pPr>
              <a:r>
                <a:rPr lang="en-US" altLang="zh-CN" sz="1800" i="0" kern="10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宋体" panose="02010600030101010101" pitchFamily="2" charset="-122"/>
                </a:rPr>
                <a:t>tan</a:t>
              </a:r>
              <a:r>
                <a:rPr lang="zh-CN" altLang="zh-CN" sz="1800" i="0" kern="10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宋体" panose="02010600030101010101" pitchFamily="2" charset="-122"/>
                </a:rPr>
                <a:t>^</a:t>
              </a:r>
              <a:r>
                <a:rPr lang="en-US" altLang="zh-CN" sz="1800" i="0" kern="10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宋体" panose="02010600030101010101" pitchFamily="2" charset="-122"/>
                </a:rPr>
                <a:t>2</a:t>
              </a:r>
              <a:r>
                <a:rPr lang="zh-CN" altLang="zh-CN" sz="1800" i="0" kern="10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宋体" panose="02010600030101010101" pitchFamily="2" charset="-122"/>
                </a:rPr>
                <a:t>⁡</a:t>
              </a:r>
              <a:r>
                <a:rPr lang="en-US" altLang="zh-CN" sz="1800" i="0" kern="10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宋体" panose="02010600030101010101" pitchFamily="2" charset="-122"/>
                </a:rPr>
                <a:t>𝜃=</a:t>
              </a:r>
              <a:r>
                <a:rPr lang="zh-CN" altLang="zh-CN" sz="1800" i="0" kern="100">
                  <a:solidFill>
                    <a:srgbClr val="000000"/>
                  </a:solidFill>
                  <a:effectLst/>
                  <a:latin typeface="Cambria Math" panose="02040503050406030204" pitchFamily="18" charset="0"/>
                </a:rPr>
                <a:t>〖</a:t>
              </a:r>
              <a:r>
                <a:rPr lang="en-US" altLang="zh-CN" sz="1800" i="0" kern="10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宋体" panose="02010600030101010101" pitchFamily="2" charset="-122"/>
                </a:rPr>
                <a:t>𝐵</a:t>
              </a:r>
              <a:r>
                <a:rPr lang="zh-CN" altLang="zh-CN" sz="1800" i="0" kern="10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宋体" panose="02010600030101010101" pitchFamily="2" charset="-122"/>
                </a:rPr>
                <a:t>(</a:t>
              </a:r>
              <a:r>
                <a:rPr lang="en-US" altLang="zh-CN" sz="1800" i="0" kern="10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宋体" panose="02010600030101010101" pitchFamily="2" charset="-122"/>
                </a:rPr>
                <a:t>F)</a:t>
              </a:r>
              <a:r>
                <a:rPr lang="zh-CN" altLang="zh-CN" sz="1800" i="0" kern="10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宋体" panose="02010600030101010101" pitchFamily="2" charset="-122"/>
                </a:rPr>
                <a:t>〗_</a:t>
              </a:r>
              <a:r>
                <a:rPr lang="en-US" altLang="zh-CN" sz="1800" i="0" kern="10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宋体" panose="02010600030101010101" pitchFamily="2" charset="-122"/>
                </a:rPr>
                <a:t>𝑏</a:t>
              </a:r>
              <a:r>
                <a:rPr lang="zh-CN" altLang="zh-CN" sz="1800" i="0" kern="10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宋体" panose="02010600030101010101" pitchFamily="2" charset="-122"/>
                </a:rPr>
                <a:t>/〖</a:t>
              </a:r>
              <a:r>
                <a:rPr lang="en-US" altLang="zh-CN" sz="1800" i="0" kern="10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宋体" panose="02010600030101010101" pitchFamily="2" charset="-122"/>
                </a:rPr>
                <a:t>𝐵</a:t>
              </a:r>
              <a:r>
                <a:rPr lang="zh-CN" altLang="zh-CN" sz="1800" i="0" kern="10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宋体" panose="02010600030101010101" pitchFamily="2" charset="-122"/>
                </a:rPr>
                <a:t>(</a:t>
              </a:r>
              <a:r>
                <a:rPr lang="en-US" altLang="zh-CN" sz="1800" i="0" kern="10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宋体" panose="02010600030101010101" pitchFamily="2" charset="-122"/>
                </a:rPr>
                <a:t>F)</a:t>
              </a:r>
              <a:r>
                <a:rPr lang="zh-CN" altLang="zh-CN" sz="1800" i="0" kern="10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宋体" panose="02010600030101010101" pitchFamily="2" charset="-122"/>
                </a:rPr>
                <a:t>〗_</a:t>
              </a:r>
              <a:r>
                <a:rPr lang="en-US" altLang="zh-CN" sz="1800" i="0" kern="10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宋体" panose="02010600030101010101" pitchFamily="2" charset="-122"/>
                </a:rPr>
                <a:t>𝑎 </a:t>
              </a:r>
              <a:endParaRPr lang="zh-CN" altLang="zh-CN" sz="1800" kern="100">
                <a:effectLst/>
                <a:latin typeface="Times New Roman" panose="02020603050405020304" pitchFamily="18" charset="0"/>
                <a:ea typeface="宋体" panose="02010600030101010101" pitchFamily="2" charset="-122"/>
              </a:endParaRPr>
            </a:p>
            <a:p>
              <a:pPr indent="304800" algn="just">
                <a:lnSpc>
                  <a:spcPct val="150000"/>
                </a:lnSpc>
              </a:pPr>
              <a:r>
                <a:rPr lang="en-US" altLang="zh-CN" sz="1800" i="0" kern="10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宋体" panose="02010600030101010101" pitchFamily="2" charset="-122"/>
                </a:rPr>
                <a:t>𝜀=Δ𝐸 cos</a:t>
              </a:r>
              <a:r>
                <a:rPr lang="zh-CN" altLang="zh-CN" sz="1800" i="0" kern="10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宋体" panose="02010600030101010101" pitchFamily="2" charset="-122"/>
                </a:rPr>
                <a:t>⁡</a:t>
              </a:r>
              <a:r>
                <a:rPr lang="en-US" altLang="zh-CN" sz="1800" i="0" kern="10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宋体" panose="02010600030101010101" pitchFamily="2" charset="-122"/>
                </a:rPr>
                <a:t>2𝜃</a:t>
              </a:r>
              <a:endParaRPr lang="zh-CN" altLang="zh-CN" sz="1800" kern="100">
                <a:effectLst/>
                <a:latin typeface="Times New Roman" panose="02020603050405020304" pitchFamily="18" charset="0"/>
                <a:ea typeface="宋体" panose="02010600030101010101" pitchFamily="2" charset="-122"/>
              </a:endParaRPr>
            </a:p>
            <a:p>
              <a:pPr indent="304800" algn="just">
                <a:lnSpc>
                  <a:spcPct val="150000"/>
                </a:lnSpc>
              </a:pPr>
              <a:r>
                <a:rPr lang="en-US" altLang="zh-CN" sz="1800" i="0" kern="10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宋体" panose="02010600030101010101" pitchFamily="2" charset="-122"/>
                </a:rPr>
                <a:t>𝜈=</a:t>
              </a:r>
              <a:r>
                <a:rPr lang="zh-CN" altLang="zh-CN" sz="1800" i="0" kern="100">
                  <a:solidFill>
                    <a:srgbClr val="000000"/>
                  </a:solidFill>
                  <a:effectLst/>
                  <a:latin typeface="Cambria Math" panose="02040503050406030204" pitchFamily="18" charset="0"/>
                </a:rPr>
                <a:t>(</a:t>
              </a:r>
              <a:r>
                <a:rPr lang="en-US" altLang="zh-CN" sz="1800" i="0" kern="10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宋体" panose="02010600030101010101" pitchFamily="2" charset="-122"/>
                </a:rPr>
                <a:t>Δ𝐸 sin</a:t>
              </a:r>
              <a:r>
                <a:rPr lang="zh-CN" altLang="zh-CN" sz="1800" i="0" kern="10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宋体" panose="02010600030101010101" pitchFamily="2" charset="-122"/>
                </a:rPr>
                <a:t>⁡</a:t>
              </a:r>
              <a:r>
                <a:rPr lang="en-US" altLang="zh-CN" sz="1800" i="0" kern="10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宋体" panose="02010600030101010101" pitchFamily="2" charset="-122"/>
                </a:rPr>
                <a:t>2𝜃</a:t>
              </a:r>
              <a:r>
                <a:rPr lang="zh-CN" altLang="zh-CN" sz="1800" i="0" kern="10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宋体" panose="02010600030101010101" pitchFamily="2" charset="-122"/>
                </a:rPr>
                <a:t>)/</a:t>
              </a:r>
              <a:r>
                <a:rPr lang="en-US" altLang="zh-CN" sz="1800" i="0" kern="10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宋体" panose="02010600030101010101" pitchFamily="2" charset="-122"/>
                </a:rPr>
                <a:t>2</a:t>
              </a:r>
              <a:endParaRPr lang="zh-CN" altLang="zh-CN" sz="1800" kern="100">
                <a:effectLst/>
                <a:latin typeface="Times New Roman" panose="02020603050405020304" pitchFamily="18" charset="0"/>
                <a:ea typeface="宋体" panose="02010600030101010101" pitchFamily="2" charset="-122"/>
              </a:endParaRPr>
            </a:p>
            <a:p>
              <a:pPr/>
              <a:r>
                <a:rPr lang="en-US" altLang="zh-CN" sz="18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宋体" panose="02010600030101010101" pitchFamily="2" charset="-122"/>
                  <a:cs typeface="Times New Roman" panose="02020603050405020304" pitchFamily="18" charset="0"/>
                </a:rPr>
                <a:t>α</a:t>
              </a:r>
              <a:r>
                <a:rPr lang="zh-CN" altLang="zh-CN" sz="18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宋体" panose="02010600030101010101" pitchFamily="2" charset="-122"/>
                  <a:cs typeface="Times New Roman" panose="02020603050405020304" pitchFamily="18" charset="0"/>
                </a:rPr>
                <a:t>^</a:t>
              </a:r>
              <a:r>
                <a:rPr lang="en-US" altLang="zh-CN" sz="18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宋体" panose="02010600030101010101" pitchFamily="2" charset="-122"/>
                  <a:cs typeface="Times New Roman" panose="02020603050405020304" pitchFamily="18" charset="0"/>
                </a:rPr>
                <a:t>2=</a:t>
              </a:r>
              <a:r>
                <a:rPr lang="zh-CN" altLang="zh-CN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</a:rPr>
                <a:t>〖</a:t>
              </a:r>
              <a:r>
                <a:rPr lang="en-US" altLang="zh-CN" sz="18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宋体" panose="02010600030101010101" pitchFamily="2" charset="-122"/>
                  <a:cs typeface="Times New Roman" panose="02020603050405020304" pitchFamily="18" charset="0"/>
                </a:rPr>
                <a:t>𝐵</a:t>
              </a:r>
              <a:r>
                <a:rPr lang="zh-CN" altLang="zh-CN" sz="18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宋体" panose="02010600030101010101" pitchFamily="2" charset="-122"/>
                  <a:cs typeface="Times New Roman" panose="02020603050405020304" pitchFamily="18" charset="0"/>
                </a:rPr>
                <a:t>(</a:t>
              </a:r>
              <a:r>
                <a:rPr lang="en-US" altLang="zh-CN" sz="18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宋体" panose="02010600030101010101" pitchFamily="2" charset="-122"/>
                  <a:cs typeface="Times New Roman" panose="02020603050405020304" pitchFamily="18" charset="0"/>
                </a:rPr>
                <a:t>F)</a:t>
              </a:r>
              <a:r>
                <a:rPr lang="zh-CN" altLang="zh-CN" sz="18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宋体" panose="02010600030101010101" pitchFamily="2" charset="-122"/>
                  <a:cs typeface="Times New Roman" panose="02020603050405020304" pitchFamily="18" charset="0"/>
                </a:rPr>
                <a:t>〗_</a:t>
              </a:r>
              <a:r>
                <a:rPr lang="en-US" altLang="zh-CN" sz="18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宋体" panose="02010600030101010101" pitchFamily="2" charset="-122"/>
                  <a:cs typeface="Times New Roman" panose="02020603050405020304" pitchFamily="18" charset="0"/>
                </a:rPr>
                <a:t>𝑏</a:t>
              </a:r>
              <a:r>
                <a:rPr lang="zh-CN" altLang="zh-CN" sz="18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宋体" panose="02010600030101010101" pitchFamily="2" charset="-122"/>
                  <a:cs typeface="Times New Roman" panose="02020603050405020304" pitchFamily="18" charset="0"/>
                </a:rPr>
                <a:t>/(〖</a:t>
              </a:r>
              <a:r>
                <a:rPr lang="en-US" altLang="zh-CN" sz="18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宋体" panose="02010600030101010101" pitchFamily="2" charset="-122"/>
                  <a:cs typeface="Times New Roman" panose="02020603050405020304" pitchFamily="18" charset="0"/>
                </a:rPr>
                <a:t>𝐵</a:t>
              </a:r>
              <a:r>
                <a:rPr lang="zh-CN" altLang="zh-CN" sz="18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宋体" panose="02010600030101010101" pitchFamily="2" charset="-122"/>
                  <a:cs typeface="Times New Roman" panose="02020603050405020304" pitchFamily="18" charset="0"/>
                </a:rPr>
                <a:t>(</a:t>
              </a:r>
              <a:r>
                <a:rPr lang="en-US" altLang="zh-CN" sz="18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宋体" panose="02010600030101010101" pitchFamily="2" charset="-122"/>
                  <a:cs typeface="Times New Roman" panose="02020603050405020304" pitchFamily="18" charset="0"/>
                </a:rPr>
                <a:t>F)</a:t>
              </a:r>
              <a:r>
                <a:rPr lang="zh-CN" altLang="zh-CN" sz="18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宋体" panose="02010600030101010101" pitchFamily="2" charset="-122"/>
                  <a:cs typeface="Times New Roman" panose="02020603050405020304" pitchFamily="18" charset="0"/>
                </a:rPr>
                <a:t>〗_</a:t>
              </a:r>
              <a:r>
                <a:rPr lang="en-US" altLang="zh-CN" sz="18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宋体" panose="02010600030101010101" pitchFamily="2" charset="-122"/>
                  <a:cs typeface="Times New Roman" panose="02020603050405020304" pitchFamily="18" charset="0"/>
                </a:rPr>
                <a:t>𝑎+</a:t>
              </a:r>
              <a:r>
                <a:rPr lang="zh-CN" altLang="zh-CN" sz="18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宋体" panose="02010600030101010101" pitchFamily="2" charset="-122"/>
                  <a:cs typeface="Times New Roman" panose="02020603050405020304" pitchFamily="18" charset="0"/>
                </a:rPr>
                <a:t>〖</a:t>
              </a:r>
              <a:r>
                <a:rPr lang="en-US" altLang="zh-CN" sz="18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宋体" panose="02010600030101010101" pitchFamily="2" charset="-122"/>
                  <a:cs typeface="Times New Roman" panose="02020603050405020304" pitchFamily="18" charset="0"/>
                </a:rPr>
                <a:t>𝐵</a:t>
              </a:r>
              <a:r>
                <a:rPr lang="zh-CN" altLang="zh-CN" sz="18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宋体" panose="02010600030101010101" pitchFamily="2" charset="-122"/>
                  <a:cs typeface="Times New Roman" panose="02020603050405020304" pitchFamily="18" charset="0"/>
                </a:rPr>
                <a:t>(</a:t>
              </a:r>
              <a:r>
                <a:rPr lang="en-US" altLang="zh-CN" sz="18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宋体" panose="02010600030101010101" pitchFamily="2" charset="-122"/>
                  <a:cs typeface="Times New Roman" panose="02020603050405020304" pitchFamily="18" charset="0"/>
                </a:rPr>
                <a:t>F)</a:t>
              </a:r>
              <a:r>
                <a:rPr lang="zh-CN" altLang="zh-CN" sz="18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宋体" panose="02010600030101010101" pitchFamily="2" charset="-122"/>
                  <a:cs typeface="Times New Roman" panose="02020603050405020304" pitchFamily="18" charset="0"/>
                </a:rPr>
                <a:t>〗_</a:t>
              </a:r>
              <a:r>
                <a:rPr lang="en-US" altLang="zh-CN" sz="18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宋体" panose="02010600030101010101" pitchFamily="2" charset="-122"/>
                  <a:cs typeface="Times New Roman" panose="02020603050405020304" pitchFamily="18" charset="0"/>
                </a:rPr>
                <a:t>𝑏 </a:t>
              </a:r>
              <a:r>
                <a:rPr lang="zh-CN" altLang="zh-CN" sz="18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宋体" panose="02010600030101010101" pitchFamily="2" charset="-122"/>
                  <a:cs typeface="Times New Roman" panose="02020603050405020304" pitchFamily="18" charset="0"/>
                </a:rPr>
                <a:t>)</a:t>
              </a:r>
              <a:endParaRPr lang="zh-CN" altLang="en-US"/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doi.org/10.1103/PhysRevD.110.030001" TargetMode="External"/><Relationship Id="rId2" Type="http://schemas.openxmlformats.org/officeDocument/2006/relationships/hyperlink" Target="https://pdglive.lbl.gov/DataBlock.action?node=S017AV" TargetMode="External"/><Relationship Id="rId1" Type="http://schemas.openxmlformats.org/officeDocument/2006/relationships/hyperlink" Target="https://doi.org/10.1103/PhysRevC.102.045501" TargetMode="External"/><Relationship Id="rId5" Type="http://schemas.openxmlformats.org/officeDocument/2006/relationships/drawing" Target="../drawings/drawing6.xml"/><Relationship Id="rId4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D7E33-75D3-4931-B712-07D722223019}">
  <dimension ref="A2:CB313"/>
  <sheetViews>
    <sheetView workbookViewId="0"/>
  </sheetViews>
  <sheetFormatPr defaultColWidth="9" defaultRowHeight="13.2"/>
  <cols>
    <col min="1" max="4" width="9" style="91"/>
    <col min="5" max="5" width="7.88671875" style="91" bestFit="1" customWidth="1"/>
    <col min="6" max="6" width="12.6640625" style="91" bestFit="1" customWidth="1"/>
    <col min="7" max="7" width="9.88671875" style="91" customWidth="1"/>
    <col min="8" max="8" width="8.77734375" style="91" customWidth="1"/>
    <col min="9" max="9" width="9.77734375" style="91" customWidth="1"/>
    <col min="10" max="11" width="8.21875" style="91" customWidth="1"/>
    <col min="12" max="12" width="9.44140625" style="91" bestFit="1" customWidth="1"/>
    <col min="13" max="13" width="8.33203125" style="91" bestFit="1" customWidth="1"/>
    <col min="14" max="14" width="6" style="91" customWidth="1"/>
    <col min="15" max="15" width="11.77734375" style="91" bestFit="1" customWidth="1"/>
    <col min="16" max="16" width="7.33203125" style="91" customWidth="1"/>
    <col min="17" max="17" width="7.33203125" style="91" bestFit="1" customWidth="1"/>
    <col min="18" max="18" width="8.21875" style="91" bestFit="1" customWidth="1"/>
    <col min="19" max="19" width="10.21875" style="91" customWidth="1"/>
    <col min="20" max="20" width="7.88671875" style="91" bestFit="1" customWidth="1"/>
    <col min="21" max="21" width="6.33203125" style="91" customWidth="1"/>
    <col min="22" max="22" width="7" style="91" customWidth="1"/>
    <col min="23" max="23" width="7.6640625" style="91" customWidth="1"/>
    <col min="24" max="24" width="5.109375" style="91" customWidth="1"/>
    <col min="25" max="25" width="7" style="91" customWidth="1"/>
    <col min="26" max="26" width="8.77734375" style="91" bestFit="1" customWidth="1"/>
    <col min="27" max="27" width="7.88671875" style="91" bestFit="1" customWidth="1"/>
    <col min="28" max="28" width="7.33203125" style="91" bestFit="1" customWidth="1"/>
    <col min="29" max="29" width="6.77734375" style="91" bestFit="1" customWidth="1"/>
    <col min="30" max="30" width="8.21875" style="91" bestFit="1" customWidth="1"/>
    <col min="31" max="33" width="6.77734375" style="91" bestFit="1" customWidth="1"/>
    <col min="34" max="34" width="8.21875" style="91" bestFit="1" customWidth="1"/>
    <col min="35" max="37" width="6.77734375" style="91" bestFit="1" customWidth="1"/>
    <col min="38" max="38" width="8.21875" style="91" bestFit="1" customWidth="1"/>
    <col min="39" max="41" width="6.77734375" style="91" bestFit="1" customWidth="1"/>
    <col min="42" max="42" width="8.21875" style="91" bestFit="1" customWidth="1"/>
    <col min="43" max="45" width="6.77734375" style="91" bestFit="1" customWidth="1"/>
    <col min="46" max="46" width="8.21875" style="91" bestFit="1" customWidth="1"/>
    <col min="47" max="49" width="6.77734375" style="91" bestFit="1" customWidth="1"/>
    <col min="50" max="50" width="8.21875" style="91" bestFit="1" customWidth="1"/>
    <col min="51" max="53" width="6.77734375" style="91" bestFit="1" customWidth="1"/>
    <col min="54" max="54" width="8.21875" style="91" bestFit="1" customWidth="1"/>
    <col min="55" max="57" width="6.77734375" style="91" bestFit="1" customWidth="1"/>
    <col min="58" max="58" width="8.21875" style="91" bestFit="1" customWidth="1"/>
    <col min="59" max="61" width="6.77734375" style="91" bestFit="1" customWidth="1"/>
    <col min="62" max="62" width="8.21875" style="91" bestFit="1" customWidth="1"/>
    <col min="63" max="65" width="6.77734375" style="91" bestFit="1" customWidth="1"/>
    <col min="66" max="66" width="8.21875" style="91" bestFit="1" customWidth="1"/>
    <col min="67" max="69" width="6.77734375" style="91" bestFit="1" customWidth="1"/>
    <col min="70" max="70" width="7.44140625" style="91" bestFit="1" customWidth="1"/>
    <col min="71" max="76" width="6.77734375" style="91" bestFit="1" customWidth="1"/>
    <col min="77" max="80" width="9" style="15"/>
    <col min="81" max="16384" width="9" style="91"/>
  </cols>
  <sheetData>
    <row r="2" spans="2:76">
      <c r="L2" s="91" t="s">
        <v>62</v>
      </c>
      <c r="M2" s="91">
        <f>1.088*37000</f>
        <v>40256</v>
      </c>
      <c r="N2" s="91" t="s">
        <v>63</v>
      </c>
    </row>
    <row r="3" spans="2:76">
      <c r="L3" s="11"/>
      <c r="M3" s="11"/>
      <c r="Q3" s="92"/>
      <c r="R3" s="92"/>
      <c r="S3" s="92"/>
      <c r="T3" s="92"/>
      <c r="U3" s="93"/>
      <c r="V3" s="93"/>
      <c r="W3" s="93"/>
      <c r="X3" s="93"/>
      <c r="Y3" s="92"/>
      <c r="Z3" s="92"/>
      <c r="AA3" s="92"/>
      <c r="AB3" s="92"/>
      <c r="AC3" s="93"/>
      <c r="AD3" s="93"/>
      <c r="AE3" s="93"/>
      <c r="AF3" s="93"/>
      <c r="AG3" s="92"/>
      <c r="AH3" s="92"/>
      <c r="AI3" s="92"/>
      <c r="AJ3" s="92"/>
      <c r="AK3" s="93"/>
      <c r="AL3" s="93"/>
      <c r="AM3" s="93"/>
      <c r="AN3" s="93"/>
      <c r="AO3" s="92"/>
      <c r="AP3" s="92"/>
      <c r="AQ3" s="92"/>
      <c r="AR3" s="92"/>
      <c r="AS3" s="93"/>
      <c r="AT3" s="93"/>
      <c r="AU3" s="93"/>
      <c r="AV3" s="93"/>
      <c r="AW3" s="92"/>
      <c r="AX3" s="92"/>
      <c r="AY3" s="92"/>
      <c r="AZ3" s="92"/>
      <c r="BA3" s="93"/>
      <c r="BB3" s="93"/>
      <c r="BC3" s="93"/>
      <c r="BD3" s="93"/>
      <c r="BE3" s="92"/>
      <c r="BF3" s="92"/>
      <c r="BG3" s="92"/>
      <c r="BH3" s="92"/>
      <c r="BI3" s="93"/>
      <c r="BJ3" s="93"/>
      <c r="BK3" s="93"/>
      <c r="BL3" s="93"/>
      <c r="BM3" s="92"/>
      <c r="BN3" s="92"/>
      <c r="BO3" s="92"/>
      <c r="BP3" s="92"/>
      <c r="BQ3" s="93"/>
      <c r="BR3" s="93"/>
      <c r="BS3" s="93"/>
      <c r="BT3" s="93"/>
      <c r="BU3" s="94"/>
      <c r="BV3" s="94"/>
      <c r="BW3" s="94"/>
      <c r="BX3" s="94"/>
    </row>
    <row r="4" spans="2:76">
      <c r="I4" s="100" t="s">
        <v>169</v>
      </c>
      <c r="J4" s="91" t="s">
        <v>42</v>
      </c>
      <c r="L4" s="11" t="s">
        <v>64</v>
      </c>
      <c r="M4" s="91">
        <f>1489020000000/10000000000</f>
        <v>148.90199999999999</v>
      </c>
      <c r="N4" s="91" t="s">
        <v>22</v>
      </c>
      <c r="O4" s="91">
        <f>$M$2*M4</f>
        <v>5994198.9119999995</v>
      </c>
      <c r="Q4" s="412" t="s">
        <v>45</v>
      </c>
      <c r="R4" s="412"/>
      <c r="S4" s="412"/>
      <c r="T4" s="412"/>
      <c r="U4" s="413" t="s">
        <v>46</v>
      </c>
      <c r="V4" s="413"/>
      <c r="W4" s="413"/>
      <c r="X4" s="413"/>
      <c r="Y4" s="412" t="s">
        <v>47</v>
      </c>
      <c r="Z4" s="412"/>
      <c r="AA4" s="412"/>
      <c r="AB4" s="412"/>
      <c r="AC4" s="413" t="s">
        <v>48</v>
      </c>
      <c r="AD4" s="413"/>
      <c r="AE4" s="413"/>
      <c r="AF4" s="413"/>
      <c r="AG4" s="412" t="s">
        <v>49</v>
      </c>
      <c r="AH4" s="412"/>
      <c r="AI4" s="412"/>
      <c r="AJ4" s="412"/>
      <c r="AK4" s="413" t="s">
        <v>50</v>
      </c>
      <c r="AL4" s="413"/>
      <c r="AM4" s="413"/>
      <c r="AN4" s="413"/>
      <c r="AO4" s="412" t="s">
        <v>51</v>
      </c>
      <c r="AP4" s="412"/>
      <c r="AQ4" s="412"/>
      <c r="AR4" s="412"/>
      <c r="AS4" s="413" t="s">
        <v>52</v>
      </c>
      <c r="AT4" s="413"/>
      <c r="AU4" s="413"/>
      <c r="AV4" s="413"/>
      <c r="AW4" s="412" t="s">
        <v>53</v>
      </c>
      <c r="AX4" s="412"/>
      <c r="AY4" s="412"/>
      <c r="AZ4" s="412"/>
      <c r="BA4" s="413" t="s">
        <v>54</v>
      </c>
      <c r="BB4" s="413"/>
      <c r="BC4" s="413"/>
      <c r="BD4" s="413"/>
      <c r="BE4" s="412" t="s">
        <v>55</v>
      </c>
      <c r="BF4" s="412"/>
      <c r="BG4" s="412"/>
      <c r="BH4" s="412"/>
      <c r="BI4" s="413" t="s">
        <v>56</v>
      </c>
      <c r="BJ4" s="413"/>
      <c r="BK4" s="413"/>
      <c r="BL4" s="413"/>
      <c r="BM4" s="412" t="s">
        <v>57</v>
      </c>
      <c r="BN4" s="412"/>
      <c r="BO4" s="412"/>
      <c r="BP4" s="412"/>
      <c r="BQ4" s="413" t="s">
        <v>58</v>
      </c>
      <c r="BR4" s="413"/>
      <c r="BS4" s="413"/>
      <c r="BT4" s="413"/>
      <c r="BU4" s="414" t="s">
        <v>60</v>
      </c>
      <c r="BV4" s="414"/>
      <c r="BW4" s="414"/>
      <c r="BX4" s="414"/>
    </row>
    <row r="5" spans="2:76">
      <c r="B5" s="91" t="s">
        <v>154</v>
      </c>
      <c r="C5" s="91" t="s">
        <v>154</v>
      </c>
      <c r="D5" s="91" t="s">
        <v>159</v>
      </c>
      <c r="E5" s="91" t="s">
        <v>158</v>
      </c>
      <c r="G5" s="91" t="s">
        <v>61</v>
      </c>
      <c r="I5" s="91" t="s">
        <v>40</v>
      </c>
      <c r="K5" s="91" t="s">
        <v>156</v>
      </c>
      <c r="L5" s="11"/>
      <c r="M5" s="101" t="s">
        <v>160</v>
      </c>
      <c r="N5" s="100"/>
      <c r="O5" s="91" t="s">
        <v>157</v>
      </c>
      <c r="Q5" s="92" t="s">
        <v>43</v>
      </c>
      <c r="R5" s="92"/>
      <c r="S5" s="92" t="s">
        <v>44</v>
      </c>
      <c r="T5" s="92"/>
      <c r="U5" s="93" t="s">
        <v>43</v>
      </c>
      <c r="V5" s="93"/>
      <c r="W5" s="93" t="s">
        <v>44</v>
      </c>
      <c r="X5" s="93"/>
      <c r="Y5" s="92"/>
      <c r="Z5" s="92"/>
      <c r="AA5" s="92"/>
      <c r="AB5" s="92"/>
      <c r="AC5" s="93"/>
      <c r="AD5" s="93"/>
      <c r="AE5" s="93"/>
      <c r="AF5" s="93"/>
      <c r="AG5" s="92"/>
      <c r="AH5" s="92"/>
      <c r="AI5" s="92"/>
      <c r="AJ5" s="92"/>
      <c r="AK5" s="93"/>
      <c r="AL5" s="93"/>
      <c r="AM5" s="93"/>
      <c r="AN5" s="93"/>
      <c r="AO5" s="92"/>
      <c r="AP5" s="92"/>
      <c r="AQ5" s="92"/>
      <c r="AR5" s="92"/>
      <c r="AS5" s="93" t="s">
        <v>43</v>
      </c>
      <c r="AT5" s="93">
        <v>8</v>
      </c>
      <c r="AU5" s="93" t="s">
        <v>44</v>
      </c>
      <c r="AV5" s="93"/>
      <c r="AW5" s="92"/>
      <c r="AX5" s="92"/>
      <c r="AY5" s="92"/>
      <c r="AZ5" s="92"/>
      <c r="BA5" s="93"/>
      <c r="BB5" s="93"/>
      <c r="BC5" s="93"/>
      <c r="BD5" s="93"/>
      <c r="BE5" s="92"/>
      <c r="BF5" s="92"/>
      <c r="BG5" s="92"/>
      <c r="BH5" s="92"/>
      <c r="BI5" s="93"/>
      <c r="BJ5" s="93"/>
      <c r="BK5" s="93"/>
      <c r="BL5" s="93"/>
      <c r="BM5" s="92"/>
      <c r="BN5" s="92"/>
      <c r="BO5" s="92"/>
      <c r="BP5" s="92"/>
      <c r="BQ5" s="93"/>
      <c r="BR5" s="93"/>
      <c r="BS5" s="93"/>
      <c r="BT5" s="93"/>
      <c r="BU5" s="94"/>
      <c r="BV5" s="94"/>
      <c r="BW5" s="94"/>
      <c r="BX5" s="94"/>
    </row>
    <row r="6" spans="2:76">
      <c r="B6" s="2">
        <f>SUM(B7,B10,B12,B13,B14,B15,B17)</f>
        <v>6588.6332348143933</v>
      </c>
      <c r="C6" s="69"/>
      <c r="E6" s="23">
        <f>F6</f>
        <v>0.20741768270424182</v>
      </c>
      <c r="F6" s="11">
        <f t="shared" ref="F6:F17" si="0">G6/G$18</f>
        <v>0.20741768270424182</v>
      </c>
      <c r="G6" s="91">
        <v>0.28410000000000002</v>
      </c>
      <c r="H6" s="91">
        <v>1.2999999999999999E-3</v>
      </c>
      <c r="I6" s="2">
        <v>121.7817</v>
      </c>
      <c r="J6" s="91">
        <v>2.9999999999999997E-4</v>
      </c>
      <c r="K6" s="2">
        <f>O6+B6+C6</f>
        <v>1955439.1332348145</v>
      </c>
      <c r="L6" s="11">
        <f>SQRT(SUMSQ(T6,X6,AB6,AF6,AJ6,AN6,AR6,AV6,AZ6,BD6,BH6,BL6,BP6,BT6))</f>
        <v>1787.3151698491793</v>
      </c>
      <c r="M6" s="101">
        <f>K6/G6/O$4</f>
        <v>1.1482644464119336</v>
      </c>
      <c r="N6" s="100">
        <f t="shared" ref="N6:N17" si="1">M6*SQRT((H6/G6)^2+(L6/O6)^2)</f>
        <v>5.3587831416034458E-3</v>
      </c>
      <c r="O6" s="91">
        <f t="shared" ref="O6:O17" si="2">SUM(S6,W6,AA6,AE6,AI6,AM6,AQ6,AU6,AY6,BC6,BG6,BK6,BO6,BS6)</f>
        <v>1948850.5</v>
      </c>
      <c r="Q6" s="92">
        <v>887.322</v>
      </c>
      <c r="R6" s="92">
        <v>0.18588199999999999</v>
      </c>
      <c r="S6" s="92">
        <v>72158</v>
      </c>
      <c r="T6" s="92">
        <v>332.55799999999999</v>
      </c>
      <c r="U6" s="93">
        <v>940.13699999999994</v>
      </c>
      <c r="V6" s="93">
        <v>0.210615</v>
      </c>
      <c r="W6" s="93">
        <v>70202</v>
      </c>
      <c r="X6" s="93">
        <v>333.214</v>
      </c>
      <c r="Y6" s="92">
        <v>878.28599999999994</v>
      </c>
      <c r="Z6" s="92">
        <v>0.201125</v>
      </c>
      <c r="AA6" s="92">
        <v>77759.600000000006</v>
      </c>
      <c r="AB6" s="92">
        <v>351.077</v>
      </c>
      <c r="AC6" s="93">
        <v>893.71</v>
      </c>
      <c r="AD6" s="93">
        <v>0.25129299999999999</v>
      </c>
      <c r="AE6" s="93">
        <v>70166.899999999994</v>
      </c>
      <c r="AF6" s="93">
        <v>337.29300000000001</v>
      </c>
      <c r="AG6" s="92">
        <v>881.72</v>
      </c>
      <c r="AH6" s="92">
        <v>0.20495099999999999</v>
      </c>
      <c r="AI6" s="92">
        <v>74137.899999999994</v>
      </c>
      <c r="AJ6" s="92">
        <v>342.26600000000002</v>
      </c>
      <c r="AK6" s="93">
        <v>879.48599999999999</v>
      </c>
      <c r="AL6" s="93">
        <v>0.217836</v>
      </c>
      <c r="AM6" s="93">
        <v>72252.800000000003</v>
      </c>
      <c r="AN6" s="93">
        <v>349.31900000000002</v>
      </c>
      <c r="AO6" s="92">
        <v>869.65499999999997</v>
      </c>
      <c r="AP6" s="92">
        <v>0.18371299999999999</v>
      </c>
      <c r="AQ6" s="92">
        <v>72325.600000000006</v>
      </c>
      <c r="AR6" s="92">
        <v>344.15100000000001</v>
      </c>
      <c r="AS6" s="93">
        <v>1283.2</v>
      </c>
      <c r="AT6" s="93">
        <v>0.31749500000000003</v>
      </c>
      <c r="AU6" s="93">
        <v>66380.7</v>
      </c>
      <c r="AV6" s="93">
        <v>340.101</v>
      </c>
      <c r="AW6" s="92">
        <v>856.03700000000003</v>
      </c>
      <c r="AX6" s="92">
        <v>7.3148599999999994E-2</v>
      </c>
      <c r="AY6" s="92">
        <v>227820</v>
      </c>
      <c r="AZ6" s="92">
        <v>589.88</v>
      </c>
      <c r="BA6" s="93">
        <v>825.06799999999998</v>
      </c>
      <c r="BB6" s="93">
        <v>8.8951199999999994E-2</v>
      </c>
      <c r="BC6" s="93">
        <v>226862</v>
      </c>
      <c r="BD6" s="93">
        <v>570.89700000000005</v>
      </c>
      <c r="BE6" s="92">
        <v>855.23500000000001</v>
      </c>
      <c r="BF6" s="92">
        <v>0.22734199999999999</v>
      </c>
      <c r="BG6" s="92">
        <v>230624</v>
      </c>
      <c r="BH6" s="92">
        <v>673.85299999999995</v>
      </c>
      <c r="BI6" s="93">
        <v>906.68100000000004</v>
      </c>
      <c r="BJ6" s="93">
        <v>9.7368300000000005E-2</v>
      </c>
      <c r="BK6" s="93">
        <v>236379</v>
      </c>
      <c r="BL6" s="93">
        <v>603.18700000000001</v>
      </c>
      <c r="BM6" s="92">
        <v>844.74400000000003</v>
      </c>
      <c r="BN6" s="92">
        <v>0.10935499999999999</v>
      </c>
      <c r="BO6" s="92">
        <v>228055</v>
      </c>
      <c r="BP6" s="92">
        <v>606.57299999999998</v>
      </c>
      <c r="BQ6" s="93">
        <v>852.12300000000005</v>
      </c>
      <c r="BR6" s="93">
        <v>0.17651</v>
      </c>
      <c r="BS6" s="93">
        <v>223727</v>
      </c>
      <c r="BT6" s="93">
        <v>634.70000000000005</v>
      </c>
      <c r="BU6" s="94">
        <v>864.00199999999995</v>
      </c>
      <c r="BV6" s="94">
        <v>4.8998299999999997</v>
      </c>
      <c r="BW6" s="94">
        <v>208154</v>
      </c>
      <c r="BX6" s="94">
        <v>1113.8599999999999</v>
      </c>
    </row>
    <row r="7" spans="2:76">
      <c r="B7" s="2">
        <f>AD22/13*O7</f>
        <v>1514.6701237592395</v>
      </c>
      <c r="C7" s="2">
        <f>C10+C12+C15</f>
        <v>761.54782302564115</v>
      </c>
      <c r="D7" s="91">
        <v>122</v>
      </c>
      <c r="E7" s="22">
        <f>E6+F7</f>
        <v>0.26217419872964887</v>
      </c>
      <c r="F7" s="11">
        <f t="shared" si="0"/>
        <v>5.4756516025407022E-2</v>
      </c>
      <c r="G7" s="91">
        <v>7.4999999999999997E-2</v>
      </c>
      <c r="H7" s="91">
        <v>4.0000000000000002E-4</v>
      </c>
      <c r="I7" s="2">
        <v>244.69739999999999</v>
      </c>
      <c r="J7" s="91">
        <v>8.0000000000000004E-4</v>
      </c>
      <c r="K7" s="2">
        <f t="shared" ref="K7:K16" si="3">O7+B7+C7</f>
        <v>416178.01794678485</v>
      </c>
      <c r="L7" s="11">
        <f t="shared" ref="L7:L17" si="4">SQRT(SUMSQ(T7,X7,AB7,AF7,AJ7,AN7,AR7,AV7,AZ7,BD7,BH7,BL7,BP7,BT7))</f>
        <v>971.30723772089743</v>
      </c>
      <c r="M7" s="101">
        <f>K7/G7/O$4</f>
        <v>0.92573508499720358</v>
      </c>
      <c r="N7" s="100">
        <f t="shared" si="1"/>
        <v>5.3940645451064162E-3</v>
      </c>
      <c r="O7" s="91">
        <f t="shared" si="2"/>
        <v>413901.8</v>
      </c>
      <c r="Q7" s="92">
        <v>1783.65</v>
      </c>
      <c r="R7" s="92">
        <v>0.647984</v>
      </c>
      <c r="S7" s="92">
        <v>16059.8</v>
      </c>
      <c r="T7" s="92">
        <v>180.571</v>
      </c>
      <c r="U7" s="93">
        <v>1892.17</v>
      </c>
      <c r="V7" s="93">
        <v>1.0187600000000001</v>
      </c>
      <c r="W7" s="93">
        <v>14809</v>
      </c>
      <c r="X7" s="93">
        <v>175.61199999999999</v>
      </c>
      <c r="Y7" s="92">
        <v>1761.98</v>
      </c>
      <c r="Z7" s="92">
        <v>0.65934199999999998</v>
      </c>
      <c r="AA7" s="92">
        <v>16901.5</v>
      </c>
      <c r="AB7" s="92">
        <v>191.64599999999999</v>
      </c>
      <c r="AC7" s="93">
        <v>1794.06</v>
      </c>
      <c r="AD7" s="93">
        <v>0.77988400000000002</v>
      </c>
      <c r="AE7" s="93">
        <v>15613.3</v>
      </c>
      <c r="AF7" s="93">
        <v>188.33699999999999</v>
      </c>
      <c r="AG7" s="92">
        <v>1777.81</v>
      </c>
      <c r="AH7" s="92">
        <v>0.60075699999999999</v>
      </c>
      <c r="AI7" s="92">
        <v>16703.3</v>
      </c>
      <c r="AJ7" s="92">
        <v>190.364</v>
      </c>
      <c r="AK7" s="93">
        <v>1768.88</v>
      </c>
      <c r="AL7" s="93">
        <v>0.75541499999999995</v>
      </c>
      <c r="AM7" s="93">
        <v>15836.8</v>
      </c>
      <c r="AN7" s="93">
        <v>190.3</v>
      </c>
      <c r="AO7" s="92">
        <v>1748.58</v>
      </c>
      <c r="AP7" s="92">
        <v>0.58197600000000005</v>
      </c>
      <c r="AQ7" s="92">
        <v>15907.2</v>
      </c>
      <c r="AR7" s="92">
        <v>189.684</v>
      </c>
      <c r="AS7" s="93">
        <v>2577.04</v>
      </c>
      <c r="AT7" s="93">
        <v>0.84419900000000003</v>
      </c>
      <c r="AU7" s="93">
        <v>14986.1</v>
      </c>
      <c r="AV7" s="93">
        <v>190.15799999999999</v>
      </c>
      <c r="AW7" s="92">
        <v>1724.03</v>
      </c>
      <c r="AX7" s="92">
        <v>0.204509</v>
      </c>
      <c r="AY7" s="92">
        <v>47720.3</v>
      </c>
      <c r="AZ7" s="92">
        <v>314.23099999999999</v>
      </c>
      <c r="BA7" s="93">
        <v>1665.66</v>
      </c>
      <c r="BB7" s="93">
        <v>0.25250299999999998</v>
      </c>
      <c r="BC7" s="93">
        <v>49240.1</v>
      </c>
      <c r="BD7" s="93">
        <v>300.43299999999999</v>
      </c>
      <c r="BE7" s="92">
        <v>1711.91</v>
      </c>
      <c r="BF7" s="92">
        <v>0.57828599999999997</v>
      </c>
      <c r="BG7" s="92">
        <v>48663.6</v>
      </c>
      <c r="BH7" s="92">
        <v>380.42</v>
      </c>
      <c r="BI7" s="93">
        <v>1831.64</v>
      </c>
      <c r="BJ7" s="93">
        <v>0.301931</v>
      </c>
      <c r="BK7" s="93">
        <v>49478.5</v>
      </c>
      <c r="BL7" s="93">
        <v>314.38900000000001</v>
      </c>
      <c r="BM7" s="92">
        <v>1700.42</v>
      </c>
      <c r="BN7" s="92">
        <v>0.34203899999999998</v>
      </c>
      <c r="BO7" s="92">
        <v>44953.2</v>
      </c>
      <c r="BP7" s="92">
        <v>322.01600000000002</v>
      </c>
      <c r="BQ7" s="93">
        <v>1717.94</v>
      </c>
      <c r="BR7" s="93">
        <v>0.54212800000000005</v>
      </c>
      <c r="BS7" s="93">
        <v>47029.1</v>
      </c>
      <c r="BT7" s="93">
        <v>356.29399999999998</v>
      </c>
      <c r="BU7" s="94">
        <v>1738.79</v>
      </c>
      <c r="BV7" s="94">
        <v>0</v>
      </c>
      <c r="BW7" s="94">
        <v>45352.3</v>
      </c>
      <c r="BX7" s="94" t="s">
        <v>59</v>
      </c>
    </row>
    <row r="8" spans="2:76">
      <c r="B8" s="2">
        <f>C9+C11+C16</f>
        <v>1137.1661796654512</v>
      </c>
      <c r="C8" s="69"/>
      <c r="E8" s="22">
        <f t="shared" ref="E8:E17" si="5">E7+F8</f>
        <v>0.45623129152369135</v>
      </c>
      <c r="F8" s="11">
        <f t="shared" si="0"/>
        <v>0.19405709279404249</v>
      </c>
      <c r="G8" s="91">
        <v>0.26579999999999998</v>
      </c>
      <c r="H8" s="91">
        <v>1.1999999999999999E-3</v>
      </c>
      <c r="I8" s="2">
        <v>344.27850000000001</v>
      </c>
      <c r="J8" s="91">
        <v>1.1999999999999999E-3</v>
      </c>
      <c r="K8" s="2">
        <f t="shared" si="3"/>
        <v>1242110.5661796653</v>
      </c>
      <c r="L8" s="11">
        <f t="shared" si="4"/>
        <v>1287.7806015816516</v>
      </c>
      <c r="M8" s="101">
        <f t="shared" ref="M8:M16" si="6">K8/G8/O$4</f>
        <v>0.7796041262471044</v>
      </c>
      <c r="N8" s="100">
        <f t="shared" si="1"/>
        <v>3.6114380391805648E-3</v>
      </c>
      <c r="O8" s="91">
        <f t="shared" si="2"/>
        <v>1240973.3999999999</v>
      </c>
      <c r="Q8" s="92">
        <v>2508.92</v>
      </c>
      <c r="R8" s="92">
        <v>0.19191</v>
      </c>
      <c r="S8" s="92">
        <v>49523.9</v>
      </c>
      <c r="T8" s="92">
        <v>250.13399999999999</v>
      </c>
      <c r="U8" s="93">
        <v>2658.68</v>
      </c>
      <c r="V8" s="93">
        <v>0.221917</v>
      </c>
      <c r="W8" s="93">
        <v>47869.1</v>
      </c>
      <c r="X8" s="93">
        <v>248.19399999999999</v>
      </c>
      <c r="Y8" s="92">
        <v>2483.58</v>
      </c>
      <c r="Z8" s="92">
        <v>0.203816</v>
      </c>
      <c r="AA8" s="92">
        <v>54530.9</v>
      </c>
      <c r="AB8" s="92">
        <v>264.72300000000001</v>
      </c>
      <c r="AC8" s="93">
        <v>2523.41</v>
      </c>
      <c r="AD8" s="93">
        <v>0.24318500000000001</v>
      </c>
      <c r="AE8" s="93">
        <v>47298</v>
      </c>
      <c r="AF8" s="93">
        <v>248.25899999999999</v>
      </c>
      <c r="AG8" s="92">
        <v>2503.2399999999998</v>
      </c>
      <c r="AH8" s="92">
        <v>0.21996599999999999</v>
      </c>
      <c r="AI8" s="92">
        <v>51071.4</v>
      </c>
      <c r="AJ8" s="92">
        <v>255.268</v>
      </c>
      <c r="AK8" s="93">
        <v>2489.88</v>
      </c>
      <c r="AL8" s="93">
        <v>0.229966</v>
      </c>
      <c r="AM8" s="93">
        <v>49388.800000000003</v>
      </c>
      <c r="AN8" s="93">
        <v>256.40600000000001</v>
      </c>
      <c r="AO8" s="92">
        <v>2458.41</v>
      </c>
      <c r="AP8" s="92">
        <v>0.196052</v>
      </c>
      <c r="AQ8" s="92">
        <v>49999.7</v>
      </c>
      <c r="AR8" s="92">
        <v>258.00099999999998</v>
      </c>
      <c r="AS8" s="93">
        <v>3626.35</v>
      </c>
      <c r="AT8" s="93">
        <v>0.32373800000000003</v>
      </c>
      <c r="AU8" s="93">
        <v>46322.6</v>
      </c>
      <c r="AV8" s="93">
        <v>250.876</v>
      </c>
      <c r="AW8" s="92">
        <v>2418.98</v>
      </c>
      <c r="AX8" s="92">
        <v>8.7846999999999995E-2</v>
      </c>
      <c r="AY8" s="92">
        <v>141884</v>
      </c>
      <c r="AZ8" s="92">
        <v>430.29899999999998</v>
      </c>
      <c r="BA8" s="93">
        <v>2350.5500000000002</v>
      </c>
      <c r="BB8" s="93">
        <v>0.103695</v>
      </c>
      <c r="BC8" s="93">
        <v>144021</v>
      </c>
      <c r="BD8" s="93">
        <v>423.10899999999998</v>
      </c>
      <c r="BE8" s="92">
        <v>2408.9</v>
      </c>
      <c r="BF8" s="92">
        <v>0.22301699999999999</v>
      </c>
      <c r="BG8" s="92">
        <v>140425</v>
      </c>
      <c r="BH8" s="92">
        <v>461.596</v>
      </c>
      <c r="BI8" s="93">
        <v>2569.56</v>
      </c>
      <c r="BJ8" s="93">
        <v>0.113955</v>
      </c>
      <c r="BK8" s="93">
        <v>149497</v>
      </c>
      <c r="BL8" s="93">
        <v>438.66899999999998</v>
      </c>
      <c r="BM8" s="92">
        <v>2388.23</v>
      </c>
      <c r="BN8" s="92">
        <v>132483</v>
      </c>
      <c r="BO8" s="92">
        <v>130755</v>
      </c>
      <c r="BP8" s="92">
        <v>417.01400000000001</v>
      </c>
      <c r="BQ8" s="93">
        <v>2414.5</v>
      </c>
      <c r="BR8" s="93">
        <v>0.21685399999999999</v>
      </c>
      <c r="BS8" s="93">
        <v>138387</v>
      </c>
      <c r="BT8" s="93">
        <v>445.54599999999999</v>
      </c>
      <c r="BU8" s="94">
        <v>2434.11</v>
      </c>
      <c r="BV8" s="94">
        <v>0</v>
      </c>
      <c r="BW8" s="94">
        <v>130002</v>
      </c>
      <c r="BX8" s="94">
        <v>536.4</v>
      </c>
    </row>
    <row r="9" spans="2:76">
      <c r="C9" s="2">
        <f>AD24/13*O9</f>
        <v>210.52587514556922</v>
      </c>
      <c r="D9" s="91">
        <v>344</v>
      </c>
      <c r="E9" s="22">
        <f t="shared" si="5"/>
        <v>0.47256333503686943</v>
      </c>
      <c r="F9" s="11">
        <f t="shared" si="0"/>
        <v>1.633204351317807E-2</v>
      </c>
      <c r="G9" s="91">
        <v>2.2370000000000001E-2</v>
      </c>
      <c r="H9" s="91">
        <v>1E-4</v>
      </c>
      <c r="I9" s="2">
        <v>411.11649999999997</v>
      </c>
      <c r="J9" s="91">
        <v>1.1999999999999999E-3</v>
      </c>
      <c r="K9" s="2">
        <f t="shared" si="3"/>
        <v>91780.615875145566</v>
      </c>
      <c r="L9" s="11">
        <f t="shared" si="4"/>
        <v>530.44073606416202</v>
      </c>
      <c r="M9" s="101">
        <f t="shared" si="6"/>
        <v>0.68446907807436397</v>
      </c>
      <c r="N9" s="100">
        <f t="shared" si="1"/>
        <v>5.0082864702353869E-3</v>
      </c>
      <c r="O9" s="91">
        <f t="shared" si="2"/>
        <v>91570.09</v>
      </c>
      <c r="Q9" s="92">
        <v>2994.92</v>
      </c>
      <c r="R9" s="92">
        <v>1.09243</v>
      </c>
      <c r="S9" s="92">
        <v>3841.47</v>
      </c>
      <c r="T9" s="92">
        <v>101.08</v>
      </c>
      <c r="U9" s="93">
        <v>3175.1</v>
      </c>
      <c r="V9" s="93">
        <v>1.4719599999999999</v>
      </c>
      <c r="W9" s="93">
        <v>3543.84</v>
      </c>
      <c r="X9" s="93">
        <v>104.239</v>
      </c>
      <c r="Y9" s="92">
        <v>2965.84</v>
      </c>
      <c r="Z9" s="92">
        <v>1.41127</v>
      </c>
      <c r="AA9" s="92">
        <v>4108.76</v>
      </c>
      <c r="AB9" s="92">
        <v>110.36499999999999</v>
      </c>
      <c r="AC9" s="93">
        <v>3016.13</v>
      </c>
      <c r="AD9" s="93">
        <v>5.4905200000000001</v>
      </c>
      <c r="AE9" s="93">
        <v>3549.26</v>
      </c>
      <c r="AF9" s="93">
        <v>97.252300000000005</v>
      </c>
      <c r="AG9" s="92">
        <v>2986.16</v>
      </c>
      <c r="AH9" s="92">
        <v>1.8320099999999999</v>
      </c>
      <c r="AI9" s="92">
        <v>3802.04</v>
      </c>
      <c r="AJ9" s="92">
        <v>101.245</v>
      </c>
      <c r="AK9" s="93">
        <v>2974.76</v>
      </c>
      <c r="AL9" s="93">
        <v>2.6196199999999998</v>
      </c>
      <c r="AM9" s="93">
        <v>3531.9</v>
      </c>
      <c r="AN9" s="93">
        <v>105.09399999999999</v>
      </c>
      <c r="AO9" s="92">
        <v>2934.54</v>
      </c>
      <c r="AP9" s="92">
        <v>1.1415299999999999</v>
      </c>
      <c r="AQ9" s="92">
        <v>3902.77</v>
      </c>
      <c r="AR9" s="92">
        <v>108.861</v>
      </c>
      <c r="AS9" s="93">
        <v>4327.7700000000004</v>
      </c>
      <c r="AT9" s="93">
        <v>1.88818</v>
      </c>
      <c r="AU9" s="93">
        <v>3422.71</v>
      </c>
      <c r="AV9" s="93">
        <v>119.129</v>
      </c>
      <c r="AW9" s="92">
        <v>2892.36</v>
      </c>
      <c r="AX9" s="92">
        <v>0.57205399999999995</v>
      </c>
      <c r="AY9" s="92">
        <v>10241.9</v>
      </c>
      <c r="AZ9" s="92">
        <v>163.435</v>
      </c>
      <c r="BA9" s="93">
        <v>2804.86</v>
      </c>
      <c r="BB9" s="93">
        <v>0.61091399999999996</v>
      </c>
      <c r="BC9" s="93">
        <v>10463.700000000001</v>
      </c>
      <c r="BD9" s="93">
        <v>160.44499999999999</v>
      </c>
      <c r="BE9" s="92">
        <v>2877.64</v>
      </c>
      <c r="BF9" s="92">
        <v>1.5504199999999999</v>
      </c>
      <c r="BG9" s="92">
        <v>10305.4</v>
      </c>
      <c r="BH9" s="92">
        <v>208.411</v>
      </c>
      <c r="BI9" s="93">
        <v>3076.36</v>
      </c>
      <c r="BJ9" s="93">
        <v>0.91952999999999996</v>
      </c>
      <c r="BK9" s="93">
        <v>10915.8</v>
      </c>
      <c r="BL9" s="93">
        <v>169.40299999999999</v>
      </c>
      <c r="BM9" s="92">
        <v>2852.26</v>
      </c>
      <c r="BN9" s="92">
        <v>1.11269</v>
      </c>
      <c r="BO9" s="92">
        <v>9611.14</v>
      </c>
      <c r="BP9" s="92">
        <v>168.214</v>
      </c>
      <c r="BQ9" s="93">
        <v>2883.64</v>
      </c>
      <c r="BR9" s="93">
        <v>1.25024</v>
      </c>
      <c r="BS9" s="93">
        <v>10329.4</v>
      </c>
      <c r="BT9" s="93">
        <v>196.02600000000001</v>
      </c>
      <c r="BU9" s="94">
        <v>2906.47</v>
      </c>
      <c r="BV9" s="94">
        <v>0</v>
      </c>
      <c r="BW9" s="94">
        <v>9914.17</v>
      </c>
      <c r="BX9" s="94">
        <v>437.02</v>
      </c>
    </row>
    <row r="10" spans="2:76">
      <c r="B10" s="2">
        <f>AD22/13*O10</f>
        <v>451.15836169929327</v>
      </c>
      <c r="C10" s="2">
        <f>AD23/13*O10</f>
        <v>352.90961234871799</v>
      </c>
      <c r="D10" s="97">
        <v>122245</v>
      </c>
      <c r="E10" s="22">
        <f t="shared" si="5"/>
        <v>0.49537855004745568</v>
      </c>
      <c r="F10" s="11">
        <f t="shared" si="0"/>
        <v>2.2815215010586261E-2</v>
      </c>
      <c r="G10" s="91">
        <v>3.125E-2</v>
      </c>
      <c r="H10" s="91">
        <v>1.3999999999999999E-4</v>
      </c>
      <c r="I10" s="2">
        <v>443.96499999999997</v>
      </c>
      <c r="J10" s="91">
        <v>3.0000000000000001E-3</v>
      </c>
      <c r="K10" s="2">
        <f t="shared" si="3"/>
        <v>124088.50797404801</v>
      </c>
      <c r="L10" s="11">
        <f t="shared" si="4"/>
        <v>555.03313512888576</v>
      </c>
      <c r="M10" s="101">
        <f t="shared" si="6"/>
        <v>0.66244586031674502</v>
      </c>
      <c r="N10" s="100">
        <f t="shared" si="1"/>
        <v>4.2073857870087829E-3</v>
      </c>
      <c r="O10" s="91">
        <f t="shared" si="2"/>
        <v>123284.44</v>
      </c>
      <c r="Q10" s="92">
        <v>3234.8</v>
      </c>
      <c r="R10" s="92">
        <v>1.83517</v>
      </c>
      <c r="S10" s="92">
        <v>5205.22</v>
      </c>
      <c r="T10" s="92">
        <v>104.93600000000001</v>
      </c>
      <c r="U10" s="93">
        <v>3429.32</v>
      </c>
      <c r="V10" s="93">
        <v>1.04827</v>
      </c>
      <c r="W10" s="93">
        <v>4931.4399999999996</v>
      </c>
      <c r="X10" s="93">
        <v>108.529</v>
      </c>
      <c r="Y10" s="92">
        <v>3202.98</v>
      </c>
      <c r="Z10" s="92">
        <v>1.12242</v>
      </c>
      <c r="AA10" s="92">
        <v>5579.83</v>
      </c>
      <c r="AB10" s="92">
        <v>114.251</v>
      </c>
      <c r="AC10" s="93">
        <v>3257.65</v>
      </c>
      <c r="AD10" s="93">
        <v>1.6065</v>
      </c>
      <c r="AE10" s="93">
        <v>4736.46</v>
      </c>
      <c r="AF10" s="93">
        <v>105.383</v>
      </c>
      <c r="AG10" s="92">
        <v>3224.62</v>
      </c>
      <c r="AH10" s="92">
        <v>1.9216899999999999</v>
      </c>
      <c r="AI10" s="92">
        <v>5266.31</v>
      </c>
      <c r="AJ10" s="92">
        <v>107.21899999999999</v>
      </c>
      <c r="AK10" s="93">
        <v>3210.89</v>
      </c>
      <c r="AL10" s="93">
        <v>0.97783200000000003</v>
      </c>
      <c r="AM10" s="93">
        <v>5171.29</v>
      </c>
      <c r="AN10" s="93">
        <v>116.974</v>
      </c>
      <c r="AO10" s="92">
        <v>3170.62</v>
      </c>
      <c r="AP10" s="92">
        <v>0.82213899999999995</v>
      </c>
      <c r="AQ10" s="92">
        <v>5226.2299999999996</v>
      </c>
      <c r="AR10" s="92">
        <v>113.328</v>
      </c>
      <c r="AS10" s="93">
        <v>4673.17</v>
      </c>
      <c r="AT10" s="93">
        <v>1.45221</v>
      </c>
      <c r="AU10" s="93">
        <v>4843.5600000000004</v>
      </c>
      <c r="AV10" s="93">
        <v>121.128</v>
      </c>
      <c r="AW10" s="92">
        <v>3129.93</v>
      </c>
      <c r="AX10" s="92">
        <v>0.464889</v>
      </c>
      <c r="AY10" s="92">
        <v>13625.4</v>
      </c>
      <c r="AZ10" s="92">
        <v>171.83600000000001</v>
      </c>
      <c r="BA10" s="93">
        <v>3025.75</v>
      </c>
      <c r="BB10" s="93">
        <v>0.49718600000000002</v>
      </c>
      <c r="BC10" s="93">
        <v>13986.2</v>
      </c>
      <c r="BD10" s="93">
        <v>171.38399999999999</v>
      </c>
      <c r="BE10" s="92">
        <v>3109.85</v>
      </c>
      <c r="BF10" s="92">
        <v>1.3609800000000001</v>
      </c>
      <c r="BG10" s="92">
        <v>13883</v>
      </c>
      <c r="BH10" s="92">
        <v>211.613</v>
      </c>
      <c r="BI10" s="93">
        <v>3328.72</v>
      </c>
      <c r="BJ10" s="93">
        <v>0.60866900000000002</v>
      </c>
      <c r="BK10" s="93">
        <v>14903.7</v>
      </c>
      <c r="BL10" s="93">
        <v>183.62</v>
      </c>
      <c r="BM10" s="92">
        <v>3079.59</v>
      </c>
      <c r="BN10" s="92">
        <v>0.73680999999999996</v>
      </c>
      <c r="BO10" s="92">
        <v>12404.1</v>
      </c>
      <c r="BP10" s="92">
        <v>180.053</v>
      </c>
      <c r="BQ10" s="93">
        <v>3113.82</v>
      </c>
      <c r="BR10" s="93">
        <v>1.34134</v>
      </c>
      <c r="BS10" s="93">
        <v>13521.7</v>
      </c>
      <c r="BT10" s="93">
        <v>196.477</v>
      </c>
      <c r="BU10" s="94">
        <v>3139.76</v>
      </c>
      <c r="BV10" s="94">
        <v>0</v>
      </c>
      <c r="BW10" s="94">
        <v>12742.4</v>
      </c>
      <c r="BX10" s="94">
        <v>399.15499999999997</v>
      </c>
    </row>
    <row r="11" spans="2:76">
      <c r="C11" s="2">
        <f>AD24/13*O11</f>
        <v>851.19088921687785</v>
      </c>
      <c r="D11" s="91">
        <v>344</v>
      </c>
      <c r="E11" s="22">
        <f t="shared" si="5"/>
        <v>0.589997809739359</v>
      </c>
      <c r="F11" s="11">
        <f t="shared" si="0"/>
        <v>9.4619259691903337E-2</v>
      </c>
      <c r="G11" s="91">
        <v>0.12959999999999999</v>
      </c>
      <c r="H11" s="91">
        <v>5.9999999999999995E-4</v>
      </c>
      <c r="I11" s="2">
        <v>778.90449999999998</v>
      </c>
      <c r="J11" s="91">
        <v>2.3999999999999998E-3</v>
      </c>
      <c r="K11" s="2">
        <f t="shared" si="3"/>
        <v>371084.1908892169</v>
      </c>
      <c r="L11" s="11">
        <f t="shared" si="4"/>
        <v>754.48252729138801</v>
      </c>
      <c r="M11" s="101">
        <f t="shared" si="6"/>
        <v>0.47767916682148753</v>
      </c>
      <c r="N11" s="100">
        <f t="shared" si="1"/>
        <v>2.4162416756176772E-3</v>
      </c>
      <c r="O11" s="91">
        <f t="shared" si="2"/>
        <v>370233</v>
      </c>
      <c r="Q11" s="92">
        <v>5672.35</v>
      </c>
      <c r="R11" s="92">
        <v>0.43849900000000003</v>
      </c>
      <c r="S11" s="92">
        <v>15723.4</v>
      </c>
      <c r="T11" s="92">
        <v>146.733</v>
      </c>
      <c r="U11" s="93">
        <v>6014.28</v>
      </c>
      <c r="V11" s="93">
        <v>0.496979</v>
      </c>
      <c r="W11" s="93">
        <v>15234.8</v>
      </c>
      <c r="X11" s="93">
        <v>148.04400000000001</v>
      </c>
      <c r="Y11" s="92">
        <v>5616.32</v>
      </c>
      <c r="Z11" s="92">
        <v>0.45854299999999998</v>
      </c>
      <c r="AA11" s="92">
        <v>16951.8</v>
      </c>
      <c r="AB11" s="92">
        <v>155.143</v>
      </c>
      <c r="AC11" s="93">
        <v>5715.39</v>
      </c>
      <c r="AD11" s="93">
        <v>0.475603</v>
      </c>
      <c r="AE11" s="93">
        <v>15153.7</v>
      </c>
      <c r="AF11" s="93">
        <v>146.36000000000001</v>
      </c>
      <c r="AG11" s="92">
        <v>5656.21</v>
      </c>
      <c r="AH11" s="92">
        <v>0.445849</v>
      </c>
      <c r="AI11" s="92">
        <v>16323.6</v>
      </c>
      <c r="AJ11" s="92">
        <v>150.613</v>
      </c>
      <c r="AK11" s="93">
        <v>5629.66</v>
      </c>
      <c r="AL11" s="93">
        <v>0.53494200000000003</v>
      </c>
      <c r="AM11" s="93">
        <v>15558.8</v>
      </c>
      <c r="AN11" s="93">
        <v>149.91200000000001</v>
      </c>
      <c r="AO11" s="92">
        <v>5568.73</v>
      </c>
      <c r="AP11" s="92">
        <v>0.43987799999999999</v>
      </c>
      <c r="AQ11" s="92">
        <v>15831.3</v>
      </c>
      <c r="AR11" s="92">
        <v>149.99</v>
      </c>
      <c r="AS11" s="93">
        <v>8216.17</v>
      </c>
      <c r="AT11" s="93">
        <v>0.71026299999999998</v>
      </c>
      <c r="AU11" s="93">
        <v>15198.1</v>
      </c>
      <c r="AV11" s="93">
        <v>154.87</v>
      </c>
      <c r="AW11" s="92">
        <v>5492.1</v>
      </c>
      <c r="AX11" s="92">
        <v>0.225378</v>
      </c>
      <c r="AY11" s="92">
        <v>41533.5</v>
      </c>
      <c r="AZ11" s="92">
        <v>248.892</v>
      </c>
      <c r="BA11" s="93">
        <v>5312.69</v>
      </c>
      <c r="BB11" s="93">
        <v>0.23951600000000001</v>
      </c>
      <c r="BC11" s="93">
        <v>42262.9</v>
      </c>
      <c r="BD11" s="93">
        <v>242.17699999999999</v>
      </c>
      <c r="BE11" s="92">
        <v>5483.21</v>
      </c>
      <c r="BF11" s="92">
        <v>0.52573000000000003</v>
      </c>
      <c r="BG11" s="92">
        <v>40314.300000000003</v>
      </c>
      <c r="BH11" s="92">
        <v>268.70800000000003</v>
      </c>
      <c r="BI11" s="93">
        <v>5845.22</v>
      </c>
      <c r="BJ11" s="93">
        <v>0.26865299999999998</v>
      </c>
      <c r="BK11" s="93">
        <v>43806.8</v>
      </c>
      <c r="BL11" s="93">
        <v>253.83799999999999</v>
      </c>
      <c r="BM11" s="92">
        <v>5425.19</v>
      </c>
      <c r="BN11" s="92">
        <v>0.33858100000000002</v>
      </c>
      <c r="BO11" s="92">
        <v>35885.199999999997</v>
      </c>
      <c r="BP11" s="92">
        <v>236.578</v>
      </c>
      <c r="BQ11" s="93">
        <v>5481.92</v>
      </c>
      <c r="BR11" s="93">
        <v>0.67958099999999999</v>
      </c>
      <c r="BS11" s="93">
        <v>40454.800000000003</v>
      </c>
      <c r="BT11" s="93">
        <v>274.70400000000001</v>
      </c>
      <c r="BU11" s="94">
        <v>5504.63</v>
      </c>
      <c r="BV11" s="94">
        <v>0</v>
      </c>
      <c r="BW11" s="94">
        <v>37689.4</v>
      </c>
      <c r="BX11" s="94">
        <v>448.20400000000001</v>
      </c>
    </row>
    <row r="12" spans="2:76">
      <c r="B12" s="2">
        <f>AD22/13*O12</f>
        <v>409.13956783364466</v>
      </c>
      <c r="C12" s="2">
        <f>AD23/13*O12</f>
        <v>320.0412505641026</v>
      </c>
      <c r="D12" s="97">
        <v>122245</v>
      </c>
      <c r="E12" s="22">
        <f t="shared" si="5"/>
        <v>0.62096079433452578</v>
      </c>
      <c r="F12" s="11">
        <f t="shared" si="0"/>
        <v>3.0962984595166828E-2</v>
      </c>
      <c r="G12" s="91">
        <v>4.2410000000000003E-2</v>
      </c>
      <c r="H12" s="91">
        <v>2.3000000000000001E-4</v>
      </c>
      <c r="I12" s="2">
        <v>867.38</v>
      </c>
      <c r="J12" s="91">
        <v>3.0000000000000001E-3</v>
      </c>
      <c r="K12" s="2">
        <f t="shared" si="3"/>
        <v>112531.48081839774</v>
      </c>
      <c r="L12" s="11">
        <f t="shared" si="4"/>
        <v>508.75970629763913</v>
      </c>
      <c r="M12" s="101">
        <f t="shared" si="6"/>
        <v>0.44266441464764905</v>
      </c>
      <c r="N12" s="100">
        <f t="shared" si="1"/>
        <v>3.1338312855518427E-3</v>
      </c>
      <c r="O12" s="91">
        <f t="shared" si="2"/>
        <v>111802.3</v>
      </c>
      <c r="Q12" s="92">
        <v>6318.52</v>
      </c>
      <c r="R12" s="92">
        <v>1.0758300000000001</v>
      </c>
      <c r="S12" s="92">
        <v>4670.87</v>
      </c>
      <c r="T12" s="92">
        <v>97.876300000000001</v>
      </c>
      <c r="U12" s="93">
        <v>6699.69</v>
      </c>
      <c r="V12" s="93">
        <v>1.1591499999999999</v>
      </c>
      <c r="W12" s="93">
        <v>4709.58</v>
      </c>
      <c r="X12" s="93">
        <v>98.498000000000005</v>
      </c>
      <c r="Y12" s="92">
        <v>6252.97</v>
      </c>
      <c r="Z12" s="92">
        <v>1.0696600000000001</v>
      </c>
      <c r="AA12" s="92">
        <v>5228.62</v>
      </c>
      <c r="AB12" s="92">
        <v>105.093</v>
      </c>
      <c r="AC12" s="93">
        <v>6363.58</v>
      </c>
      <c r="AD12" s="93">
        <v>1.4417800000000001</v>
      </c>
      <c r="AE12" s="93">
        <v>4579.82</v>
      </c>
      <c r="AF12" s="93">
        <v>97.940600000000003</v>
      </c>
      <c r="AG12" s="92">
        <v>6300.66</v>
      </c>
      <c r="AH12" s="92">
        <v>1.2336800000000001</v>
      </c>
      <c r="AI12" s="92">
        <v>4965.47</v>
      </c>
      <c r="AJ12" s="92">
        <v>99.712400000000002</v>
      </c>
      <c r="AK12" s="93">
        <v>6267.91</v>
      </c>
      <c r="AL12" s="93">
        <v>1.3366</v>
      </c>
      <c r="AM12" s="93">
        <v>4745.58</v>
      </c>
      <c r="AN12" s="93">
        <v>101.65</v>
      </c>
      <c r="AO12" s="92">
        <v>6200.15</v>
      </c>
      <c r="AP12" s="92">
        <v>1.57351</v>
      </c>
      <c r="AQ12" s="92">
        <v>4741.76</v>
      </c>
      <c r="AR12" s="92">
        <v>97.225499999999997</v>
      </c>
      <c r="AS12" s="93">
        <v>9147.23</v>
      </c>
      <c r="AT12" s="93">
        <v>2.31785</v>
      </c>
      <c r="AU12" s="93">
        <v>4473.3999999999996</v>
      </c>
      <c r="AV12" s="93">
        <v>105.35299999999999</v>
      </c>
      <c r="AW12" s="92">
        <v>6115.2</v>
      </c>
      <c r="AX12" s="92">
        <v>0.54495099999999996</v>
      </c>
      <c r="AY12" s="92">
        <v>12521.4</v>
      </c>
      <c r="AZ12" s="92">
        <v>163.62200000000001</v>
      </c>
      <c r="BA12" s="93">
        <v>5920.7</v>
      </c>
      <c r="BB12" s="93">
        <v>0.727904</v>
      </c>
      <c r="BC12" s="93">
        <v>12595.5</v>
      </c>
      <c r="BD12" s="93">
        <v>155.00899999999999</v>
      </c>
      <c r="BE12" s="92">
        <v>6103.03</v>
      </c>
      <c r="BF12" s="92">
        <v>1.2571699999999999</v>
      </c>
      <c r="BG12" s="92">
        <v>12316.7</v>
      </c>
      <c r="BH12" s="92">
        <v>193.93</v>
      </c>
      <c r="BI12" s="93">
        <v>6506.31</v>
      </c>
      <c r="BJ12" s="93">
        <v>0.69522700000000004</v>
      </c>
      <c r="BK12" s="93">
        <v>13195.7</v>
      </c>
      <c r="BL12" s="93">
        <v>168.04900000000001</v>
      </c>
      <c r="BM12" s="92">
        <v>6051.4</v>
      </c>
      <c r="BN12" s="92">
        <v>0.85315600000000003</v>
      </c>
      <c r="BO12" s="92">
        <v>10694.9</v>
      </c>
      <c r="BP12" s="92">
        <v>162.84899999999999</v>
      </c>
      <c r="BQ12" s="93">
        <v>6116.77</v>
      </c>
      <c r="BR12" s="93">
        <v>1.4366099999999999</v>
      </c>
      <c r="BS12" s="93">
        <v>12363</v>
      </c>
      <c r="BT12" s="93">
        <v>186.87299999999999</v>
      </c>
      <c r="BU12" s="94">
        <v>6140.18</v>
      </c>
      <c r="BV12" s="94">
        <v>0</v>
      </c>
      <c r="BW12" s="94">
        <v>11689.7</v>
      </c>
      <c r="BX12" s="94">
        <v>413.11799999999999</v>
      </c>
    </row>
    <row r="13" spans="2:76">
      <c r="B13" s="2">
        <f>AD22/13*O13</f>
        <v>1353.1460236211515</v>
      </c>
      <c r="D13" s="91">
        <v>122</v>
      </c>
      <c r="E13" s="22">
        <f t="shared" si="5"/>
        <v>0.72769949624005248</v>
      </c>
      <c r="F13" s="11">
        <f t="shared" si="0"/>
        <v>0.10673870190552676</v>
      </c>
      <c r="G13" s="91">
        <v>0.1462</v>
      </c>
      <c r="H13" s="91">
        <v>5.9999999999999995E-4</v>
      </c>
      <c r="I13" s="2">
        <v>964.072</v>
      </c>
      <c r="J13" s="91">
        <v>1.7999999999999999E-2</v>
      </c>
      <c r="K13" s="2">
        <f t="shared" si="3"/>
        <v>371116.54602362111</v>
      </c>
      <c r="L13" s="11">
        <f t="shared" si="4"/>
        <v>726.49227175036071</v>
      </c>
      <c r="M13" s="101">
        <f t="shared" si="6"/>
        <v>0.42347891765568235</v>
      </c>
      <c r="N13" s="100">
        <f t="shared" si="1"/>
        <v>1.9268423457986393E-3</v>
      </c>
      <c r="O13" s="91">
        <f t="shared" si="2"/>
        <v>369763.39999999997</v>
      </c>
      <c r="Q13" s="92">
        <v>7022.31</v>
      </c>
      <c r="R13" s="92">
        <v>0.40061799999999997</v>
      </c>
      <c r="S13" s="92">
        <v>15810.9</v>
      </c>
      <c r="T13" s="92">
        <v>145.69399999999999</v>
      </c>
      <c r="U13" s="93">
        <v>7445.51</v>
      </c>
      <c r="V13" s="93">
        <v>0.48539100000000002</v>
      </c>
      <c r="W13" s="93">
        <v>15012.7</v>
      </c>
      <c r="X13" s="93">
        <v>144.03399999999999</v>
      </c>
      <c r="Y13" s="92">
        <v>6948.54</v>
      </c>
      <c r="Z13" s="92">
        <v>0.41445700000000002</v>
      </c>
      <c r="AA13" s="92">
        <v>17277</v>
      </c>
      <c r="AB13" s="92">
        <v>152.666</v>
      </c>
      <c r="AC13" s="93">
        <v>7072.17</v>
      </c>
      <c r="AD13" s="93">
        <v>0.49484800000000001</v>
      </c>
      <c r="AE13" s="93">
        <v>15208.6</v>
      </c>
      <c r="AF13" s="93">
        <v>142.37200000000001</v>
      </c>
      <c r="AG13" s="92">
        <v>7004.71</v>
      </c>
      <c r="AH13" s="92">
        <v>0.45869799999999999</v>
      </c>
      <c r="AI13" s="92">
        <v>16255.2</v>
      </c>
      <c r="AJ13" s="92">
        <v>146.88900000000001</v>
      </c>
      <c r="AK13" s="93">
        <v>6969.29</v>
      </c>
      <c r="AL13" s="93">
        <v>0.53999900000000001</v>
      </c>
      <c r="AM13" s="93">
        <v>15757.4</v>
      </c>
      <c r="AN13" s="93">
        <v>147.30000000000001</v>
      </c>
      <c r="AO13" s="92">
        <v>6888.15</v>
      </c>
      <c r="AP13" s="92">
        <v>0.41491699999999998</v>
      </c>
      <c r="AQ13" s="92">
        <v>16289.8</v>
      </c>
      <c r="AR13" s="92">
        <v>150.25800000000001</v>
      </c>
      <c r="AS13" s="93">
        <v>10163.299999999999</v>
      </c>
      <c r="AT13" s="93">
        <v>0.64566000000000001</v>
      </c>
      <c r="AU13" s="93">
        <v>15020.2</v>
      </c>
      <c r="AV13" s="93">
        <v>155.37799999999999</v>
      </c>
      <c r="AW13" s="92">
        <v>6793.59</v>
      </c>
      <c r="AX13" s="92">
        <v>0.21757599999999999</v>
      </c>
      <c r="AY13" s="92">
        <v>41743.599999999999</v>
      </c>
      <c r="AZ13" s="92">
        <v>241.054</v>
      </c>
      <c r="BA13" s="93">
        <v>6595.61</v>
      </c>
      <c r="BB13" s="93">
        <v>0.27149200000000001</v>
      </c>
      <c r="BC13" s="93">
        <v>42978.6</v>
      </c>
      <c r="BD13" s="93">
        <v>236.441</v>
      </c>
      <c r="BE13" s="92">
        <v>6779.32</v>
      </c>
      <c r="BF13" s="92">
        <v>0.490485</v>
      </c>
      <c r="BG13" s="92">
        <v>40132.800000000003</v>
      </c>
      <c r="BH13" s="92">
        <v>253.82300000000001</v>
      </c>
      <c r="BI13" s="93">
        <v>7227.57</v>
      </c>
      <c r="BJ13" s="93">
        <v>0.27737200000000001</v>
      </c>
      <c r="BK13" s="93">
        <v>43154.9</v>
      </c>
      <c r="BL13" s="93">
        <v>246.32499999999999</v>
      </c>
      <c r="BM13" s="92">
        <v>6720.07</v>
      </c>
      <c r="BN13" s="92">
        <v>0.32518000000000002</v>
      </c>
      <c r="BO13" s="92">
        <v>35159.1</v>
      </c>
      <c r="BP13" s="92">
        <v>228.58099999999999</v>
      </c>
      <c r="BQ13" s="93">
        <v>6796.44</v>
      </c>
      <c r="BR13" s="93">
        <v>0.4536</v>
      </c>
      <c r="BS13" s="93">
        <v>39962.6</v>
      </c>
      <c r="BT13" s="93">
        <v>246.75</v>
      </c>
      <c r="BU13" s="94">
        <v>6835.89</v>
      </c>
      <c r="BV13" s="94">
        <v>0</v>
      </c>
      <c r="BW13" s="94">
        <v>38474.800000000003</v>
      </c>
      <c r="BX13" s="94">
        <v>415.13600000000002</v>
      </c>
    </row>
    <row r="14" spans="2:76">
      <c r="B14" s="2">
        <f>AD22/13*O14</f>
        <v>1184.0884942571681</v>
      </c>
      <c r="D14" s="91">
        <v>122</v>
      </c>
      <c r="E14" s="22">
        <f t="shared" si="5"/>
        <v>0.82553113820544632</v>
      </c>
      <c r="F14" s="11">
        <f t="shared" si="0"/>
        <v>9.7831641965393887E-2</v>
      </c>
      <c r="G14" s="91">
        <v>0.13400000000000001</v>
      </c>
      <c r="H14" s="91">
        <v>5.9999999999999995E-4</v>
      </c>
      <c r="I14" s="2">
        <v>1112.076</v>
      </c>
      <c r="J14" s="91">
        <v>3.0000000000000001E-3</v>
      </c>
      <c r="K14" s="2">
        <f t="shared" si="3"/>
        <v>324750.48849425715</v>
      </c>
      <c r="L14" s="11">
        <f t="shared" si="4"/>
        <v>685.86922360753294</v>
      </c>
      <c r="M14" s="101">
        <f t="shared" si="6"/>
        <v>0.40430942378545115</v>
      </c>
      <c r="N14" s="100">
        <f t="shared" si="1"/>
        <v>2.0029526875304099E-3</v>
      </c>
      <c r="O14" s="91">
        <f t="shared" si="2"/>
        <v>323566.39999999997</v>
      </c>
      <c r="Q14" s="92">
        <v>8100.1</v>
      </c>
      <c r="R14" s="92">
        <v>0.42410399999999998</v>
      </c>
      <c r="S14" s="92">
        <v>14114.8</v>
      </c>
      <c r="T14" s="92">
        <v>137.51499999999999</v>
      </c>
      <c r="U14" s="93">
        <v>8588.43</v>
      </c>
      <c r="V14" s="93">
        <v>0.47718500000000003</v>
      </c>
      <c r="W14" s="93">
        <v>13644.6</v>
      </c>
      <c r="X14" s="93">
        <v>138.66999999999999</v>
      </c>
      <c r="Y14" s="92">
        <v>8015.1</v>
      </c>
      <c r="Z14" s="92">
        <v>0.43087300000000001</v>
      </c>
      <c r="AA14" s="92">
        <v>15360.4</v>
      </c>
      <c r="AB14" s="92">
        <v>146.184</v>
      </c>
      <c r="AC14" s="93">
        <v>8157.77</v>
      </c>
      <c r="AD14" s="93">
        <v>0.55734899999999998</v>
      </c>
      <c r="AE14" s="93">
        <v>13279.9</v>
      </c>
      <c r="AF14" s="93">
        <v>133.74600000000001</v>
      </c>
      <c r="AG14" s="92">
        <v>8079.2</v>
      </c>
      <c r="AH14" s="92">
        <v>0.43809500000000001</v>
      </c>
      <c r="AI14" s="92">
        <v>14417.3</v>
      </c>
      <c r="AJ14" s="92">
        <v>138.62299999999999</v>
      </c>
      <c r="AK14" s="93">
        <v>8038.43</v>
      </c>
      <c r="AL14" s="93">
        <v>0.50199300000000002</v>
      </c>
      <c r="AM14" s="93">
        <v>14160.9</v>
      </c>
      <c r="AN14" s="93">
        <v>140.22900000000001</v>
      </c>
      <c r="AO14" s="92">
        <v>7942.65</v>
      </c>
      <c r="AP14" s="92">
        <v>0.42177999999999999</v>
      </c>
      <c r="AQ14" s="92">
        <v>14257.9</v>
      </c>
      <c r="AR14" s="92">
        <v>142.559</v>
      </c>
      <c r="AS14" s="93">
        <v>11721.3</v>
      </c>
      <c r="AT14" s="93">
        <v>0.70901999999999998</v>
      </c>
      <c r="AU14" s="93">
        <v>13081.7</v>
      </c>
      <c r="AV14" s="93">
        <v>143.453</v>
      </c>
      <c r="AW14" s="92">
        <v>7833.45</v>
      </c>
      <c r="AX14" s="92">
        <v>0.254774</v>
      </c>
      <c r="AY14" s="92">
        <v>36393.1</v>
      </c>
      <c r="AZ14" s="92">
        <v>226.65899999999999</v>
      </c>
      <c r="BA14" s="93">
        <v>7607.34</v>
      </c>
      <c r="BB14" s="93">
        <v>0.27524799999999999</v>
      </c>
      <c r="BC14" s="93">
        <v>36610.800000000003</v>
      </c>
      <c r="BD14" s="93">
        <v>222.751</v>
      </c>
      <c r="BE14" s="92">
        <v>7815.05</v>
      </c>
      <c r="BF14" s="92">
        <v>0.49827300000000002</v>
      </c>
      <c r="BG14" s="92">
        <v>35056</v>
      </c>
      <c r="BH14" s="92">
        <v>239.892</v>
      </c>
      <c r="BI14" s="93">
        <v>8336.24</v>
      </c>
      <c r="BJ14" s="93">
        <v>0.30361300000000002</v>
      </c>
      <c r="BK14" s="93">
        <v>37973.5</v>
      </c>
      <c r="BL14" s="93">
        <v>232.761</v>
      </c>
      <c r="BM14" s="92">
        <v>7746.97</v>
      </c>
      <c r="BN14" s="92">
        <v>0.36516999999999999</v>
      </c>
      <c r="BO14" s="92">
        <v>30438.9</v>
      </c>
      <c r="BP14" s="92">
        <v>215.00200000000001</v>
      </c>
      <c r="BQ14" s="93">
        <v>7830.53</v>
      </c>
      <c r="BR14" s="93">
        <v>0.39877200000000002</v>
      </c>
      <c r="BS14" s="93">
        <v>34776.6</v>
      </c>
      <c r="BT14" s="93">
        <v>233.00800000000001</v>
      </c>
      <c r="BU14" s="94">
        <v>7879.98</v>
      </c>
      <c r="BV14" s="94">
        <v>0</v>
      </c>
      <c r="BW14" s="94">
        <v>32914.5</v>
      </c>
      <c r="BX14" s="94">
        <v>521.93700000000001</v>
      </c>
    </row>
    <row r="15" spans="2:76">
      <c r="B15" s="2">
        <f>AD22/13*O15</f>
        <v>113.26203077897814</v>
      </c>
      <c r="C15" s="2">
        <f>AD23/13*O15</f>
        <v>88.596960112820526</v>
      </c>
      <c r="D15" s="97">
        <v>122245</v>
      </c>
      <c r="E15" s="22">
        <f t="shared" si="5"/>
        <v>0.83586186756223979</v>
      </c>
      <c r="F15" s="11">
        <f t="shared" si="0"/>
        <v>1.0330729356793458E-2</v>
      </c>
      <c r="G15" s="91">
        <v>1.4149999999999999E-2</v>
      </c>
      <c r="H15" s="91">
        <v>9.0000000000000006E-5</v>
      </c>
      <c r="I15" s="2">
        <v>1212.9480000000001</v>
      </c>
      <c r="J15" s="91">
        <v>1.1000000000000001E-3</v>
      </c>
      <c r="K15" s="2">
        <f t="shared" si="3"/>
        <v>31152.068990891799</v>
      </c>
      <c r="L15" s="11">
        <f t="shared" si="4"/>
        <v>303.38262903411265</v>
      </c>
      <c r="M15" s="101">
        <f t="shared" si="6"/>
        <v>0.36728171325646869</v>
      </c>
      <c r="N15" s="100">
        <f t="shared" si="1"/>
        <v>4.2916941257905156E-3</v>
      </c>
      <c r="O15" s="91">
        <f t="shared" si="2"/>
        <v>30950.210000000003</v>
      </c>
      <c r="Q15" s="92">
        <v>8834.36</v>
      </c>
      <c r="R15" s="92">
        <v>1.94421</v>
      </c>
      <c r="S15" s="92">
        <v>1286.46</v>
      </c>
      <c r="T15" s="92">
        <v>62.747199999999999</v>
      </c>
      <c r="U15" s="93">
        <v>9366.81</v>
      </c>
      <c r="V15" s="93">
        <v>3.6956000000000002</v>
      </c>
      <c r="W15" s="93">
        <v>1345.12</v>
      </c>
      <c r="X15" s="93">
        <v>61.825099999999999</v>
      </c>
      <c r="Y15" s="92">
        <v>8742.2099999999991</v>
      </c>
      <c r="Z15" s="92">
        <v>3.8178800000000002</v>
      </c>
      <c r="AA15" s="92">
        <v>1415.15</v>
      </c>
      <c r="AB15" s="92">
        <v>59.807400000000001</v>
      </c>
      <c r="AC15" s="93">
        <v>8897.1</v>
      </c>
      <c r="AD15" s="93">
        <v>3.2053400000000001</v>
      </c>
      <c r="AE15" s="93">
        <v>1372.56</v>
      </c>
      <c r="AF15" s="93">
        <v>64.344899999999996</v>
      </c>
      <c r="AG15" s="92">
        <v>8814.44</v>
      </c>
      <c r="AH15" s="92">
        <v>3.6029800000000001</v>
      </c>
      <c r="AI15" s="92">
        <v>1406.1</v>
      </c>
      <c r="AJ15" s="92">
        <v>60.372999999999998</v>
      </c>
      <c r="AK15" s="93">
        <v>8768.18</v>
      </c>
      <c r="AL15" s="93">
        <v>4.5281599999999997</v>
      </c>
      <c r="AM15" s="93">
        <v>1303.3399999999999</v>
      </c>
      <c r="AN15" s="93">
        <v>59.853999999999999</v>
      </c>
      <c r="AO15" s="92">
        <v>8662.34</v>
      </c>
      <c r="AP15" s="92">
        <v>2.7258100000000001</v>
      </c>
      <c r="AQ15" s="92">
        <v>1285.3900000000001</v>
      </c>
      <c r="AR15" s="92">
        <v>63.777099999999997</v>
      </c>
      <c r="AS15" s="93">
        <v>12784.3</v>
      </c>
      <c r="AT15" s="93">
        <v>6.8664100000000001</v>
      </c>
      <c r="AU15" s="93">
        <v>1296.06</v>
      </c>
      <c r="AV15" s="93">
        <v>67.749099999999999</v>
      </c>
      <c r="AW15" s="92">
        <v>8543.73</v>
      </c>
      <c r="AX15" s="92">
        <v>1.3911500000000001</v>
      </c>
      <c r="AY15" s="92">
        <v>3444.07</v>
      </c>
      <c r="AZ15" s="92">
        <v>97.218599999999995</v>
      </c>
      <c r="BA15" s="93">
        <v>8295.5300000000007</v>
      </c>
      <c r="BB15" s="93">
        <v>1.4653799999999999</v>
      </c>
      <c r="BC15" s="93">
        <v>3527.28</v>
      </c>
      <c r="BD15" s="93">
        <v>91.957300000000004</v>
      </c>
      <c r="BE15" s="92">
        <v>8521.2099999999991</v>
      </c>
      <c r="BF15" s="92">
        <v>2.8426100000000001</v>
      </c>
      <c r="BG15" s="92">
        <v>3369.77</v>
      </c>
      <c r="BH15" s="92">
        <v>106.809</v>
      </c>
      <c r="BI15" s="93">
        <v>9089.98</v>
      </c>
      <c r="BJ15" s="93">
        <v>1.5370299999999999</v>
      </c>
      <c r="BK15" s="93">
        <v>3690.81</v>
      </c>
      <c r="BL15" s="93">
        <v>101.78700000000001</v>
      </c>
      <c r="BM15" s="92">
        <v>8446</v>
      </c>
      <c r="BN15" s="92">
        <v>1.63459</v>
      </c>
      <c r="BO15" s="92">
        <v>2805.58</v>
      </c>
      <c r="BP15" s="92">
        <v>99.753399999999999</v>
      </c>
      <c r="BQ15" s="93">
        <v>8539.01</v>
      </c>
      <c r="BR15" s="93">
        <v>3.3495900000000001</v>
      </c>
      <c r="BS15" s="93">
        <v>3402.52</v>
      </c>
      <c r="BT15" s="93">
        <v>105.13</v>
      </c>
      <c r="BU15" s="94">
        <v>8591.7999999999993</v>
      </c>
      <c r="BV15" s="94">
        <v>50.194299999999998</v>
      </c>
      <c r="BW15" s="94">
        <v>3333.37</v>
      </c>
      <c r="BX15" s="94">
        <v>275.81900000000002</v>
      </c>
    </row>
    <row r="16" spans="2:76">
      <c r="C16" s="2">
        <f>AD24/13*O16</f>
        <v>75.449415303004002</v>
      </c>
      <c r="D16" s="91">
        <v>344</v>
      </c>
      <c r="E16" s="22">
        <f t="shared" si="5"/>
        <v>0.84777688544936836</v>
      </c>
      <c r="F16" s="11">
        <f t="shared" si="0"/>
        <v>1.191501788712857E-2</v>
      </c>
      <c r="G16" s="91">
        <v>1.6320000000000001E-2</v>
      </c>
      <c r="H16" s="91">
        <v>9.0000000000000006E-5</v>
      </c>
      <c r="I16" s="2">
        <v>1299.1420000000001</v>
      </c>
      <c r="J16" s="91">
        <v>8.0000000000000002E-3</v>
      </c>
      <c r="K16" s="2">
        <f t="shared" si="3"/>
        <v>32892.839415303009</v>
      </c>
      <c r="L16" s="11">
        <f t="shared" si="4"/>
        <v>265.0919388377738</v>
      </c>
      <c r="M16" s="101">
        <f t="shared" si="6"/>
        <v>0.33624052868798127</v>
      </c>
      <c r="N16" s="100">
        <f t="shared" si="1"/>
        <v>3.288677315800472E-3</v>
      </c>
      <c r="O16" s="91">
        <f t="shared" si="2"/>
        <v>32817.390000000007</v>
      </c>
      <c r="Q16" s="92">
        <v>9462.41</v>
      </c>
      <c r="R16" s="92">
        <v>2.4292199999999999</v>
      </c>
      <c r="S16" s="92">
        <v>1496.84</v>
      </c>
      <c r="T16" s="92">
        <v>54.778399999999998</v>
      </c>
      <c r="U16" s="93">
        <v>10033.700000000001</v>
      </c>
      <c r="V16" s="93">
        <v>6.1960100000000002</v>
      </c>
      <c r="W16" s="93">
        <v>1314.92</v>
      </c>
      <c r="X16" s="93">
        <v>48.264099999999999</v>
      </c>
      <c r="Y16" s="92">
        <v>9362.0400000000009</v>
      </c>
      <c r="Z16" s="92">
        <v>1.9519</v>
      </c>
      <c r="AA16" s="92">
        <v>1592.67</v>
      </c>
      <c r="AB16" s="92">
        <v>59.964500000000001</v>
      </c>
      <c r="AC16" s="93">
        <v>9529.5400000000009</v>
      </c>
      <c r="AD16" s="93">
        <v>2.3799800000000002</v>
      </c>
      <c r="AE16" s="93">
        <v>1393.86</v>
      </c>
      <c r="AF16" s="93">
        <v>51.956000000000003</v>
      </c>
      <c r="AG16" s="92">
        <v>9439.66</v>
      </c>
      <c r="AH16" s="92">
        <v>1.8710500000000001</v>
      </c>
      <c r="AI16" s="92">
        <v>1539.14</v>
      </c>
      <c r="AJ16" s="92">
        <v>57.915500000000002</v>
      </c>
      <c r="AK16" s="93">
        <v>9392.0300000000007</v>
      </c>
      <c r="AL16" s="93">
        <v>4.3914099999999996</v>
      </c>
      <c r="AM16" s="93">
        <v>1335.26</v>
      </c>
      <c r="AN16" s="93">
        <v>51.213299999999997</v>
      </c>
      <c r="AO16" s="92">
        <v>9276.3700000000008</v>
      </c>
      <c r="AP16" s="92">
        <v>1.97604</v>
      </c>
      <c r="AQ16" s="92">
        <v>1517.12</v>
      </c>
      <c r="AR16" s="92">
        <v>55.909300000000002</v>
      </c>
      <c r="AS16" s="93">
        <v>13691.3</v>
      </c>
      <c r="AT16" s="93">
        <v>3.0199500000000001</v>
      </c>
      <c r="AU16" s="93">
        <v>1371.53</v>
      </c>
      <c r="AV16" s="93">
        <v>61.5458</v>
      </c>
      <c r="AW16" s="92">
        <v>9150.2099999999991</v>
      </c>
      <c r="AX16" s="92">
        <v>1.3180400000000001</v>
      </c>
      <c r="AY16" s="92">
        <v>3484.74</v>
      </c>
      <c r="AZ16" s="92">
        <v>80.883600000000001</v>
      </c>
      <c r="BA16" s="93">
        <v>8884.2800000000007</v>
      </c>
      <c r="BB16" s="93">
        <v>1.13774</v>
      </c>
      <c r="BC16" s="93">
        <v>3754.51</v>
      </c>
      <c r="BD16" s="93">
        <v>81.982900000000001</v>
      </c>
      <c r="BE16" s="92">
        <v>9123.17</v>
      </c>
      <c r="BF16" s="92">
        <v>1.8917600000000001</v>
      </c>
      <c r="BG16" s="92">
        <v>3653.82</v>
      </c>
      <c r="BH16" s="92">
        <v>97.843100000000007</v>
      </c>
      <c r="BI16" s="93">
        <v>9734.35</v>
      </c>
      <c r="BJ16" s="93">
        <v>1.4534499999999999</v>
      </c>
      <c r="BK16" s="93">
        <v>3755.29</v>
      </c>
      <c r="BL16" s="93">
        <v>84.647499999999994</v>
      </c>
      <c r="BM16" s="92">
        <v>9044.5</v>
      </c>
      <c r="BN16" s="92">
        <v>1.5878000000000001</v>
      </c>
      <c r="BO16" s="92">
        <v>3024.95</v>
      </c>
      <c r="BP16" s="92">
        <v>83.787300000000002</v>
      </c>
      <c r="BQ16" s="93">
        <v>9143.6299999999992</v>
      </c>
      <c r="BR16" s="93">
        <v>2.1013500000000001</v>
      </c>
      <c r="BS16" s="93">
        <v>3582.74</v>
      </c>
      <c r="BT16" s="93">
        <v>93.464399999999998</v>
      </c>
      <c r="BU16" s="94">
        <v>9203.2000000000007</v>
      </c>
      <c r="BV16" s="94">
        <v>0</v>
      </c>
      <c r="BW16" s="94">
        <v>3576.06</v>
      </c>
      <c r="BX16" s="94">
        <v>222.88499999999999</v>
      </c>
    </row>
    <row r="17" spans="2:76">
      <c r="B17" s="2">
        <f>AD22/13*O17</f>
        <v>1563.1686328649173</v>
      </c>
      <c r="D17" s="91">
        <v>122</v>
      </c>
      <c r="E17" s="22">
        <f t="shared" si="5"/>
        <v>0.99999999999999989</v>
      </c>
      <c r="F17" s="11">
        <f t="shared" si="0"/>
        <v>0.15222311455063153</v>
      </c>
      <c r="G17" s="91">
        <v>0.20849999999999999</v>
      </c>
      <c r="H17" s="91">
        <v>8.9999999999999998E-4</v>
      </c>
      <c r="I17" s="2">
        <v>1408.0129999999999</v>
      </c>
      <c r="J17" s="91">
        <v>3.0000000000000001E-3</v>
      </c>
      <c r="K17" s="2">
        <f>O17+B17+C17</f>
        <v>428717.76863286487</v>
      </c>
      <c r="L17" s="11">
        <f t="shared" si="4"/>
        <v>716.39195178058776</v>
      </c>
      <c r="M17" s="101">
        <f>K17/G17/O$4</f>
        <v>0.343031714389396</v>
      </c>
      <c r="N17" s="100">
        <f t="shared" si="1"/>
        <v>1.5885489629255795E-3</v>
      </c>
      <c r="O17" s="91">
        <f t="shared" si="2"/>
        <v>427154.6</v>
      </c>
      <c r="Q17" s="92">
        <v>10254.299999999999</v>
      </c>
      <c r="R17" s="92">
        <v>0.33485399999999998</v>
      </c>
      <c r="S17" s="92">
        <v>19179.5</v>
      </c>
      <c r="T17" s="92">
        <v>146.739</v>
      </c>
      <c r="U17" s="93">
        <v>10873.1</v>
      </c>
      <c r="V17" s="93">
        <v>0.38900099999999999</v>
      </c>
      <c r="W17" s="93">
        <v>18095.3</v>
      </c>
      <c r="X17" s="93">
        <v>146.71899999999999</v>
      </c>
      <c r="Y17" s="92">
        <v>10146.4</v>
      </c>
      <c r="Z17" s="92">
        <v>0.354682</v>
      </c>
      <c r="AA17" s="92">
        <v>20479.7</v>
      </c>
      <c r="AB17" s="92">
        <v>152.81</v>
      </c>
      <c r="AC17" s="93">
        <v>10327.1</v>
      </c>
      <c r="AD17" s="93">
        <v>0.39947199999999999</v>
      </c>
      <c r="AE17" s="93">
        <v>17861.099999999999</v>
      </c>
      <c r="AF17" s="93">
        <v>141.916</v>
      </c>
      <c r="AG17" s="92">
        <v>10230.299999999999</v>
      </c>
      <c r="AH17" s="92">
        <v>0.347163</v>
      </c>
      <c r="AI17" s="92">
        <v>19078.400000000001</v>
      </c>
      <c r="AJ17" s="92">
        <v>147.66999999999999</v>
      </c>
      <c r="AK17" s="93">
        <v>10177.200000000001</v>
      </c>
      <c r="AL17" s="93">
        <v>0.38835900000000001</v>
      </c>
      <c r="AM17" s="93">
        <v>18692.2</v>
      </c>
      <c r="AN17" s="93">
        <v>146.68799999999999</v>
      </c>
      <c r="AO17" s="92">
        <v>10052.5</v>
      </c>
      <c r="AP17" s="92">
        <v>0.36423800000000001</v>
      </c>
      <c r="AQ17" s="92">
        <v>19435.099999999999</v>
      </c>
      <c r="AR17" s="92">
        <v>151.273</v>
      </c>
      <c r="AS17" s="93">
        <v>14840.6</v>
      </c>
      <c r="AT17" s="93">
        <v>0.60150700000000001</v>
      </c>
      <c r="AU17" s="93">
        <v>17736.400000000001</v>
      </c>
      <c r="AV17" s="93">
        <v>155.75</v>
      </c>
      <c r="AW17" s="92">
        <v>9913.35</v>
      </c>
      <c r="AX17" s="92">
        <v>0.21186199999999999</v>
      </c>
      <c r="AY17" s="92">
        <v>47866.6</v>
      </c>
      <c r="AZ17" s="92">
        <v>238.108</v>
      </c>
      <c r="BA17" s="93">
        <v>9626.0499999999993</v>
      </c>
      <c r="BB17" s="93">
        <v>0.23119700000000001</v>
      </c>
      <c r="BC17" s="93">
        <v>48672.3</v>
      </c>
      <c r="BD17" s="93">
        <v>236.16200000000001</v>
      </c>
      <c r="BE17" s="92">
        <v>9886.36</v>
      </c>
      <c r="BF17" s="92">
        <v>0.39119100000000001</v>
      </c>
      <c r="BG17" s="92">
        <v>45746.2</v>
      </c>
      <c r="BH17" s="92">
        <v>239.512</v>
      </c>
      <c r="BI17" s="93">
        <v>10547.8</v>
      </c>
      <c r="BJ17" s="93">
        <v>0.25272800000000001</v>
      </c>
      <c r="BK17" s="93">
        <v>49272.800000000003</v>
      </c>
      <c r="BL17" s="93">
        <v>245.43799999999999</v>
      </c>
      <c r="BM17" s="92">
        <v>9798.99</v>
      </c>
      <c r="BN17" s="92">
        <v>0.274648</v>
      </c>
      <c r="BO17" s="92">
        <v>39499.9</v>
      </c>
      <c r="BP17" s="92">
        <v>221.065</v>
      </c>
      <c r="BQ17" s="93">
        <v>9906.2099999999991</v>
      </c>
      <c r="BR17" s="93">
        <v>0.35328799999999999</v>
      </c>
      <c r="BS17" s="93">
        <v>45539.1</v>
      </c>
      <c r="BT17" s="93">
        <v>239.28800000000001</v>
      </c>
      <c r="BU17" s="94">
        <v>9971.48</v>
      </c>
      <c r="BV17" s="94">
        <v>0</v>
      </c>
      <c r="BW17" s="94">
        <v>43719.7</v>
      </c>
      <c r="BX17" s="94">
        <v>581.875</v>
      </c>
    </row>
    <row r="18" spans="2:76">
      <c r="G18" s="91">
        <f>SUM(G6:G17)</f>
        <v>1.3696999999999999</v>
      </c>
      <c r="I18" s="2"/>
      <c r="L18" s="11"/>
      <c r="M18" s="11"/>
      <c r="Q18" s="92"/>
      <c r="R18" s="92"/>
      <c r="S18" s="92"/>
      <c r="T18" s="92"/>
      <c r="U18" s="93"/>
      <c r="V18" s="93"/>
      <c r="W18" s="93"/>
      <c r="X18" s="93"/>
      <c r="Y18" s="92"/>
      <c r="Z18" s="92"/>
      <c r="AA18" s="92"/>
      <c r="AB18" s="92"/>
      <c r="AC18" s="93"/>
      <c r="AD18" s="93"/>
      <c r="AE18" s="93"/>
      <c r="AF18" s="93"/>
      <c r="AG18" s="92"/>
      <c r="AH18" s="92"/>
      <c r="AI18" s="92"/>
      <c r="AJ18" s="92"/>
      <c r="AK18" s="93"/>
      <c r="AL18" s="93"/>
      <c r="AM18" s="93"/>
      <c r="AN18" s="93"/>
      <c r="AO18" s="92"/>
      <c r="AP18" s="92"/>
      <c r="AQ18" s="92"/>
      <c r="AR18" s="92"/>
      <c r="AS18" s="93"/>
      <c r="AT18" s="93"/>
      <c r="AU18" s="93"/>
      <c r="AV18" s="93"/>
      <c r="AW18" s="92"/>
      <c r="AX18" s="92"/>
      <c r="AY18" s="92"/>
      <c r="AZ18" s="92"/>
      <c r="BA18" s="93"/>
      <c r="BB18" s="93"/>
      <c r="BC18" s="93"/>
      <c r="BD18" s="93"/>
      <c r="BE18" s="92"/>
      <c r="BF18" s="92"/>
      <c r="BG18" s="92"/>
      <c r="BH18" s="92"/>
      <c r="BI18" s="93"/>
      <c r="BJ18" s="93"/>
      <c r="BK18" s="93"/>
      <c r="BL18" s="93"/>
      <c r="BM18" s="92"/>
      <c r="BN18" s="92"/>
      <c r="BO18" s="92"/>
      <c r="BP18" s="92"/>
      <c r="BQ18" s="93"/>
      <c r="BR18" s="93"/>
      <c r="BS18" s="93"/>
      <c r="BT18" s="93"/>
      <c r="BU18" s="94"/>
      <c r="BV18" s="94"/>
      <c r="BW18" s="94"/>
      <c r="BX18" s="94"/>
    </row>
    <row r="20" spans="2:76">
      <c r="I20" s="91" t="s">
        <v>168</v>
      </c>
      <c r="Q20" s="3">
        <v>5000000</v>
      </c>
      <c r="R20" s="2">
        <f>SQRT(Q20)</f>
        <v>2236.0679774997898</v>
      </c>
    </row>
    <row r="21" spans="2:76">
      <c r="E21" s="91" t="s">
        <v>167</v>
      </c>
      <c r="G21" s="91" t="s">
        <v>61</v>
      </c>
      <c r="I21" s="72" t="s">
        <v>84</v>
      </c>
      <c r="J21" s="72"/>
      <c r="K21" s="72"/>
      <c r="L21" s="72"/>
      <c r="M21" s="72"/>
      <c r="N21" s="72"/>
      <c r="O21" s="72"/>
      <c r="P21" s="72"/>
      <c r="Q21" s="91" t="s">
        <v>155</v>
      </c>
      <c r="R21" s="2"/>
      <c r="Z21" s="91" t="s">
        <v>156</v>
      </c>
      <c r="AD21" s="100" t="s">
        <v>161</v>
      </c>
      <c r="AE21" s="100"/>
    </row>
    <row r="22" spans="2:76">
      <c r="E22" s="1">
        <f>M6/AD22</f>
        <v>24.136696056825471</v>
      </c>
      <c r="F22" s="1">
        <f>E22*SQRT((N6/M6)^2+(AE22/AD22)^2)</f>
        <v>0.18493237044342525</v>
      </c>
      <c r="G22" s="91">
        <v>0.28410000000000002</v>
      </c>
      <c r="H22" s="91">
        <v>1.2999999999999999E-3</v>
      </c>
      <c r="I22" s="72" t="s">
        <v>13</v>
      </c>
      <c r="J22" s="72">
        <v>122</v>
      </c>
      <c r="K22" s="72" t="s">
        <v>65</v>
      </c>
      <c r="L22" s="72">
        <v>84745</v>
      </c>
      <c r="M22" s="72" t="s">
        <v>66</v>
      </c>
      <c r="N22" s="72">
        <v>9031</v>
      </c>
      <c r="O22" s="72" t="s">
        <v>67</v>
      </c>
      <c r="P22" s="72">
        <v>5778</v>
      </c>
      <c r="Q22" s="91">
        <f>L22-(N22+P22)/2</f>
        <v>77340.5</v>
      </c>
      <c r="R22" s="2">
        <f>Q22/G22</f>
        <v>272229.84864484333</v>
      </c>
      <c r="T22" s="91">
        <f t="shared" ref="T22:T33" si="7">SUM(L36,L50,L64,L78,L92,L120,L134,L148,L162,L176,L190,L204,L218,L232)</f>
        <v>70588</v>
      </c>
      <c r="U22" s="2">
        <f>SQRT(T22)</f>
        <v>265.68402285421683</v>
      </c>
      <c r="V22" s="91">
        <f t="shared" ref="V22:V33" si="8">SUM(N36,N50,N64,N78,N92,N120,N134,N148,N162,N176,N190,N204,N218,N232)</f>
        <v>3801</v>
      </c>
      <c r="W22" s="2">
        <f>SQRT(V22)</f>
        <v>61.652250567193406</v>
      </c>
      <c r="X22" s="91">
        <f t="shared" ref="X22:X33" si="9">SUM(P36,P50,P64,P78,P92,P120,P134,P148,P162,P176,P190,P204,P218,P232)</f>
        <v>2219</v>
      </c>
      <c r="Y22" s="2">
        <f>SQRT(X22)</f>
        <v>47.106262853255508</v>
      </c>
      <c r="Z22" s="91">
        <f>T22-(V22+X22)/2</f>
        <v>67578</v>
      </c>
      <c r="AA22" s="2">
        <f>SQRT(U22^2+(W22/2)^2+(Y22/2)^2)</f>
        <v>268.5013966444123</v>
      </c>
      <c r="AB22" s="3">
        <f t="shared" ref="AB22:AB33" si="10">Q$20*G22</f>
        <v>1420500</v>
      </c>
      <c r="AC22" s="69">
        <f t="shared" ref="AC22:AC33" si="11">AB22*SQRT((R$20/Q$20)^2+(H22/G22)^2)</f>
        <v>6530.9696102493072</v>
      </c>
      <c r="AD22" s="102">
        <f t="shared" ref="AD22:AD33" si="12">Z22/(Q$20*G22)</f>
        <v>4.7573389651531149E-2</v>
      </c>
      <c r="AE22" s="103">
        <f t="shared" ref="AE22:AE33" si="13">AD22*SQRT((AC$22/AB$22)^2+(AA22/Z22)^2)</f>
        <v>2.8908345693873938E-4</v>
      </c>
    </row>
    <row r="23" spans="2:76">
      <c r="E23" s="1">
        <f t="shared" ref="E23:E33" si="14">M7/AD23</f>
        <v>24.876435462124782</v>
      </c>
      <c r="F23" s="1">
        <f t="shared" ref="F23:F33" si="15">E23*SQRT((N7/M7)^2+(AE23/AD23)^2)</f>
        <v>0.29441179649824073</v>
      </c>
      <c r="G23" s="91">
        <v>7.4999999999999997E-2</v>
      </c>
      <c r="H23" s="91">
        <v>4.0000000000000002E-4</v>
      </c>
      <c r="I23" s="72" t="s">
        <v>13</v>
      </c>
      <c r="J23" s="72">
        <v>245</v>
      </c>
      <c r="K23" s="72" t="s">
        <v>65</v>
      </c>
      <c r="L23" s="72">
        <v>20314</v>
      </c>
      <c r="M23" s="72" t="s">
        <v>66</v>
      </c>
      <c r="N23" s="72">
        <v>4612</v>
      </c>
      <c r="O23" s="72" t="s">
        <v>67</v>
      </c>
      <c r="P23" s="72">
        <v>4022</v>
      </c>
      <c r="Q23" s="91">
        <f t="shared" ref="Q23:Q33" si="16">L23-(N23+P23)/2</f>
        <v>15997</v>
      </c>
      <c r="R23" s="2">
        <f t="shared" ref="R23:R33" si="17">Q23/G23</f>
        <v>213293.33333333334</v>
      </c>
      <c r="T23" s="91">
        <f t="shared" si="7"/>
        <v>15684</v>
      </c>
      <c r="U23" s="2">
        <f t="shared" ref="U23:W33" si="18">SQRT(T23)</f>
        <v>125.23577763562615</v>
      </c>
      <c r="V23" s="91">
        <f t="shared" si="8"/>
        <v>1825</v>
      </c>
      <c r="W23" s="2">
        <f t="shared" si="18"/>
        <v>42.720018726587654</v>
      </c>
      <c r="X23" s="91">
        <f t="shared" si="9"/>
        <v>1633</v>
      </c>
      <c r="Y23" s="2">
        <f t="shared" ref="Y23:Y32" si="19">SQRT(X23)</f>
        <v>40.4103947023535</v>
      </c>
      <c r="Z23" s="91">
        <f t="shared" ref="Z23:Z33" si="20">T23-(V23+X23)/2</f>
        <v>13955</v>
      </c>
      <c r="AA23" s="2">
        <f t="shared" ref="AA23:AA33" si="21">SQRT(U23^2+(W23/2)^2+(Y23/2)^2)</f>
        <v>128.64097325502476</v>
      </c>
      <c r="AB23" s="3">
        <f t="shared" si="10"/>
        <v>375000</v>
      </c>
      <c r="AC23" s="69">
        <f t="shared" si="11"/>
        <v>2007.0189336426304</v>
      </c>
      <c r="AD23" s="102">
        <f t="shared" si="12"/>
        <v>3.7213333333333334E-2</v>
      </c>
      <c r="AE23" s="103">
        <f t="shared" si="13"/>
        <v>3.8334241673766868E-4</v>
      </c>
    </row>
    <row r="24" spans="2:76">
      <c r="E24" s="1">
        <f t="shared" si="14"/>
        <v>26.084284982311669</v>
      </c>
      <c r="F24" s="1">
        <f t="shared" si="15"/>
        <v>0.21613215578994374</v>
      </c>
      <c r="G24" s="91">
        <v>0.26579999999999998</v>
      </c>
      <c r="H24" s="91">
        <v>1.1999999999999999E-3</v>
      </c>
      <c r="I24" s="72" t="s">
        <v>13</v>
      </c>
      <c r="J24" s="72">
        <v>344</v>
      </c>
      <c r="K24" s="72" t="s">
        <v>65</v>
      </c>
      <c r="L24" s="72">
        <v>47802</v>
      </c>
      <c r="M24" s="72" t="s">
        <v>66</v>
      </c>
      <c r="N24" s="72">
        <v>2583</v>
      </c>
      <c r="O24" s="72" t="s">
        <v>67</v>
      </c>
      <c r="P24" s="72">
        <v>2100</v>
      </c>
      <c r="Q24" s="91">
        <f t="shared" si="16"/>
        <v>45460.5</v>
      </c>
      <c r="R24" s="2">
        <f t="shared" si="17"/>
        <v>171032.73137697519</v>
      </c>
      <c r="T24" s="91">
        <f t="shared" si="7"/>
        <v>40650</v>
      </c>
      <c r="U24" s="2">
        <f t="shared" si="18"/>
        <v>201.61845153655952</v>
      </c>
      <c r="V24" s="91">
        <f t="shared" si="8"/>
        <v>1007</v>
      </c>
      <c r="W24" s="2">
        <f t="shared" si="18"/>
        <v>31.733263305244861</v>
      </c>
      <c r="X24" s="91">
        <f t="shared" si="9"/>
        <v>851</v>
      </c>
      <c r="Y24" s="2">
        <f t="shared" si="19"/>
        <v>29.171904291629644</v>
      </c>
      <c r="Z24" s="91">
        <f t="shared" si="20"/>
        <v>39721</v>
      </c>
      <c r="AA24" s="2">
        <f t="shared" si="21"/>
        <v>202.7671077862482</v>
      </c>
      <c r="AB24" s="3">
        <f t="shared" si="10"/>
        <v>1329000</v>
      </c>
      <c r="AC24" s="69">
        <f t="shared" si="11"/>
        <v>6029.3654890046264</v>
      </c>
      <c r="AD24" s="102">
        <f t="shared" si="12"/>
        <v>2.9887885628291949E-2</v>
      </c>
      <c r="AE24" s="103">
        <f t="shared" si="13"/>
        <v>2.0533053802218238E-4</v>
      </c>
    </row>
    <row r="25" spans="2:76">
      <c r="E25" s="1">
        <f t="shared" si="14"/>
        <v>25.638937167654927</v>
      </c>
      <c r="F25" s="1">
        <f t="shared" si="15"/>
        <v>0.59409693251698459</v>
      </c>
      <c r="G25" s="91">
        <v>2.2370000000000001E-2</v>
      </c>
      <c r="H25" s="91">
        <v>1E-4</v>
      </c>
      <c r="I25" s="72" t="s">
        <v>13</v>
      </c>
      <c r="J25" s="72">
        <v>411</v>
      </c>
      <c r="K25" s="72" t="s">
        <v>65</v>
      </c>
      <c r="L25" s="72">
        <v>5305</v>
      </c>
      <c r="M25" s="72" t="s">
        <v>66</v>
      </c>
      <c r="N25" s="72">
        <v>1853</v>
      </c>
      <c r="O25" s="72" t="s">
        <v>67</v>
      </c>
      <c r="P25" s="72">
        <v>1864</v>
      </c>
      <c r="Q25" s="91">
        <f t="shared" si="16"/>
        <v>3446.5</v>
      </c>
      <c r="R25" s="2">
        <f t="shared" si="17"/>
        <v>154067.94814483682</v>
      </c>
      <c r="T25" s="91">
        <f t="shared" si="7"/>
        <v>3743</v>
      </c>
      <c r="U25" s="2">
        <f t="shared" si="18"/>
        <v>61.180062111769715</v>
      </c>
      <c r="V25" s="91">
        <f t="shared" si="8"/>
        <v>733</v>
      </c>
      <c r="W25" s="2">
        <f t="shared" si="18"/>
        <v>27.073972741361768</v>
      </c>
      <c r="X25" s="91">
        <f t="shared" si="9"/>
        <v>781</v>
      </c>
      <c r="Y25" s="2">
        <f t="shared" si="19"/>
        <v>27.946377224964241</v>
      </c>
      <c r="Z25" s="91">
        <f t="shared" si="20"/>
        <v>2986</v>
      </c>
      <c r="AA25" s="2">
        <f t="shared" si="21"/>
        <v>64.198909648061786</v>
      </c>
      <c r="AB25" s="3">
        <f t="shared" si="10"/>
        <v>111850</v>
      </c>
      <c r="AC25" s="69">
        <f t="shared" si="11"/>
        <v>502.4958552067867</v>
      </c>
      <c r="AD25" s="102">
        <f t="shared" si="12"/>
        <v>2.669646848457756E-2</v>
      </c>
      <c r="AE25" s="103">
        <f t="shared" si="13"/>
        <v>5.8695034031799496E-4</v>
      </c>
    </row>
    <row r="26" spans="2:76">
      <c r="E26" s="1">
        <f t="shared" si="14"/>
        <v>26.804911478568279</v>
      </c>
      <c r="F26" s="1">
        <f t="shared" si="15"/>
        <v>0.53113065929434844</v>
      </c>
      <c r="G26" s="91">
        <v>3.125E-2</v>
      </c>
      <c r="H26" s="91">
        <v>1.3999999999999999E-4</v>
      </c>
      <c r="I26" s="72" t="s">
        <v>13</v>
      </c>
      <c r="J26" s="72">
        <v>444</v>
      </c>
      <c r="K26" s="72" t="s">
        <v>65</v>
      </c>
      <c r="L26" s="72">
        <v>6218</v>
      </c>
      <c r="M26" s="72" t="s">
        <v>66</v>
      </c>
      <c r="N26" s="72">
        <v>1860</v>
      </c>
      <c r="O26" s="72" t="s">
        <v>67</v>
      </c>
      <c r="P26" s="72">
        <v>1786</v>
      </c>
      <c r="Q26" s="91">
        <f t="shared" si="16"/>
        <v>4395</v>
      </c>
      <c r="R26" s="2">
        <f t="shared" si="17"/>
        <v>140640</v>
      </c>
      <c r="T26" s="91">
        <f t="shared" si="7"/>
        <v>4579</v>
      </c>
      <c r="U26" s="2">
        <f t="shared" si="18"/>
        <v>67.66830868286867</v>
      </c>
      <c r="V26" s="91">
        <f t="shared" si="8"/>
        <v>727</v>
      </c>
      <c r="W26" s="2">
        <f t="shared" si="18"/>
        <v>26.962937525425527</v>
      </c>
      <c r="X26" s="91">
        <f t="shared" si="9"/>
        <v>708</v>
      </c>
      <c r="Y26" s="2">
        <f t="shared" si="19"/>
        <v>26.608269391300141</v>
      </c>
      <c r="Z26" s="91">
        <f t="shared" si="20"/>
        <v>3861.5</v>
      </c>
      <c r="AA26" s="2">
        <f t="shared" si="21"/>
        <v>70.26912551042598</v>
      </c>
      <c r="AB26" s="3">
        <f t="shared" si="10"/>
        <v>156250</v>
      </c>
      <c r="AC26" s="69">
        <f t="shared" si="11"/>
        <v>703.47907751403659</v>
      </c>
      <c r="AD26" s="102">
        <f t="shared" si="12"/>
        <v>2.4713599999999999E-2</v>
      </c>
      <c r="AE26" s="103">
        <f t="shared" si="13"/>
        <v>4.6385428091822985E-4</v>
      </c>
    </row>
    <row r="27" spans="2:76">
      <c r="E27" s="1">
        <f t="shared" si="14"/>
        <v>27.828472543407706</v>
      </c>
      <c r="F27" s="1">
        <f t="shared" si="15"/>
        <v>0.33312529801446999</v>
      </c>
      <c r="G27" s="91">
        <v>0.12959999999999999</v>
      </c>
      <c r="H27" s="91">
        <v>5.9999999999999995E-4</v>
      </c>
      <c r="I27" s="72" t="s">
        <v>13</v>
      </c>
      <c r="J27" s="72">
        <v>779</v>
      </c>
      <c r="K27" s="72" t="s">
        <v>65</v>
      </c>
      <c r="L27" s="72">
        <v>14072</v>
      </c>
      <c r="M27" s="72" t="s">
        <v>66</v>
      </c>
      <c r="N27" s="72">
        <v>1416</v>
      </c>
      <c r="O27" s="72" t="s">
        <v>67</v>
      </c>
      <c r="P27" s="72">
        <v>1204</v>
      </c>
      <c r="Q27" s="91">
        <f t="shared" si="16"/>
        <v>12762</v>
      </c>
      <c r="R27" s="2">
        <f t="shared" si="17"/>
        <v>98472.222222222234</v>
      </c>
      <c r="T27" s="91">
        <f t="shared" si="7"/>
        <v>11673</v>
      </c>
      <c r="U27" s="2">
        <f t="shared" si="18"/>
        <v>108.04165863221463</v>
      </c>
      <c r="V27" s="91">
        <f t="shared" si="8"/>
        <v>593</v>
      </c>
      <c r="W27" s="2">
        <f t="shared" si="18"/>
        <v>24.351591323771842</v>
      </c>
      <c r="X27" s="91">
        <f t="shared" si="9"/>
        <v>507</v>
      </c>
      <c r="Y27" s="2">
        <f t="shared" si="19"/>
        <v>22.516660498395403</v>
      </c>
      <c r="Z27" s="91">
        <f t="shared" si="20"/>
        <v>11123</v>
      </c>
      <c r="AA27" s="2">
        <f t="shared" si="21"/>
        <v>109.30690737551767</v>
      </c>
      <c r="AB27" s="3">
        <f t="shared" si="10"/>
        <v>648000</v>
      </c>
      <c r="AC27" s="69">
        <f t="shared" si="11"/>
        <v>3013.9642997222113</v>
      </c>
      <c r="AD27" s="102">
        <f t="shared" si="12"/>
        <v>1.7165123456790124E-2</v>
      </c>
      <c r="AE27" s="103">
        <f t="shared" si="13"/>
        <v>1.862320663521625E-4</v>
      </c>
    </row>
    <row r="28" spans="2:76">
      <c r="E28" s="1">
        <f t="shared" si="14"/>
        <v>27.251266983897224</v>
      </c>
      <c r="F28" s="1">
        <f t="shared" si="15"/>
        <v>0.55801192266279709</v>
      </c>
      <c r="G28" s="91">
        <v>4.2410000000000003E-2</v>
      </c>
      <c r="H28" s="91">
        <v>2.3000000000000001E-4</v>
      </c>
      <c r="I28" s="72" t="s">
        <v>13</v>
      </c>
      <c r="J28" s="72">
        <v>867</v>
      </c>
      <c r="K28" s="72" t="s">
        <v>65</v>
      </c>
      <c r="L28" s="72">
        <v>5061</v>
      </c>
      <c r="M28" s="72" t="s">
        <v>66</v>
      </c>
      <c r="N28" s="72">
        <v>1199</v>
      </c>
      <c r="O28" s="72" t="s">
        <v>67</v>
      </c>
      <c r="P28" s="72">
        <v>1217</v>
      </c>
      <c r="Q28" s="91">
        <f t="shared" si="16"/>
        <v>3853</v>
      </c>
      <c r="R28" s="2">
        <f t="shared" si="17"/>
        <v>90851.21433624145</v>
      </c>
      <c r="T28" s="91">
        <f t="shared" si="7"/>
        <v>3901</v>
      </c>
      <c r="U28" s="2">
        <f t="shared" si="18"/>
        <v>62.457985878508765</v>
      </c>
      <c r="V28" s="91">
        <f t="shared" si="8"/>
        <v>462</v>
      </c>
      <c r="W28" s="2">
        <f t="shared" si="18"/>
        <v>21.494185260204677</v>
      </c>
      <c r="X28" s="91">
        <f t="shared" si="9"/>
        <v>451</v>
      </c>
      <c r="Y28" s="2">
        <f t="shared" si="19"/>
        <v>21.236760581595302</v>
      </c>
      <c r="Z28" s="91">
        <f t="shared" si="20"/>
        <v>3444.5</v>
      </c>
      <c r="AA28" s="2">
        <f t="shared" si="21"/>
        <v>64.259240580635563</v>
      </c>
      <c r="AB28" s="3">
        <f t="shared" si="10"/>
        <v>212050.00000000003</v>
      </c>
      <c r="AC28" s="69">
        <f t="shared" si="11"/>
        <v>1153.9033930533353</v>
      </c>
      <c r="AD28" s="102">
        <f t="shared" si="12"/>
        <v>1.6243810422070265E-2</v>
      </c>
      <c r="AE28" s="103">
        <f t="shared" si="13"/>
        <v>3.1210533423944728E-4</v>
      </c>
    </row>
    <row r="29" spans="2:76">
      <c r="E29" s="1">
        <f t="shared" si="14"/>
        <v>28.757776841126276</v>
      </c>
      <c r="F29" s="1">
        <f t="shared" si="15"/>
        <v>0.33925993159322043</v>
      </c>
      <c r="G29" s="91">
        <v>0.1462</v>
      </c>
      <c r="H29" s="91">
        <v>5.9999999999999995E-4</v>
      </c>
      <c r="I29" s="72" t="s">
        <v>13</v>
      </c>
      <c r="J29" s="72">
        <v>964</v>
      </c>
      <c r="K29" s="72" t="s">
        <v>65</v>
      </c>
      <c r="L29" s="72">
        <v>13203</v>
      </c>
      <c r="M29" s="72" t="s">
        <v>66</v>
      </c>
      <c r="N29" s="72">
        <v>926</v>
      </c>
      <c r="O29" s="72" t="s">
        <v>67</v>
      </c>
      <c r="P29" s="72">
        <v>796</v>
      </c>
      <c r="Q29" s="91">
        <f t="shared" si="16"/>
        <v>12342</v>
      </c>
      <c r="R29" s="2">
        <f t="shared" si="17"/>
        <v>84418.604651162794</v>
      </c>
      <c r="T29" s="91">
        <f t="shared" si="7"/>
        <v>11107</v>
      </c>
      <c r="U29" s="2">
        <f t="shared" si="18"/>
        <v>105.38975282255861</v>
      </c>
      <c r="V29" s="91">
        <f t="shared" si="8"/>
        <v>356</v>
      </c>
      <c r="W29" s="2">
        <f t="shared" si="18"/>
        <v>18.867962264113206</v>
      </c>
      <c r="X29" s="91">
        <f t="shared" si="9"/>
        <v>329</v>
      </c>
      <c r="Y29" s="2">
        <f t="shared" si="19"/>
        <v>18.138357147217054</v>
      </c>
      <c r="Z29" s="91">
        <f t="shared" si="20"/>
        <v>10764.5</v>
      </c>
      <c r="AA29" s="2">
        <f t="shared" si="21"/>
        <v>106.19910545762615</v>
      </c>
      <c r="AB29" s="3">
        <f t="shared" si="10"/>
        <v>731000</v>
      </c>
      <c r="AC29" s="69">
        <f t="shared" si="11"/>
        <v>3017.7594668893012</v>
      </c>
      <c r="AD29" s="102">
        <f t="shared" si="12"/>
        <v>1.4725718194254446E-2</v>
      </c>
      <c r="AE29" s="103">
        <f t="shared" si="13"/>
        <v>1.6028054066419893E-4</v>
      </c>
    </row>
    <row r="30" spans="2:76">
      <c r="E30" s="1">
        <f t="shared" si="14"/>
        <v>29.315222545993429</v>
      </c>
      <c r="F30" s="1">
        <f t="shared" si="15"/>
        <v>0.36977704546474505</v>
      </c>
      <c r="G30" s="91">
        <v>0.13400000000000001</v>
      </c>
      <c r="H30" s="91">
        <v>5.9999999999999995E-4</v>
      </c>
      <c r="I30" s="72" t="s">
        <v>13</v>
      </c>
      <c r="J30" s="72">
        <v>1112</v>
      </c>
      <c r="K30" s="72" t="s">
        <v>65</v>
      </c>
      <c r="L30" s="72">
        <v>11271</v>
      </c>
      <c r="M30" s="72" t="s">
        <v>66</v>
      </c>
      <c r="N30" s="72">
        <v>742</v>
      </c>
      <c r="O30" s="72" t="s">
        <v>67</v>
      </c>
      <c r="P30" s="72">
        <v>827</v>
      </c>
      <c r="Q30" s="91">
        <f t="shared" si="16"/>
        <v>10486.5</v>
      </c>
      <c r="R30" s="2">
        <f t="shared" si="17"/>
        <v>78257.46268656716</v>
      </c>
      <c r="T30" s="91">
        <f t="shared" si="7"/>
        <v>9537</v>
      </c>
      <c r="U30" s="2">
        <f t="shared" si="18"/>
        <v>97.657564991146486</v>
      </c>
      <c r="V30" s="91">
        <f t="shared" si="8"/>
        <v>267</v>
      </c>
      <c r="W30" s="2">
        <f t="shared" si="18"/>
        <v>16.340134638368191</v>
      </c>
      <c r="X30" s="91">
        <f t="shared" si="9"/>
        <v>326</v>
      </c>
      <c r="Y30" s="2">
        <f t="shared" si="19"/>
        <v>18.055470085267789</v>
      </c>
      <c r="Z30" s="91">
        <f t="shared" si="20"/>
        <v>9240.5</v>
      </c>
      <c r="AA30" s="2">
        <f t="shared" si="21"/>
        <v>98.413667749962457</v>
      </c>
      <c r="AB30" s="3">
        <f t="shared" si="10"/>
        <v>670000</v>
      </c>
      <c r="AC30" s="69">
        <f t="shared" si="11"/>
        <v>3014.9262014185351</v>
      </c>
      <c r="AD30" s="102">
        <f t="shared" si="12"/>
        <v>1.379179104477612E-2</v>
      </c>
      <c r="AE30" s="103">
        <f t="shared" si="13"/>
        <v>1.5998854277118551E-4</v>
      </c>
    </row>
    <row r="31" spans="2:76">
      <c r="E31" s="1">
        <f t="shared" si="14"/>
        <v>28.383594989508637</v>
      </c>
      <c r="F31" s="1">
        <f>E31*SQRT((N15/M15)^2+(AE31/AD31)^2)</f>
        <v>1.1472953320216142</v>
      </c>
      <c r="G31" s="91">
        <v>1.4149999999999999E-2</v>
      </c>
      <c r="H31" s="91">
        <v>9.0000000000000006E-5</v>
      </c>
      <c r="I31" s="72" t="s">
        <v>13</v>
      </c>
      <c r="J31" s="72">
        <v>1213</v>
      </c>
      <c r="K31" s="72" t="s">
        <v>65</v>
      </c>
      <c r="L31" s="72">
        <v>1565</v>
      </c>
      <c r="M31" s="72" t="s">
        <v>66</v>
      </c>
      <c r="N31" s="72">
        <v>596</v>
      </c>
      <c r="O31" s="72" t="s">
        <v>67</v>
      </c>
      <c r="P31" s="72">
        <v>477</v>
      </c>
      <c r="Q31" s="91">
        <f t="shared" si="16"/>
        <v>1028.5</v>
      </c>
      <c r="R31" s="2">
        <f t="shared" si="17"/>
        <v>72685.512367491174</v>
      </c>
      <c r="T31" s="91">
        <f t="shared" si="7"/>
        <v>1130</v>
      </c>
      <c r="U31" s="2">
        <f t="shared" si="18"/>
        <v>33.61547262794322</v>
      </c>
      <c r="V31" s="91">
        <f t="shared" si="8"/>
        <v>221</v>
      </c>
      <c r="W31" s="2">
        <f t="shared" si="18"/>
        <v>14.866068747318506</v>
      </c>
      <c r="X31" s="91">
        <f t="shared" si="9"/>
        <v>208</v>
      </c>
      <c r="Y31" s="2">
        <f t="shared" si="19"/>
        <v>14.422205101855956</v>
      </c>
      <c r="Z31" s="91">
        <f t="shared" si="20"/>
        <v>915.5</v>
      </c>
      <c r="AA31" s="2">
        <f t="shared" si="21"/>
        <v>35.174564673923115</v>
      </c>
      <c r="AB31" s="3">
        <f t="shared" si="10"/>
        <v>70750</v>
      </c>
      <c r="AC31" s="69">
        <f t="shared" si="11"/>
        <v>451.11097581415595</v>
      </c>
      <c r="AD31" s="102">
        <f t="shared" si="12"/>
        <v>1.2939929328621909E-2</v>
      </c>
      <c r="AE31" s="103">
        <f t="shared" si="13"/>
        <v>5.007139651934271E-4</v>
      </c>
    </row>
    <row r="32" spans="2:76">
      <c r="E32" s="1">
        <f t="shared" si="14"/>
        <v>28.850922335372527</v>
      </c>
      <c r="F32" s="1">
        <f t="shared" si="15"/>
        <v>1.0252691941079173</v>
      </c>
      <c r="G32" s="91">
        <v>1.6320000000000001E-2</v>
      </c>
      <c r="H32" s="91">
        <v>9.0000000000000006E-5</v>
      </c>
      <c r="I32" s="72" t="s">
        <v>13</v>
      </c>
      <c r="J32" s="72">
        <v>1299</v>
      </c>
      <c r="K32" s="72" t="s">
        <v>65</v>
      </c>
      <c r="L32" s="72">
        <v>1207</v>
      </c>
      <c r="M32" s="72" t="s">
        <v>66</v>
      </c>
      <c r="N32" s="72">
        <v>191</v>
      </c>
      <c r="O32" s="72" t="s">
        <v>67</v>
      </c>
      <c r="P32" s="72">
        <v>108</v>
      </c>
      <c r="Q32" s="91">
        <f t="shared" si="16"/>
        <v>1057.5</v>
      </c>
      <c r="R32" s="2">
        <f t="shared" si="17"/>
        <v>64797.794117647056</v>
      </c>
      <c r="T32" s="91">
        <f t="shared" si="7"/>
        <v>1008</v>
      </c>
      <c r="U32" s="2">
        <f t="shared" si="18"/>
        <v>31.749015732775089</v>
      </c>
      <c r="V32" s="91">
        <f t="shared" si="8"/>
        <v>71</v>
      </c>
      <c r="W32" s="2">
        <f t="shared" si="18"/>
        <v>8.426149773176359</v>
      </c>
      <c r="X32" s="91">
        <f t="shared" si="9"/>
        <v>43</v>
      </c>
      <c r="Y32" s="2">
        <f t="shared" si="19"/>
        <v>6.5574385243020004</v>
      </c>
      <c r="Z32" s="91">
        <f t="shared" si="20"/>
        <v>951</v>
      </c>
      <c r="AA32" s="2">
        <f t="shared" si="21"/>
        <v>32.194720064010497</v>
      </c>
      <c r="AB32" s="3">
        <f t="shared" si="10"/>
        <v>81600</v>
      </c>
      <c r="AC32" s="69">
        <f t="shared" si="11"/>
        <v>451.47725524105863</v>
      </c>
      <c r="AD32" s="102">
        <f t="shared" si="12"/>
        <v>1.1654411764705882E-2</v>
      </c>
      <c r="AE32" s="103">
        <f t="shared" si="13"/>
        <v>3.9816506936345348E-4</v>
      </c>
    </row>
    <row r="33" spans="5:31">
      <c r="E33" s="1">
        <f t="shared" si="14"/>
        <v>28.711056340648334</v>
      </c>
      <c r="F33" s="1">
        <f t="shared" si="15"/>
        <v>0.31827094084029595</v>
      </c>
      <c r="G33" s="91">
        <v>0.20849999999999999</v>
      </c>
      <c r="H33" s="91">
        <v>8.9999999999999998E-4</v>
      </c>
      <c r="I33" s="72" t="s">
        <v>13</v>
      </c>
      <c r="J33" s="72">
        <v>1408</v>
      </c>
      <c r="K33" s="72" t="s">
        <v>65</v>
      </c>
      <c r="L33" s="72">
        <v>14080</v>
      </c>
      <c r="M33" s="72" t="s">
        <v>66</v>
      </c>
      <c r="N33" s="72">
        <v>20</v>
      </c>
      <c r="O33" s="72" t="s">
        <v>67</v>
      </c>
      <c r="P33" s="72">
        <v>69</v>
      </c>
      <c r="Q33" s="91">
        <f t="shared" si="16"/>
        <v>14035.5</v>
      </c>
      <c r="R33" s="2">
        <f t="shared" si="17"/>
        <v>67316.546762589933</v>
      </c>
      <c r="T33" s="91">
        <f t="shared" si="7"/>
        <v>12457</v>
      </c>
      <c r="U33" s="2">
        <f t="shared" si="18"/>
        <v>111.61093136427094</v>
      </c>
      <c r="V33" s="91">
        <f t="shared" si="8"/>
        <v>3</v>
      </c>
      <c r="W33" s="2">
        <f t="shared" si="18"/>
        <v>1.7320508075688772</v>
      </c>
      <c r="X33" s="91">
        <f t="shared" si="9"/>
        <v>0</v>
      </c>
      <c r="Y33" s="2">
        <f>SQRT(X33)</f>
        <v>0</v>
      </c>
      <c r="Z33" s="91">
        <f t="shared" si="20"/>
        <v>12455.5</v>
      </c>
      <c r="AA33" s="2">
        <f t="shared" si="21"/>
        <v>111.61429119964879</v>
      </c>
      <c r="AB33" s="3">
        <f t="shared" si="10"/>
        <v>1042500</v>
      </c>
      <c r="AC33" s="69">
        <f t="shared" si="11"/>
        <v>4524.0867863028452</v>
      </c>
      <c r="AD33" s="102">
        <f t="shared" si="12"/>
        <v>1.1947721822541967E-2</v>
      </c>
      <c r="AE33" s="103">
        <f t="shared" si="13"/>
        <v>1.2033364188957646E-4</v>
      </c>
    </row>
    <row r="35" spans="5:31">
      <c r="I35" s="91" t="s">
        <v>68</v>
      </c>
    </row>
    <row r="36" spans="5:31">
      <c r="I36" s="91" t="s">
        <v>13</v>
      </c>
      <c r="J36" s="91">
        <v>122</v>
      </c>
      <c r="K36" s="91" t="s">
        <v>65</v>
      </c>
      <c r="L36" s="91">
        <v>1254</v>
      </c>
      <c r="M36" s="91" t="s">
        <v>66</v>
      </c>
      <c r="N36" s="91">
        <v>153</v>
      </c>
      <c r="O36" s="91" t="s">
        <v>67</v>
      </c>
      <c r="P36" s="91">
        <v>95</v>
      </c>
    </row>
    <row r="37" spans="5:31">
      <c r="I37" s="91" t="s">
        <v>13</v>
      </c>
      <c r="J37" s="91">
        <v>245</v>
      </c>
      <c r="K37" s="91" t="s">
        <v>65</v>
      </c>
      <c r="L37" s="91">
        <v>378</v>
      </c>
      <c r="M37" s="91" t="s">
        <v>66</v>
      </c>
      <c r="N37" s="91">
        <v>65</v>
      </c>
      <c r="O37" s="91" t="s">
        <v>67</v>
      </c>
      <c r="P37" s="91">
        <v>88</v>
      </c>
    </row>
    <row r="38" spans="5:31">
      <c r="I38" s="91" t="s">
        <v>13</v>
      </c>
      <c r="J38" s="91">
        <v>344</v>
      </c>
      <c r="K38" s="91" t="s">
        <v>65</v>
      </c>
      <c r="L38" s="91">
        <v>1059</v>
      </c>
      <c r="M38" s="91" t="s">
        <v>66</v>
      </c>
      <c r="N38" s="91">
        <v>63</v>
      </c>
      <c r="O38" s="91" t="s">
        <v>67</v>
      </c>
      <c r="P38" s="91">
        <v>44</v>
      </c>
    </row>
    <row r="39" spans="5:31">
      <c r="I39" s="91" t="s">
        <v>13</v>
      </c>
      <c r="J39" s="91">
        <v>411</v>
      </c>
      <c r="K39" s="91" t="s">
        <v>65</v>
      </c>
      <c r="L39" s="91">
        <v>131</v>
      </c>
      <c r="M39" s="91" t="s">
        <v>66</v>
      </c>
      <c r="N39" s="91">
        <v>29</v>
      </c>
      <c r="O39" s="91" t="s">
        <v>67</v>
      </c>
      <c r="P39" s="91">
        <v>38</v>
      </c>
    </row>
    <row r="40" spans="5:31">
      <c r="I40" s="91" t="s">
        <v>13</v>
      </c>
      <c r="J40" s="91">
        <v>444</v>
      </c>
      <c r="K40" s="91" t="s">
        <v>65</v>
      </c>
      <c r="L40" s="91">
        <v>124</v>
      </c>
      <c r="M40" s="91" t="s">
        <v>66</v>
      </c>
      <c r="N40" s="91">
        <v>27</v>
      </c>
      <c r="O40" s="91" t="s">
        <v>67</v>
      </c>
      <c r="P40" s="91">
        <v>25</v>
      </c>
    </row>
    <row r="41" spans="5:31">
      <c r="I41" s="91" t="s">
        <v>13</v>
      </c>
      <c r="J41" s="91">
        <v>779</v>
      </c>
      <c r="K41" s="91" t="s">
        <v>65</v>
      </c>
      <c r="L41" s="91">
        <v>357</v>
      </c>
      <c r="M41" s="91" t="s">
        <v>66</v>
      </c>
      <c r="N41" s="91">
        <v>25</v>
      </c>
      <c r="O41" s="91" t="s">
        <v>67</v>
      </c>
      <c r="P41" s="91">
        <v>17</v>
      </c>
    </row>
    <row r="42" spans="5:31">
      <c r="I42" s="91" t="s">
        <v>13</v>
      </c>
      <c r="J42" s="91">
        <v>867</v>
      </c>
      <c r="K42" s="91" t="s">
        <v>65</v>
      </c>
      <c r="L42" s="91">
        <v>96</v>
      </c>
      <c r="M42" s="91" t="s">
        <v>66</v>
      </c>
      <c r="N42" s="91">
        <v>28</v>
      </c>
      <c r="O42" s="91" t="s">
        <v>67</v>
      </c>
      <c r="P42" s="91">
        <v>12</v>
      </c>
    </row>
    <row r="43" spans="5:31">
      <c r="I43" s="91" t="s">
        <v>13</v>
      </c>
      <c r="J43" s="91">
        <v>964</v>
      </c>
      <c r="K43" s="91" t="s">
        <v>65</v>
      </c>
      <c r="L43" s="91">
        <v>328</v>
      </c>
      <c r="M43" s="91" t="s">
        <v>66</v>
      </c>
      <c r="N43" s="91">
        <v>15</v>
      </c>
      <c r="O43" s="91" t="s">
        <v>67</v>
      </c>
      <c r="P43" s="91">
        <v>16</v>
      </c>
    </row>
    <row r="44" spans="5:31">
      <c r="I44" s="91" t="s">
        <v>13</v>
      </c>
      <c r="J44" s="91">
        <v>1112</v>
      </c>
      <c r="K44" s="91" t="s">
        <v>65</v>
      </c>
      <c r="L44" s="91">
        <v>308</v>
      </c>
      <c r="M44" s="91" t="s">
        <v>66</v>
      </c>
      <c r="N44" s="91">
        <v>8</v>
      </c>
      <c r="O44" s="91" t="s">
        <v>67</v>
      </c>
      <c r="P44" s="91">
        <v>14</v>
      </c>
    </row>
    <row r="45" spans="5:31">
      <c r="I45" s="91" t="s">
        <v>13</v>
      </c>
      <c r="J45" s="91">
        <v>1213</v>
      </c>
      <c r="K45" s="91" t="s">
        <v>65</v>
      </c>
      <c r="L45" s="91">
        <v>41</v>
      </c>
      <c r="M45" s="91" t="s">
        <v>66</v>
      </c>
      <c r="N45" s="91">
        <v>9</v>
      </c>
      <c r="O45" s="91" t="s">
        <v>67</v>
      </c>
      <c r="P45" s="91">
        <v>3</v>
      </c>
    </row>
    <row r="46" spans="5:31">
      <c r="I46" s="91" t="s">
        <v>13</v>
      </c>
      <c r="J46" s="91">
        <v>1299</v>
      </c>
      <c r="K46" s="91" t="s">
        <v>65</v>
      </c>
      <c r="L46" s="91">
        <v>30</v>
      </c>
      <c r="M46" s="91" t="s">
        <v>66</v>
      </c>
      <c r="N46" s="91">
        <v>3</v>
      </c>
      <c r="O46" s="91" t="s">
        <v>67</v>
      </c>
      <c r="P46" s="91">
        <v>1</v>
      </c>
    </row>
    <row r="47" spans="5:31">
      <c r="I47" s="91" t="s">
        <v>13</v>
      </c>
      <c r="J47" s="91">
        <v>1408</v>
      </c>
      <c r="K47" s="91" t="s">
        <v>65</v>
      </c>
      <c r="L47" s="91">
        <v>444</v>
      </c>
      <c r="M47" s="91" t="s">
        <v>66</v>
      </c>
      <c r="N47" s="91">
        <v>0</v>
      </c>
      <c r="O47" s="91" t="s">
        <v>67</v>
      </c>
      <c r="P47" s="91">
        <v>0</v>
      </c>
    </row>
    <row r="49" spans="9:16">
      <c r="I49" s="91" t="s">
        <v>69</v>
      </c>
    </row>
    <row r="50" spans="9:16">
      <c r="I50" s="91" t="s">
        <v>13</v>
      </c>
      <c r="J50" s="91">
        <v>122</v>
      </c>
      <c r="K50" s="91" t="s">
        <v>65</v>
      </c>
      <c r="L50" s="91">
        <v>1274</v>
      </c>
      <c r="M50" s="91" t="s">
        <v>66</v>
      </c>
      <c r="N50" s="91">
        <v>157</v>
      </c>
      <c r="O50" s="91" t="s">
        <v>67</v>
      </c>
      <c r="P50" s="91">
        <v>95</v>
      </c>
    </row>
    <row r="51" spans="9:16">
      <c r="I51" s="91" t="s">
        <v>13</v>
      </c>
      <c r="J51" s="91">
        <v>245</v>
      </c>
      <c r="K51" s="91" t="s">
        <v>65</v>
      </c>
      <c r="L51" s="91">
        <v>418</v>
      </c>
      <c r="M51" s="91" t="s">
        <v>66</v>
      </c>
      <c r="N51" s="91">
        <v>76</v>
      </c>
      <c r="O51" s="91" t="s">
        <v>67</v>
      </c>
      <c r="P51" s="91">
        <v>69</v>
      </c>
    </row>
    <row r="52" spans="9:16">
      <c r="I52" s="91" t="s">
        <v>13</v>
      </c>
      <c r="J52" s="91">
        <v>344</v>
      </c>
      <c r="K52" s="91" t="s">
        <v>65</v>
      </c>
      <c r="L52" s="91">
        <v>1099</v>
      </c>
      <c r="M52" s="91" t="s">
        <v>66</v>
      </c>
      <c r="N52" s="91">
        <v>67</v>
      </c>
      <c r="O52" s="91" t="s">
        <v>67</v>
      </c>
      <c r="P52" s="91">
        <v>53</v>
      </c>
    </row>
    <row r="53" spans="9:16">
      <c r="I53" s="91" t="s">
        <v>13</v>
      </c>
      <c r="J53" s="91">
        <v>411</v>
      </c>
      <c r="K53" s="91" t="s">
        <v>65</v>
      </c>
      <c r="L53" s="91">
        <v>112</v>
      </c>
      <c r="M53" s="91" t="s">
        <v>66</v>
      </c>
      <c r="N53" s="91">
        <v>32</v>
      </c>
      <c r="O53" s="91" t="s">
        <v>67</v>
      </c>
      <c r="P53" s="91">
        <v>33</v>
      </c>
    </row>
    <row r="54" spans="9:16">
      <c r="I54" s="91" t="s">
        <v>13</v>
      </c>
      <c r="J54" s="91">
        <v>444</v>
      </c>
      <c r="K54" s="91" t="s">
        <v>65</v>
      </c>
      <c r="L54" s="91">
        <v>133</v>
      </c>
      <c r="M54" s="91" t="s">
        <v>66</v>
      </c>
      <c r="N54" s="91">
        <v>32</v>
      </c>
      <c r="O54" s="91" t="s">
        <v>67</v>
      </c>
      <c r="P54" s="91">
        <v>33</v>
      </c>
    </row>
    <row r="55" spans="9:16">
      <c r="I55" s="91" t="s">
        <v>13</v>
      </c>
      <c r="J55" s="91">
        <v>779</v>
      </c>
      <c r="K55" s="91" t="s">
        <v>65</v>
      </c>
      <c r="L55" s="91">
        <v>331</v>
      </c>
      <c r="M55" s="91" t="s">
        <v>66</v>
      </c>
      <c r="N55" s="91">
        <v>27</v>
      </c>
      <c r="O55" s="91" t="s">
        <v>67</v>
      </c>
      <c r="P55" s="91">
        <v>21</v>
      </c>
    </row>
    <row r="56" spans="9:16">
      <c r="I56" s="91" t="s">
        <v>13</v>
      </c>
      <c r="J56" s="91">
        <v>867</v>
      </c>
      <c r="K56" s="91" t="s">
        <v>65</v>
      </c>
      <c r="L56" s="91">
        <v>117</v>
      </c>
      <c r="M56" s="91" t="s">
        <v>66</v>
      </c>
      <c r="N56" s="91">
        <v>20</v>
      </c>
      <c r="O56" s="91" t="s">
        <v>67</v>
      </c>
      <c r="P56" s="91">
        <v>13</v>
      </c>
    </row>
    <row r="57" spans="9:16">
      <c r="I57" s="91" t="s">
        <v>13</v>
      </c>
      <c r="J57" s="91">
        <v>964</v>
      </c>
      <c r="K57" s="91" t="s">
        <v>65</v>
      </c>
      <c r="L57" s="91">
        <v>343</v>
      </c>
      <c r="M57" s="91" t="s">
        <v>66</v>
      </c>
      <c r="N57" s="91">
        <v>12</v>
      </c>
      <c r="O57" s="91" t="s">
        <v>67</v>
      </c>
      <c r="P57" s="91">
        <v>8</v>
      </c>
    </row>
    <row r="58" spans="9:16">
      <c r="I58" s="91" t="s">
        <v>13</v>
      </c>
      <c r="J58" s="91">
        <v>1112</v>
      </c>
      <c r="K58" s="91" t="s">
        <v>65</v>
      </c>
      <c r="L58" s="91">
        <v>299</v>
      </c>
      <c r="M58" s="91" t="s">
        <v>66</v>
      </c>
      <c r="N58" s="91">
        <v>7</v>
      </c>
      <c r="O58" s="91" t="s">
        <v>67</v>
      </c>
      <c r="P58" s="91">
        <v>14</v>
      </c>
    </row>
    <row r="59" spans="9:16">
      <c r="I59" s="91" t="s">
        <v>13</v>
      </c>
      <c r="J59" s="91">
        <v>1213</v>
      </c>
      <c r="K59" s="91" t="s">
        <v>65</v>
      </c>
      <c r="L59" s="91">
        <v>52</v>
      </c>
      <c r="M59" s="91" t="s">
        <v>66</v>
      </c>
      <c r="N59" s="91">
        <v>7</v>
      </c>
      <c r="O59" s="91" t="s">
        <v>67</v>
      </c>
      <c r="P59" s="91">
        <v>10</v>
      </c>
    </row>
    <row r="60" spans="9:16">
      <c r="I60" s="91" t="s">
        <v>13</v>
      </c>
      <c r="J60" s="91">
        <v>1299</v>
      </c>
      <c r="K60" s="91" t="s">
        <v>65</v>
      </c>
      <c r="L60" s="91">
        <v>26</v>
      </c>
      <c r="M60" s="91" t="s">
        <v>66</v>
      </c>
      <c r="N60" s="91">
        <v>2</v>
      </c>
      <c r="O60" s="91" t="s">
        <v>67</v>
      </c>
      <c r="P60" s="91">
        <v>2</v>
      </c>
    </row>
    <row r="61" spans="9:16">
      <c r="I61" s="91" t="s">
        <v>13</v>
      </c>
      <c r="J61" s="91">
        <v>1408</v>
      </c>
      <c r="K61" s="91" t="s">
        <v>65</v>
      </c>
      <c r="L61" s="91">
        <v>406</v>
      </c>
      <c r="M61" s="91" t="s">
        <v>66</v>
      </c>
      <c r="N61" s="91">
        <v>1</v>
      </c>
      <c r="O61" s="91" t="s">
        <v>67</v>
      </c>
      <c r="P61" s="91">
        <v>0</v>
      </c>
    </row>
    <row r="63" spans="9:16">
      <c r="I63" s="91" t="s">
        <v>70</v>
      </c>
    </row>
    <row r="64" spans="9:16">
      <c r="I64" s="91" t="s">
        <v>13</v>
      </c>
      <c r="J64" s="91">
        <v>122</v>
      </c>
      <c r="K64" s="91" t="s">
        <v>65</v>
      </c>
      <c r="L64" s="91">
        <v>1172</v>
      </c>
      <c r="M64" s="91" t="s">
        <v>66</v>
      </c>
      <c r="N64" s="91">
        <v>159</v>
      </c>
      <c r="O64" s="91" t="s">
        <v>67</v>
      </c>
      <c r="P64" s="91">
        <v>94</v>
      </c>
    </row>
    <row r="65" spans="9:16">
      <c r="I65" s="91" t="s">
        <v>13</v>
      </c>
      <c r="J65" s="91">
        <v>245</v>
      </c>
      <c r="K65" s="91" t="s">
        <v>65</v>
      </c>
      <c r="L65" s="91">
        <v>410</v>
      </c>
      <c r="M65" s="91" t="s">
        <v>66</v>
      </c>
      <c r="N65" s="91">
        <v>76</v>
      </c>
      <c r="O65" s="91" t="s">
        <v>67</v>
      </c>
      <c r="P65" s="91">
        <v>63</v>
      </c>
    </row>
    <row r="66" spans="9:16">
      <c r="I66" s="91" t="s">
        <v>13</v>
      </c>
      <c r="J66" s="91">
        <v>344</v>
      </c>
      <c r="K66" s="91" t="s">
        <v>65</v>
      </c>
      <c r="L66" s="91">
        <v>1053</v>
      </c>
      <c r="M66" s="91" t="s">
        <v>66</v>
      </c>
      <c r="N66" s="91">
        <v>54</v>
      </c>
      <c r="O66" s="91" t="s">
        <v>67</v>
      </c>
      <c r="P66" s="91">
        <v>44</v>
      </c>
    </row>
    <row r="67" spans="9:16">
      <c r="I67" s="91" t="s">
        <v>13</v>
      </c>
      <c r="J67" s="91">
        <v>411</v>
      </c>
      <c r="K67" s="91" t="s">
        <v>65</v>
      </c>
      <c r="L67" s="91">
        <v>120</v>
      </c>
      <c r="M67" s="91" t="s">
        <v>66</v>
      </c>
      <c r="N67" s="91">
        <v>35</v>
      </c>
      <c r="O67" s="91" t="s">
        <v>67</v>
      </c>
      <c r="P67" s="91">
        <v>42</v>
      </c>
    </row>
    <row r="68" spans="9:16">
      <c r="I68" s="91" t="s">
        <v>13</v>
      </c>
      <c r="J68" s="91">
        <v>444</v>
      </c>
      <c r="K68" s="91" t="s">
        <v>65</v>
      </c>
      <c r="L68" s="91">
        <v>144</v>
      </c>
      <c r="M68" s="91" t="s">
        <v>66</v>
      </c>
      <c r="N68" s="91">
        <v>36</v>
      </c>
      <c r="O68" s="91" t="s">
        <v>67</v>
      </c>
      <c r="P68" s="91">
        <v>31</v>
      </c>
    </row>
    <row r="69" spans="9:16">
      <c r="I69" s="91" t="s">
        <v>13</v>
      </c>
      <c r="J69" s="91">
        <v>779</v>
      </c>
      <c r="K69" s="91" t="s">
        <v>65</v>
      </c>
      <c r="L69" s="91">
        <v>388</v>
      </c>
      <c r="M69" s="91" t="s">
        <v>66</v>
      </c>
      <c r="N69" s="91">
        <v>20</v>
      </c>
      <c r="O69" s="91" t="s">
        <v>67</v>
      </c>
      <c r="P69" s="91">
        <v>18</v>
      </c>
    </row>
    <row r="70" spans="9:16">
      <c r="I70" s="91" t="s">
        <v>13</v>
      </c>
      <c r="J70" s="91">
        <v>867</v>
      </c>
      <c r="K70" s="91" t="s">
        <v>65</v>
      </c>
      <c r="L70" s="91">
        <v>117</v>
      </c>
      <c r="M70" s="91" t="s">
        <v>66</v>
      </c>
      <c r="N70" s="91">
        <v>21</v>
      </c>
      <c r="O70" s="91" t="s">
        <v>67</v>
      </c>
      <c r="P70" s="91">
        <v>20</v>
      </c>
    </row>
    <row r="71" spans="9:16">
      <c r="I71" s="91" t="s">
        <v>13</v>
      </c>
      <c r="J71" s="91">
        <v>964</v>
      </c>
      <c r="K71" s="91" t="s">
        <v>65</v>
      </c>
      <c r="L71" s="91">
        <v>323</v>
      </c>
      <c r="M71" s="91" t="s">
        <v>66</v>
      </c>
      <c r="N71" s="91">
        <v>12</v>
      </c>
      <c r="O71" s="91" t="s">
        <v>67</v>
      </c>
      <c r="P71" s="91">
        <v>15</v>
      </c>
    </row>
    <row r="72" spans="9:16">
      <c r="I72" s="91" t="s">
        <v>13</v>
      </c>
      <c r="J72" s="91">
        <v>1112</v>
      </c>
      <c r="K72" s="91" t="s">
        <v>65</v>
      </c>
      <c r="L72" s="91">
        <v>290</v>
      </c>
      <c r="M72" s="91" t="s">
        <v>66</v>
      </c>
      <c r="N72" s="91">
        <v>9</v>
      </c>
      <c r="O72" s="91" t="s">
        <v>67</v>
      </c>
      <c r="P72" s="91">
        <v>10</v>
      </c>
    </row>
    <row r="73" spans="9:16">
      <c r="I73" s="91" t="s">
        <v>13</v>
      </c>
      <c r="J73" s="91">
        <v>1213</v>
      </c>
      <c r="K73" s="91" t="s">
        <v>65</v>
      </c>
      <c r="L73" s="91">
        <v>24</v>
      </c>
      <c r="M73" s="91" t="s">
        <v>66</v>
      </c>
      <c r="N73" s="91">
        <v>10</v>
      </c>
      <c r="O73" s="91" t="s">
        <v>67</v>
      </c>
      <c r="P73" s="91">
        <v>9</v>
      </c>
    </row>
    <row r="74" spans="9:16">
      <c r="I74" s="91" t="s">
        <v>13</v>
      </c>
      <c r="J74" s="91">
        <v>1299</v>
      </c>
      <c r="K74" s="91" t="s">
        <v>65</v>
      </c>
      <c r="L74" s="91">
        <v>29</v>
      </c>
      <c r="M74" s="91" t="s">
        <v>66</v>
      </c>
      <c r="N74" s="91">
        <v>3</v>
      </c>
      <c r="O74" s="91" t="s">
        <v>67</v>
      </c>
      <c r="P74" s="91">
        <v>2</v>
      </c>
    </row>
    <row r="75" spans="9:16">
      <c r="I75" s="91" t="s">
        <v>13</v>
      </c>
      <c r="J75" s="91">
        <v>1408</v>
      </c>
      <c r="K75" s="91" t="s">
        <v>65</v>
      </c>
      <c r="L75" s="91">
        <v>441</v>
      </c>
      <c r="M75" s="91" t="s">
        <v>66</v>
      </c>
      <c r="N75" s="91">
        <v>0</v>
      </c>
      <c r="O75" s="91" t="s">
        <v>67</v>
      </c>
      <c r="P75" s="91">
        <v>0</v>
      </c>
    </row>
    <row r="77" spans="9:16">
      <c r="I77" s="91" t="s">
        <v>71</v>
      </c>
    </row>
    <row r="78" spans="9:16">
      <c r="I78" s="91" t="s">
        <v>13</v>
      </c>
      <c r="J78" s="91">
        <v>122</v>
      </c>
      <c r="K78" s="91" t="s">
        <v>65</v>
      </c>
      <c r="L78" s="91">
        <v>1257</v>
      </c>
      <c r="M78" s="91" t="s">
        <v>66</v>
      </c>
      <c r="N78" s="91">
        <v>198</v>
      </c>
      <c r="O78" s="91" t="s">
        <v>67</v>
      </c>
      <c r="P78" s="91">
        <v>70</v>
      </c>
    </row>
    <row r="79" spans="9:16">
      <c r="I79" s="91" t="s">
        <v>13</v>
      </c>
      <c r="J79" s="91">
        <v>245</v>
      </c>
      <c r="K79" s="91" t="s">
        <v>65</v>
      </c>
      <c r="L79" s="91">
        <v>367</v>
      </c>
      <c r="M79" s="91" t="s">
        <v>66</v>
      </c>
      <c r="N79" s="91">
        <v>81</v>
      </c>
      <c r="O79" s="91" t="s">
        <v>67</v>
      </c>
      <c r="P79" s="91">
        <v>61</v>
      </c>
    </row>
    <row r="80" spans="9:16">
      <c r="I80" s="91" t="s">
        <v>13</v>
      </c>
      <c r="J80" s="91">
        <v>344</v>
      </c>
      <c r="K80" s="91" t="s">
        <v>65</v>
      </c>
      <c r="L80" s="91">
        <v>1100</v>
      </c>
      <c r="M80" s="91" t="s">
        <v>66</v>
      </c>
      <c r="N80" s="91">
        <v>41</v>
      </c>
      <c r="O80" s="91" t="s">
        <v>67</v>
      </c>
      <c r="P80" s="91">
        <v>34</v>
      </c>
    </row>
    <row r="81" spans="9:16">
      <c r="I81" s="91" t="s">
        <v>13</v>
      </c>
      <c r="J81" s="91">
        <v>411</v>
      </c>
      <c r="K81" s="91" t="s">
        <v>65</v>
      </c>
      <c r="L81" s="91">
        <v>103</v>
      </c>
      <c r="M81" s="91" t="s">
        <v>66</v>
      </c>
      <c r="N81" s="91">
        <v>33</v>
      </c>
      <c r="O81" s="91" t="s">
        <v>67</v>
      </c>
      <c r="P81" s="91">
        <v>23</v>
      </c>
    </row>
    <row r="82" spans="9:16">
      <c r="I82" s="91" t="s">
        <v>13</v>
      </c>
      <c r="J82" s="91">
        <v>444</v>
      </c>
      <c r="K82" s="91" t="s">
        <v>65</v>
      </c>
      <c r="L82" s="91">
        <v>139</v>
      </c>
      <c r="M82" s="91" t="s">
        <v>66</v>
      </c>
      <c r="N82" s="91">
        <v>29</v>
      </c>
      <c r="O82" s="91" t="s">
        <v>67</v>
      </c>
      <c r="P82" s="91">
        <v>22</v>
      </c>
    </row>
    <row r="83" spans="9:16">
      <c r="I83" s="91" t="s">
        <v>13</v>
      </c>
      <c r="J83" s="91">
        <v>779</v>
      </c>
      <c r="K83" s="91" t="s">
        <v>65</v>
      </c>
      <c r="L83" s="91">
        <v>333</v>
      </c>
      <c r="M83" s="91" t="s">
        <v>66</v>
      </c>
      <c r="N83" s="91">
        <v>23</v>
      </c>
      <c r="O83" s="91" t="s">
        <v>67</v>
      </c>
      <c r="P83" s="91">
        <v>22</v>
      </c>
    </row>
    <row r="84" spans="9:16">
      <c r="I84" s="91" t="s">
        <v>13</v>
      </c>
      <c r="J84" s="91">
        <v>867</v>
      </c>
      <c r="K84" s="91" t="s">
        <v>65</v>
      </c>
      <c r="L84" s="91">
        <v>119</v>
      </c>
      <c r="M84" s="91" t="s">
        <v>66</v>
      </c>
      <c r="N84" s="91">
        <v>17</v>
      </c>
      <c r="O84" s="91" t="s">
        <v>67</v>
      </c>
      <c r="P84" s="91">
        <v>22</v>
      </c>
    </row>
    <row r="85" spans="9:16">
      <c r="I85" s="91" t="s">
        <v>13</v>
      </c>
      <c r="J85" s="91">
        <v>964</v>
      </c>
      <c r="K85" s="91" t="s">
        <v>65</v>
      </c>
      <c r="L85" s="91">
        <v>337</v>
      </c>
      <c r="M85" s="91" t="s">
        <v>66</v>
      </c>
      <c r="N85" s="91">
        <v>14</v>
      </c>
      <c r="O85" s="91" t="s">
        <v>67</v>
      </c>
      <c r="P85" s="91">
        <v>11</v>
      </c>
    </row>
    <row r="86" spans="9:16">
      <c r="I86" s="91" t="s">
        <v>13</v>
      </c>
      <c r="J86" s="91">
        <v>1112</v>
      </c>
      <c r="K86" s="91" t="s">
        <v>65</v>
      </c>
      <c r="L86" s="91">
        <v>298</v>
      </c>
      <c r="M86" s="91" t="s">
        <v>66</v>
      </c>
      <c r="N86" s="91">
        <v>17</v>
      </c>
      <c r="O86" s="91" t="s">
        <v>67</v>
      </c>
      <c r="P86" s="91">
        <v>11</v>
      </c>
    </row>
    <row r="87" spans="9:16">
      <c r="I87" s="91" t="s">
        <v>13</v>
      </c>
      <c r="J87" s="91">
        <v>1213</v>
      </c>
      <c r="K87" s="91" t="s">
        <v>65</v>
      </c>
      <c r="L87" s="91">
        <v>35</v>
      </c>
      <c r="M87" s="91" t="s">
        <v>66</v>
      </c>
      <c r="N87" s="91">
        <v>13</v>
      </c>
      <c r="O87" s="91" t="s">
        <v>67</v>
      </c>
      <c r="P87" s="91">
        <v>7</v>
      </c>
    </row>
    <row r="88" spans="9:16">
      <c r="I88" s="91" t="s">
        <v>13</v>
      </c>
      <c r="J88" s="91">
        <v>1299</v>
      </c>
      <c r="K88" s="91" t="s">
        <v>65</v>
      </c>
      <c r="L88" s="91">
        <v>37</v>
      </c>
      <c r="M88" s="91" t="s">
        <v>66</v>
      </c>
      <c r="N88" s="91">
        <v>4</v>
      </c>
      <c r="O88" s="91" t="s">
        <v>67</v>
      </c>
      <c r="P88" s="91">
        <v>1</v>
      </c>
    </row>
    <row r="89" spans="9:16">
      <c r="I89" s="91" t="s">
        <v>13</v>
      </c>
      <c r="J89" s="91">
        <v>1408</v>
      </c>
      <c r="K89" s="91" t="s">
        <v>65</v>
      </c>
      <c r="L89" s="91">
        <v>372</v>
      </c>
      <c r="M89" s="91" t="s">
        <v>66</v>
      </c>
      <c r="N89" s="91">
        <v>0</v>
      </c>
      <c r="O89" s="91" t="s">
        <v>67</v>
      </c>
      <c r="P89" s="91">
        <v>0</v>
      </c>
    </row>
    <row r="91" spans="9:16">
      <c r="I91" s="91" t="s">
        <v>72</v>
      </c>
    </row>
    <row r="92" spans="9:16">
      <c r="I92" s="91" t="s">
        <v>13</v>
      </c>
      <c r="J92" s="91">
        <v>122</v>
      </c>
      <c r="K92" s="91" t="s">
        <v>65</v>
      </c>
      <c r="L92" s="91">
        <v>1271</v>
      </c>
      <c r="M92" s="91" t="s">
        <v>66</v>
      </c>
      <c r="N92" s="91">
        <v>182</v>
      </c>
      <c r="O92" s="91" t="s">
        <v>67</v>
      </c>
      <c r="P92" s="91">
        <v>94</v>
      </c>
    </row>
    <row r="93" spans="9:16">
      <c r="I93" s="91" t="s">
        <v>13</v>
      </c>
      <c r="J93" s="91">
        <v>245</v>
      </c>
      <c r="K93" s="91" t="s">
        <v>65</v>
      </c>
      <c r="L93" s="91">
        <v>424</v>
      </c>
      <c r="M93" s="91" t="s">
        <v>66</v>
      </c>
      <c r="N93" s="91">
        <v>76</v>
      </c>
      <c r="O93" s="91" t="s">
        <v>67</v>
      </c>
      <c r="P93" s="91">
        <v>65</v>
      </c>
    </row>
    <row r="94" spans="9:16">
      <c r="I94" s="91" t="s">
        <v>13</v>
      </c>
      <c r="J94" s="91">
        <v>344</v>
      </c>
      <c r="K94" s="91" t="s">
        <v>65</v>
      </c>
      <c r="L94" s="91">
        <v>1065</v>
      </c>
      <c r="M94" s="91" t="s">
        <v>66</v>
      </c>
      <c r="N94" s="91">
        <v>54</v>
      </c>
      <c r="O94" s="91" t="s">
        <v>67</v>
      </c>
      <c r="P94" s="91">
        <v>39</v>
      </c>
    </row>
    <row r="95" spans="9:16">
      <c r="I95" s="91" t="s">
        <v>13</v>
      </c>
      <c r="J95" s="91">
        <v>411</v>
      </c>
      <c r="K95" s="91" t="s">
        <v>65</v>
      </c>
      <c r="L95" s="91">
        <v>110</v>
      </c>
      <c r="M95" s="91" t="s">
        <v>66</v>
      </c>
      <c r="N95" s="91">
        <v>19</v>
      </c>
      <c r="O95" s="91" t="s">
        <v>67</v>
      </c>
      <c r="P95" s="91">
        <v>36</v>
      </c>
    </row>
    <row r="96" spans="9:16">
      <c r="I96" s="91" t="s">
        <v>13</v>
      </c>
      <c r="J96" s="91">
        <v>444</v>
      </c>
      <c r="K96" s="91" t="s">
        <v>65</v>
      </c>
      <c r="L96" s="91">
        <v>158</v>
      </c>
      <c r="M96" s="91" t="s">
        <v>66</v>
      </c>
      <c r="N96" s="91">
        <v>25</v>
      </c>
      <c r="O96" s="91" t="s">
        <v>67</v>
      </c>
      <c r="P96" s="91">
        <v>22</v>
      </c>
    </row>
    <row r="97" spans="9:16">
      <c r="I97" s="91" t="s">
        <v>13</v>
      </c>
      <c r="J97" s="91">
        <v>779</v>
      </c>
      <c r="K97" s="91" t="s">
        <v>65</v>
      </c>
      <c r="L97" s="91">
        <v>344</v>
      </c>
      <c r="M97" s="91" t="s">
        <v>66</v>
      </c>
      <c r="N97" s="91">
        <v>17</v>
      </c>
      <c r="O97" s="91" t="s">
        <v>67</v>
      </c>
      <c r="P97" s="91">
        <v>20</v>
      </c>
    </row>
    <row r="98" spans="9:16">
      <c r="I98" s="91" t="s">
        <v>13</v>
      </c>
      <c r="J98" s="91">
        <v>867</v>
      </c>
      <c r="K98" s="91" t="s">
        <v>65</v>
      </c>
      <c r="L98" s="91">
        <v>124</v>
      </c>
      <c r="M98" s="91" t="s">
        <v>66</v>
      </c>
      <c r="N98" s="91">
        <v>17</v>
      </c>
      <c r="O98" s="91" t="s">
        <v>67</v>
      </c>
      <c r="P98" s="91">
        <v>16</v>
      </c>
    </row>
    <row r="99" spans="9:16">
      <c r="I99" s="91" t="s">
        <v>13</v>
      </c>
      <c r="J99" s="91">
        <v>964</v>
      </c>
      <c r="K99" s="91" t="s">
        <v>65</v>
      </c>
      <c r="L99" s="91">
        <v>351</v>
      </c>
      <c r="M99" s="91" t="s">
        <v>66</v>
      </c>
      <c r="N99" s="91">
        <v>12</v>
      </c>
      <c r="O99" s="91" t="s">
        <v>67</v>
      </c>
      <c r="P99" s="91">
        <v>16</v>
      </c>
    </row>
    <row r="100" spans="9:16">
      <c r="I100" s="91" t="s">
        <v>13</v>
      </c>
      <c r="J100" s="91">
        <v>1112</v>
      </c>
      <c r="K100" s="91" t="s">
        <v>65</v>
      </c>
      <c r="L100" s="91">
        <v>302</v>
      </c>
      <c r="M100" s="91" t="s">
        <v>66</v>
      </c>
      <c r="N100" s="91">
        <v>8</v>
      </c>
      <c r="O100" s="91" t="s">
        <v>67</v>
      </c>
      <c r="P100" s="91">
        <v>10</v>
      </c>
    </row>
    <row r="101" spans="9:16">
      <c r="I101" s="91" t="s">
        <v>13</v>
      </c>
      <c r="J101" s="91">
        <v>1213</v>
      </c>
      <c r="K101" s="91" t="s">
        <v>65</v>
      </c>
      <c r="L101" s="91">
        <v>33</v>
      </c>
      <c r="M101" s="91" t="s">
        <v>66</v>
      </c>
      <c r="N101" s="91">
        <v>7</v>
      </c>
      <c r="O101" s="91" t="s">
        <v>67</v>
      </c>
      <c r="P101" s="91">
        <v>11</v>
      </c>
    </row>
    <row r="102" spans="9:16">
      <c r="I102" s="91" t="s">
        <v>13</v>
      </c>
      <c r="J102" s="91">
        <v>1299</v>
      </c>
      <c r="K102" s="91" t="s">
        <v>65</v>
      </c>
      <c r="L102" s="91">
        <v>32</v>
      </c>
      <c r="M102" s="91" t="s">
        <v>66</v>
      </c>
      <c r="N102" s="91">
        <v>0</v>
      </c>
      <c r="O102" s="91" t="s">
        <v>67</v>
      </c>
      <c r="P102" s="91">
        <v>0</v>
      </c>
    </row>
    <row r="103" spans="9:16">
      <c r="I103" s="91" t="s">
        <v>13</v>
      </c>
      <c r="J103" s="91">
        <v>1408</v>
      </c>
      <c r="K103" s="91" t="s">
        <v>65</v>
      </c>
      <c r="L103" s="91">
        <v>412</v>
      </c>
      <c r="M103" s="91" t="s">
        <v>66</v>
      </c>
      <c r="N103" s="91">
        <v>1</v>
      </c>
      <c r="O103" s="91" t="s">
        <v>67</v>
      </c>
      <c r="P103" s="91">
        <v>0</v>
      </c>
    </row>
    <row r="105" spans="9:16">
      <c r="I105" s="57" t="s">
        <v>73</v>
      </c>
      <c r="J105" s="57"/>
      <c r="K105" s="57"/>
      <c r="L105" s="57"/>
      <c r="M105" s="57"/>
      <c r="N105" s="57"/>
      <c r="O105" s="57"/>
      <c r="P105" s="57"/>
    </row>
    <row r="106" spans="9:16">
      <c r="I106" s="57" t="s">
        <v>13</v>
      </c>
      <c r="J106" s="57">
        <v>122</v>
      </c>
      <c r="K106" s="57" t="s">
        <v>65</v>
      </c>
      <c r="L106" s="57">
        <v>1208</v>
      </c>
      <c r="M106" s="57" t="s">
        <v>66</v>
      </c>
      <c r="N106" s="57">
        <v>167</v>
      </c>
      <c r="O106" s="57" t="s">
        <v>67</v>
      </c>
      <c r="P106" s="57">
        <v>81</v>
      </c>
    </row>
    <row r="107" spans="9:16">
      <c r="I107" s="57" t="s">
        <v>13</v>
      </c>
      <c r="J107" s="57">
        <v>245</v>
      </c>
      <c r="K107" s="57" t="s">
        <v>65</v>
      </c>
      <c r="L107" s="57">
        <v>408</v>
      </c>
      <c r="M107" s="57" t="s">
        <v>66</v>
      </c>
      <c r="N107" s="57">
        <v>84</v>
      </c>
      <c r="O107" s="57" t="s">
        <v>67</v>
      </c>
      <c r="P107" s="57">
        <v>67</v>
      </c>
    </row>
    <row r="108" spans="9:16">
      <c r="I108" s="57" t="s">
        <v>13</v>
      </c>
      <c r="J108" s="57">
        <v>344</v>
      </c>
      <c r="K108" s="57" t="s">
        <v>65</v>
      </c>
      <c r="L108" s="57">
        <v>1022</v>
      </c>
      <c r="M108" s="57" t="s">
        <v>66</v>
      </c>
      <c r="N108" s="57">
        <v>60</v>
      </c>
      <c r="O108" s="57" t="s">
        <v>67</v>
      </c>
      <c r="P108" s="57">
        <v>37</v>
      </c>
    </row>
    <row r="109" spans="9:16">
      <c r="I109" s="57" t="s">
        <v>13</v>
      </c>
      <c r="J109" s="57">
        <v>411</v>
      </c>
      <c r="K109" s="57" t="s">
        <v>65</v>
      </c>
      <c r="L109" s="57">
        <v>115</v>
      </c>
      <c r="M109" s="57" t="s">
        <v>66</v>
      </c>
      <c r="N109" s="57">
        <v>32</v>
      </c>
      <c r="O109" s="57" t="s">
        <v>67</v>
      </c>
      <c r="P109" s="57">
        <v>34</v>
      </c>
    </row>
    <row r="110" spans="9:16">
      <c r="I110" s="57" t="s">
        <v>13</v>
      </c>
      <c r="J110" s="57">
        <v>444</v>
      </c>
      <c r="K110" s="57" t="s">
        <v>65</v>
      </c>
      <c r="L110" s="57">
        <v>136</v>
      </c>
      <c r="M110" s="57" t="s">
        <v>66</v>
      </c>
      <c r="N110" s="57">
        <v>24</v>
      </c>
      <c r="O110" s="57" t="s">
        <v>67</v>
      </c>
      <c r="P110" s="57">
        <v>37</v>
      </c>
    </row>
    <row r="111" spans="9:16">
      <c r="I111" s="57" t="s">
        <v>13</v>
      </c>
      <c r="J111" s="57">
        <v>779</v>
      </c>
      <c r="K111" s="57" t="s">
        <v>65</v>
      </c>
      <c r="L111" s="57">
        <v>321</v>
      </c>
      <c r="M111" s="57" t="s">
        <v>66</v>
      </c>
      <c r="N111" s="57">
        <v>20</v>
      </c>
      <c r="O111" s="57" t="s">
        <v>67</v>
      </c>
      <c r="P111" s="57">
        <v>20</v>
      </c>
    </row>
    <row r="112" spans="9:16">
      <c r="I112" s="57" t="s">
        <v>13</v>
      </c>
      <c r="J112" s="57">
        <v>867</v>
      </c>
      <c r="K112" s="57" t="s">
        <v>65</v>
      </c>
      <c r="L112" s="57">
        <v>113</v>
      </c>
      <c r="M112" s="57" t="s">
        <v>66</v>
      </c>
      <c r="N112" s="57">
        <v>20</v>
      </c>
      <c r="O112" s="57" t="s">
        <v>67</v>
      </c>
      <c r="P112" s="57">
        <v>17</v>
      </c>
    </row>
    <row r="113" spans="9:16">
      <c r="I113" s="57" t="s">
        <v>13</v>
      </c>
      <c r="J113" s="57">
        <v>964</v>
      </c>
      <c r="K113" s="57" t="s">
        <v>65</v>
      </c>
      <c r="L113" s="57">
        <v>352</v>
      </c>
      <c r="M113" s="57" t="s">
        <v>66</v>
      </c>
      <c r="N113" s="57">
        <v>12</v>
      </c>
      <c r="O113" s="57" t="s">
        <v>67</v>
      </c>
      <c r="P113" s="57">
        <v>12</v>
      </c>
    </row>
    <row r="114" spans="9:16">
      <c r="I114" s="57" t="s">
        <v>13</v>
      </c>
      <c r="J114" s="57">
        <v>1112</v>
      </c>
      <c r="K114" s="57" t="s">
        <v>65</v>
      </c>
      <c r="L114" s="57">
        <v>298</v>
      </c>
      <c r="M114" s="57" t="s">
        <v>66</v>
      </c>
      <c r="N114" s="57">
        <v>8</v>
      </c>
      <c r="O114" s="57" t="s">
        <v>67</v>
      </c>
      <c r="P114" s="57">
        <v>10</v>
      </c>
    </row>
    <row r="115" spans="9:16">
      <c r="I115" s="57" t="s">
        <v>13</v>
      </c>
      <c r="J115" s="57">
        <v>1213</v>
      </c>
      <c r="K115" s="57" t="s">
        <v>65</v>
      </c>
      <c r="L115" s="57">
        <v>40</v>
      </c>
      <c r="M115" s="57" t="s">
        <v>66</v>
      </c>
      <c r="N115" s="57">
        <v>7</v>
      </c>
      <c r="O115" s="57" t="s">
        <v>67</v>
      </c>
      <c r="P115" s="57">
        <v>2</v>
      </c>
    </row>
    <row r="116" spans="9:16">
      <c r="I116" s="57" t="s">
        <v>13</v>
      </c>
      <c r="J116" s="57">
        <v>1299</v>
      </c>
      <c r="K116" s="57" t="s">
        <v>65</v>
      </c>
      <c r="L116" s="57">
        <v>30</v>
      </c>
      <c r="M116" s="57" t="s">
        <v>66</v>
      </c>
      <c r="N116" s="57">
        <v>1</v>
      </c>
      <c r="O116" s="57" t="s">
        <v>67</v>
      </c>
      <c r="P116" s="57">
        <v>1</v>
      </c>
    </row>
    <row r="117" spans="9:16">
      <c r="I117" s="57" t="s">
        <v>13</v>
      </c>
      <c r="J117" s="57">
        <v>1408</v>
      </c>
      <c r="K117" s="57" t="s">
        <v>65</v>
      </c>
      <c r="L117" s="57">
        <v>400</v>
      </c>
      <c r="M117" s="57" t="s">
        <v>66</v>
      </c>
      <c r="N117" s="57">
        <v>1</v>
      </c>
      <c r="O117" s="57" t="s">
        <v>67</v>
      </c>
      <c r="P117" s="57">
        <v>0</v>
      </c>
    </row>
    <row r="119" spans="9:16">
      <c r="I119" s="91" t="s">
        <v>74</v>
      </c>
    </row>
    <row r="120" spans="9:16">
      <c r="I120" s="91" t="s">
        <v>13</v>
      </c>
      <c r="J120" s="91">
        <v>122</v>
      </c>
      <c r="K120" s="91" t="s">
        <v>65</v>
      </c>
      <c r="L120" s="91">
        <v>1307</v>
      </c>
      <c r="M120" s="91" t="s">
        <v>66</v>
      </c>
      <c r="N120" s="91">
        <v>187</v>
      </c>
      <c r="O120" s="91" t="s">
        <v>67</v>
      </c>
      <c r="P120" s="91">
        <v>84</v>
      </c>
    </row>
    <row r="121" spans="9:16">
      <c r="I121" s="91" t="s">
        <v>13</v>
      </c>
      <c r="J121" s="91">
        <v>245</v>
      </c>
      <c r="K121" s="91" t="s">
        <v>65</v>
      </c>
      <c r="L121" s="91">
        <v>384</v>
      </c>
      <c r="M121" s="91" t="s">
        <v>66</v>
      </c>
      <c r="N121" s="91">
        <v>73</v>
      </c>
      <c r="O121" s="91" t="s">
        <v>67</v>
      </c>
      <c r="P121" s="91">
        <v>67</v>
      </c>
    </row>
    <row r="122" spans="9:16">
      <c r="I122" s="91" t="s">
        <v>13</v>
      </c>
      <c r="J122" s="91">
        <v>344</v>
      </c>
      <c r="K122" s="91" t="s">
        <v>65</v>
      </c>
      <c r="L122" s="91">
        <v>1099</v>
      </c>
      <c r="M122" s="91" t="s">
        <v>66</v>
      </c>
      <c r="N122" s="91">
        <v>48</v>
      </c>
      <c r="O122" s="91" t="s">
        <v>67</v>
      </c>
      <c r="P122" s="91">
        <v>30</v>
      </c>
    </row>
    <row r="123" spans="9:16">
      <c r="I123" s="91" t="s">
        <v>13</v>
      </c>
      <c r="J123" s="91">
        <v>411</v>
      </c>
      <c r="K123" s="91" t="s">
        <v>65</v>
      </c>
      <c r="L123" s="91">
        <v>103</v>
      </c>
      <c r="M123" s="91" t="s">
        <v>66</v>
      </c>
      <c r="N123" s="91">
        <v>38</v>
      </c>
      <c r="O123" s="91" t="s">
        <v>67</v>
      </c>
      <c r="P123" s="91">
        <v>38</v>
      </c>
    </row>
    <row r="124" spans="9:16">
      <c r="I124" s="91" t="s">
        <v>13</v>
      </c>
      <c r="J124" s="91">
        <v>444</v>
      </c>
      <c r="K124" s="91" t="s">
        <v>65</v>
      </c>
      <c r="L124" s="91">
        <v>103</v>
      </c>
      <c r="M124" s="91" t="s">
        <v>66</v>
      </c>
      <c r="N124" s="91">
        <v>29</v>
      </c>
      <c r="O124" s="91" t="s">
        <v>67</v>
      </c>
      <c r="P124" s="91">
        <v>32</v>
      </c>
    </row>
    <row r="125" spans="9:16">
      <c r="I125" s="91" t="s">
        <v>13</v>
      </c>
      <c r="J125" s="91">
        <v>779</v>
      </c>
      <c r="K125" s="91" t="s">
        <v>65</v>
      </c>
      <c r="L125" s="91">
        <v>338</v>
      </c>
      <c r="M125" s="91" t="s">
        <v>66</v>
      </c>
      <c r="N125" s="91">
        <v>26</v>
      </c>
      <c r="O125" s="91" t="s">
        <v>67</v>
      </c>
      <c r="P125" s="91">
        <v>18</v>
      </c>
    </row>
    <row r="126" spans="9:16">
      <c r="I126" s="91" t="s">
        <v>13</v>
      </c>
      <c r="J126" s="91">
        <v>867</v>
      </c>
      <c r="K126" s="91" t="s">
        <v>65</v>
      </c>
      <c r="L126" s="91">
        <v>122</v>
      </c>
      <c r="M126" s="91" t="s">
        <v>66</v>
      </c>
      <c r="N126" s="91">
        <v>16</v>
      </c>
      <c r="O126" s="91" t="s">
        <v>67</v>
      </c>
      <c r="P126" s="91">
        <v>15</v>
      </c>
    </row>
    <row r="127" spans="9:16">
      <c r="I127" s="91" t="s">
        <v>13</v>
      </c>
      <c r="J127" s="91">
        <v>964</v>
      </c>
      <c r="K127" s="91" t="s">
        <v>65</v>
      </c>
      <c r="L127" s="91">
        <v>357</v>
      </c>
      <c r="M127" s="91" t="s">
        <v>66</v>
      </c>
      <c r="N127" s="91">
        <v>18</v>
      </c>
      <c r="O127" s="91" t="s">
        <v>67</v>
      </c>
      <c r="P127" s="91">
        <v>8</v>
      </c>
    </row>
    <row r="128" spans="9:16">
      <c r="I128" s="91" t="s">
        <v>13</v>
      </c>
      <c r="J128" s="91">
        <v>1112</v>
      </c>
      <c r="K128" s="91" t="s">
        <v>65</v>
      </c>
      <c r="L128" s="91">
        <v>320</v>
      </c>
      <c r="M128" s="91" t="s">
        <v>66</v>
      </c>
      <c r="N128" s="91">
        <v>6</v>
      </c>
      <c r="O128" s="91" t="s">
        <v>67</v>
      </c>
      <c r="P128" s="91">
        <v>8</v>
      </c>
    </row>
    <row r="129" spans="9:16">
      <c r="I129" s="91" t="s">
        <v>13</v>
      </c>
      <c r="J129" s="91">
        <v>1213</v>
      </c>
      <c r="K129" s="91" t="s">
        <v>65</v>
      </c>
      <c r="L129" s="91">
        <v>29</v>
      </c>
      <c r="M129" s="91" t="s">
        <v>66</v>
      </c>
      <c r="N129" s="91">
        <v>6</v>
      </c>
      <c r="O129" s="91" t="s">
        <v>67</v>
      </c>
      <c r="P129" s="91">
        <v>2</v>
      </c>
    </row>
    <row r="130" spans="9:16">
      <c r="I130" s="91" t="s">
        <v>13</v>
      </c>
      <c r="J130" s="91">
        <v>1299</v>
      </c>
      <c r="K130" s="91" t="s">
        <v>65</v>
      </c>
      <c r="L130" s="91">
        <v>35</v>
      </c>
      <c r="M130" s="91" t="s">
        <v>66</v>
      </c>
      <c r="N130" s="91">
        <v>1</v>
      </c>
      <c r="O130" s="91" t="s">
        <v>67</v>
      </c>
      <c r="P130" s="91">
        <v>3</v>
      </c>
    </row>
    <row r="131" spans="9:16">
      <c r="I131" s="91" t="s">
        <v>13</v>
      </c>
      <c r="J131" s="91">
        <v>1408</v>
      </c>
      <c r="K131" s="91" t="s">
        <v>65</v>
      </c>
      <c r="L131" s="91">
        <v>429</v>
      </c>
      <c r="M131" s="91" t="s">
        <v>66</v>
      </c>
      <c r="N131" s="91">
        <v>0</v>
      </c>
      <c r="O131" s="91" t="s">
        <v>67</v>
      </c>
      <c r="P131" s="91">
        <v>0</v>
      </c>
    </row>
    <row r="133" spans="9:16">
      <c r="I133" s="91" t="s">
        <v>75</v>
      </c>
    </row>
    <row r="134" spans="9:16">
      <c r="I134" s="91" t="s">
        <v>13</v>
      </c>
      <c r="J134" s="91">
        <v>122</v>
      </c>
      <c r="K134" s="91" t="s">
        <v>65</v>
      </c>
      <c r="L134" s="91">
        <v>1182</v>
      </c>
      <c r="M134" s="91" t="s">
        <v>66</v>
      </c>
      <c r="N134" s="91">
        <v>163</v>
      </c>
      <c r="O134" s="91" t="s">
        <v>67</v>
      </c>
      <c r="P134" s="91">
        <v>79</v>
      </c>
    </row>
    <row r="135" spans="9:16">
      <c r="I135" s="91" t="s">
        <v>13</v>
      </c>
      <c r="J135" s="91">
        <v>245</v>
      </c>
      <c r="K135" s="91" t="s">
        <v>65</v>
      </c>
      <c r="L135" s="91">
        <v>379</v>
      </c>
      <c r="M135" s="91" t="s">
        <v>66</v>
      </c>
      <c r="N135" s="91">
        <v>70</v>
      </c>
      <c r="O135" s="91" t="s">
        <v>67</v>
      </c>
      <c r="P135" s="91">
        <v>64</v>
      </c>
    </row>
    <row r="136" spans="9:16">
      <c r="I136" s="91" t="s">
        <v>13</v>
      </c>
      <c r="J136" s="91">
        <v>344</v>
      </c>
      <c r="K136" s="91" t="s">
        <v>65</v>
      </c>
      <c r="L136" s="91">
        <v>1071</v>
      </c>
      <c r="M136" s="91" t="s">
        <v>66</v>
      </c>
      <c r="N136" s="91">
        <v>58</v>
      </c>
      <c r="O136" s="91" t="s">
        <v>67</v>
      </c>
      <c r="P136" s="91">
        <v>42</v>
      </c>
    </row>
    <row r="137" spans="9:16">
      <c r="I137" s="91" t="s">
        <v>13</v>
      </c>
      <c r="J137" s="91">
        <v>411</v>
      </c>
      <c r="K137" s="91" t="s">
        <v>65</v>
      </c>
      <c r="L137" s="91">
        <v>103</v>
      </c>
      <c r="M137" s="91" t="s">
        <v>66</v>
      </c>
      <c r="N137" s="91">
        <v>22</v>
      </c>
      <c r="O137" s="91" t="s">
        <v>67</v>
      </c>
      <c r="P137" s="91">
        <v>34</v>
      </c>
    </row>
    <row r="138" spans="9:16">
      <c r="I138" s="91" t="s">
        <v>13</v>
      </c>
      <c r="J138" s="91">
        <v>444</v>
      </c>
      <c r="K138" s="91" t="s">
        <v>65</v>
      </c>
      <c r="L138" s="91">
        <v>132</v>
      </c>
      <c r="M138" s="91" t="s">
        <v>66</v>
      </c>
      <c r="N138" s="91">
        <v>32</v>
      </c>
      <c r="O138" s="91" t="s">
        <v>67</v>
      </c>
      <c r="P138" s="91">
        <v>38</v>
      </c>
    </row>
    <row r="139" spans="9:16">
      <c r="I139" s="91" t="s">
        <v>13</v>
      </c>
      <c r="J139" s="91">
        <v>779</v>
      </c>
      <c r="K139" s="91" t="s">
        <v>65</v>
      </c>
      <c r="L139" s="91">
        <v>376</v>
      </c>
      <c r="M139" s="91" t="s">
        <v>66</v>
      </c>
      <c r="N139" s="91">
        <v>23</v>
      </c>
      <c r="O139" s="91" t="s">
        <v>67</v>
      </c>
      <c r="P139" s="91">
        <v>20</v>
      </c>
    </row>
    <row r="140" spans="9:16">
      <c r="I140" s="91" t="s">
        <v>13</v>
      </c>
      <c r="J140" s="91">
        <v>867</v>
      </c>
      <c r="K140" s="91" t="s">
        <v>65</v>
      </c>
      <c r="L140" s="91">
        <v>104</v>
      </c>
      <c r="M140" s="91" t="s">
        <v>66</v>
      </c>
      <c r="N140" s="91">
        <v>12</v>
      </c>
      <c r="O140" s="91" t="s">
        <v>67</v>
      </c>
      <c r="P140" s="91">
        <v>16</v>
      </c>
    </row>
    <row r="141" spans="9:16">
      <c r="I141" s="91" t="s">
        <v>13</v>
      </c>
      <c r="J141" s="91">
        <v>964</v>
      </c>
      <c r="K141" s="91" t="s">
        <v>65</v>
      </c>
      <c r="L141" s="91">
        <v>342</v>
      </c>
      <c r="M141" s="91" t="s">
        <v>66</v>
      </c>
      <c r="N141" s="91">
        <v>12</v>
      </c>
      <c r="O141" s="91" t="s">
        <v>67</v>
      </c>
      <c r="P141" s="91">
        <v>14</v>
      </c>
    </row>
    <row r="142" spans="9:16">
      <c r="I142" s="91" t="s">
        <v>13</v>
      </c>
      <c r="J142" s="91">
        <v>1112</v>
      </c>
      <c r="K142" s="91" t="s">
        <v>65</v>
      </c>
      <c r="L142" s="91">
        <v>317</v>
      </c>
      <c r="M142" s="91" t="s">
        <v>66</v>
      </c>
      <c r="N142" s="91">
        <v>10</v>
      </c>
      <c r="O142" s="91" t="s">
        <v>67</v>
      </c>
      <c r="P142" s="91">
        <v>6</v>
      </c>
    </row>
    <row r="143" spans="9:16">
      <c r="I143" s="91" t="s">
        <v>13</v>
      </c>
      <c r="J143" s="91">
        <v>1213</v>
      </c>
      <c r="K143" s="91" t="s">
        <v>65</v>
      </c>
      <c r="L143" s="91">
        <v>30</v>
      </c>
      <c r="M143" s="91" t="s">
        <v>66</v>
      </c>
      <c r="N143" s="91">
        <v>7</v>
      </c>
      <c r="O143" s="91" t="s">
        <v>67</v>
      </c>
      <c r="P143" s="91">
        <v>9</v>
      </c>
    </row>
    <row r="144" spans="9:16">
      <c r="I144" s="91" t="s">
        <v>13</v>
      </c>
      <c r="J144" s="91">
        <v>1299</v>
      </c>
      <c r="K144" s="91" t="s">
        <v>65</v>
      </c>
      <c r="L144" s="91">
        <v>29</v>
      </c>
      <c r="M144" s="91" t="s">
        <v>66</v>
      </c>
      <c r="N144" s="91">
        <v>7</v>
      </c>
      <c r="O144" s="91" t="s">
        <v>67</v>
      </c>
      <c r="P144" s="91">
        <v>3</v>
      </c>
    </row>
    <row r="145" spans="9:16">
      <c r="I145" s="91" t="s">
        <v>13</v>
      </c>
      <c r="J145" s="91">
        <v>1408</v>
      </c>
      <c r="K145" s="91" t="s">
        <v>65</v>
      </c>
      <c r="L145" s="91">
        <v>412</v>
      </c>
      <c r="M145" s="91" t="s">
        <v>66</v>
      </c>
      <c r="N145" s="91">
        <v>1</v>
      </c>
      <c r="O145" s="91" t="s">
        <v>67</v>
      </c>
      <c r="P145" s="91">
        <v>0</v>
      </c>
    </row>
    <row r="147" spans="9:16">
      <c r="I147" s="91" t="s">
        <v>76</v>
      </c>
    </row>
    <row r="148" spans="9:16">
      <c r="I148" s="91" t="s">
        <v>13</v>
      </c>
      <c r="J148" s="91">
        <v>122</v>
      </c>
      <c r="K148" s="91" t="s">
        <v>65</v>
      </c>
      <c r="L148" s="91">
        <v>8808</v>
      </c>
      <c r="M148" s="91" t="s">
        <v>66</v>
      </c>
      <c r="N148" s="91">
        <v>405</v>
      </c>
      <c r="O148" s="91" t="s">
        <v>67</v>
      </c>
      <c r="P148" s="91">
        <v>235</v>
      </c>
    </row>
    <row r="149" spans="9:16">
      <c r="I149" s="91" t="s">
        <v>13</v>
      </c>
      <c r="J149" s="91">
        <v>245</v>
      </c>
      <c r="K149" s="91" t="s">
        <v>65</v>
      </c>
      <c r="L149" s="91">
        <v>1846</v>
      </c>
      <c r="M149" s="91" t="s">
        <v>66</v>
      </c>
      <c r="N149" s="91">
        <v>177</v>
      </c>
      <c r="O149" s="91" t="s">
        <v>67</v>
      </c>
      <c r="P149" s="91">
        <v>167</v>
      </c>
    </row>
    <row r="150" spans="9:16">
      <c r="I150" s="91" t="s">
        <v>13</v>
      </c>
      <c r="J150" s="91">
        <v>344</v>
      </c>
      <c r="K150" s="91" t="s">
        <v>65</v>
      </c>
      <c r="L150" s="91">
        <v>4812</v>
      </c>
      <c r="M150" s="91" t="s">
        <v>66</v>
      </c>
      <c r="N150" s="91">
        <v>96</v>
      </c>
      <c r="O150" s="91" t="s">
        <v>67</v>
      </c>
      <c r="P150" s="91">
        <v>89</v>
      </c>
    </row>
    <row r="151" spans="9:16">
      <c r="I151" s="91" t="s">
        <v>13</v>
      </c>
      <c r="J151" s="91">
        <v>411</v>
      </c>
      <c r="K151" s="91" t="s">
        <v>65</v>
      </c>
      <c r="L151" s="91">
        <v>446</v>
      </c>
      <c r="M151" s="91" t="s">
        <v>66</v>
      </c>
      <c r="N151" s="91">
        <v>62</v>
      </c>
      <c r="O151" s="91" t="s">
        <v>67</v>
      </c>
      <c r="P151" s="91">
        <v>53</v>
      </c>
    </row>
    <row r="152" spans="9:16">
      <c r="I152" s="91" t="s">
        <v>13</v>
      </c>
      <c r="J152" s="91">
        <v>444</v>
      </c>
      <c r="K152" s="91" t="s">
        <v>65</v>
      </c>
      <c r="L152" s="91">
        <v>559</v>
      </c>
      <c r="M152" s="91" t="s">
        <v>66</v>
      </c>
      <c r="N152" s="91">
        <v>78</v>
      </c>
      <c r="O152" s="91" t="s">
        <v>67</v>
      </c>
      <c r="P152" s="91">
        <v>79</v>
      </c>
    </row>
    <row r="153" spans="9:16">
      <c r="I153" s="91" t="s">
        <v>13</v>
      </c>
      <c r="J153" s="91">
        <v>779</v>
      </c>
      <c r="K153" s="91" t="s">
        <v>65</v>
      </c>
      <c r="L153" s="91">
        <v>1270</v>
      </c>
      <c r="M153" s="91" t="s">
        <v>66</v>
      </c>
      <c r="N153" s="91">
        <v>69</v>
      </c>
      <c r="O153" s="91" t="s">
        <v>67</v>
      </c>
      <c r="P153" s="91">
        <v>62</v>
      </c>
    </row>
    <row r="154" spans="9:16">
      <c r="I154" s="91" t="s">
        <v>13</v>
      </c>
      <c r="J154" s="91">
        <v>867</v>
      </c>
      <c r="K154" s="91" t="s">
        <v>65</v>
      </c>
      <c r="L154" s="91">
        <v>458</v>
      </c>
      <c r="M154" s="91" t="s">
        <v>66</v>
      </c>
      <c r="N154" s="91">
        <v>44</v>
      </c>
      <c r="O154" s="91" t="s">
        <v>67</v>
      </c>
      <c r="P154" s="91">
        <v>50</v>
      </c>
    </row>
    <row r="155" spans="9:16">
      <c r="I155" s="91" t="s">
        <v>13</v>
      </c>
      <c r="J155" s="91">
        <v>964</v>
      </c>
      <c r="K155" s="91" t="s">
        <v>65</v>
      </c>
      <c r="L155" s="91">
        <v>1256</v>
      </c>
      <c r="M155" s="91" t="s">
        <v>66</v>
      </c>
      <c r="N155" s="91">
        <v>43</v>
      </c>
      <c r="O155" s="91" t="s">
        <v>67</v>
      </c>
      <c r="P155" s="91">
        <v>37</v>
      </c>
    </row>
    <row r="156" spans="9:16">
      <c r="I156" s="91" t="s">
        <v>13</v>
      </c>
      <c r="J156" s="91">
        <v>1112</v>
      </c>
      <c r="K156" s="91" t="s">
        <v>65</v>
      </c>
      <c r="L156" s="91">
        <v>1018</v>
      </c>
      <c r="M156" s="91" t="s">
        <v>66</v>
      </c>
      <c r="N156" s="91">
        <v>36</v>
      </c>
      <c r="O156" s="91" t="s">
        <v>67</v>
      </c>
      <c r="P156" s="91">
        <v>38</v>
      </c>
    </row>
    <row r="157" spans="9:16">
      <c r="I157" s="91" t="s">
        <v>13</v>
      </c>
      <c r="J157" s="91">
        <v>1213</v>
      </c>
      <c r="K157" s="91" t="s">
        <v>65</v>
      </c>
      <c r="L157" s="91">
        <v>125</v>
      </c>
      <c r="M157" s="91" t="s">
        <v>66</v>
      </c>
      <c r="N157" s="91">
        <v>14</v>
      </c>
      <c r="O157" s="91" t="s">
        <v>67</v>
      </c>
      <c r="P157" s="91">
        <v>16</v>
      </c>
    </row>
    <row r="158" spans="9:16">
      <c r="I158" s="91" t="s">
        <v>13</v>
      </c>
      <c r="J158" s="91">
        <v>1299</v>
      </c>
      <c r="K158" s="91" t="s">
        <v>65</v>
      </c>
      <c r="L158" s="91">
        <v>101</v>
      </c>
      <c r="M158" s="91" t="s">
        <v>66</v>
      </c>
      <c r="N158" s="91">
        <v>9</v>
      </c>
      <c r="O158" s="91" t="s">
        <v>67</v>
      </c>
      <c r="P158" s="91">
        <v>2</v>
      </c>
    </row>
    <row r="159" spans="9:16">
      <c r="I159" s="91" t="s">
        <v>13</v>
      </c>
      <c r="J159" s="91">
        <v>1408</v>
      </c>
      <c r="K159" s="91" t="s">
        <v>65</v>
      </c>
      <c r="L159" s="91">
        <v>1263</v>
      </c>
      <c r="M159" s="91" t="s">
        <v>66</v>
      </c>
      <c r="N159" s="91">
        <v>0</v>
      </c>
      <c r="O159" s="91" t="s">
        <v>67</v>
      </c>
      <c r="P159" s="91">
        <v>0</v>
      </c>
    </row>
    <row r="161" spans="9:16">
      <c r="I161" s="91" t="s">
        <v>77</v>
      </c>
    </row>
    <row r="162" spans="9:16">
      <c r="I162" s="91" t="s">
        <v>13</v>
      </c>
      <c r="J162" s="91">
        <v>122</v>
      </c>
      <c r="K162" s="91" t="s">
        <v>65</v>
      </c>
      <c r="L162" s="91">
        <v>8802</v>
      </c>
      <c r="M162" s="91" t="s">
        <v>66</v>
      </c>
      <c r="N162" s="91">
        <v>369</v>
      </c>
      <c r="O162" s="91" t="s">
        <v>67</v>
      </c>
      <c r="P162" s="91">
        <v>223</v>
      </c>
    </row>
    <row r="163" spans="9:16">
      <c r="I163" s="91" t="s">
        <v>13</v>
      </c>
      <c r="J163" s="91">
        <v>245</v>
      </c>
      <c r="K163" s="91" t="s">
        <v>65</v>
      </c>
      <c r="L163" s="91">
        <v>1807</v>
      </c>
      <c r="M163" s="91" t="s">
        <v>66</v>
      </c>
      <c r="N163" s="91">
        <v>159</v>
      </c>
      <c r="O163" s="91" t="s">
        <v>67</v>
      </c>
      <c r="P163" s="91">
        <v>139</v>
      </c>
    </row>
    <row r="164" spans="9:16">
      <c r="I164" s="91" t="s">
        <v>13</v>
      </c>
      <c r="J164" s="91">
        <v>344</v>
      </c>
      <c r="K164" s="91" t="s">
        <v>65</v>
      </c>
      <c r="L164" s="91">
        <v>4725</v>
      </c>
      <c r="M164" s="91" t="s">
        <v>66</v>
      </c>
      <c r="N164" s="91">
        <v>93</v>
      </c>
      <c r="O164" s="91" t="s">
        <v>67</v>
      </c>
      <c r="P164" s="91">
        <v>79</v>
      </c>
    </row>
    <row r="165" spans="9:16">
      <c r="I165" s="91" t="s">
        <v>13</v>
      </c>
      <c r="J165" s="91">
        <v>411</v>
      </c>
      <c r="K165" s="91" t="s">
        <v>65</v>
      </c>
      <c r="L165" s="91">
        <v>397</v>
      </c>
      <c r="M165" s="91" t="s">
        <v>66</v>
      </c>
      <c r="N165" s="91">
        <v>74</v>
      </c>
      <c r="O165" s="91" t="s">
        <v>67</v>
      </c>
      <c r="P165" s="91">
        <v>100</v>
      </c>
    </row>
    <row r="166" spans="9:16">
      <c r="I166" s="91" t="s">
        <v>13</v>
      </c>
      <c r="J166" s="91">
        <v>444</v>
      </c>
      <c r="K166" s="91" t="s">
        <v>65</v>
      </c>
      <c r="L166" s="91">
        <v>520</v>
      </c>
      <c r="M166" s="91" t="s">
        <v>66</v>
      </c>
      <c r="N166" s="91">
        <v>79</v>
      </c>
      <c r="O166" s="91" t="s">
        <v>67</v>
      </c>
      <c r="P166" s="91">
        <v>79</v>
      </c>
    </row>
    <row r="167" spans="9:16">
      <c r="I167" s="91" t="s">
        <v>13</v>
      </c>
      <c r="J167" s="91">
        <v>779</v>
      </c>
      <c r="K167" s="91" t="s">
        <v>65</v>
      </c>
      <c r="L167" s="91">
        <v>1372</v>
      </c>
      <c r="M167" s="91" t="s">
        <v>66</v>
      </c>
      <c r="N167" s="91">
        <v>59</v>
      </c>
      <c r="O167" s="91" t="s">
        <v>67</v>
      </c>
      <c r="P167" s="91">
        <v>49</v>
      </c>
    </row>
    <row r="168" spans="9:16">
      <c r="I168" s="91" t="s">
        <v>13</v>
      </c>
      <c r="J168" s="91">
        <v>867</v>
      </c>
      <c r="K168" s="91" t="s">
        <v>65</v>
      </c>
      <c r="L168" s="91">
        <v>447</v>
      </c>
      <c r="M168" s="91" t="s">
        <v>66</v>
      </c>
      <c r="N168" s="91">
        <v>57</v>
      </c>
      <c r="O168" s="91" t="s">
        <v>67</v>
      </c>
      <c r="P168" s="91">
        <v>50</v>
      </c>
    </row>
    <row r="169" spans="9:16">
      <c r="I169" s="91" t="s">
        <v>13</v>
      </c>
      <c r="J169" s="91">
        <v>964</v>
      </c>
      <c r="K169" s="91" t="s">
        <v>65</v>
      </c>
      <c r="L169" s="91">
        <v>1275</v>
      </c>
      <c r="M169" s="91" t="s">
        <v>66</v>
      </c>
      <c r="N169" s="91">
        <v>43</v>
      </c>
      <c r="O169" s="91" t="s">
        <v>67</v>
      </c>
      <c r="P169" s="91">
        <v>35</v>
      </c>
    </row>
    <row r="170" spans="9:16">
      <c r="I170" s="91" t="s">
        <v>13</v>
      </c>
      <c r="J170" s="91">
        <v>1112</v>
      </c>
      <c r="K170" s="91" t="s">
        <v>65</v>
      </c>
      <c r="L170" s="91">
        <v>1031</v>
      </c>
      <c r="M170" s="91" t="s">
        <v>66</v>
      </c>
      <c r="N170" s="91">
        <v>29</v>
      </c>
      <c r="O170" s="91" t="s">
        <v>67</v>
      </c>
      <c r="P170" s="91">
        <v>29</v>
      </c>
    </row>
    <row r="171" spans="9:16">
      <c r="I171" s="91" t="s">
        <v>13</v>
      </c>
      <c r="J171" s="91">
        <v>1213</v>
      </c>
      <c r="K171" s="91" t="s">
        <v>65</v>
      </c>
      <c r="L171" s="91">
        <v>124</v>
      </c>
      <c r="M171" s="91" t="s">
        <v>66</v>
      </c>
      <c r="N171" s="91">
        <v>30</v>
      </c>
      <c r="O171" s="91" t="s">
        <v>67</v>
      </c>
      <c r="P171" s="91">
        <v>19</v>
      </c>
    </row>
    <row r="172" spans="9:16">
      <c r="I172" s="91" t="s">
        <v>13</v>
      </c>
      <c r="J172" s="91">
        <v>1299</v>
      </c>
      <c r="K172" s="91" t="s">
        <v>65</v>
      </c>
      <c r="L172" s="91">
        <v>113</v>
      </c>
      <c r="M172" s="91" t="s">
        <v>66</v>
      </c>
      <c r="N172" s="91">
        <v>4</v>
      </c>
      <c r="O172" s="91" t="s">
        <v>67</v>
      </c>
      <c r="P172" s="91">
        <v>4</v>
      </c>
    </row>
    <row r="173" spans="9:16">
      <c r="I173" s="91" t="s">
        <v>13</v>
      </c>
      <c r="J173" s="91">
        <v>1408</v>
      </c>
      <c r="K173" s="91" t="s">
        <v>65</v>
      </c>
      <c r="L173" s="91">
        <v>1409</v>
      </c>
      <c r="M173" s="91" t="s">
        <v>66</v>
      </c>
      <c r="N173" s="91">
        <v>0</v>
      </c>
      <c r="O173" s="91" t="s">
        <v>67</v>
      </c>
      <c r="P173" s="91">
        <v>0</v>
      </c>
    </row>
    <row r="175" spans="9:16">
      <c r="I175" s="91" t="s">
        <v>78</v>
      </c>
    </row>
    <row r="176" spans="9:16">
      <c r="I176" s="91" t="s">
        <v>13</v>
      </c>
      <c r="J176" s="91">
        <v>122</v>
      </c>
      <c r="K176" s="91" t="s">
        <v>65</v>
      </c>
      <c r="L176" s="91">
        <v>8886</v>
      </c>
      <c r="M176" s="91" t="s">
        <v>66</v>
      </c>
      <c r="N176" s="91">
        <v>350</v>
      </c>
      <c r="O176" s="91" t="s">
        <v>67</v>
      </c>
      <c r="P176" s="91">
        <v>222</v>
      </c>
    </row>
    <row r="177" spans="9:16">
      <c r="I177" s="91" t="s">
        <v>13</v>
      </c>
      <c r="J177" s="91">
        <v>245</v>
      </c>
      <c r="K177" s="91" t="s">
        <v>65</v>
      </c>
      <c r="L177" s="91">
        <v>1850</v>
      </c>
      <c r="M177" s="91" t="s">
        <v>66</v>
      </c>
      <c r="N177" s="91">
        <v>191</v>
      </c>
      <c r="O177" s="91" t="s">
        <v>67</v>
      </c>
      <c r="P177" s="91">
        <v>187</v>
      </c>
    </row>
    <row r="178" spans="9:16">
      <c r="I178" s="91" t="s">
        <v>13</v>
      </c>
      <c r="J178" s="91">
        <v>344</v>
      </c>
      <c r="K178" s="91" t="s">
        <v>65</v>
      </c>
      <c r="L178" s="91">
        <v>4729</v>
      </c>
      <c r="M178" s="91" t="s">
        <v>66</v>
      </c>
      <c r="N178" s="91">
        <v>73</v>
      </c>
      <c r="O178" s="91" t="s">
        <v>67</v>
      </c>
      <c r="P178" s="91">
        <v>73</v>
      </c>
    </row>
    <row r="179" spans="9:16">
      <c r="I179" s="91" t="s">
        <v>13</v>
      </c>
      <c r="J179" s="91">
        <v>411</v>
      </c>
      <c r="K179" s="91" t="s">
        <v>65</v>
      </c>
      <c r="L179" s="91">
        <v>449</v>
      </c>
      <c r="M179" s="91" t="s">
        <v>66</v>
      </c>
      <c r="N179" s="91">
        <v>78</v>
      </c>
      <c r="O179" s="91" t="s">
        <v>67</v>
      </c>
      <c r="P179" s="91">
        <v>72</v>
      </c>
    </row>
    <row r="180" spans="9:16">
      <c r="I180" s="91" t="s">
        <v>13</v>
      </c>
      <c r="J180" s="91">
        <v>444</v>
      </c>
      <c r="K180" s="91" t="s">
        <v>65</v>
      </c>
      <c r="L180" s="91">
        <v>490</v>
      </c>
      <c r="M180" s="91" t="s">
        <v>66</v>
      </c>
      <c r="N180" s="91">
        <v>78</v>
      </c>
      <c r="O180" s="91" t="s">
        <v>67</v>
      </c>
      <c r="P180" s="91">
        <v>64</v>
      </c>
    </row>
    <row r="181" spans="9:16">
      <c r="I181" s="91" t="s">
        <v>13</v>
      </c>
      <c r="J181" s="91">
        <v>779</v>
      </c>
      <c r="K181" s="91" t="s">
        <v>65</v>
      </c>
      <c r="L181" s="91">
        <v>1267</v>
      </c>
      <c r="M181" s="91" t="s">
        <v>66</v>
      </c>
      <c r="N181" s="91">
        <v>52</v>
      </c>
      <c r="O181" s="91" t="s">
        <v>67</v>
      </c>
      <c r="P181" s="91">
        <v>55</v>
      </c>
    </row>
    <row r="182" spans="9:16">
      <c r="I182" s="91" t="s">
        <v>13</v>
      </c>
      <c r="J182" s="91">
        <v>867</v>
      </c>
      <c r="K182" s="91" t="s">
        <v>65</v>
      </c>
      <c r="L182" s="91">
        <v>435</v>
      </c>
      <c r="M182" s="91" t="s">
        <v>66</v>
      </c>
      <c r="N182" s="91">
        <v>40</v>
      </c>
      <c r="O182" s="91" t="s">
        <v>67</v>
      </c>
      <c r="P182" s="91">
        <v>55</v>
      </c>
    </row>
    <row r="183" spans="9:16">
      <c r="I183" s="91" t="s">
        <v>13</v>
      </c>
      <c r="J183" s="91">
        <v>964</v>
      </c>
      <c r="K183" s="91" t="s">
        <v>65</v>
      </c>
      <c r="L183" s="91">
        <v>1253</v>
      </c>
      <c r="M183" s="91" t="s">
        <v>66</v>
      </c>
      <c r="N183" s="91">
        <v>35</v>
      </c>
      <c r="O183" s="91" t="s">
        <v>67</v>
      </c>
      <c r="P183" s="91">
        <v>38</v>
      </c>
    </row>
    <row r="184" spans="9:16">
      <c r="I184" s="91" t="s">
        <v>13</v>
      </c>
      <c r="J184" s="91">
        <v>1112</v>
      </c>
      <c r="K184" s="91" t="s">
        <v>65</v>
      </c>
      <c r="L184" s="91">
        <v>1091</v>
      </c>
      <c r="M184" s="91" t="s">
        <v>66</v>
      </c>
      <c r="N184" s="91">
        <v>25</v>
      </c>
      <c r="O184" s="91" t="s">
        <v>67</v>
      </c>
      <c r="P184" s="91">
        <v>31</v>
      </c>
    </row>
    <row r="185" spans="9:16">
      <c r="I185" s="91" t="s">
        <v>13</v>
      </c>
      <c r="J185" s="91">
        <v>1213</v>
      </c>
      <c r="K185" s="91" t="s">
        <v>65</v>
      </c>
      <c r="L185" s="91">
        <v>124</v>
      </c>
      <c r="M185" s="91" t="s">
        <v>66</v>
      </c>
      <c r="N185" s="91">
        <v>25</v>
      </c>
      <c r="O185" s="91" t="s">
        <v>67</v>
      </c>
      <c r="P185" s="91">
        <v>27</v>
      </c>
    </row>
    <row r="186" spans="9:16">
      <c r="I186" s="91" t="s">
        <v>13</v>
      </c>
      <c r="J186" s="91">
        <v>1299</v>
      </c>
      <c r="K186" s="91" t="s">
        <v>65</v>
      </c>
      <c r="L186" s="91">
        <v>120</v>
      </c>
      <c r="M186" s="91" t="s">
        <v>66</v>
      </c>
      <c r="N186" s="91">
        <v>7</v>
      </c>
      <c r="O186" s="91" t="s">
        <v>67</v>
      </c>
      <c r="P186" s="91">
        <v>3</v>
      </c>
    </row>
    <row r="187" spans="9:16">
      <c r="I187" s="91" t="s">
        <v>13</v>
      </c>
      <c r="J187" s="91">
        <v>1408</v>
      </c>
      <c r="K187" s="91" t="s">
        <v>65</v>
      </c>
      <c r="L187" s="91">
        <v>1365</v>
      </c>
      <c r="M187" s="91" t="s">
        <v>66</v>
      </c>
      <c r="N187" s="91">
        <v>0</v>
      </c>
      <c r="O187" s="91" t="s">
        <v>67</v>
      </c>
      <c r="P187" s="91">
        <v>0</v>
      </c>
    </row>
    <row r="189" spans="9:16">
      <c r="I189" s="91" t="s">
        <v>79</v>
      </c>
    </row>
    <row r="190" spans="9:16">
      <c r="I190" s="91" t="s">
        <v>13</v>
      </c>
      <c r="J190" s="91">
        <v>122</v>
      </c>
      <c r="K190" s="91" t="s">
        <v>65</v>
      </c>
      <c r="L190" s="91">
        <v>8903</v>
      </c>
      <c r="M190" s="91" t="s">
        <v>66</v>
      </c>
      <c r="N190" s="91">
        <v>354</v>
      </c>
      <c r="O190" s="91" t="s">
        <v>67</v>
      </c>
      <c r="P190" s="91">
        <v>253</v>
      </c>
    </row>
    <row r="191" spans="9:16">
      <c r="I191" s="91" t="s">
        <v>13</v>
      </c>
      <c r="J191" s="91">
        <v>245</v>
      </c>
      <c r="K191" s="91" t="s">
        <v>65</v>
      </c>
      <c r="L191" s="91">
        <v>1820</v>
      </c>
      <c r="M191" s="91" t="s">
        <v>66</v>
      </c>
      <c r="N191" s="91">
        <v>214</v>
      </c>
      <c r="O191" s="91" t="s">
        <v>67</v>
      </c>
      <c r="P191" s="91">
        <v>150</v>
      </c>
    </row>
    <row r="192" spans="9:16">
      <c r="I192" s="91" t="s">
        <v>13</v>
      </c>
      <c r="J192" s="91">
        <v>344</v>
      </c>
      <c r="K192" s="91" t="s">
        <v>65</v>
      </c>
      <c r="L192" s="91">
        <v>4708</v>
      </c>
      <c r="M192" s="91" t="s">
        <v>66</v>
      </c>
      <c r="N192" s="91">
        <v>91</v>
      </c>
      <c r="O192" s="91" t="s">
        <v>67</v>
      </c>
      <c r="P192" s="91">
        <v>82</v>
      </c>
    </row>
    <row r="193" spans="9:16">
      <c r="I193" s="91" t="s">
        <v>13</v>
      </c>
      <c r="J193" s="91">
        <v>411</v>
      </c>
      <c r="K193" s="91" t="s">
        <v>65</v>
      </c>
      <c r="L193" s="91">
        <v>459</v>
      </c>
      <c r="M193" s="91" t="s">
        <v>66</v>
      </c>
      <c r="N193" s="91">
        <v>79</v>
      </c>
      <c r="O193" s="91" t="s">
        <v>67</v>
      </c>
      <c r="P193" s="91">
        <v>90</v>
      </c>
    </row>
    <row r="194" spans="9:16">
      <c r="I194" s="91" t="s">
        <v>13</v>
      </c>
      <c r="J194" s="91">
        <v>444</v>
      </c>
      <c r="K194" s="91" t="s">
        <v>65</v>
      </c>
      <c r="L194" s="91">
        <v>514</v>
      </c>
      <c r="M194" s="91" t="s">
        <v>66</v>
      </c>
      <c r="N194" s="91">
        <v>72</v>
      </c>
      <c r="O194" s="91" t="s">
        <v>67</v>
      </c>
      <c r="P194" s="91">
        <v>79</v>
      </c>
    </row>
    <row r="195" spans="9:16">
      <c r="I195" s="91" t="s">
        <v>13</v>
      </c>
      <c r="J195" s="91">
        <v>779</v>
      </c>
      <c r="K195" s="91" t="s">
        <v>65</v>
      </c>
      <c r="L195" s="91">
        <v>1279</v>
      </c>
      <c r="M195" s="91" t="s">
        <v>66</v>
      </c>
      <c r="N195" s="91">
        <v>43</v>
      </c>
      <c r="O195" s="91" t="s">
        <v>67</v>
      </c>
      <c r="P195" s="91">
        <v>57</v>
      </c>
    </row>
    <row r="196" spans="9:16">
      <c r="I196" s="91" t="s">
        <v>13</v>
      </c>
      <c r="J196" s="91">
        <v>867</v>
      </c>
      <c r="K196" s="91" t="s">
        <v>65</v>
      </c>
      <c r="L196" s="91">
        <v>454</v>
      </c>
      <c r="M196" s="91" t="s">
        <v>66</v>
      </c>
      <c r="N196" s="91">
        <v>50</v>
      </c>
      <c r="O196" s="91" t="s">
        <v>67</v>
      </c>
      <c r="P196" s="91">
        <v>50</v>
      </c>
    </row>
    <row r="197" spans="9:16">
      <c r="I197" s="91" t="s">
        <v>13</v>
      </c>
      <c r="J197" s="91">
        <v>964</v>
      </c>
      <c r="K197" s="91" t="s">
        <v>65</v>
      </c>
      <c r="L197" s="91">
        <v>1236</v>
      </c>
      <c r="M197" s="91" t="s">
        <v>66</v>
      </c>
      <c r="N197" s="91">
        <v>31</v>
      </c>
      <c r="O197" s="91" t="s">
        <v>67</v>
      </c>
      <c r="P197" s="91">
        <v>33</v>
      </c>
    </row>
    <row r="198" spans="9:16">
      <c r="I198" s="91" t="s">
        <v>13</v>
      </c>
      <c r="J198" s="91">
        <v>1112</v>
      </c>
      <c r="K198" s="91" t="s">
        <v>65</v>
      </c>
      <c r="L198" s="91">
        <v>1028</v>
      </c>
      <c r="M198" s="91" t="s">
        <v>66</v>
      </c>
      <c r="N198" s="91">
        <v>20</v>
      </c>
      <c r="O198" s="91" t="s">
        <v>67</v>
      </c>
      <c r="P198" s="91">
        <v>38</v>
      </c>
    </row>
    <row r="199" spans="9:16">
      <c r="I199" s="91" t="s">
        <v>13</v>
      </c>
      <c r="J199" s="91">
        <v>1213</v>
      </c>
      <c r="K199" s="91" t="s">
        <v>65</v>
      </c>
      <c r="L199" s="91">
        <v>142</v>
      </c>
      <c r="M199" s="91" t="s">
        <v>66</v>
      </c>
      <c r="N199" s="91">
        <v>25</v>
      </c>
      <c r="O199" s="91" t="s">
        <v>67</v>
      </c>
      <c r="P199" s="91">
        <v>24</v>
      </c>
    </row>
    <row r="200" spans="9:16">
      <c r="I200" s="91" t="s">
        <v>13</v>
      </c>
      <c r="J200" s="91">
        <v>1299</v>
      </c>
      <c r="K200" s="91" t="s">
        <v>65</v>
      </c>
      <c r="L200" s="91">
        <v>106</v>
      </c>
      <c r="M200" s="91" t="s">
        <v>66</v>
      </c>
      <c r="N200" s="91">
        <v>5</v>
      </c>
      <c r="O200" s="91" t="s">
        <v>67</v>
      </c>
      <c r="P200" s="91">
        <v>7</v>
      </c>
    </row>
    <row r="201" spans="9:16">
      <c r="I201" s="91" t="s">
        <v>13</v>
      </c>
      <c r="J201" s="91">
        <v>1408</v>
      </c>
      <c r="K201" s="91" t="s">
        <v>65</v>
      </c>
      <c r="L201" s="91">
        <v>1347</v>
      </c>
      <c r="M201" s="91" t="s">
        <v>66</v>
      </c>
      <c r="N201" s="91">
        <v>0</v>
      </c>
      <c r="O201" s="91" t="s">
        <v>67</v>
      </c>
      <c r="P201" s="91">
        <v>0</v>
      </c>
    </row>
    <row r="203" spans="9:16">
      <c r="I203" s="91" t="s">
        <v>80</v>
      </c>
    </row>
    <row r="204" spans="9:16">
      <c r="I204" s="91" t="s">
        <v>13</v>
      </c>
      <c r="J204" s="91">
        <v>122</v>
      </c>
      <c r="K204" s="91" t="s">
        <v>65</v>
      </c>
      <c r="L204" s="91">
        <v>8673</v>
      </c>
      <c r="M204" s="91" t="s">
        <v>66</v>
      </c>
      <c r="N204" s="91">
        <v>358</v>
      </c>
      <c r="O204" s="91" t="s">
        <v>67</v>
      </c>
      <c r="P204" s="91">
        <v>223</v>
      </c>
    </row>
    <row r="205" spans="9:16">
      <c r="I205" s="91" t="s">
        <v>13</v>
      </c>
      <c r="J205" s="91">
        <v>245</v>
      </c>
      <c r="K205" s="91" t="s">
        <v>65</v>
      </c>
      <c r="L205" s="91">
        <v>1875</v>
      </c>
      <c r="M205" s="91" t="s">
        <v>66</v>
      </c>
      <c r="N205" s="91">
        <v>189</v>
      </c>
      <c r="O205" s="91" t="s">
        <v>67</v>
      </c>
      <c r="P205" s="91">
        <v>176</v>
      </c>
    </row>
    <row r="206" spans="9:16">
      <c r="I206" s="91" t="s">
        <v>13</v>
      </c>
      <c r="J206" s="91">
        <v>344</v>
      </c>
      <c r="K206" s="91" t="s">
        <v>65</v>
      </c>
      <c r="L206" s="91">
        <v>4636</v>
      </c>
      <c r="M206" s="91" t="s">
        <v>66</v>
      </c>
      <c r="N206" s="91">
        <v>83</v>
      </c>
      <c r="O206" s="91" t="s">
        <v>67</v>
      </c>
      <c r="P206" s="91">
        <v>72</v>
      </c>
    </row>
    <row r="207" spans="9:16">
      <c r="I207" s="91" t="s">
        <v>13</v>
      </c>
      <c r="J207" s="91">
        <v>411</v>
      </c>
      <c r="K207" s="91" t="s">
        <v>65</v>
      </c>
      <c r="L207" s="91">
        <v>436</v>
      </c>
      <c r="M207" s="91" t="s">
        <v>66</v>
      </c>
      <c r="N207" s="91">
        <v>83</v>
      </c>
      <c r="O207" s="91" t="s">
        <v>67</v>
      </c>
      <c r="P207" s="91">
        <v>61</v>
      </c>
    </row>
    <row r="208" spans="9:16">
      <c r="I208" s="91" t="s">
        <v>13</v>
      </c>
      <c r="J208" s="91">
        <v>444</v>
      </c>
      <c r="K208" s="91" t="s">
        <v>65</v>
      </c>
      <c r="L208" s="91">
        <v>507</v>
      </c>
      <c r="M208" s="91" t="s">
        <v>66</v>
      </c>
      <c r="N208" s="91">
        <v>65</v>
      </c>
      <c r="O208" s="91" t="s">
        <v>67</v>
      </c>
      <c r="P208" s="91">
        <v>65</v>
      </c>
    </row>
    <row r="209" spans="9:16">
      <c r="I209" s="91" t="s">
        <v>13</v>
      </c>
      <c r="J209" s="91">
        <v>779</v>
      </c>
      <c r="K209" s="91" t="s">
        <v>65</v>
      </c>
      <c r="L209" s="91">
        <v>1357</v>
      </c>
      <c r="M209" s="91" t="s">
        <v>66</v>
      </c>
      <c r="N209" s="91">
        <v>77</v>
      </c>
      <c r="O209" s="91" t="s">
        <v>67</v>
      </c>
      <c r="P209" s="91">
        <v>54</v>
      </c>
    </row>
    <row r="210" spans="9:16">
      <c r="I210" s="91" t="s">
        <v>13</v>
      </c>
      <c r="J210" s="91">
        <v>867</v>
      </c>
      <c r="K210" s="91" t="s">
        <v>65</v>
      </c>
      <c r="L210" s="91">
        <v>414</v>
      </c>
      <c r="M210" s="91" t="s">
        <v>66</v>
      </c>
      <c r="N210" s="91">
        <v>40</v>
      </c>
      <c r="O210" s="91" t="s">
        <v>67</v>
      </c>
      <c r="P210" s="91">
        <v>45</v>
      </c>
    </row>
    <row r="211" spans="9:16">
      <c r="I211" s="91" t="s">
        <v>13</v>
      </c>
      <c r="J211" s="91">
        <v>964</v>
      </c>
      <c r="K211" s="91" t="s">
        <v>65</v>
      </c>
      <c r="L211" s="91">
        <v>1265</v>
      </c>
      <c r="M211" s="91" t="s">
        <v>66</v>
      </c>
      <c r="N211" s="91">
        <v>38</v>
      </c>
      <c r="O211" s="91" t="s">
        <v>67</v>
      </c>
      <c r="P211" s="91">
        <v>28</v>
      </c>
    </row>
    <row r="212" spans="9:16">
      <c r="I212" s="91" t="s">
        <v>13</v>
      </c>
      <c r="J212" s="91">
        <v>1112</v>
      </c>
      <c r="K212" s="91" t="s">
        <v>65</v>
      </c>
      <c r="L212" s="91">
        <v>1028</v>
      </c>
      <c r="M212" s="91" t="s">
        <v>66</v>
      </c>
      <c r="N212" s="91">
        <v>21</v>
      </c>
      <c r="O212" s="91" t="s">
        <v>67</v>
      </c>
      <c r="P212" s="91">
        <v>40</v>
      </c>
    </row>
    <row r="213" spans="9:16">
      <c r="I213" s="91" t="s">
        <v>13</v>
      </c>
      <c r="J213" s="91">
        <v>1213</v>
      </c>
      <c r="K213" s="91" t="s">
        <v>65</v>
      </c>
      <c r="L213" s="91">
        <v>118</v>
      </c>
      <c r="M213" s="91" t="s">
        <v>66</v>
      </c>
      <c r="N213" s="91">
        <v>21</v>
      </c>
      <c r="O213" s="91" t="s">
        <v>67</v>
      </c>
      <c r="P213" s="91">
        <v>27</v>
      </c>
    </row>
    <row r="214" spans="9:16">
      <c r="I214" s="91" t="s">
        <v>13</v>
      </c>
      <c r="J214" s="91">
        <v>1299</v>
      </c>
      <c r="K214" s="91" t="s">
        <v>65</v>
      </c>
      <c r="L214" s="91">
        <v>123</v>
      </c>
      <c r="M214" s="91" t="s">
        <v>66</v>
      </c>
      <c r="N214" s="91">
        <v>8</v>
      </c>
      <c r="O214" s="91" t="s">
        <v>67</v>
      </c>
      <c r="P214" s="91">
        <v>8</v>
      </c>
    </row>
    <row r="215" spans="9:16">
      <c r="I215" s="91" t="s">
        <v>13</v>
      </c>
      <c r="J215" s="91">
        <v>1408</v>
      </c>
      <c r="K215" s="91" t="s">
        <v>65</v>
      </c>
      <c r="L215" s="91">
        <v>1388</v>
      </c>
      <c r="M215" s="91" t="s">
        <v>66</v>
      </c>
      <c r="N215" s="91">
        <v>0</v>
      </c>
      <c r="O215" s="91" t="s">
        <v>67</v>
      </c>
      <c r="P215" s="91">
        <v>0</v>
      </c>
    </row>
    <row r="217" spans="9:16">
      <c r="I217" s="91" t="s">
        <v>81</v>
      </c>
    </row>
    <row r="218" spans="9:16">
      <c r="I218" s="91" t="s">
        <v>13</v>
      </c>
      <c r="J218" s="91">
        <v>122</v>
      </c>
      <c r="K218" s="91" t="s">
        <v>65</v>
      </c>
      <c r="L218" s="91">
        <v>8963</v>
      </c>
      <c r="M218" s="91" t="s">
        <v>66</v>
      </c>
      <c r="N218" s="91">
        <v>398</v>
      </c>
      <c r="O218" s="91" t="s">
        <v>67</v>
      </c>
      <c r="P218" s="91">
        <v>237</v>
      </c>
    </row>
    <row r="219" spans="9:16">
      <c r="I219" s="91" t="s">
        <v>13</v>
      </c>
      <c r="J219" s="91">
        <v>245</v>
      </c>
      <c r="K219" s="91" t="s">
        <v>65</v>
      </c>
      <c r="L219" s="91">
        <v>1915</v>
      </c>
      <c r="M219" s="91" t="s">
        <v>66</v>
      </c>
      <c r="N219" s="91">
        <v>176</v>
      </c>
      <c r="O219" s="91" t="s">
        <v>67</v>
      </c>
      <c r="P219" s="91">
        <v>173</v>
      </c>
    </row>
    <row r="220" spans="9:16">
      <c r="I220" s="91" t="s">
        <v>13</v>
      </c>
      <c r="J220" s="91">
        <v>344</v>
      </c>
      <c r="K220" s="91" t="s">
        <v>65</v>
      </c>
      <c r="L220" s="91">
        <v>4823</v>
      </c>
      <c r="M220" s="91" t="s">
        <v>66</v>
      </c>
      <c r="N220" s="91">
        <v>81</v>
      </c>
      <c r="O220" s="91" t="s">
        <v>67</v>
      </c>
      <c r="P220" s="91">
        <v>86</v>
      </c>
    </row>
    <row r="221" spans="9:16">
      <c r="I221" s="91" t="s">
        <v>13</v>
      </c>
      <c r="J221" s="91">
        <v>411</v>
      </c>
      <c r="K221" s="91" t="s">
        <v>65</v>
      </c>
      <c r="L221" s="91">
        <v>381</v>
      </c>
      <c r="M221" s="91" t="s">
        <v>66</v>
      </c>
      <c r="N221" s="91">
        <v>76</v>
      </c>
      <c r="O221" s="91" t="s">
        <v>67</v>
      </c>
      <c r="P221" s="91">
        <v>80</v>
      </c>
    </row>
    <row r="222" spans="9:16">
      <c r="I222" s="91" t="s">
        <v>13</v>
      </c>
      <c r="J222" s="91">
        <v>444</v>
      </c>
      <c r="K222" s="91" t="s">
        <v>65</v>
      </c>
      <c r="L222" s="91">
        <v>475</v>
      </c>
      <c r="M222" s="91" t="s">
        <v>66</v>
      </c>
      <c r="N222" s="91">
        <v>76</v>
      </c>
      <c r="O222" s="91" t="s">
        <v>67</v>
      </c>
      <c r="P222" s="91">
        <v>76</v>
      </c>
    </row>
    <row r="223" spans="9:16">
      <c r="I223" s="91" t="s">
        <v>13</v>
      </c>
      <c r="J223" s="91">
        <v>779</v>
      </c>
      <c r="K223" s="91" t="s">
        <v>65</v>
      </c>
      <c r="L223" s="91">
        <v>1293</v>
      </c>
      <c r="M223" s="91" t="s">
        <v>66</v>
      </c>
      <c r="N223" s="91">
        <v>69</v>
      </c>
      <c r="O223" s="91" t="s">
        <v>67</v>
      </c>
      <c r="P223" s="91">
        <v>51</v>
      </c>
    </row>
    <row r="224" spans="9:16">
      <c r="I224" s="91" t="s">
        <v>13</v>
      </c>
      <c r="J224" s="91">
        <v>867</v>
      </c>
      <c r="K224" s="91" t="s">
        <v>65</v>
      </c>
      <c r="L224" s="91">
        <v>429</v>
      </c>
      <c r="M224" s="91" t="s">
        <v>66</v>
      </c>
      <c r="N224" s="91">
        <v>49</v>
      </c>
      <c r="O224" s="91" t="s">
        <v>67</v>
      </c>
      <c r="P224" s="91">
        <v>46</v>
      </c>
    </row>
    <row r="225" spans="9:16">
      <c r="I225" s="91" t="s">
        <v>13</v>
      </c>
      <c r="J225" s="91">
        <v>964</v>
      </c>
      <c r="K225" s="91" t="s">
        <v>65</v>
      </c>
      <c r="L225" s="91">
        <v>1194</v>
      </c>
      <c r="M225" s="91" t="s">
        <v>66</v>
      </c>
      <c r="N225" s="91">
        <v>35</v>
      </c>
      <c r="O225" s="91" t="s">
        <v>67</v>
      </c>
      <c r="P225" s="91">
        <v>29</v>
      </c>
    </row>
    <row r="226" spans="9:16">
      <c r="I226" s="91" t="s">
        <v>13</v>
      </c>
      <c r="J226" s="91">
        <v>1112</v>
      </c>
      <c r="K226" s="91" t="s">
        <v>65</v>
      </c>
      <c r="L226" s="91">
        <v>1095</v>
      </c>
      <c r="M226" s="91" t="s">
        <v>66</v>
      </c>
      <c r="N226" s="91">
        <v>29</v>
      </c>
      <c r="O226" s="91" t="s">
        <v>67</v>
      </c>
      <c r="P226" s="91">
        <v>38</v>
      </c>
    </row>
    <row r="227" spans="9:16">
      <c r="I227" s="91" t="s">
        <v>13</v>
      </c>
      <c r="J227" s="91">
        <v>1213</v>
      </c>
      <c r="K227" s="91" t="s">
        <v>65</v>
      </c>
      <c r="L227" s="91">
        <v>119</v>
      </c>
      <c r="M227" s="91" t="s">
        <v>66</v>
      </c>
      <c r="N227" s="91">
        <v>20</v>
      </c>
      <c r="O227" s="91" t="s">
        <v>67</v>
      </c>
      <c r="P227" s="91">
        <v>21</v>
      </c>
    </row>
    <row r="228" spans="9:16">
      <c r="I228" s="91" t="s">
        <v>13</v>
      </c>
      <c r="J228" s="91">
        <v>1299</v>
      </c>
      <c r="K228" s="91" t="s">
        <v>65</v>
      </c>
      <c r="L228" s="91">
        <v>110</v>
      </c>
      <c r="M228" s="91" t="s">
        <v>66</v>
      </c>
      <c r="N228" s="91">
        <v>13</v>
      </c>
      <c r="O228" s="91" t="s">
        <v>67</v>
      </c>
      <c r="P228" s="91">
        <v>3</v>
      </c>
    </row>
    <row r="229" spans="9:16">
      <c r="I229" s="91" t="s">
        <v>13</v>
      </c>
      <c r="J229" s="91">
        <v>1408</v>
      </c>
      <c r="K229" s="91" t="s">
        <v>65</v>
      </c>
      <c r="L229" s="91">
        <v>1426</v>
      </c>
      <c r="M229" s="91" t="s">
        <v>66</v>
      </c>
      <c r="N229" s="91">
        <v>0</v>
      </c>
      <c r="O229" s="91" t="s">
        <v>67</v>
      </c>
      <c r="P229" s="91">
        <v>0</v>
      </c>
    </row>
    <row r="231" spans="9:16">
      <c r="I231" s="91" t="s">
        <v>82</v>
      </c>
    </row>
    <row r="232" spans="9:16">
      <c r="I232" s="91" t="s">
        <v>13</v>
      </c>
      <c r="J232" s="91">
        <v>122</v>
      </c>
      <c r="K232" s="91" t="s">
        <v>65</v>
      </c>
      <c r="L232" s="91">
        <v>8836</v>
      </c>
      <c r="M232" s="91" t="s">
        <v>66</v>
      </c>
      <c r="N232" s="91">
        <v>368</v>
      </c>
      <c r="O232" s="91" t="s">
        <v>67</v>
      </c>
      <c r="P232" s="91">
        <v>215</v>
      </c>
    </row>
    <row r="233" spans="9:16">
      <c r="I233" s="91" t="s">
        <v>13</v>
      </c>
      <c r="J233" s="91">
        <v>245</v>
      </c>
      <c r="K233" s="91" t="s">
        <v>65</v>
      </c>
      <c r="L233" s="91">
        <v>1811</v>
      </c>
      <c r="M233" s="91" t="s">
        <v>66</v>
      </c>
      <c r="N233" s="91">
        <v>202</v>
      </c>
      <c r="O233" s="91" t="s">
        <v>67</v>
      </c>
      <c r="P233" s="91">
        <v>164</v>
      </c>
    </row>
    <row r="234" spans="9:16">
      <c r="I234" s="91" t="s">
        <v>13</v>
      </c>
      <c r="J234" s="91">
        <v>344</v>
      </c>
      <c r="K234" s="91" t="s">
        <v>65</v>
      </c>
      <c r="L234" s="91">
        <v>4671</v>
      </c>
      <c r="M234" s="91" t="s">
        <v>66</v>
      </c>
      <c r="N234" s="91">
        <v>105</v>
      </c>
      <c r="O234" s="91" t="s">
        <v>67</v>
      </c>
      <c r="P234" s="91">
        <v>84</v>
      </c>
    </row>
    <row r="235" spans="9:16">
      <c r="I235" s="91" t="s">
        <v>13</v>
      </c>
      <c r="J235" s="91">
        <v>411</v>
      </c>
      <c r="K235" s="91" t="s">
        <v>65</v>
      </c>
      <c r="L235" s="91">
        <v>393</v>
      </c>
      <c r="M235" s="91" t="s">
        <v>66</v>
      </c>
      <c r="N235" s="91">
        <v>73</v>
      </c>
      <c r="O235" s="91" t="s">
        <v>67</v>
      </c>
      <c r="P235" s="91">
        <v>81</v>
      </c>
    </row>
    <row r="236" spans="9:16">
      <c r="I236" s="91" t="s">
        <v>13</v>
      </c>
      <c r="J236" s="91">
        <v>444</v>
      </c>
      <c r="K236" s="91" t="s">
        <v>65</v>
      </c>
      <c r="L236" s="91">
        <v>581</v>
      </c>
      <c r="M236" s="91" t="s">
        <v>66</v>
      </c>
      <c r="N236" s="91">
        <v>69</v>
      </c>
      <c r="O236" s="91" t="s">
        <v>67</v>
      </c>
      <c r="P236" s="91">
        <v>63</v>
      </c>
    </row>
    <row r="237" spans="9:16">
      <c r="I237" s="91" t="s">
        <v>13</v>
      </c>
      <c r="J237" s="91">
        <v>779</v>
      </c>
      <c r="K237" s="91" t="s">
        <v>65</v>
      </c>
      <c r="L237" s="91">
        <v>1368</v>
      </c>
      <c r="M237" s="91" t="s">
        <v>66</v>
      </c>
      <c r="N237" s="91">
        <v>63</v>
      </c>
      <c r="O237" s="91" t="s">
        <v>67</v>
      </c>
      <c r="P237" s="91">
        <v>43</v>
      </c>
    </row>
    <row r="238" spans="9:16">
      <c r="I238" s="91" t="s">
        <v>13</v>
      </c>
      <c r="J238" s="91">
        <v>867</v>
      </c>
      <c r="K238" s="91" t="s">
        <v>65</v>
      </c>
      <c r="L238" s="91">
        <v>465</v>
      </c>
      <c r="M238" s="91" t="s">
        <v>66</v>
      </c>
      <c r="N238" s="91">
        <v>51</v>
      </c>
      <c r="O238" s="91" t="s">
        <v>67</v>
      </c>
      <c r="P238" s="91">
        <v>41</v>
      </c>
    </row>
    <row r="239" spans="9:16">
      <c r="I239" s="91" t="s">
        <v>13</v>
      </c>
      <c r="J239" s="91">
        <v>964</v>
      </c>
      <c r="K239" s="91" t="s">
        <v>65</v>
      </c>
      <c r="L239" s="91">
        <v>1247</v>
      </c>
      <c r="M239" s="91" t="s">
        <v>66</v>
      </c>
      <c r="N239" s="91">
        <v>36</v>
      </c>
      <c r="O239" s="91" t="s">
        <v>67</v>
      </c>
      <c r="P239" s="91">
        <v>41</v>
      </c>
    </row>
    <row r="240" spans="9:16">
      <c r="I240" s="91" t="s">
        <v>13</v>
      </c>
      <c r="J240" s="91">
        <v>1112</v>
      </c>
      <c r="K240" s="91" t="s">
        <v>65</v>
      </c>
      <c r="L240" s="91">
        <v>1112</v>
      </c>
      <c r="M240" s="91" t="s">
        <v>66</v>
      </c>
      <c r="N240" s="91">
        <v>42</v>
      </c>
      <c r="O240" s="91" t="s">
        <v>67</v>
      </c>
      <c r="P240" s="91">
        <v>39</v>
      </c>
    </row>
    <row r="241" spans="1:16">
      <c r="I241" s="91" t="s">
        <v>13</v>
      </c>
      <c r="J241" s="91">
        <v>1213</v>
      </c>
      <c r="K241" s="91" t="s">
        <v>65</v>
      </c>
      <c r="L241" s="91">
        <v>134</v>
      </c>
      <c r="M241" s="91" t="s">
        <v>66</v>
      </c>
      <c r="N241" s="91">
        <v>27</v>
      </c>
      <c r="O241" s="91" t="s">
        <v>67</v>
      </c>
      <c r="P241" s="91">
        <v>23</v>
      </c>
    </row>
    <row r="242" spans="1:16">
      <c r="I242" s="91" t="s">
        <v>13</v>
      </c>
      <c r="J242" s="91">
        <v>1299</v>
      </c>
      <c r="K242" s="91" t="s">
        <v>65</v>
      </c>
      <c r="L242" s="91">
        <v>117</v>
      </c>
      <c r="M242" s="91" t="s">
        <v>66</v>
      </c>
      <c r="N242" s="91">
        <v>5</v>
      </c>
      <c r="O242" s="91" t="s">
        <v>67</v>
      </c>
      <c r="P242" s="91">
        <v>4</v>
      </c>
    </row>
    <row r="243" spans="1:16">
      <c r="I243" s="91" t="s">
        <v>13</v>
      </c>
      <c r="J243" s="91">
        <v>1408</v>
      </c>
      <c r="K243" s="91" t="s">
        <v>65</v>
      </c>
      <c r="L243" s="91">
        <v>1343</v>
      </c>
      <c r="M243" s="91" t="s">
        <v>66</v>
      </c>
      <c r="N243" s="91">
        <v>0</v>
      </c>
      <c r="O243" s="91" t="s">
        <v>67</v>
      </c>
      <c r="P243" s="91">
        <v>0</v>
      </c>
    </row>
    <row r="245" spans="1:16">
      <c r="I245" s="57" t="s">
        <v>83</v>
      </c>
      <c r="J245" s="57"/>
      <c r="K245" s="57"/>
      <c r="L245" s="57"/>
      <c r="M245" s="57"/>
      <c r="N245" s="57"/>
      <c r="O245" s="57"/>
      <c r="P245" s="57"/>
    </row>
    <row r="246" spans="1:16">
      <c r="A246" s="110" t="s">
        <v>176</v>
      </c>
      <c r="B246" s="108"/>
      <c r="C246" s="108"/>
      <c r="D246" s="108"/>
      <c r="I246" s="57" t="s">
        <v>13</v>
      </c>
      <c r="J246" s="57">
        <v>122</v>
      </c>
      <c r="K246" s="57" t="s">
        <v>65</v>
      </c>
      <c r="L246" s="57">
        <v>8839</v>
      </c>
      <c r="M246" s="57" t="s">
        <v>66</v>
      </c>
      <c r="N246" s="57">
        <v>341</v>
      </c>
      <c r="O246" s="57" t="s">
        <v>67</v>
      </c>
      <c r="P246" s="57">
        <v>213</v>
      </c>
    </row>
    <row r="247" spans="1:16">
      <c r="A247" s="72" t="s">
        <v>13</v>
      </c>
      <c r="B247" s="72">
        <v>245</v>
      </c>
      <c r="C247" s="72" t="s">
        <v>170</v>
      </c>
      <c r="D247" s="72">
        <v>8.3590800000000007E-2</v>
      </c>
      <c r="I247" s="57" t="s">
        <v>13</v>
      </c>
      <c r="J247" s="57">
        <v>245</v>
      </c>
      <c r="K247" s="57" t="s">
        <v>65</v>
      </c>
      <c r="L247" s="57">
        <v>1880</v>
      </c>
      <c r="M247" s="57" t="s">
        <v>66</v>
      </c>
      <c r="N247" s="57">
        <v>191</v>
      </c>
      <c r="O247" s="57" t="s">
        <v>67</v>
      </c>
      <c r="P247" s="57">
        <v>143</v>
      </c>
    </row>
    <row r="248" spans="1:16">
      <c r="A248" s="72" t="s">
        <v>13</v>
      </c>
      <c r="B248" s="72">
        <v>344</v>
      </c>
      <c r="C248" s="72" t="s">
        <v>170</v>
      </c>
      <c r="D248" s="72">
        <v>3.9093599999999999E-2</v>
      </c>
      <c r="I248" s="57" t="s">
        <v>13</v>
      </c>
      <c r="J248" s="57">
        <v>344</v>
      </c>
      <c r="K248" s="57" t="s">
        <v>65</v>
      </c>
      <c r="L248" s="57">
        <v>4825</v>
      </c>
      <c r="M248" s="57" t="s">
        <v>66</v>
      </c>
      <c r="N248" s="57">
        <v>109</v>
      </c>
      <c r="O248" s="57" t="s">
        <v>67</v>
      </c>
      <c r="P248" s="57">
        <v>71</v>
      </c>
    </row>
    <row r="249" spans="1:16">
      <c r="A249" s="72" t="s">
        <v>13</v>
      </c>
      <c r="B249" s="72">
        <v>411</v>
      </c>
      <c r="C249" s="72" t="s">
        <v>170</v>
      </c>
      <c r="D249" s="72">
        <v>5.5501399999999999E-2</v>
      </c>
      <c r="I249" s="57" t="s">
        <v>13</v>
      </c>
      <c r="J249" s="57">
        <v>411</v>
      </c>
      <c r="K249" s="57" t="s">
        <v>65</v>
      </c>
      <c r="L249" s="57">
        <v>395</v>
      </c>
      <c r="M249" s="57" t="s">
        <v>66</v>
      </c>
      <c r="N249" s="57">
        <v>69</v>
      </c>
      <c r="O249" s="57" t="s">
        <v>67</v>
      </c>
      <c r="P249" s="57">
        <v>72</v>
      </c>
    </row>
    <row r="250" spans="1:16">
      <c r="A250" s="72" t="s">
        <v>13</v>
      </c>
      <c r="B250" s="72">
        <v>444</v>
      </c>
      <c r="C250" s="72" t="s">
        <v>170</v>
      </c>
      <c r="D250" s="72">
        <v>1.25477E-2</v>
      </c>
      <c r="I250" s="57" t="s">
        <v>13</v>
      </c>
      <c r="J250" s="57">
        <v>444</v>
      </c>
      <c r="K250" s="57" t="s">
        <v>65</v>
      </c>
      <c r="L250" s="57">
        <v>536</v>
      </c>
      <c r="M250" s="57" t="s">
        <v>66</v>
      </c>
      <c r="N250" s="57">
        <v>79</v>
      </c>
      <c r="O250" s="57" t="s">
        <v>67</v>
      </c>
      <c r="P250" s="57">
        <v>59</v>
      </c>
    </row>
    <row r="251" spans="1:16">
      <c r="A251" s="72" t="s">
        <v>13</v>
      </c>
      <c r="B251" s="72">
        <v>779</v>
      </c>
      <c r="C251" s="72" t="s">
        <v>170</v>
      </c>
      <c r="D251" s="72">
        <v>-2.5160200000000001E-2</v>
      </c>
      <c r="I251" s="57" t="s">
        <v>13</v>
      </c>
      <c r="J251" s="57">
        <v>779</v>
      </c>
      <c r="K251" s="57" t="s">
        <v>65</v>
      </c>
      <c r="L251" s="57">
        <v>1301</v>
      </c>
      <c r="M251" s="57" t="s">
        <v>66</v>
      </c>
      <c r="N251" s="57">
        <v>61</v>
      </c>
      <c r="O251" s="57" t="s">
        <v>67</v>
      </c>
      <c r="P251" s="57">
        <v>59</v>
      </c>
    </row>
    <row r="252" spans="1:16">
      <c r="A252" s="72" t="s">
        <v>13</v>
      </c>
      <c r="B252" s="72">
        <v>867</v>
      </c>
      <c r="C252" s="72" t="s">
        <v>170</v>
      </c>
      <c r="D252" s="72">
        <v>-3.89697E-3</v>
      </c>
      <c r="I252" s="57" t="s">
        <v>13</v>
      </c>
      <c r="J252" s="57">
        <v>867</v>
      </c>
      <c r="K252" s="57" t="s">
        <v>65</v>
      </c>
      <c r="L252" s="57">
        <v>424</v>
      </c>
      <c r="M252" s="57" t="s">
        <v>66</v>
      </c>
      <c r="N252" s="57">
        <v>49</v>
      </c>
      <c r="O252" s="57" t="s">
        <v>67</v>
      </c>
      <c r="P252" s="57">
        <v>45</v>
      </c>
    </row>
    <row r="253" spans="1:16">
      <c r="A253" s="72" t="s">
        <v>13</v>
      </c>
      <c r="B253" s="72">
        <v>964</v>
      </c>
      <c r="C253" s="72" t="s">
        <v>170</v>
      </c>
      <c r="D253" s="72">
        <v>-5.9394200000000001E-2</v>
      </c>
      <c r="I253" s="57" t="s">
        <v>13</v>
      </c>
      <c r="J253" s="57">
        <v>964</v>
      </c>
      <c r="K253" s="57" t="s">
        <v>65</v>
      </c>
      <c r="L253" s="57">
        <v>1280</v>
      </c>
      <c r="M253" s="57" t="s">
        <v>66</v>
      </c>
      <c r="N253" s="57">
        <v>42</v>
      </c>
      <c r="O253" s="57" t="s">
        <v>67</v>
      </c>
      <c r="P253" s="57">
        <v>28</v>
      </c>
    </row>
    <row r="254" spans="1:16">
      <c r="A254" s="72" t="s">
        <v>13</v>
      </c>
      <c r="B254" s="72">
        <v>1112</v>
      </c>
      <c r="C254" s="72" t="s">
        <v>170</v>
      </c>
      <c r="D254" s="72">
        <v>-7.9927899999999996E-2</v>
      </c>
      <c r="I254" s="57" t="s">
        <v>13</v>
      </c>
      <c r="J254" s="57">
        <v>1112</v>
      </c>
      <c r="K254" s="57" t="s">
        <v>65</v>
      </c>
      <c r="L254" s="57">
        <v>1048</v>
      </c>
      <c r="M254" s="57" t="s">
        <v>66</v>
      </c>
      <c r="N254" s="57">
        <v>24</v>
      </c>
      <c r="O254" s="57" t="s">
        <v>67</v>
      </c>
      <c r="P254" s="57">
        <v>40</v>
      </c>
    </row>
    <row r="255" spans="1:16">
      <c r="A255" s="72" t="s">
        <v>13</v>
      </c>
      <c r="B255" s="72">
        <v>1213</v>
      </c>
      <c r="C255" s="72" t="s">
        <v>170</v>
      </c>
      <c r="D255" s="72">
        <v>-4.5609200000000003E-2</v>
      </c>
      <c r="I255" s="57" t="s">
        <v>13</v>
      </c>
      <c r="J255" s="57">
        <v>1213</v>
      </c>
      <c r="K255" s="57" t="s">
        <v>65</v>
      </c>
      <c r="L255" s="57">
        <v>106</v>
      </c>
      <c r="M255" s="57" t="s">
        <v>66</v>
      </c>
      <c r="N255" s="57">
        <v>17</v>
      </c>
      <c r="O255" s="57" t="s">
        <v>67</v>
      </c>
      <c r="P255" s="57">
        <v>20</v>
      </c>
    </row>
    <row r="256" spans="1:16">
      <c r="A256" s="72" t="s">
        <v>13</v>
      </c>
      <c r="B256" s="72">
        <v>1299</v>
      </c>
      <c r="C256" s="72" t="s">
        <v>170</v>
      </c>
      <c r="D256" s="72">
        <v>-6.2823799999999999E-2</v>
      </c>
      <c r="I256" s="57" t="s">
        <v>13</v>
      </c>
      <c r="J256" s="57">
        <v>1299</v>
      </c>
      <c r="K256" s="57" t="s">
        <v>65</v>
      </c>
      <c r="L256" s="57">
        <v>110</v>
      </c>
      <c r="M256" s="57" t="s">
        <v>66</v>
      </c>
      <c r="N256" s="57">
        <v>9</v>
      </c>
      <c r="O256" s="57" t="s">
        <v>67</v>
      </c>
      <c r="P256" s="57">
        <v>4</v>
      </c>
    </row>
    <row r="257" spans="1:43">
      <c r="A257" s="72" t="s">
        <v>13</v>
      </c>
      <c r="B257" s="72">
        <v>1408</v>
      </c>
      <c r="C257" s="72" t="s">
        <v>170</v>
      </c>
      <c r="D257" s="72">
        <v>-5.7673799999999997E-2</v>
      </c>
      <c r="I257" s="57" t="s">
        <v>13</v>
      </c>
      <c r="J257" s="57">
        <v>1408</v>
      </c>
      <c r="K257" s="57" t="s">
        <v>65</v>
      </c>
      <c r="L257" s="57">
        <v>1299</v>
      </c>
      <c r="M257" s="57" t="s">
        <v>66</v>
      </c>
      <c r="N257" s="57">
        <v>0</v>
      </c>
      <c r="O257" s="57" t="s">
        <v>67</v>
      </c>
      <c r="P257" s="57">
        <v>0</v>
      </c>
    </row>
    <row r="258" spans="1:43">
      <c r="A258" s="108"/>
      <c r="B258" s="108"/>
      <c r="C258" s="108" t="s">
        <v>172</v>
      </c>
      <c r="D258" s="11">
        <f>AVERAGE(C261:C271)</f>
        <v>-1.3068415454545455E-2</v>
      </c>
    </row>
    <row r="259" spans="1:43">
      <c r="A259" s="108"/>
      <c r="B259" s="109">
        <f>SQRT(SUMSQ(C261:C271)/COUNTA(C261:C271))</f>
        <v>5.3658211259822286E-2</v>
      </c>
      <c r="C259" s="108" t="s">
        <v>171</v>
      </c>
      <c r="D259" s="108">
        <f>COUNT(C261:C271)</f>
        <v>11</v>
      </c>
    </row>
    <row r="260" spans="1:43">
      <c r="A260" s="108"/>
      <c r="B260" s="108"/>
      <c r="C260" s="11"/>
      <c r="D260" s="22"/>
      <c r="E260" s="91">
        <v>1</v>
      </c>
      <c r="F260" s="91" t="s">
        <v>85</v>
      </c>
      <c r="G260" s="91">
        <v>122</v>
      </c>
      <c r="H260" s="91" t="s">
        <v>97</v>
      </c>
      <c r="I260" s="91" t="s">
        <v>98</v>
      </c>
      <c r="J260" s="91">
        <v>2.9999999999999997E-4</v>
      </c>
      <c r="K260" s="91" t="s">
        <v>97</v>
      </c>
      <c r="L260" s="91" t="s">
        <v>110</v>
      </c>
      <c r="M260" s="95">
        <f t="shared" ref="M260:M271" si="22">AD22</f>
        <v>4.7573389651531149E-2</v>
      </c>
      <c r="N260" s="91" t="s">
        <v>97</v>
      </c>
      <c r="O260" s="91" t="s">
        <v>122</v>
      </c>
      <c r="P260" s="95">
        <f t="shared" ref="P260:P271" si="23">AE22</f>
        <v>2.8908345693873938E-4</v>
      </c>
      <c r="Q260" s="91" t="s">
        <v>97</v>
      </c>
      <c r="S260" s="91" t="s">
        <v>85</v>
      </c>
      <c r="T260" s="91">
        <v>122</v>
      </c>
      <c r="U260" s="91" t="s">
        <v>97</v>
      </c>
      <c r="V260" s="91" t="s">
        <v>98</v>
      </c>
      <c r="W260" s="91">
        <v>2.9999999999999997E-4</v>
      </c>
      <c r="X260" s="91" t="s">
        <v>97</v>
      </c>
      <c r="Y260" s="91" t="s">
        <v>110</v>
      </c>
      <c r="Z260" s="95">
        <f t="shared" ref="Z260:Z271" si="24">M6</f>
        <v>1.1482644464119336</v>
      </c>
      <c r="AA260" s="91" t="s">
        <v>97</v>
      </c>
      <c r="AB260" s="91" t="s">
        <v>122</v>
      </c>
      <c r="AC260" s="95">
        <f t="shared" ref="AC260:AC271" si="25">N6</f>
        <v>5.3587831416034458E-3</v>
      </c>
      <c r="AD260" s="91" t="s">
        <v>97</v>
      </c>
      <c r="AF260" s="91" t="s">
        <v>85</v>
      </c>
      <c r="AG260" s="91">
        <v>122</v>
      </c>
      <c r="AH260" s="91" t="s">
        <v>97</v>
      </c>
      <c r="AI260" s="91" t="s">
        <v>98</v>
      </c>
      <c r="AJ260" s="91">
        <v>2.9999999999999997E-4</v>
      </c>
      <c r="AK260" s="91" t="s">
        <v>97</v>
      </c>
      <c r="AL260" s="91" t="s">
        <v>110</v>
      </c>
      <c r="AM260" s="95">
        <f>E22</f>
        <v>24.136696056825471</v>
      </c>
      <c r="AN260" s="91" t="s">
        <v>97</v>
      </c>
      <c r="AO260" s="91" t="s">
        <v>122</v>
      </c>
      <c r="AP260" s="95">
        <f>F22</f>
        <v>0.18493237044342525</v>
      </c>
      <c r="AQ260" s="91" t="s">
        <v>97</v>
      </c>
    </row>
    <row r="261" spans="1:43">
      <c r="A261" s="108"/>
      <c r="B261" s="108" t="s">
        <v>170</v>
      </c>
      <c r="C261" s="11">
        <f>D247</f>
        <v>8.3590800000000007E-2</v>
      </c>
      <c r="D261" s="22">
        <f>(C261-D$258)^2</f>
        <v>9.3430039322882404E-3</v>
      </c>
      <c r="E261" s="91">
        <v>1</v>
      </c>
      <c r="F261" s="91" t="s">
        <v>86</v>
      </c>
      <c r="G261" s="91">
        <v>245</v>
      </c>
      <c r="H261" s="91" t="s">
        <v>97</v>
      </c>
      <c r="I261" s="91" t="s">
        <v>99</v>
      </c>
      <c r="J261" s="91">
        <v>8.0000000000000004E-4</v>
      </c>
      <c r="K261" s="91" t="s">
        <v>97</v>
      </c>
      <c r="L261" s="91" t="s">
        <v>111</v>
      </c>
      <c r="M261" s="95">
        <f t="shared" si="22"/>
        <v>3.7213333333333334E-2</v>
      </c>
      <c r="N261" s="91" t="s">
        <v>97</v>
      </c>
      <c r="O261" s="91" t="s">
        <v>123</v>
      </c>
      <c r="P261" s="95">
        <f t="shared" si="23"/>
        <v>3.8334241673766868E-4</v>
      </c>
      <c r="Q261" s="91" t="s">
        <v>97</v>
      </c>
      <c r="S261" s="91" t="s">
        <v>86</v>
      </c>
      <c r="T261" s="91">
        <v>245</v>
      </c>
      <c r="U261" s="91" t="s">
        <v>97</v>
      </c>
      <c r="V261" s="91" t="s">
        <v>99</v>
      </c>
      <c r="W261" s="91">
        <v>8.0000000000000004E-4</v>
      </c>
      <c r="X261" s="91" t="s">
        <v>97</v>
      </c>
      <c r="Y261" s="91" t="s">
        <v>111</v>
      </c>
      <c r="Z261" s="95">
        <f t="shared" si="24"/>
        <v>0.92573508499720358</v>
      </c>
      <c r="AA261" s="91" t="s">
        <v>97</v>
      </c>
      <c r="AB261" s="91" t="s">
        <v>123</v>
      </c>
      <c r="AC261" s="95">
        <f t="shared" si="25"/>
        <v>5.3940645451064162E-3</v>
      </c>
      <c r="AD261" s="91" t="s">
        <v>97</v>
      </c>
      <c r="AF261" s="108" t="s">
        <v>85</v>
      </c>
      <c r="AG261" s="91">
        <v>245</v>
      </c>
      <c r="AH261" s="91" t="s">
        <v>97</v>
      </c>
      <c r="AI261" s="108" t="s">
        <v>98</v>
      </c>
      <c r="AJ261" s="91">
        <v>8.0000000000000004E-4</v>
      </c>
      <c r="AK261" s="91" t="s">
        <v>97</v>
      </c>
      <c r="AL261" s="108" t="s">
        <v>110</v>
      </c>
      <c r="AM261" s="95">
        <f t="shared" ref="AM261:AM271" si="26">E23</f>
        <v>24.876435462124782</v>
      </c>
      <c r="AN261" s="91" t="s">
        <v>97</v>
      </c>
      <c r="AO261" s="108" t="s">
        <v>122</v>
      </c>
      <c r="AP261" s="95">
        <f t="shared" ref="AP261:AP271" si="27">F23</f>
        <v>0.29441179649824073</v>
      </c>
      <c r="AQ261" s="91" t="s">
        <v>97</v>
      </c>
    </row>
    <row r="262" spans="1:43">
      <c r="A262" s="108"/>
      <c r="B262" s="108" t="s">
        <v>170</v>
      </c>
      <c r="C262" s="11">
        <f t="shared" ref="C262:C270" si="28">D248</f>
        <v>3.9093599999999999E-2</v>
      </c>
      <c r="D262" s="22">
        <f t="shared" ref="D262:D271" si="29">(C262-D$258)^2</f>
        <v>2.7208758562802392E-3</v>
      </c>
      <c r="E262" s="91">
        <v>1</v>
      </c>
      <c r="F262" s="91" t="s">
        <v>87</v>
      </c>
      <c r="G262" s="91">
        <v>344</v>
      </c>
      <c r="H262" s="91" t="s">
        <v>97</v>
      </c>
      <c r="I262" s="91" t="s">
        <v>100</v>
      </c>
      <c r="J262" s="91">
        <v>1.1999999999999999E-3</v>
      </c>
      <c r="K262" s="91" t="s">
        <v>97</v>
      </c>
      <c r="L262" s="91" t="s">
        <v>112</v>
      </c>
      <c r="M262" s="95">
        <f t="shared" si="22"/>
        <v>2.9887885628291949E-2</v>
      </c>
      <c r="N262" s="91" t="s">
        <v>97</v>
      </c>
      <c r="O262" s="91" t="s">
        <v>124</v>
      </c>
      <c r="P262" s="95">
        <f t="shared" si="23"/>
        <v>2.0533053802218238E-4</v>
      </c>
      <c r="Q262" s="91" t="s">
        <v>97</v>
      </c>
      <c r="S262" s="91" t="s">
        <v>87</v>
      </c>
      <c r="T262" s="91">
        <v>344</v>
      </c>
      <c r="U262" s="91" t="s">
        <v>97</v>
      </c>
      <c r="V262" s="91" t="s">
        <v>100</v>
      </c>
      <c r="W262" s="91">
        <v>1.1999999999999999E-3</v>
      </c>
      <c r="X262" s="91" t="s">
        <v>97</v>
      </c>
      <c r="Y262" s="91" t="s">
        <v>112</v>
      </c>
      <c r="Z262" s="95">
        <f t="shared" si="24"/>
        <v>0.7796041262471044</v>
      </c>
      <c r="AA262" s="91" t="s">
        <v>97</v>
      </c>
      <c r="AB262" s="91" t="s">
        <v>124</v>
      </c>
      <c r="AC262" s="95">
        <f t="shared" si="25"/>
        <v>3.6114380391805648E-3</v>
      </c>
      <c r="AD262" s="91" t="s">
        <v>97</v>
      </c>
      <c r="AF262" s="108" t="s">
        <v>86</v>
      </c>
      <c r="AG262" s="91">
        <v>344</v>
      </c>
      <c r="AH262" s="91" t="s">
        <v>97</v>
      </c>
      <c r="AI262" s="108" t="s">
        <v>99</v>
      </c>
      <c r="AJ262" s="91">
        <v>1.1999999999999999E-3</v>
      </c>
      <c r="AK262" s="91" t="s">
        <v>97</v>
      </c>
      <c r="AL262" s="108" t="s">
        <v>111</v>
      </c>
      <c r="AM262" s="95">
        <f t="shared" si="26"/>
        <v>26.084284982311669</v>
      </c>
      <c r="AN262" s="91" t="s">
        <v>97</v>
      </c>
      <c r="AO262" s="108" t="s">
        <v>123</v>
      </c>
      <c r="AP262" s="95">
        <f t="shared" si="27"/>
        <v>0.21613215578994374</v>
      </c>
      <c r="AQ262" s="91" t="s">
        <v>97</v>
      </c>
    </row>
    <row r="263" spans="1:43">
      <c r="A263" s="108"/>
      <c r="B263" s="108" t="s">
        <v>170</v>
      </c>
      <c r="C263" s="11">
        <f t="shared" si="28"/>
        <v>5.5501399999999999E-2</v>
      </c>
      <c r="D263" s="22">
        <f t="shared" si="29"/>
        <v>4.7018195914704198E-3</v>
      </c>
      <c r="E263" s="91">
        <v>1</v>
      </c>
      <c r="F263" s="91" t="s">
        <v>88</v>
      </c>
      <c r="G263" s="91">
        <v>411</v>
      </c>
      <c r="H263" s="91" t="s">
        <v>97</v>
      </c>
      <c r="I263" s="91" t="s">
        <v>101</v>
      </c>
      <c r="J263" s="91">
        <v>1.1999999999999999E-3</v>
      </c>
      <c r="K263" s="91" t="s">
        <v>97</v>
      </c>
      <c r="L263" s="91" t="s">
        <v>113</v>
      </c>
      <c r="M263" s="95">
        <f t="shared" si="22"/>
        <v>2.669646848457756E-2</v>
      </c>
      <c r="N263" s="91" t="s">
        <v>97</v>
      </c>
      <c r="O263" s="91" t="s">
        <v>125</v>
      </c>
      <c r="P263" s="95">
        <f t="shared" si="23"/>
        <v>5.8695034031799496E-4</v>
      </c>
      <c r="Q263" s="91" t="s">
        <v>97</v>
      </c>
      <c r="S263" s="91" t="s">
        <v>88</v>
      </c>
      <c r="T263" s="91">
        <v>411</v>
      </c>
      <c r="U263" s="91" t="s">
        <v>97</v>
      </c>
      <c r="V263" s="91" t="s">
        <v>101</v>
      </c>
      <c r="W263" s="91">
        <v>1.1999999999999999E-3</v>
      </c>
      <c r="X263" s="91" t="s">
        <v>97</v>
      </c>
      <c r="Y263" s="91" t="s">
        <v>113</v>
      </c>
      <c r="Z263" s="95">
        <f t="shared" si="24"/>
        <v>0.68446907807436397</v>
      </c>
      <c r="AA263" s="91" t="s">
        <v>97</v>
      </c>
      <c r="AB263" s="91" t="s">
        <v>125</v>
      </c>
      <c r="AC263" s="95">
        <f t="shared" si="25"/>
        <v>5.0082864702353869E-3</v>
      </c>
      <c r="AD263" s="91" t="s">
        <v>97</v>
      </c>
      <c r="AF263" s="108" t="s">
        <v>87</v>
      </c>
      <c r="AG263" s="91">
        <v>411</v>
      </c>
      <c r="AH263" s="91" t="s">
        <v>97</v>
      </c>
      <c r="AI263" s="108" t="s">
        <v>100</v>
      </c>
      <c r="AJ263" s="91">
        <v>1.1999999999999999E-3</v>
      </c>
      <c r="AK263" s="91" t="s">
        <v>97</v>
      </c>
      <c r="AL263" s="108" t="s">
        <v>112</v>
      </c>
      <c r="AM263" s="95">
        <f t="shared" si="26"/>
        <v>25.638937167654927</v>
      </c>
      <c r="AN263" s="91" t="s">
        <v>97</v>
      </c>
      <c r="AO263" s="108" t="s">
        <v>124</v>
      </c>
      <c r="AP263" s="95">
        <f t="shared" si="27"/>
        <v>0.59409693251698459</v>
      </c>
      <c r="AQ263" s="91" t="s">
        <v>97</v>
      </c>
    </row>
    <row r="264" spans="1:43">
      <c r="A264" s="108"/>
      <c r="B264" s="108" t="s">
        <v>170</v>
      </c>
      <c r="C264" s="11">
        <f t="shared" si="28"/>
        <v>1.25477E-2</v>
      </c>
      <c r="D264" s="22">
        <f t="shared" si="29"/>
        <v>6.5618537098060246E-4</v>
      </c>
      <c r="E264" s="91">
        <v>1</v>
      </c>
      <c r="F264" s="91" t="s">
        <v>89</v>
      </c>
      <c r="G264" s="91">
        <v>444</v>
      </c>
      <c r="H264" s="91" t="s">
        <v>97</v>
      </c>
      <c r="I264" s="91" t="s">
        <v>102</v>
      </c>
      <c r="J264" s="91">
        <v>3.0000000000000001E-3</v>
      </c>
      <c r="K264" s="91" t="s">
        <v>97</v>
      </c>
      <c r="L264" s="91" t="s">
        <v>114</v>
      </c>
      <c r="M264" s="95">
        <f t="shared" si="22"/>
        <v>2.4713599999999999E-2</v>
      </c>
      <c r="N264" s="91" t="s">
        <v>97</v>
      </c>
      <c r="O264" s="91" t="s">
        <v>126</v>
      </c>
      <c r="P264" s="95">
        <f t="shared" si="23"/>
        <v>4.6385428091822985E-4</v>
      </c>
      <c r="Q264" s="91" t="s">
        <v>97</v>
      </c>
      <c r="S264" s="91" t="s">
        <v>89</v>
      </c>
      <c r="T264" s="91">
        <v>444</v>
      </c>
      <c r="U264" s="91" t="s">
        <v>97</v>
      </c>
      <c r="V264" s="91" t="s">
        <v>102</v>
      </c>
      <c r="W264" s="91">
        <v>3.0000000000000001E-3</v>
      </c>
      <c r="X264" s="91" t="s">
        <v>97</v>
      </c>
      <c r="Y264" s="91" t="s">
        <v>114</v>
      </c>
      <c r="Z264" s="95">
        <f t="shared" si="24"/>
        <v>0.66244586031674502</v>
      </c>
      <c r="AA264" s="91" t="s">
        <v>97</v>
      </c>
      <c r="AB264" s="91" t="s">
        <v>126</v>
      </c>
      <c r="AC264" s="95">
        <f t="shared" si="25"/>
        <v>4.2073857870087829E-3</v>
      </c>
      <c r="AD264" s="91" t="s">
        <v>97</v>
      </c>
      <c r="AF264" s="108" t="s">
        <v>88</v>
      </c>
      <c r="AG264" s="91">
        <v>444</v>
      </c>
      <c r="AH264" s="91" t="s">
        <v>97</v>
      </c>
      <c r="AI264" s="108" t="s">
        <v>101</v>
      </c>
      <c r="AJ264" s="91">
        <v>3.0000000000000001E-3</v>
      </c>
      <c r="AK264" s="91" t="s">
        <v>97</v>
      </c>
      <c r="AL264" s="108" t="s">
        <v>113</v>
      </c>
      <c r="AM264" s="95">
        <f t="shared" si="26"/>
        <v>26.804911478568279</v>
      </c>
      <c r="AN264" s="91" t="s">
        <v>97</v>
      </c>
      <c r="AO264" s="108" t="s">
        <v>125</v>
      </c>
      <c r="AP264" s="95">
        <f t="shared" si="27"/>
        <v>0.53113065929434844</v>
      </c>
      <c r="AQ264" s="91" t="s">
        <v>97</v>
      </c>
    </row>
    <row r="265" spans="1:43">
      <c r="A265" s="108"/>
      <c r="B265" s="108" t="s">
        <v>170</v>
      </c>
      <c r="C265" s="11">
        <f t="shared" si="28"/>
        <v>-2.5160200000000001E-2</v>
      </c>
      <c r="D265" s="22">
        <f t="shared" si="29"/>
        <v>1.4621125349369339E-4</v>
      </c>
      <c r="E265" s="91">
        <v>1</v>
      </c>
      <c r="F265" s="91" t="s">
        <v>90</v>
      </c>
      <c r="G265" s="91">
        <v>779</v>
      </c>
      <c r="H265" s="91" t="s">
        <v>97</v>
      </c>
      <c r="I265" s="91" t="s">
        <v>103</v>
      </c>
      <c r="J265" s="91">
        <v>2.3999999999999998E-3</v>
      </c>
      <c r="K265" s="91" t="s">
        <v>97</v>
      </c>
      <c r="L265" s="91" t="s">
        <v>115</v>
      </c>
      <c r="M265" s="95">
        <f t="shared" si="22"/>
        <v>1.7165123456790124E-2</v>
      </c>
      <c r="N265" s="91" t="s">
        <v>97</v>
      </c>
      <c r="O265" s="91" t="s">
        <v>127</v>
      </c>
      <c r="P265" s="95">
        <f t="shared" si="23"/>
        <v>1.862320663521625E-4</v>
      </c>
      <c r="Q265" s="91" t="s">
        <v>97</v>
      </c>
      <c r="S265" s="91" t="s">
        <v>90</v>
      </c>
      <c r="T265" s="91">
        <v>779</v>
      </c>
      <c r="U265" s="91" t="s">
        <v>97</v>
      </c>
      <c r="V265" s="91" t="s">
        <v>103</v>
      </c>
      <c r="W265" s="91">
        <v>2.3999999999999998E-3</v>
      </c>
      <c r="X265" s="91" t="s">
        <v>97</v>
      </c>
      <c r="Y265" s="91" t="s">
        <v>115</v>
      </c>
      <c r="Z265" s="95">
        <f t="shared" si="24"/>
        <v>0.47767916682148753</v>
      </c>
      <c r="AA265" s="91" t="s">
        <v>97</v>
      </c>
      <c r="AB265" s="91" t="s">
        <v>127</v>
      </c>
      <c r="AC265" s="95">
        <f t="shared" si="25"/>
        <v>2.4162416756176772E-3</v>
      </c>
      <c r="AD265" s="91" t="s">
        <v>97</v>
      </c>
      <c r="AF265" s="108" t="s">
        <v>89</v>
      </c>
      <c r="AG265" s="91">
        <v>779</v>
      </c>
      <c r="AH265" s="91" t="s">
        <v>97</v>
      </c>
      <c r="AI265" s="108" t="s">
        <v>102</v>
      </c>
      <c r="AJ265" s="91">
        <v>2.3999999999999998E-3</v>
      </c>
      <c r="AK265" s="91" t="s">
        <v>97</v>
      </c>
      <c r="AL265" s="108" t="s">
        <v>114</v>
      </c>
      <c r="AM265" s="95">
        <f t="shared" si="26"/>
        <v>27.828472543407706</v>
      </c>
      <c r="AN265" s="91" t="s">
        <v>97</v>
      </c>
      <c r="AO265" s="108" t="s">
        <v>126</v>
      </c>
      <c r="AP265" s="95">
        <f t="shared" si="27"/>
        <v>0.33312529801446999</v>
      </c>
      <c r="AQ265" s="91" t="s">
        <v>97</v>
      </c>
    </row>
    <row r="266" spans="1:43">
      <c r="A266" s="108"/>
      <c r="B266" s="108" t="s">
        <v>170</v>
      </c>
      <c r="C266" s="11">
        <f t="shared" si="28"/>
        <v>-3.89697E-3</v>
      </c>
      <c r="D266" s="22">
        <f t="shared" si="29"/>
        <v>8.4115411725702499E-5</v>
      </c>
      <c r="E266" s="91">
        <v>1</v>
      </c>
      <c r="F266" s="91" t="s">
        <v>91</v>
      </c>
      <c r="G266" s="91">
        <v>867</v>
      </c>
      <c r="H266" s="91" t="s">
        <v>97</v>
      </c>
      <c r="I266" s="91" t="s">
        <v>104</v>
      </c>
      <c r="J266" s="91">
        <v>3.0000000000000001E-3</v>
      </c>
      <c r="K266" s="91" t="s">
        <v>97</v>
      </c>
      <c r="L266" s="91" t="s">
        <v>116</v>
      </c>
      <c r="M266" s="95">
        <f t="shared" si="22"/>
        <v>1.6243810422070265E-2</v>
      </c>
      <c r="N266" s="91" t="s">
        <v>97</v>
      </c>
      <c r="O266" s="91" t="s">
        <v>128</v>
      </c>
      <c r="P266" s="95">
        <f t="shared" si="23"/>
        <v>3.1210533423944728E-4</v>
      </c>
      <c r="Q266" s="91" t="s">
        <v>97</v>
      </c>
      <c r="S266" s="91" t="s">
        <v>91</v>
      </c>
      <c r="T266" s="91">
        <v>867</v>
      </c>
      <c r="U266" s="91" t="s">
        <v>97</v>
      </c>
      <c r="V266" s="91" t="s">
        <v>104</v>
      </c>
      <c r="W266" s="91">
        <v>3.0000000000000001E-3</v>
      </c>
      <c r="X266" s="91" t="s">
        <v>97</v>
      </c>
      <c r="Y266" s="91" t="s">
        <v>116</v>
      </c>
      <c r="Z266" s="95">
        <f t="shared" si="24"/>
        <v>0.44266441464764905</v>
      </c>
      <c r="AA266" s="91" t="s">
        <v>97</v>
      </c>
      <c r="AB266" s="91" t="s">
        <v>128</v>
      </c>
      <c r="AC266" s="95">
        <f t="shared" si="25"/>
        <v>3.1338312855518427E-3</v>
      </c>
      <c r="AD266" s="91" t="s">
        <v>97</v>
      </c>
      <c r="AF266" s="108" t="s">
        <v>90</v>
      </c>
      <c r="AG266" s="91">
        <v>867</v>
      </c>
      <c r="AH266" s="91" t="s">
        <v>97</v>
      </c>
      <c r="AI266" s="108" t="s">
        <v>103</v>
      </c>
      <c r="AJ266" s="91">
        <v>3.0000000000000001E-3</v>
      </c>
      <c r="AK266" s="91" t="s">
        <v>97</v>
      </c>
      <c r="AL266" s="108" t="s">
        <v>115</v>
      </c>
      <c r="AM266" s="95">
        <f t="shared" si="26"/>
        <v>27.251266983897224</v>
      </c>
      <c r="AN266" s="91" t="s">
        <v>97</v>
      </c>
      <c r="AO266" s="108" t="s">
        <v>127</v>
      </c>
      <c r="AP266" s="95">
        <f t="shared" si="27"/>
        <v>0.55801192266279709</v>
      </c>
      <c r="AQ266" s="91" t="s">
        <v>97</v>
      </c>
    </row>
    <row r="267" spans="1:43">
      <c r="A267" s="108"/>
      <c r="B267" s="108" t="s">
        <v>170</v>
      </c>
      <c r="C267" s="11">
        <f t="shared" si="28"/>
        <v>-5.9394200000000001E-2</v>
      </c>
      <c r="D267" s="22">
        <f t="shared" si="29"/>
        <v>2.1460783137518752E-3</v>
      </c>
      <c r="E267" s="91">
        <v>1</v>
      </c>
      <c r="F267" s="91" t="s">
        <v>92</v>
      </c>
      <c r="G267" s="91">
        <v>964</v>
      </c>
      <c r="H267" s="91" t="s">
        <v>97</v>
      </c>
      <c r="I267" s="91" t="s">
        <v>105</v>
      </c>
      <c r="J267" s="91">
        <v>1.7999999999999999E-2</v>
      </c>
      <c r="K267" s="91" t="s">
        <v>97</v>
      </c>
      <c r="L267" s="91" t="s">
        <v>117</v>
      </c>
      <c r="M267" s="95">
        <f t="shared" si="22"/>
        <v>1.4725718194254446E-2</v>
      </c>
      <c r="N267" s="91" t="s">
        <v>97</v>
      </c>
      <c r="O267" s="91" t="s">
        <v>129</v>
      </c>
      <c r="P267" s="95">
        <f t="shared" si="23"/>
        <v>1.6028054066419893E-4</v>
      </c>
      <c r="Q267" s="91" t="s">
        <v>97</v>
      </c>
      <c r="S267" s="91" t="s">
        <v>92</v>
      </c>
      <c r="T267" s="91">
        <v>964</v>
      </c>
      <c r="U267" s="91" t="s">
        <v>97</v>
      </c>
      <c r="V267" s="91" t="s">
        <v>105</v>
      </c>
      <c r="W267" s="91">
        <v>1.7999999999999999E-2</v>
      </c>
      <c r="X267" s="91" t="s">
        <v>97</v>
      </c>
      <c r="Y267" s="91" t="s">
        <v>117</v>
      </c>
      <c r="Z267" s="95">
        <f t="shared" si="24"/>
        <v>0.42347891765568235</v>
      </c>
      <c r="AA267" s="91" t="s">
        <v>97</v>
      </c>
      <c r="AB267" s="91" t="s">
        <v>129</v>
      </c>
      <c r="AC267" s="95">
        <f t="shared" si="25"/>
        <v>1.9268423457986393E-3</v>
      </c>
      <c r="AD267" s="91" t="s">
        <v>97</v>
      </c>
      <c r="AF267" s="108" t="s">
        <v>91</v>
      </c>
      <c r="AG267" s="91">
        <v>964</v>
      </c>
      <c r="AH267" s="91" t="s">
        <v>97</v>
      </c>
      <c r="AI267" s="108" t="s">
        <v>104</v>
      </c>
      <c r="AJ267" s="91">
        <v>1.7999999999999999E-2</v>
      </c>
      <c r="AK267" s="91" t="s">
        <v>97</v>
      </c>
      <c r="AL267" s="108" t="s">
        <v>116</v>
      </c>
      <c r="AM267" s="95">
        <f t="shared" si="26"/>
        <v>28.757776841126276</v>
      </c>
      <c r="AN267" s="91" t="s">
        <v>97</v>
      </c>
      <c r="AO267" s="108" t="s">
        <v>128</v>
      </c>
      <c r="AP267" s="95">
        <f t="shared" si="27"/>
        <v>0.33925993159322043</v>
      </c>
      <c r="AQ267" s="91" t="s">
        <v>97</v>
      </c>
    </row>
    <row r="268" spans="1:43">
      <c r="A268" s="108"/>
      <c r="B268" s="108" t="s">
        <v>170</v>
      </c>
      <c r="C268" s="11">
        <f t="shared" si="28"/>
        <v>-7.9927899999999996E-2</v>
      </c>
      <c r="D268" s="22">
        <f t="shared" si="29"/>
        <v>4.4701906736838741E-3</v>
      </c>
      <c r="E268" s="91">
        <v>1</v>
      </c>
      <c r="F268" s="91" t="s">
        <v>93</v>
      </c>
      <c r="G268" s="91">
        <v>1112</v>
      </c>
      <c r="H268" s="91" t="s">
        <v>97</v>
      </c>
      <c r="I268" s="91" t="s">
        <v>106</v>
      </c>
      <c r="J268" s="91">
        <v>3.0000000000000001E-3</v>
      </c>
      <c r="K268" s="91" t="s">
        <v>97</v>
      </c>
      <c r="L268" s="91" t="s">
        <v>118</v>
      </c>
      <c r="M268" s="95">
        <f t="shared" si="22"/>
        <v>1.379179104477612E-2</v>
      </c>
      <c r="N268" s="91" t="s">
        <v>97</v>
      </c>
      <c r="O268" s="91" t="s">
        <v>130</v>
      </c>
      <c r="P268" s="95">
        <f t="shared" si="23"/>
        <v>1.5998854277118551E-4</v>
      </c>
      <c r="Q268" s="91" t="s">
        <v>97</v>
      </c>
      <c r="S268" s="91" t="s">
        <v>93</v>
      </c>
      <c r="T268" s="91">
        <v>1112</v>
      </c>
      <c r="U268" s="91" t="s">
        <v>97</v>
      </c>
      <c r="V268" s="91" t="s">
        <v>106</v>
      </c>
      <c r="W268" s="91">
        <v>3.0000000000000001E-3</v>
      </c>
      <c r="X268" s="91" t="s">
        <v>97</v>
      </c>
      <c r="Y268" s="91" t="s">
        <v>118</v>
      </c>
      <c r="Z268" s="95">
        <f t="shared" si="24"/>
        <v>0.40430942378545115</v>
      </c>
      <c r="AA268" s="91" t="s">
        <v>97</v>
      </c>
      <c r="AB268" s="91" t="s">
        <v>130</v>
      </c>
      <c r="AC268" s="95">
        <f t="shared" si="25"/>
        <v>2.0029526875304099E-3</v>
      </c>
      <c r="AD268" s="91" t="s">
        <v>97</v>
      </c>
      <c r="AF268" s="108" t="s">
        <v>92</v>
      </c>
      <c r="AG268" s="91">
        <v>1112</v>
      </c>
      <c r="AH268" s="91" t="s">
        <v>97</v>
      </c>
      <c r="AI268" s="108" t="s">
        <v>105</v>
      </c>
      <c r="AJ268" s="91">
        <v>3.0000000000000001E-3</v>
      </c>
      <c r="AK268" s="91" t="s">
        <v>97</v>
      </c>
      <c r="AL268" s="108" t="s">
        <v>117</v>
      </c>
      <c r="AM268" s="95">
        <f t="shared" si="26"/>
        <v>29.315222545993429</v>
      </c>
      <c r="AN268" s="91" t="s">
        <v>97</v>
      </c>
      <c r="AO268" s="108" t="s">
        <v>129</v>
      </c>
      <c r="AP268" s="95">
        <f t="shared" si="27"/>
        <v>0.36977704546474505</v>
      </c>
      <c r="AQ268" s="91" t="s">
        <v>97</v>
      </c>
    </row>
    <row r="269" spans="1:43">
      <c r="A269" s="108"/>
      <c r="B269" s="108" t="s">
        <v>170</v>
      </c>
      <c r="C269" s="11">
        <f t="shared" si="28"/>
        <v>-4.5609200000000003E-2</v>
      </c>
      <c r="D269" s="22">
        <f t="shared" si="29"/>
        <v>1.0589026588336934E-3</v>
      </c>
      <c r="E269" s="91">
        <v>1</v>
      </c>
      <c r="F269" s="91" t="s">
        <v>94</v>
      </c>
      <c r="G269" s="91">
        <v>1213</v>
      </c>
      <c r="H269" s="91" t="s">
        <v>97</v>
      </c>
      <c r="I269" s="91" t="s">
        <v>107</v>
      </c>
      <c r="J269" s="91">
        <v>1.1000000000000001E-3</v>
      </c>
      <c r="K269" s="91" t="s">
        <v>97</v>
      </c>
      <c r="L269" s="91" t="s">
        <v>119</v>
      </c>
      <c r="M269" s="95">
        <f t="shared" si="22"/>
        <v>1.2939929328621909E-2</v>
      </c>
      <c r="N269" s="91" t="s">
        <v>97</v>
      </c>
      <c r="O269" s="91" t="s">
        <v>131</v>
      </c>
      <c r="P269" s="95">
        <f t="shared" si="23"/>
        <v>5.007139651934271E-4</v>
      </c>
      <c r="Q269" s="91" t="s">
        <v>97</v>
      </c>
      <c r="S269" s="91" t="s">
        <v>94</v>
      </c>
      <c r="T269" s="91">
        <v>1213</v>
      </c>
      <c r="U269" s="91" t="s">
        <v>97</v>
      </c>
      <c r="V269" s="91" t="s">
        <v>107</v>
      </c>
      <c r="W269" s="91">
        <v>1.1000000000000001E-3</v>
      </c>
      <c r="X269" s="91" t="s">
        <v>97</v>
      </c>
      <c r="Y269" s="91" t="s">
        <v>119</v>
      </c>
      <c r="Z269" s="95">
        <f t="shared" si="24"/>
        <v>0.36728171325646869</v>
      </c>
      <c r="AA269" s="91" t="s">
        <v>97</v>
      </c>
      <c r="AB269" s="91" t="s">
        <v>131</v>
      </c>
      <c r="AC269" s="95">
        <f t="shared" si="25"/>
        <v>4.2916941257905156E-3</v>
      </c>
      <c r="AD269" s="91" t="s">
        <v>97</v>
      </c>
      <c r="AF269" s="108" t="s">
        <v>93</v>
      </c>
      <c r="AG269" s="91">
        <v>1213</v>
      </c>
      <c r="AH269" s="91" t="s">
        <v>97</v>
      </c>
      <c r="AI269" s="108" t="s">
        <v>106</v>
      </c>
      <c r="AJ269" s="91">
        <v>1.1000000000000001E-3</v>
      </c>
      <c r="AK269" s="91" t="s">
        <v>97</v>
      </c>
      <c r="AL269" s="108" t="s">
        <v>118</v>
      </c>
      <c r="AM269" s="95">
        <f t="shared" si="26"/>
        <v>28.383594989508637</v>
      </c>
      <c r="AN269" s="91" t="s">
        <v>97</v>
      </c>
      <c r="AO269" s="108" t="s">
        <v>130</v>
      </c>
      <c r="AP269" s="95">
        <f t="shared" si="27"/>
        <v>1.1472953320216142</v>
      </c>
      <c r="AQ269" s="91" t="s">
        <v>97</v>
      </c>
    </row>
    <row r="270" spans="1:43">
      <c r="A270" s="108"/>
      <c r="B270" s="108" t="s">
        <v>170</v>
      </c>
      <c r="C270" s="11">
        <f t="shared" si="28"/>
        <v>-6.2823799999999999E-2</v>
      </c>
      <c r="D270" s="22">
        <f t="shared" si="29"/>
        <v>2.4755982912660567E-3</v>
      </c>
      <c r="E270" s="91">
        <v>1</v>
      </c>
      <c r="F270" s="91" t="s">
        <v>95</v>
      </c>
      <c r="G270" s="91">
        <v>1299</v>
      </c>
      <c r="H270" s="91" t="s">
        <v>97</v>
      </c>
      <c r="I270" s="91" t="s">
        <v>108</v>
      </c>
      <c r="J270" s="91">
        <v>8.0000000000000002E-3</v>
      </c>
      <c r="K270" s="91" t="s">
        <v>97</v>
      </c>
      <c r="L270" s="91" t="s">
        <v>120</v>
      </c>
      <c r="M270" s="95">
        <f t="shared" si="22"/>
        <v>1.1654411764705882E-2</v>
      </c>
      <c r="N270" s="91" t="s">
        <v>97</v>
      </c>
      <c r="O270" s="91" t="s">
        <v>132</v>
      </c>
      <c r="P270" s="95">
        <f t="shared" si="23"/>
        <v>3.9816506936345348E-4</v>
      </c>
      <c r="Q270" s="91" t="s">
        <v>97</v>
      </c>
      <c r="S270" s="91" t="s">
        <v>95</v>
      </c>
      <c r="T270" s="91">
        <v>1299</v>
      </c>
      <c r="U270" s="91" t="s">
        <v>97</v>
      </c>
      <c r="V270" s="91" t="s">
        <v>108</v>
      </c>
      <c r="W270" s="91">
        <v>8.0000000000000002E-3</v>
      </c>
      <c r="X270" s="91" t="s">
        <v>97</v>
      </c>
      <c r="Y270" s="91" t="s">
        <v>120</v>
      </c>
      <c r="Z270" s="95">
        <f t="shared" si="24"/>
        <v>0.33624052868798127</v>
      </c>
      <c r="AA270" s="91" t="s">
        <v>97</v>
      </c>
      <c r="AB270" s="91" t="s">
        <v>132</v>
      </c>
      <c r="AC270" s="95">
        <f t="shared" si="25"/>
        <v>3.288677315800472E-3</v>
      </c>
      <c r="AD270" s="91" t="s">
        <v>97</v>
      </c>
      <c r="AF270" s="108" t="s">
        <v>94</v>
      </c>
      <c r="AG270" s="91">
        <v>1299</v>
      </c>
      <c r="AH270" s="91" t="s">
        <v>97</v>
      </c>
      <c r="AI270" s="108" t="s">
        <v>107</v>
      </c>
      <c r="AJ270" s="91">
        <v>8.0000000000000002E-3</v>
      </c>
      <c r="AK270" s="91" t="s">
        <v>97</v>
      </c>
      <c r="AL270" s="108" t="s">
        <v>119</v>
      </c>
      <c r="AM270" s="95">
        <f t="shared" si="26"/>
        <v>28.850922335372527</v>
      </c>
      <c r="AN270" s="91" t="s">
        <v>97</v>
      </c>
      <c r="AO270" s="108" t="s">
        <v>131</v>
      </c>
      <c r="AP270" s="95">
        <f t="shared" si="27"/>
        <v>1.0252691941079173</v>
      </c>
      <c r="AQ270" s="91" t="s">
        <v>97</v>
      </c>
    </row>
    <row r="271" spans="1:43">
      <c r="A271" s="108"/>
      <c r="B271" s="108" t="s">
        <v>170</v>
      </c>
      <c r="C271" s="11">
        <f>D257</f>
        <v>-5.7673799999999997E-2</v>
      </c>
      <c r="D271" s="22">
        <f t="shared" si="29"/>
        <v>1.9896403304478748E-3</v>
      </c>
      <c r="E271" s="91">
        <v>1</v>
      </c>
      <c r="F271" s="91" t="s">
        <v>96</v>
      </c>
      <c r="G271" s="91">
        <v>1408</v>
      </c>
      <c r="H271" s="91" t="s">
        <v>97</v>
      </c>
      <c r="I271" s="91" t="s">
        <v>109</v>
      </c>
      <c r="J271" s="91">
        <v>3.0000000000000001E-3</v>
      </c>
      <c r="K271" s="91" t="s">
        <v>97</v>
      </c>
      <c r="L271" s="91" t="s">
        <v>121</v>
      </c>
      <c r="M271" s="95">
        <f t="shared" si="22"/>
        <v>1.1947721822541967E-2</v>
      </c>
      <c r="N271" s="91" t="s">
        <v>97</v>
      </c>
      <c r="O271" s="91" t="s">
        <v>133</v>
      </c>
      <c r="P271" s="95">
        <f t="shared" si="23"/>
        <v>1.2033364188957646E-4</v>
      </c>
      <c r="Q271" s="91" t="s">
        <v>97</v>
      </c>
      <c r="S271" s="91" t="s">
        <v>96</v>
      </c>
      <c r="T271" s="91">
        <v>1408</v>
      </c>
      <c r="U271" s="91" t="s">
        <v>97</v>
      </c>
      <c r="V271" s="91" t="s">
        <v>109</v>
      </c>
      <c r="W271" s="91">
        <v>3.0000000000000001E-3</v>
      </c>
      <c r="X271" s="91" t="s">
        <v>97</v>
      </c>
      <c r="Y271" s="91" t="s">
        <v>121</v>
      </c>
      <c r="Z271" s="95">
        <f t="shared" si="24"/>
        <v>0.343031714389396</v>
      </c>
      <c r="AA271" s="91" t="s">
        <v>97</v>
      </c>
      <c r="AB271" s="91" t="s">
        <v>133</v>
      </c>
      <c r="AC271" s="95">
        <f t="shared" si="25"/>
        <v>1.5885489629255795E-3</v>
      </c>
      <c r="AD271" s="91" t="s">
        <v>97</v>
      </c>
      <c r="AF271" s="108" t="s">
        <v>95</v>
      </c>
      <c r="AG271" s="91">
        <v>1408</v>
      </c>
      <c r="AH271" s="91" t="s">
        <v>97</v>
      </c>
      <c r="AI271" s="108" t="s">
        <v>108</v>
      </c>
      <c r="AJ271" s="91">
        <v>3.0000000000000001E-3</v>
      </c>
      <c r="AK271" s="91" t="s">
        <v>97</v>
      </c>
      <c r="AL271" s="108" t="s">
        <v>120</v>
      </c>
      <c r="AM271" s="95">
        <f t="shared" si="26"/>
        <v>28.711056340648334</v>
      </c>
      <c r="AN271" s="91" t="s">
        <v>97</v>
      </c>
      <c r="AO271" s="108" t="s">
        <v>132</v>
      </c>
      <c r="AP271" s="95">
        <f t="shared" si="27"/>
        <v>0.31827094084029595</v>
      </c>
      <c r="AQ271" s="91" t="s">
        <v>97</v>
      </c>
    </row>
    <row r="272" spans="1:43">
      <c r="A272" s="108"/>
      <c r="B272" s="108"/>
      <c r="C272" s="108"/>
      <c r="D272" s="108"/>
      <c r="AF272" s="108" t="s">
        <v>96</v>
      </c>
      <c r="AI272" s="108" t="s">
        <v>109</v>
      </c>
      <c r="AL272" s="108" t="s">
        <v>121</v>
      </c>
      <c r="AO272" s="108" t="s">
        <v>133</v>
      </c>
    </row>
    <row r="273" spans="1:37">
      <c r="A273" s="108"/>
      <c r="B273" s="108"/>
      <c r="C273" s="75" t="s">
        <v>173</v>
      </c>
      <c r="D273" s="83">
        <f>SQRT((1/D259)*SUM(D261:D271))</f>
        <v>5.2042484117412344E-2</v>
      </c>
      <c r="G273" s="91" t="s">
        <v>163</v>
      </c>
      <c r="T273" s="91" t="s">
        <v>166</v>
      </c>
      <c r="AG273" s="91" t="s">
        <v>166</v>
      </c>
    </row>
    <row r="274" spans="1:37">
      <c r="A274" s="108"/>
      <c r="B274" s="108"/>
      <c r="C274" s="108"/>
      <c r="D274" s="11"/>
      <c r="H274" s="29" t="str">
        <f t="shared" ref="H274:H285" si="30">F260&amp;G260&amp;H260</f>
        <v>energy[0][0]=122;</v>
      </c>
      <c r="I274" s="29" t="str">
        <f>I260&amp;J260&amp;K260</f>
        <v>energyerr[0][0]=0.0003;</v>
      </c>
      <c r="J274" s="29" t="str">
        <f>L260&amp;TEXT(ROUND(M260,4),"0.0000")&amp;N260</f>
        <v>eff[0][0]=0.0476;</v>
      </c>
      <c r="K274" s="29" t="str">
        <f t="shared" ref="K274:K285" si="31">O260&amp;TEXT(ROUND(P260,4),"0.0000")&amp;Q260</f>
        <v>efferr[0][0]=0.0003;</v>
      </c>
      <c r="U274" s="29" t="str">
        <f t="shared" ref="U274:U285" si="32">S260&amp;T260&amp;U260</f>
        <v>energy[0][0]=122;</v>
      </c>
      <c r="V274" s="29" t="str">
        <f t="shared" ref="V274:V285" si="33">V260&amp;W260&amp;X260</f>
        <v>energyerr[0][0]=0.0003;</v>
      </c>
      <c r="W274" s="29" t="str">
        <f t="shared" ref="W274:W285" si="34">Y260&amp;TEXT(ROUND(Z260,4),"0.0000")&amp;AA260</f>
        <v>eff[0][0]=1.1483;</v>
      </c>
      <c r="X274" s="29" t="str">
        <f t="shared" ref="X274:X285" si="35">AB260&amp;TEXT(ROUND(AC260,4),"0.0000")&amp;AD260</f>
        <v>efferr[0][0]=0.0054;</v>
      </c>
      <c r="AH274" s="26" t="str">
        <f t="shared" ref="AH274:AH285" si="36">AF260&amp;AG260&amp;AH260</f>
        <v>energy[0][0]=122;</v>
      </c>
      <c r="AI274" s="26" t="str">
        <f t="shared" ref="AI274:AI285" si="37">AI260&amp;AJ260&amp;AK260</f>
        <v>energyerr[0][0]=0.0003;</v>
      </c>
      <c r="AJ274" s="26" t="str">
        <f t="shared" ref="AJ274:AJ285" si="38">AL260&amp;TEXT(ROUND(AM260,4),"0.0000")&amp;AN260</f>
        <v>eff[0][0]=24.1367;</v>
      </c>
      <c r="AK274" s="26" t="str">
        <f t="shared" ref="AK274:AK285" si="39">AO260&amp;TEXT(ROUND(AP260,4),"0.0000")&amp;AQ260</f>
        <v>efferr[0][0]=0.1849;</v>
      </c>
    </row>
    <row r="275" spans="1:37">
      <c r="H275" s="29" t="str">
        <f t="shared" si="30"/>
        <v>energy[0][1]=245;</v>
      </c>
      <c r="I275" s="29" t="str">
        <f t="shared" ref="I275:I285" si="40">I261&amp;J261&amp;K261</f>
        <v>energyerr[0][1]=0.0008;</v>
      </c>
      <c r="J275" s="29" t="str">
        <f t="shared" ref="J275:J285" si="41">L261&amp;TEXT(ROUND(M261,4),"0.0000")&amp;N261</f>
        <v>eff[0][1]=0.0372;</v>
      </c>
      <c r="K275" s="29" t="str">
        <f t="shared" si="31"/>
        <v>efferr[0][1]=0.0004;</v>
      </c>
      <c r="U275" s="29" t="str">
        <f t="shared" si="32"/>
        <v>energy[0][1]=245;</v>
      </c>
      <c r="V275" s="29" t="str">
        <f t="shared" si="33"/>
        <v>energyerr[0][1]=0.0008;</v>
      </c>
      <c r="W275" s="29" t="str">
        <f t="shared" si="34"/>
        <v>eff[0][1]=0.9257;</v>
      </c>
      <c r="X275" s="29" t="str">
        <f t="shared" si="35"/>
        <v>efferr[0][1]=0.0054;</v>
      </c>
      <c r="AH275" s="26" t="str">
        <f t="shared" si="36"/>
        <v>energy[0][0]=245;</v>
      </c>
      <c r="AI275" s="26" t="str">
        <f t="shared" si="37"/>
        <v>energyerr[0][0]=0.0008;</v>
      </c>
      <c r="AJ275" s="26" t="str">
        <f t="shared" si="38"/>
        <v>eff[0][0]=24.8764;</v>
      </c>
      <c r="AK275" s="26" t="str">
        <f t="shared" si="39"/>
        <v>efferr[0][0]=0.2944;</v>
      </c>
    </row>
    <row r="276" spans="1:37">
      <c r="H276" s="29" t="str">
        <f t="shared" si="30"/>
        <v>energy[0][2]=344;</v>
      </c>
      <c r="I276" s="29" t="str">
        <f t="shared" si="40"/>
        <v>energyerr[0][2]=0.0012;</v>
      </c>
      <c r="J276" s="29" t="str">
        <f t="shared" si="41"/>
        <v>eff[0][2]=0.0299;</v>
      </c>
      <c r="K276" s="29" t="str">
        <f t="shared" si="31"/>
        <v>efferr[0][2]=0.0002;</v>
      </c>
      <c r="U276" s="29" t="str">
        <f t="shared" si="32"/>
        <v>energy[0][2]=344;</v>
      </c>
      <c r="V276" s="29" t="str">
        <f t="shared" si="33"/>
        <v>energyerr[0][2]=0.0012;</v>
      </c>
      <c r="W276" s="29" t="str">
        <f t="shared" si="34"/>
        <v>eff[0][2]=0.7796;</v>
      </c>
      <c r="X276" s="29" t="str">
        <f t="shared" si="35"/>
        <v>efferr[0][2]=0.0036;</v>
      </c>
      <c r="AH276" s="26" t="str">
        <f t="shared" si="36"/>
        <v>energy[0][1]=344;</v>
      </c>
      <c r="AI276" s="26" t="str">
        <f t="shared" si="37"/>
        <v>energyerr[0][1]=0.0012;</v>
      </c>
      <c r="AJ276" s="26" t="str">
        <f t="shared" si="38"/>
        <v>eff[0][1]=26.0843;</v>
      </c>
      <c r="AK276" s="26" t="str">
        <f t="shared" si="39"/>
        <v>efferr[0][1]=0.2161;</v>
      </c>
    </row>
    <row r="277" spans="1:37">
      <c r="H277" s="29" t="str">
        <f t="shared" si="30"/>
        <v>energy[0][3]=411;</v>
      </c>
      <c r="I277" s="29" t="str">
        <f t="shared" si="40"/>
        <v>energyerr[0][3]=0.0012;</v>
      </c>
      <c r="J277" s="29" t="str">
        <f t="shared" si="41"/>
        <v>eff[0][3]=0.0267;</v>
      </c>
      <c r="K277" s="29" t="str">
        <f t="shared" si="31"/>
        <v>efferr[0][3]=0.0006;</v>
      </c>
      <c r="U277" s="29" t="str">
        <f t="shared" si="32"/>
        <v>energy[0][3]=411;</v>
      </c>
      <c r="V277" s="29" t="str">
        <f t="shared" si="33"/>
        <v>energyerr[0][3]=0.0012;</v>
      </c>
      <c r="W277" s="29" t="str">
        <f t="shared" si="34"/>
        <v>eff[0][3]=0.6845;</v>
      </c>
      <c r="X277" s="29" t="str">
        <f t="shared" si="35"/>
        <v>efferr[0][3]=0.0050;</v>
      </c>
      <c r="AH277" s="26" t="str">
        <f t="shared" si="36"/>
        <v>energy[0][2]=411;</v>
      </c>
      <c r="AI277" s="26" t="str">
        <f t="shared" si="37"/>
        <v>energyerr[0][2]=0.0012;</v>
      </c>
      <c r="AJ277" s="26" t="str">
        <f t="shared" si="38"/>
        <v>eff[0][2]=25.6389;</v>
      </c>
      <c r="AK277" s="26" t="str">
        <f t="shared" si="39"/>
        <v>efferr[0][2]=0.5941;</v>
      </c>
    </row>
    <row r="278" spans="1:37">
      <c r="H278" s="29" t="str">
        <f t="shared" si="30"/>
        <v>energy[0][4]=444;</v>
      </c>
      <c r="I278" s="29" t="str">
        <f t="shared" si="40"/>
        <v>energyerr[0][4]=0.003;</v>
      </c>
      <c r="J278" s="29" t="str">
        <f t="shared" si="41"/>
        <v>eff[0][4]=0.0247;</v>
      </c>
      <c r="K278" s="29" t="str">
        <f t="shared" si="31"/>
        <v>efferr[0][4]=0.0005;</v>
      </c>
      <c r="U278" s="29" t="str">
        <f t="shared" si="32"/>
        <v>energy[0][4]=444;</v>
      </c>
      <c r="V278" s="29" t="str">
        <f t="shared" si="33"/>
        <v>energyerr[0][4]=0.003;</v>
      </c>
      <c r="W278" s="29" t="str">
        <f t="shared" si="34"/>
        <v>eff[0][4]=0.6624;</v>
      </c>
      <c r="X278" s="29" t="str">
        <f t="shared" si="35"/>
        <v>efferr[0][4]=0.0042;</v>
      </c>
      <c r="AH278" s="26" t="str">
        <f t="shared" si="36"/>
        <v>energy[0][3]=444;</v>
      </c>
      <c r="AI278" s="26" t="str">
        <f t="shared" si="37"/>
        <v>energyerr[0][3]=0.003;</v>
      </c>
      <c r="AJ278" s="26" t="str">
        <f t="shared" si="38"/>
        <v>eff[0][3]=26.8049;</v>
      </c>
      <c r="AK278" s="26" t="str">
        <f t="shared" si="39"/>
        <v>efferr[0][3]=0.5311;</v>
      </c>
    </row>
    <row r="279" spans="1:37">
      <c r="H279" s="29" t="str">
        <f t="shared" si="30"/>
        <v>energy[0][5]=779;</v>
      </c>
      <c r="I279" s="29" t="str">
        <f t="shared" si="40"/>
        <v>energyerr[0][5]=0.0024;</v>
      </c>
      <c r="J279" s="29" t="str">
        <f t="shared" si="41"/>
        <v>eff[0][5]=0.0172;</v>
      </c>
      <c r="K279" s="29" t="str">
        <f t="shared" si="31"/>
        <v>efferr[0][5]=0.0002;</v>
      </c>
      <c r="U279" s="29" t="str">
        <f t="shared" si="32"/>
        <v>energy[0][5]=779;</v>
      </c>
      <c r="V279" s="29" t="str">
        <f t="shared" si="33"/>
        <v>energyerr[0][5]=0.0024;</v>
      </c>
      <c r="W279" s="29" t="str">
        <f t="shared" si="34"/>
        <v>eff[0][5]=0.4777;</v>
      </c>
      <c r="X279" s="29" t="str">
        <f t="shared" si="35"/>
        <v>efferr[0][5]=0.0024;</v>
      </c>
      <c r="AH279" s="26" t="str">
        <f t="shared" si="36"/>
        <v>energy[0][4]=779;</v>
      </c>
      <c r="AI279" s="26" t="str">
        <f t="shared" si="37"/>
        <v>energyerr[0][4]=0.0024;</v>
      </c>
      <c r="AJ279" s="26" t="str">
        <f t="shared" si="38"/>
        <v>eff[0][4]=27.8285;</v>
      </c>
      <c r="AK279" s="26" t="str">
        <f t="shared" si="39"/>
        <v>efferr[0][4]=0.3331;</v>
      </c>
    </row>
    <row r="280" spans="1:37">
      <c r="H280" s="29" t="str">
        <f t="shared" si="30"/>
        <v>energy[0][6]=867;</v>
      </c>
      <c r="I280" s="29" t="str">
        <f t="shared" si="40"/>
        <v>energyerr[0][6]=0.003;</v>
      </c>
      <c r="J280" s="29" t="str">
        <f t="shared" si="41"/>
        <v>eff[0][6]=0.0162;</v>
      </c>
      <c r="K280" s="29" t="str">
        <f t="shared" si="31"/>
        <v>efferr[0][6]=0.0003;</v>
      </c>
      <c r="U280" s="29" t="str">
        <f t="shared" si="32"/>
        <v>energy[0][6]=867;</v>
      </c>
      <c r="V280" s="29" t="str">
        <f t="shared" si="33"/>
        <v>energyerr[0][6]=0.003;</v>
      </c>
      <c r="W280" s="29" t="str">
        <f t="shared" si="34"/>
        <v>eff[0][6]=0.4427;</v>
      </c>
      <c r="X280" s="29" t="str">
        <f t="shared" si="35"/>
        <v>efferr[0][6]=0.0031;</v>
      </c>
      <c r="AH280" s="26" t="str">
        <f t="shared" si="36"/>
        <v>energy[0][5]=867;</v>
      </c>
      <c r="AI280" s="26" t="str">
        <f t="shared" si="37"/>
        <v>energyerr[0][5]=0.003;</v>
      </c>
      <c r="AJ280" s="26" t="str">
        <f t="shared" si="38"/>
        <v>eff[0][5]=27.2513;</v>
      </c>
      <c r="AK280" s="26" t="str">
        <f t="shared" si="39"/>
        <v>efferr[0][5]=0.5580;</v>
      </c>
    </row>
    <row r="281" spans="1:37">
      <c r="H281" s="29" t="str">
        <f t="shared" si="30"/>
        <v>energy[0][7]=964;</v>
      </c>
      <c r="I281" s="29" t="str">
        <f t="shared" si="40"/>
        <v>energyerr[0][7]=0.018;</v>
      </c>
      <c r="J281" s="29" t="str">
        <f t="shared" si="41"/>
        <v>eff[0][7]=0.0147;</v>
      </c>
      <c r="K281" s="29" t="str">
        <f t="shared" si="31"/>
        <v>efferr[0][7]=0.0002;</v>
      </c>
      <c r="U281" s="29" t="str">
        <f t="shared" si="32"/>
        <v>energy[0][7]=964;</v>
      </c>
      <c r="V281" s="29" t="str">
        <f t="shared" si="33"/>
        <v>energyerr[0][7]=0.018;</v>
      </c>
      <c r="W281" s="29" t="str">
        <f t="shared" si="34"/>
        <v>eff[0][7]=0.4235;</v>
      </c>
      <c r="X281" s="29" t="str">
        <f t="shared" si="35"/>
        <v>efferr[0][7]=0.0019;</v>
      </c>
      <c r="AH281" s="26" t="str">
        <f t="shared" si="36"/>
        <v>energy[0][6]=964;</v>
      </c>
      <c r="AI281" s="26" t="str">
        <f t="shared" si="37"/>
        <v>energyerr[0][6]=0.018;</v>
      </c>
      <c r="AJ281" s="26" t="str">
        <f t="shared" si="38"/>
        <v>eff[0][6]=28.7578;</v>
      </c>
      <c r="AK281" s="26" t="str">
        <f t="shared" si="39"/>
        <v>efferr[0][6]=0.3393;</v>
      </c>
    </row>
    <row r="282" spans="1:37">
      <c r="H282" s="29" t="str">
        <f t="shared" si="30"/>
        <v>energy[0][8]=1112;</v>
      </c>
      <c r="I282" s="29" t="str">
        <f t="shared" si="40"/>
        <v>energyerr[0][8]=0.003;</v>
      </c>
      <c r="J282" s="29" t="str">
        <f t="shared" si="41"/>
        <v>eff[0][8]=0.0138;</v>
      </c>
      <c r="K282" s="29" t="str">
        <f t="shared" si="31"/>
        <v>efferr[0][8]=0.0002;</v>
      </c>
      <c r="U282" s="29" t="str">
        <f t="shared" si="32"/>
        <v>energy[0][8]=1112;</v>
      </c>
      <c r="V282" s="29" t="str">
        <f t="shared" si="33"/>
        <v>energyerr[0][8]=0.003;</v>
      </c>
      <c r="W282" s="29" t="str">
        <f t="shared" si="34"/>
        <v>eff[0][8]=0.4043;</v>
      </c>
      <c r="X282" s="29" t="str">
        <f t="shared" si="35"/>
        <v>efferr[0][8]=0.0020;</v>
      </c>
      <c r="AH282" s="26" t="str">
        <f t="shared" si="36"/>
        <v>energy[0][7]=1112;</v>
      </c>
      <c r="AI282" s="26" t="str">
        <f t="shared" si="37"/>
        <v>energyerr[0][7]=0.003;</v>
      </c>
      <c r="AJ282" s="26" t="str">
        <f t="shared" si="38"/>
        <v>eff[0][7]=29.3152;</v>
      </c>
      <c r="AK282" s="26" t="str">
        <f t="shared" si="39"/>
        <v>efferr[0][7]=0.3698;</v>
      </c>
    </row>
    <row r="283" spans="1:37">
      <c r="H283" s="29" t="str">
        <f t="shared" si="30"/>
        <v>energy[0][9]=1213;</v>
      </c>
      <c r="I283" s="29" t="str">
        <f t="shared" si="40"/>
        <v>energyerr[0][9]=0.0011;</v>
      </c>
      <c r="J283" s="29" t="str">
        <f t="shared" si="41"/>
        <v>eff[0][9]=0.0129;</v>
      </c>
      <c r="K283" s="29" t="str">
        <f t="shared" si="31"/>
        <v>efferr[0][9]=0.0005;</v>
      </c>
      <c r="U283" s="29" t="str">
        <f t="shared" si="32"/>
        <v>energy[0][9]=1213;</v>
      </c>
      <c r="V283" s="29" t="str">
        <f t="shared" si="33"/>
        <v>energyerr[0][9]=0.0011;</v>
      </c>
      <c r="W283" s="29" t="str">
        <f t="shared" si="34"/>
        <v>eff[0][9]=0.3673;</v>
      </c>
      <c r="X283" s="29" t="str">
        <f t="shared" si="35"/>
        <v>efferr[0][9]=0.0043;</v>
      </c>
      <c r="AH283" s="26" t="str">
        <f t="shared" si="36"/>
        <v>energy[0][8]=1213;</v>
      </c>
      <c r="AI283" s="26" t="str">
        <f t="shared" si="37"/>
        <v>energyerr[0][8]=0.0011;</v>
      </c>
      <c r="AJ283" s="26" t="str">
        <f t="shared" si="38"/>
        <v>eff[0][8]=28.3836;</v>
      </c>
      <c r="AK283" s="26" t="str">
        <f t="shared" si="39"/>
        <v>efferr[0][8]=1.1473;</v>
      </c>
    </row>
    <row r="284" spans="1:37">
      <c r="H284" s="29" t="str">
        <f t="shared" si="30"/>
        <v>energy[0][10]=1299;</v>
      </c>
      <c r="I284" s="29" t="str">
        <f t="shared" si="40"/>
        <v>energyerr[0][10]=0.008;</v>
      </c>
      <c r="J284" s="29" t="str">
        <f t="shared" si="41"/>
        <v>eff[0][10]=0.0117;</v>
      </c>
      <c r="K284" s="29" t="str">
        <f t="shared" si="31"/>
        <v>efferr[0][10]=0.0004;</v>
      </c>
      <c r="U284" s="29" t="str">
        <f t="shared" si="32"/>
        <v>energy[0][10]=1299;</v>
      </c>
      <c r="V284" s="29" t="str">
        <f t="shared" si="33"/>
        <v>energyerr[0][10]=0.008;</v>
      </c>
      <c r="W284" s="29" t="str">
        <f t="shared" si="34"/>
        <v>eff[0][10]=0.3362;</v>
      </c>
      <c r="X284" s="29" t="str">
        <f t="shared" si="35"/>
        <v>efferr[0][10]=0.0033;</v>
      </c>
      <c r="AH284" s="26" t="str">
        <f t="shared" si="36"/>
        <v>energy[0][9]=1299;</v>
      </c>
      <c r="AI284" s="26" t="str">
        <f t="shared" si="37"/>
        <v>energyerr[0][9]=0.008;</v>
      </c>
      <c r="AJ284" s="26" t="str">
        <f t="shared" si="38"/>
        <v>eff[0][9]=28.8509;</v>
      </c>
      <c r="AK284" s="26" t="str">
        <f t="shared" si="39"/>
        <v>efferr[0][9]=1.0253;</v>
      </c>
    </row>
    <row r="285" spans="1:37">
      <c r="H285" s="29" t="str">
        <f t="shared" si="30"/>
        <v>energy[0][11]=1408;</v>
      </c>
      <c r="I285" s="29" t="str">
        <f t="shared" si="40"/>
        <v>energyerr[0][11]=0.003;</v>
      </c>
      <c r="J285" s="29" t="str">
        <f t="shared" si="41"/>
        <v>eff[0][11]=0.0119;</v>
      </c>
      <c r="K285" s="29" t="str">
        <f t="shared" si="31"/>
        <v>efferr[0][11]=0.0001;</v>
      </c>
      <c r="U285" s="29" t="str">
        <f t="shared" si="32"/>
        <v>energy[0][11]=1408;</v>
      </c>
      <c r="V285" s="29" t="str">
        <f t="shared" si="33"/>
        <v>energyerr[0][11]=0.003;</v>
      </c>
      <c r="W285" s="29" t="str">
        <f t="shared" si="34"/>
        <v>eff[0][11]=0.3430;</v>
      </c>
      <c r="X285" s="29" t="str">
        <f t="shared" si="35"/>
        <v>efferr[0][11]=0.0016;</v>
      </c>
      <c r="AH285" s="26" t="str">
        <f t="shared" si="36"/>
        <v>energy[0][10]=1408;</v>
      </c>
      <c r="AI285" s="26" t="str">
        <f t="shared" si="37"/>
        <v>energyerr[0][10]=0.003;</v>
      </c>
      <c r="AJ285" s="26" t="str">
        <f t="shared" si="38"/>
        <v>eff[0][10]=28.7111;</v>
      </c>
      <c r="AK285" s="26" t="str">
        <f t="shared" si="39"/>
        <v>efferr[0][10]=0.3183;</v>
      </c>
    </row>
    <row r="287" spans="1:37">
      <c r="G287" s="91" t="s">
        <v>162</v>
      </c>
      <c r="J287" s="91" t="s">
        <v>165</v>
      </c>
    </row>
    <row r="288" spans="1:37">
      <c r="G288" s="72" t="s">
        <v>7</v>
      </c>
      <c r="H288" s="72" t="s">
        <v>134</v>
      </c>
      <c r="I288" s="72"/>
      <c r="J288" s="72"/>
      <c r="K288" s="72"/>
      <c r="L288" s="72"/>
    </row>
    <row r="289" spans="7:12">
      <c r="G289" s="72" t="s">
        <v>135</v>
      </c>
      <c r="H289" s="72">
        <v>4.6704207000000002E-4</v>
      </c>
      <c r="I289" s="72" t="s">
        <v>4</v>
      </c>
      <c r="J289" s="98">
        <v>3.5912215000000002E-7</v>
      </c>
      <c r="K289" s="72"/>
      <c r="L289" s="72"/>
    </row>
    <row r="290" spans="7:12">
      <c r="G290" s="72" t="s">
        <v>136</v>
      </c>
      <c r="H290" s="72">
        <v>-1.1745474000000001E-2</v>
      </c>
      <c r="I290" s="72" t="s">
        <v>4</v>
      </c>
      <c r="J290" s="98">
        <v>2.9194545999999998E-6</v>
      </c>
      <c r="K290" s="72"/>
      <c r="L290" s="72"/>
    </row>
    <row r="291" spans="7:12">
      <c r="G291" s="72" t="s">
        <v>137</v>
      </c>
      <c r="H291" s="72">
        <v>0.11980765</v>
      </c>
      <c r="I291" s="72" t="s">
        <v>4</v>
      </c>
      <c r="J291" s="98">
        <v>2.0973864000000001E-5</v>
      </c>
      <c r="K291" s="72"/>
      <c r="L291" s="72"/>
    </row>
    <row r="292" spans="7:12">
      <c r="G292" s="72" t="s">
        <v>138</v>
      </c>
      <c r="H292" s="72">
        <v>-0.61094831000000005</v>
      </c>
      <c r="I292" s="72" t="s">
        <v>4</v>
      </c>
      <c r="J292" s="98">
        <v>1.3952404E-4</v>
      </c>
      <c r="K292" s="72"/>
      <c r="L292" s="72"/>
    </row>
    <row r="293" spans="7:12">
      <c r="G293" s="72" t="s">
        <v>139</v>
      </c>
      <c r="H293" s="72">
        <v>1.2983552</v>
      </c>
      <c r="I293" s="72" t="s">
        <v>4</v>
      </c>
      <c r="J293" s="98">
        <v>8.9132524999999997E-4</v>
      </c>
      <c r="K293" s="72"/>
      <c r="L293" s="72"/>
    </row>
    <row r="294" spans="7:12">
      <c r="G294" s="72" t="s">
        <v>8</v>
      </c>
      <c r="H294" s="72">
        <v>0.55269774000000005</v>
      </c>
      <c r="I294" s="72" t="s">
        <v>4</v>
      </c>
      <c r="J294" s="98">
        <v>5.3539484999999996E-3</v>
      </c>
      <c r="K294" s="72"/>
      <c r="L294" s="72"/>
    </row>
    <row r="295" spans="7:12">
      <c r="G295" s="72" t="s">
        <v>9</v>
      </c>
      <c r="H295" s="72">
        <v>-7.4266968000000002</v>
      </c>
      <c r="I295" s="72" t="s">
        <v>4</v>
      </c>
      <c r="J295" s="98">
        <v>2.4090204E-2</v>
      </c>
      <c r="K295" s="72"/>
      <c r="L295" s="72"/>
    </row>
    <row r="296" spans="7:12">
      <c r="G296" s="72" t="s">
        <v>10</v>
      </c>
      <c r="H296" s="72">
        <v>13.032287999999999</v>
      </c>
      <c r="I296" s="72" t="s">
        <v>11</v>
      </c>
      <c r="J296" s="72">
        <v>5</v>
      </c>
      <c r="K296" s="72" t="s">
        <v>12</v>
      </c>
      <c r="L296" s="99">
        <v>2.3078066000000001E-2</v>
      </c>
    </row>
    <row r="298" spans="7:12">
      <c r="G298" s="91" t="s">
        <v>140</v>
      </c>
      <c r="H298" s="91">
        <f>H289</f>
        <v>4.6704207000000002E-4</v>
      </c>
      <c r="I298" s="91" t="s">
        <v>97</v>
      </c>
      <c r="J298" s="91" t="s">
        <v>153</v>
      </c>
      <c r="K298" s="96">
        <f>J289</f>
        <v>3.5912215000000002E-7</v>
      </c>
      <c r="L298" s="91" t="s">
        <v>97</v>
      </c>
    </row>
    <row r="299" spans="7:12">
      <c r="G299" s="91" t="s">
        <v>141</v>
      </c>
      <c r="H299" s="91">
        <f t="shared" ref="H299:H304" si="42">H290</f>
        <v>-1.1745474000000001E-2</v>
      </c>
      <c r="I299" s="91" t="s">
        <v>97</v>
      </c>
      <c r="J299" s="91" t="s">
        <v>147</v>
      </c>
      <c r="K299" s="96">
        <f t="shared" ref="K299:K304" si="43">J290</f>
        <v>2.9194545999999998E-6</v>
      </c>
      <c r="L299" s="91" t="s">
        <v>97</v>
      </c>
    </row>
    <row r="300" spans="7:12">
      <c r="G300" s="91" t="s">
        <v>142</v>
      </c>
      <c r="H300" s="91">
        <f t="shared" si="42"/>
        <v>0.11980765</v>
      </c>
      <c r="I300" s="91" t="s">
        <v>97</v>
      </c>
      <c r="J300" s="91" t="s">
        <v>148</v>
      </c>
      <c r="K300" s="96">
        <f t="shared" si="43"/>
        <v>2.0973864000000001E-5</v>
      </c>
      <c r="L300" s="91" t="s">
        <v>97</v>
      </c>
    </row>
    <row r="301" spans="7:12">
      <c r="G301" s="91" t="s">
        <v>143</v>
      </c>
      <c r="H301" s="91">
        <f t="shared" si="42"/>
        <v>-0.61094831000000005</v>
      </c>
      <c r="I301" s="91" t="s">
        <v>97</v>
      </c>
      <c r="J301" s="91" t="s">
        <v>149</v>
      </c>
      <c r="K301" s="96">
        <f t="shared" si="43"/>
        <v>1.3952404E-4</v>
      </c>
      <c r="L301" s="91" t="s">
        <v>97</v>
      </c>
    </row>
    <row r="302" spans="7:12">
      <c r="G302" s="91" t="s">
        <v>144</v>
      </c>
      <c r="H302" s="91">
        <f t="shared" si="42"/>
        <v>1.2983552</v>
      </c>
      <c r="I302" s="91" t="s">
        <v>97</v>
      </c>
      <c r="J302" s="91" t="s">
        <v>150</v>
      </c>
      <c r="K302" s="96">
        <f t="shared" si="43"/>
        <v>8.9132524999999997E-4</v>
      </c>
      <c r="L302" s="91" t="s">
        <v>97</v>
      </c>
    </row>
    <row r="303" spans="7:12">
      <c r="G303" s="91" t="s">
        <v>145</v>
      </c>
      <c r="H303" s="91">
        <f t="shared" si="42"/>
        <v>0.55269774000000005</v>
      </c>
      <c r="I303" s="91" t="s">
        <v>97</v>
      </c>
      <c r="J303" s="91" t="s">
        <v>151</v>
      </c>
      <c r="K303" s="96">
        <f t="shared" si="43"/>
        <v>5.3539484999999996E-3</v>
      </c>
      <c r="L303" s="91" t="s">
        <v>97</v>
      </c>
    </row>
    <row r="304" spans="7:12">
      <c r="G304" s="91" t="s">
        <v>146</v>
      </c>
      <c r="H304" s="91">
        <f t="shared" si="42"/>
        <v>-7.4266968000000002</v>
      </c>
      <c r="I304" s="91" t="s">
        <v>97</v>
      </c>
      <c r="J304" s="91" t="s">
        <v>152</v>
      </c>
      <c r="K304" s="96">
        <f t="shared" si="43"/>
        <v>2.4090204E-2</v>
      </c>
      <c r="L304" s="91" t="s">
        <v>97</v>
      </c>
    </row>
    <row r="306" spans="7:9">
      <c r="G306" s="91" t="s">
        <v>164</v>
      </c>
    </row>
    <row r="307" spans="7:9">
      <c r="H307" s="29" t="str">
        <f>G298&amp;TEXT(ROUND(H298,8),"0.00000000")&amp;I298</f>
        <v>par[0][6]=0.00046704;</v>
      </c>
      <c r="I307" s="29" t="str">
        <f t="shared" ref="I307:I313" si="44">J298&amp;TEXT(ROUND(K298,8),"0.00000000")&amp;L298</f>
        <v>parerr[0][6]=0.00000036;</v>
      </c>
    </row>
    <row r="308" spans="7:9">
      <c r="H308" s="29" t="str">
        <f t="shared" ref="H308:H313" si="45">G299&amp;TEXT(ROUND(H299,8),"0.00000000")&amp;I299</f>
        <v>par[0][5]=-0.01174547;</v>
      </c>
      <c r="I308" s="29" t="str">
        <f t="shared" si="44"/>
        <v>parerr[0][5]=0.00000292;</v>
      </c>
    </row>
    <row r="309" spans="7:9">
      <c r="H309" s="29" t="str">
        <f t="shared" si="45"/>
        <v>par[0][4]=0.11980765;</v>
      </c>
      <c r="I309" s="29" t="str">
        <f t="shared" si="44"/>
        <v>parerr[0][4]=0.00002097;</v>
      </c>
    </row>
    <row r="310" spans="7:9">
      <c r="H310" s="29" t="str">
        <f t="shared" si="45"/>
        <v>par[0][3]=-0.61094831;</v>
      </c>
      <c r="I310" s="29" t="str">
        <f t="shared" si="44"/>
        <v>parerr[0][3]=0.00013952;</v>
      </c>
    </row>
    <row r="311" spans="7:9">
      <c r="H311" s="29" t="str">
        <f t="shared" si="45"/>
        <v>par[0][2]=1.29835520;</v>
      </c>
      <c r="I311" s="29" t="str">
        <f t="shared" si="44"/>
        <v>parerr[0][2]=0.00089133;</v>
      </c>
    </row>
    <row r="312" spans="7:9">
      <c r="H312" s="29" t="str">
        <f t="shared" si="45"/>
        <v>par[0][1]=0.55269774;</v>
      </c>
      <c r="I312" s="29" t="str">
        <f t="shared" si="44"/>
        <v>parerr[0][1]=0.00535395;</v>
      </c>
    </row>
    <row r="313" spans="7:9">
      <c r="H313" s="29" t="str">
        <f t="shared" si="45"/>
        <v>par[0][0]=-7.42669680;</v>
      </c>
      <c r="I313" s="29" t="str">
        <f t="shared" si="44"/>
        <v>parerr[0][0]=0.02409020;</v>
      </c>
    </row>
  </sheetData>
  <mergeCells count="15">
    <mergeCell ref="AK4:AN4"/>
    <mergeCell ref="Q4:T4"/>
    <mergeCell ref="U4:X4"/>
    <mergeCell ref="Y4:AB4"/>
    <mergeCell ref="AC4:AF4"/>
    <mergeCell ref="AG4:AJ4"/>
    <mergeCell ref="BM4:BP4"/>
    <mergeCell ref="BQ4:BT4"/>
    <mergeCell ref="BU4:BX4"/>
    <mergeCell ref="AO4:AR4"/>
    <mergeCell ref="AS4:AV4"/>
    <mergeCell ref="AW4:AZ4"/>
    <mergeCell ref="BA4:BD4"/>
    <mergeCell ref="BE4:BH4"/>
    <mergeCell ref="BI4:BL4"/>
  </mergeCells>
  <phoneticPr fontId="1" type="noConversion"/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58E29-F4B0-44F2-BCD6-19F8889A6351}">
  <dimension ref="A2:CB313"/>
  <sheetViews>
    <sheetView workbookViewId="0"/>
  </sheetViews>
  <sheetFormatPr defaultColWidth="9" defaultRowHeight="13.2"/>
  <cols>
    <col min="1" max="3" width="9" style="91"/>
    <col min="4" max="4" width="9.77734375" style="91" bestFit="1" customWidth="1"/>
    <col min="5" max="5" width="7.88671875" style="91" bestFit="1" customWidth="1"/>
    <col min="6" max="6" width="12.6640625" style="91" bestFit="1" customWidth="1"/>
    <col min="7" max="7" width="9.88671875" style="91" customWidth="1"/>
    <col min="8" max="8" width="8.77734375" style="91" customWidth="1"/>
    <col min="9" max="9" width="9.77734375" style="91" customWidth="1"/>
    <col min="10" max="11" width="8.21875" style="91" customWidth="1"/>
    <col min="12" max="12" width="9.44140625" style="91" bestFit="1" customWidth="1"/>
    <col min="13" max="13" width="8.33203125" style="91" bestFit="1" customWidth="1"/>
    <col min="14" max="14" width="6" style="91" customWidth="1"/>
    <col min="15" max="15" width="11.77734375" style="91" bestFit="1" customWidth="1"/>
    <col min="16" max="16" width="7.33203125" style="91" customWidth="1"/>
    <col min="17" max="17" width="7.33203125" style="91" bestFit="1" customWidth="1"/>
    <col min="18" max="18" width="8.21875" style="91" bestFit="1" customWidth="1"/>
    <col min="19" max="19" width="10.21875" style="91" customWidth="1"/>
    <col min="20" max="20" width="7.88671875" style="91" bestFit="1" customWidth="1"/>
    <col min="21" max="21" width="6.33203125" style="91" customWidth="1"/>
    <col min="22" max="22" width="7" style="91" customWidth="1"/>
    <col min="23" max="23" width="7.6640625" style="91" customWidth="1"/>
    <col min="24" max="24" width="5.109375" style="91" customWidth="1"/>
    <col min="25" max="25" width="7" style="91" customWidth="1"/>
    <col min="26" max="26" width="8.77734375" style="91" bestFit="1" customWidth="1"/>
    <col min="27" max="27" width="7.88671875" style="91" bestFit="1" customWidth="1"/>
    <col min="28" max="28" width="7.33203125" style="91" bestFit="1" customWidth="1"/>
    <col min="29" max="29" width="6.77734375" style="91" bestFit="1" customWidth="1"/>
    <col min="30" max="30" width="8.21875" style="91" bestFit="1" customWidth="1"/>
    <col min="31" max="33" width="6.77734375" style="91" bestFit="1" customWidth="1"/>
    <col min="34" max="34" width="8.21875" style="91" bestFit="1" customWidth="1"/>
    <col min="35" max="37" width="6.77734375" style="91" bestFit="1" customWidth="1"/>
    <col min="38" max="38" width="8.21875" style="91" bestFit="1" customWidth="1"/>
    <col min="39" max="41" width="6.77734375" style="91" bestFit="1" customWidth="1"/>
    <col min="42" max="42" width="8.21875" style="91" bestFit="1" customWidth="1"/>
    <col min="43" max="45" width="6.77734375" style="91" bestFit="1" customWidth="1"/>
    <col min="46" max="46" width="8.21875" style="91" bestFit="1" customWidth="1"/>
    <col min="47" max="49" width="6.77734375" style="91" bestFit="1" customWidth="1"/>
    <col min="50" max="50" width="8.21875" style="91" bestFit="1" customWidth="1"/>
    <col min="51" max="53" width="6.77734375" style="91" bestFit="1" customWidth="1"/>
    <col min="54" max="54" width="8.21875" style="91" bestFit="1" customWidth="1"/>
    <col min="55" max="57" width="6.77734375" style="91" bestFit="1" customWidth="1"/>
    <col min="58" max="58" width="8.21875" style="91" bestFit="1" customWidth="1"/>
    <col min="59" max="61" width="6.77734375" style="91" bestFit="1" customWidth="1"/>
    <col min="62" max="62" width="8.21875" style="91" bestFit="1" customWidth="1"/>
    <col min="63" max="65" width="6.77734375" style="91" bestFit="1" customWidth="1"/>
    <col min="66" max="66" width="8.21875" style="91" bestFit="1" customWidth="1"/>
    <col min="67" max="69" width="6.77734375" style="91" bestFit="1" customWidth="1"/>
    <col min="70" max="70" width="7.44140625" style="91" bestFit="1" customWidth="1"/>
    <col min="71" max="76" width="6.77734375" style="91" bestFit="1" customWidth="1"/>
    <col min="77" max="80" width="9" style="15"/>
    <col min="81" max="16384" width="9" style="91"/>
  </cols>
  <sheetData>
    <row r="2" spans="2:76">
      <c r="L2" s="91" t="s">
        <v>62</v>
      </c>
      <c r="M2" s="91">
        <f>1.088*37000</f>
        <v>40256</v>
      </c>
      <c r="N2" s="91" t="s">
        <v>63</v>
      </c>
    </row>
    <row r="3" spans="2:76">
      <c r="L3" s="11"/>
      <c r="M3" s="11"/>
      <c r="Q3" s="92"/>
      <c r="R3" s="92"/>
      <c r="S3" s="92"/>
      <c r="T3" s="92"/>
      <c r="U3" s="93"/>
      <c r="V3" s="93"/>
      <c r="W3" s="93"/>
      <c r="X3" s="93"/>
      <c r="Y3" s="92"/>
      <c r="Z3" s="92"/>
      <c r="AA3" s="92"/>
      <c r="AB3" s="92"/>
      <c r="AC3" s="93"/>
      <c r="AD3" s="93"/>
      <c r="AE3" s="93"/>
      <c r="AF3" s="93"/>
      <c r="AG3" s="92"/>
      <c r="AH3" s="92"/>
      <c r="AI3" s="92"/>
      <c r="AJ3" s="92"/>
      <c r="AK3" s="93"/>
      <c r="AL3" s="93"/>
      <c r="AM3" s="93"/>
      <c r="AN3" s="93"/>
      <c r="AO3" s="92"/>
      <c r="AP3" s="92"/>
      <c r="AQ3" s="92"/>
      <c r="AR3" s="92"/>
      <c r="AS3" s="93"/>
      <c r="AT3" s="93"/>
      <c r="AU3" s="93"/>
      <c r="AV3" s="93"/>
      <c r="AW3" s="92"/>
      <c r="AX3" s="92"/>
      <c r="AY3" s="92"/>
      <c r="AZ3" s="92"/>
      <c r="BA3" s="93"/>
      <c r="BB3" s="93"/>
      <c r="BC3" s="93"/>
      <c r="BD3" s="93"/>
      <c r="BE3" s="92"/>
      <c r="BF3" s="92"/>
      <c r="BG3" s="92"/>
      <c r="BH3" s="92"/>
      <c r="BI3" s="93"/>
      <c r="BJ3" s="93"/>
      <c r="BK3" s="93"/>
      <c r="BL3" s="93"/>
      <c r="BM3" s="92"/>
      <c r="BN3" s="92"/>
      <c r="BO3" s="92"/>
      <c r="BP3" s="92"/>
      <c r="BQ3" s="93"/>
      <c r="BR3" s="93"/>
      <c r="BS3" s="93"/>
      <c r="BT3" s="93"/>
      <c r="BU3" s="94"/>
      <c r="BV3" s="94"/>
      <c r="BW3" s="94"/>
      <c r="BX3" s="94"/>
    </row>
    <row r="4" spans="2:76">
      <c r="I4" s="100" t="s">
        <v>169</v>
      </c>
      <c r="J4" s="91" t="s">
        <v>42</v>
      </c>
      <c r="L4" s="11" t="s">
        <v>64</v>
      </c>
      <c r="M4" s="91">
        <f>1489020000000/10000000000</f>
        <v>148.90199999999999</v>
      </c>
      <c r="N4" s="91" t="s">
        <v>22</v>
      </c>
      <c r="O4" s="91">
        <f>$M$2*M4</f>
        <v>5994198.9119999995</v>
      </c>
      <c r="Q4" s="412" t="s">
        <v>45</v>
      </c>
      <c r="R4" s="412"/>
      <c r="S4" s="412"/>
      <c r="T4" s="412"/>
      <c r="U4" s="413" t="s">
        <v>46</v>
      </c>
      <c r="V4" s="413"/>
      <c r="W4" s="413"/>
      <c r="X4" s="413"/>
      <c r="Y4" s="412" t="s">
        <v>47</v>
      </c>
      <c r="Z4" s="412"/>
      <c r="AA4" s="412"/>
      <c r="AB4" s="412"/>
      <c r="AC4" s="413" t="s">
        <v>48</v>
      </c>
      <c r="AD4" s="413"/>
      <c r="AE4" s="413"/>
      <c r="AF4" s="413"/>
      <c r="AG4" s="412" t="s">
        <v>49</v>
      </c>
      <c r="AH4" s="412"/>
      <c r="AI4" s="412"/>
      <c r="AJ4" s="412"/>
      <c r="AK4" s="413" t="s">
        <v>50</v>
      </c>
      <c r="AL4" s="413"/>
      <c r="AM4" s="413"/>
      <c r="AN4" s="413"/>
      <c r="AO4" s="412" t="s">
        <v>51</v>
      </c>
      <c r="AP4" s="412"/>
      <c r="AQ4" s="412"/>
      <c r="AR4" s="412"/>
      <c r="AS4" s="413" t="s">
        <v>52</v>
      </c>
      <c r="AT4" s="413"/>
      <c r="AU4" s="413"/>
      <c r="AV4" s="413"/>
      <c r="AW4" s="412" t="s">
        <v>53</v>
      </c>
      <c r="AX4" s="412"/>
      <c r="AY4" s="412"/>
      <c r="AZ4" s="412"/>
      <c r="BA4" s="413" t="s">
        <v>54</v>
      </c>
      <c r="BB4" s="413"/>
      <c r="BC4" s="413"/>
      <c r="BD4" s="413"/>
      <c r="BE4" s="412" t="s">
        <v>55</v>
      </c>
      <c r="BF4" s="412"/>
      <c r="BG4" s="412"/>
      <c r="BH4" s="412"/>
      <c r="BI4" s="413" t="s">
        <v>56</v>
      </c>
      <c r="BJ4" s="413"/>
      <c r="BK4" s="413"/>
      <c r="BL4" s="413"/>
      <c r="BM4" s="412" t="s">
        <v>57</v>
      </c>
      <c r="BN4" s="412"/>
      <c r="BO4" s="412"/>
      <c r="BP4" s="412"/>
      <c r="BQ4" s="413" t="s">
        <v>58</v>
      </c>
      <c r="BR4" s="413"/>
      <c r="BS4" s="413"/>
      <c r="BT4" s="413"/>
      <c r="BU4" s="414" t="s">
        <v>60</v>
      </c>
      <c r="BV4" s="414"/>
      <c r="BW4" s="414"/>
      <c r="BX4" s="414"/>
    </row>
    <row r="5" spans="2:76">
      <c r="B5" s="91" t="s">
        <v>154</v>
      </c>
      <c r="C5" s="91" t="s">
        <v>154</v>
      </c>
      <c r="D5" s="91" t="s">
        <v>159</v>
      </c>
      <c r="E5" s="91" t="s">
        <v>158</v>
      </c>
      <c r="G5" s="91" t="s">
        <v>61</v>
      </c>
      <c r="I5" s="91" t="s">
        <v>40</v>
      </c>
      <c r="K5" s="91" t="s">
        <v>156</v>
      </c>
      <c r="L5" s="11"/>
      <c r="M5" s="101" t="s">
        <v>160</v>
      </c>
      <c r="N5" s="100"/>
      <c r="O5" s="91" t="s">
        <v>157</v>
      </c>
      <c r="Q5" s="92" t="s">
        <v>43</v>
      </c>
      <c r="R5" s="92"/>
      <c r="S5" s="92" t="s">
        <v>44</v>
      </c>
      <c r="T5" s="92"/>
      <c r="U5" s="93" t="s">
        <v>43</v>
      </c>
      <c r="V5" s="93"/>
      <c r="W5" s="93" t="s">
        <v>44</v>
      </c>
      <c r="X5" s="93"/>
      <c r="Y5" s="92"/>
      <c r="Z5" s="92"/>
      <c r="AA5" s="92"/>
      <c r="AB5" s="92"/>
      <c r="AC5" s="93"/>
      <c r="AD5" s="93"/>
      <c r="AE5" s="93"/>
      <c r="AF5" s="93"/>
      <c r="AG5" s="92"/>
      <c r="AH5" s="92"/>
      <c r="AI5" s="92"/>
      <c r="AJ5" s="92"/>
      <c r="AK5" s="93"/>
      <c r="AL5" s="93"/>
      <c r="AM5" s="93"/>
      <c r="AN5" s="93"/>
      <c r="AO5" s="92"/>
      <c r="AP5" s="92"/>
      <c r="AQ5" s="92"/>
      <c r="AR5" s="92"/>
      <c r="AS5" s="93" t="s">
        <v>43</v>
      </c>
      <c r="AT5" s="93">
        <v>8</v>
      </c>
      <c r="AU5" s="93" t="s">
        <v>44</v>
      </c>
      <c r="AV5" s="93"/>
      <c r="AW5" s="92"/>
      <c r="AX5" s="92"/>
      <c r="AY5" s="92"/>
      <c r="AZ5" s="92"/>
      <c r="BA5" s="93"/>
      <c r="BB5" s="93"/>
      <c r="BC5" s="93"/>
      <c r="BD5" s="93"/>
      <c r="BE5" s="92"/>
      <c r="BF5" s="92"/>
      <c r="BG5" s="92"/>
      <c r="BH5" s="92"/>
      <c r="BI5" s="93"/>
      <c r="BJ5" s="93"/>
      <c r="BK5" s="93"/>
      <c r="BL5" s="93"/>
      <c r="BM5" s="92"/>
      <c r="BN5" s="92"/>
      <c r="BO5" s="92"/>
      <c r="BP5" s="92"/>
      <c r="BQ5" s="93"/>
      <c r="BR5" s="93"/>
      <c r="BS5" s="93"/>
      <c r="BT5" s="93"/>
      <c r="BU5" s="94"/>
      <c r="BV5" s="94"/>
      <c r="BW5" s="94"/>
      <c r="BX5" s="94"/>
    </row>
    <row r="6" spans="2:76">
      <c r="B6" s="2">
        <f>SUM(B7,B10,B12,B13,B14,B15,B17)</f>
        <v>1936.7224471392792</v>
      </c>
      <c r="C6" s="69"/>
      <c r="E6" s="23">
        <f>F6</f>
        <v>0.20741768270424182</v>
      </c>
      <c r="F6" s="11">
        <f t="shared" ref="F6:F17" si="0">G6/G$18</f>
        <v>0.20741768270424182</v>
      </c>
      <c r="G6" s="91">
        <v>0.28410000000000002</v>
      </c>
      <c r="H6" s="91">
        <v>1.2999999999999999E-3</v>
      </c>
      <c r="I6" s="2">
        <v>121.7817</v>
      </c>
      <c r="J6" s="91">
        <v>2.9999999999999997E-4</v>
      </c>
      <c r="K6" s="2">
        <f>O6+B6+C6</f>
        <v>935166.72244713944</v>
      </c>
      <c r="L6" s="11">
        <f>SQRT(SUMSQ(T6,X6,AB6,AF6,AJ6,AN6,AR6,AV6,AZ6,BD6,BH6,BL6,BP6,BT6))</f>
        <v>1216.5665822428298</v>
      </c>
      <c r="M6" s="101">
        <f>K6/G6/O$4</f>
        <v>0.54914452748894627</v>
      </c>
      <c r="N6" s="100">
        <f t="shared" ref="N6:N17" si="1">M6*SQRT((H6/G6)^2+(L6/O6)^2)</f>
        <v>2.6127873676729239E-3</v>
      </c>
      <c r="O6" s="91">
        <f t="shared" ref="O6:O17" si="2">SUM(S6,W6,AA6,AE6,AI6,AM6,AQ6,AU6,AY6,BC6,BG6,BK6,BO6,BS6)</f>
        <v>933230.00000000012</v>
      </c>
      <c r="Q6" s="92">
        <v>885.88400000000001</v>
      </c>
      <c r="R6" s="92">
        <v>0.121582</v>
      </c>
      <c r="S6" s="92">
        <v>96780</v>
      </c>
      <c r="T6" s="92">
        <v>370.30500000000001</v>
      </c>
      <c r="U6" s="93">
        <v>938.92100000000005</v>
      </c>
      <c r="V6" s="93">
        <v>0.15451200000000001</v>
      </c>
      <c r="W6" s="93">
        <v>93047.1</v>
      </c>
      <c r="X6" s="93">
        <v>363.05900000000003</v>
      </c>
      <c r="Y6" s="92">
        <v>875.83399999999995</v>
      </c>
      <c r="Z6" s="92">
        <v>0.14327500000000001</v>
      </c>
      <c r="AA6" s="92">
        <v>91837.3</v>
      </c>
      <c r="AB6" s="92">
        <v>378.923</v>
      </c>
      <c r="AC6" s="93">
        <v>893.42200000000003</v>
      </c>
      <c r="AD6" s="93">
        <v>0.157474</v>
      </c>
      <c r="AE6" s="93">
        <v>91507.199999999997</v>
      </c>
      <c r="AF6" s="93">
        <v>369.39299999999997</v>
      </c>
      <c r="AG6" s="92">
        <v>881.40099999999995</v>
      </c>
      <c r="AH6" s="92">
        <v>0.13891500000000001</v>
      </c>
      <c r="AI6" s="92">
        <v>96883.4</v>
      </c>
      <c r="AJ6" s="92">
        <v>380.24400000000003</v>
      </c>
      <c r="AK6" s="93">
        <v>880.63900000000001</v>
      </c>
      <c r="AL6" s="93">
        <v>0.159333</v>
      </c>
      <c r="AM6" s="93">
        <v>89088.8</v>
      </c>
      <c r="AN6" s="93">
        <v>375.37700000000001</v>
      </c>
      <c r="AO6" s="92">
        <v>869.11400000000003</v>
      </c>
      <c r="AP6" s="92">
        <v>0.15429300000000001</v>
      </c>
      <c r="AQ6" s="92">
        <v>92520.5</v>
      </c>
      <c r="AR6" s="92">
        <v>395.91</v>
      </c>
      <c r="AS6" s="93">
        <v>1282.57</v>
      </c>
      <c r="AT6" s="93">
        <v>0.196742</v>
      </c>
      <c r="AU6" s="93">
        <v>94977.3</v>
      </c>
      <c r="AV6" s="93">
        <v>390.67500000000001</v>
      </c>
      <c r="AW6" s="92">
        <v>857.00699999999995</v>
      </c>
      <c r="AX6" s="92">
        <v>0.229631</v>
      </c>
      <c r="AY6" s="92">
        <v>30615.8</v>
      </c>
      <c r="AZ6" s="92">
        <v>220.447</v>
      </c>
      <c r="BA6" s="93">
        <v>828.20299999999997</v>
      </c>
      <c r="BB6" s="93">
        <v>0.311724</v>
      </c>
      <c r="BC6" s="93">
        <v>32739</v>
      </c>
      <c r="BD6" s="93">
        <v>223.499</v>
      </c>
      <c r="BE6" s="92">
        <v>857.62099999999998</v>
      </c>
      <c r="BF6" s="92">
        <v>0.95848900000000004</v>
      </c>
      <c r="BG6" s="92">
        <v>30152.5</v>
      </c>
      <c r="BH6" s="92">
        <v>261.62900000000002</v>
      </c>
      <c r="BI6" s="93">
        <v>907.79200000000003</v>
      </c>
      <c r="BJ6" s="93">
        <v>0.33201700000000001</v>
      </c>
      <c r="BK6" s="93">
        <v>32820</v>
      </c>
      <c r="BL6" s="93">
        <v>231.10300000000001</v>
      </c>
      <c r="BM6" s="92">
        <v>845.76900000000001</v>
      </c>
      <c r="BN6" s="92">
        <v>0.440106</v>
      </c>
      <c r="BO6" s="92">
        <v>28607.7</v>
      </c>
      <c r="BP6" s="92">
        <v>225.24</v>
      </c>
      <c r="BQ6" s="93">
        <v>853.29499999999996</v>
      </c>
      <c r="BR6" s="93">
        <v>0.65212899999999996</v>
      </c>
      <c r="BS6" s="93">
        <v>31653.4</v>
      </c>
      <c r="BT6" s="93">
        <v>255.06399999999999</v>
      </c>
      <c r="BU6" s="94">
        <v>863.44200000000001</v>
      </c>
      <c r="BV6" s="94">
        <v>0</v>
      </c>
      <c r="BW6" s="94">
        <v>27903.4</v>
      </c>
      <c r="BX6" s="94" t="s">
        <v>59</v>
      </c>
    </row>
    <row r="7" spans="2:76">
      <c r="B7" s="2">
        <f>AD22/13*O7</f>
        <v>451.04077221861206</v>
      </c>
      <c r="C7" s="2">
        <f>C10+C12+C15</f>
        <v>229.34598785600005</v>
      </c>
      <c r="D7" s="91">
        <v>122</v>
      </c>
      <c r="E7" s="22">
        <f>E6+F7</f>
        <v>0.26217419872964887</v>
      </c>
      <c r="F7" s="11">
        <f t="shared" si="0"/>
        <v>5.4756516025407022E-2</v>
      </c>
      <c r="G7" s="91">
        <v>7.4999999999999997E-2</v>
      </c>
      <c r="H7" s="91">
        <v>4.0000000000000002E-4</v>
      </c>
      <c r="I7" s="2">
        <v>244.69739999999999</v>
      </c>
      <c r="J7" s="91">
        <v>8.0000000000000004E-4</v>
      </c>
      <c r="K7" s="2">
        <f t="shared" ref="K7:K16" si="3">O7+B7+C7</f>
        <v>200216.69676007461</v>
      </c>
      <c r="L7" s="11">
        <f t="shared" ref="L7:L17" si="4">SQRT(SUMSQ(T7,X7,AB7,AF7,AJ7,AN7,AR7,AV7,AZ7,BD7,BH7,BL7,BP7,BT7))</f>
        <v>655.47347807520032</v>
      </c>
      <c r="M7" s="101">
        <f>K7/G7/O$4</f>
        <v>0.44535658492358604</v>
      </c>
      <c r="N7" s="100">
        <f t="shared" si="1"/>
        <v>2.7896377421679748E-3</v>
      </c>
      <c r="O7" s="91">
        <f t="shared" si="2"/>
        <v>199536.31</v>
      </c>
      <c r="Q7" s="92">
        <v>1782.07</v>
      </c>
      <c r="R7" s="92">
        <v>0.33714300000000003</v>
      </c>
      <c r="S7" s="92">
        <v>20335.5</v>
      </c>
      <c r="T7" s="92">
        <v>191.86500000000001</v>
      </c>
      <c r="U7" s="93">
        <v>1890.74</v>
      </c>
      <c r="V7" s="93">
        <v>0.44803399999999999</v>
      </c>
      <c r="W7" s="93">
        <v>19749.400000000001</v>
      </c>
      <c r="X7" s="93">
        <v>190.64099999999999</v>
      </c>
      <c r="Y7" s="92">
        <v>1757.8</v>
      </c>
      <c r="Z7" s="92">
        <v>0.40047500000000003</v>
      </c>
      <c r="AA7" s="92">
        <v>19533.8</v>
      </c>
      <c r="AB7" s="92">
        <v>199.92699999999999</v>
      </c>
      <c r="AC7" s="93">
        <v>1793.96</v>
      </c>
      <c r="AD7" s="93">
        <v>0.48041499999999998</v>
      </c>
      <c r="AE7" s="93">
        <v>18846</v>
      </c>
      <c r="AF7" s="93">
        <v>194.27500000000001</v>
      </c>
      <c r="AG7" s="92">
        <v>1777.66</v>
      </c>
      <c r="AH7" s="92">
        <v>0.39765699999999998</v>
      </c>
      <c r="AI7" s="92">
        <v>20045.900000000001</v>
      </c>
      <c r="AJ7" s="92">
        <v>198.69800000000001</v>
      </c>
      <c r="AK7" s="93">
        <v>1768.72</v>
      </c>
      <c r="AL7" s="93">
        <v>0.45319199999999998</v>
      </c>
      <c r="AM7" s="93">
        <v>19051.8</v>
      </c>
      <c r="AN7" s="93">
        <v>200.291</v>
      </c>
      <c r="AO7" s="92">
        <v>1748.37</v>
      </c>
      <c r="AP7" s="92">
        <v>0.35531800000000002</v>
      </c>
      <c r="AQ7" s="92">
        <v>20565.8</v>
      </c>
      <c r="AR7" s="92">
        <v>202.279</v>
      </c>
      <c r="AS7" s="93">
        <v>2577.8200000000002</v>
      </c>
      <c r="AT7" s="93">
        <v>0.52498</v>
      </c>
      <c r="AU7" s="93">
        <v>19131.599999999999</v>
      </c>
      <c r="AV7" s="93">
        <v>207.04300000000001</v>
      </c>
      <c r="AW7" s="92">
        <v>1724.94</v>
      </c>
      <c r="AX7" s="92">
        <v>0.64305900000000005</v>
      </c>
      <c r="AY7" s="92">
        <v>6998.33</v>
      </c>
      <c r="AZ7" s="92">
        <v>123.892</v>
      </c>
      <c r="BA7" s="93">
        <v>1668.25</v>
      </c>
      <c r="BB7" s="93">
        <v>0.82571300000000003</v>
      </c>
      <c r="BC7" s="93">
        <v>7431.52</v>
      </c>
      <c r="BD7" s="93">
        <v>123.38800000000001</v>
      </c>
      <c r="BE7" s="92">
        <v>1711.45</v>
      </c>
      <c r="BF7" s="92">
        <v>1.3088299999999999</v>
      </c>
      <c r="BG7" s="92">
        <v>6968.32</v>
      </c>
      <c r="BH7" s="92">
        <v>169.482</v>
      </c>
      <c r="BI7" s="93">
        <v>1832.55</v>
      </c>
      <c r="BJ7" s="93">
        <v>1.0404100000000001</v>
      </c>
      <c r="BK7" s="93">
        <v>7309.76</v>
      </c>
      <c r="BL7" s="93">
        <v>130.47900000000001</v>
      </c>
      <c r="BM7" s="92">
        <v>1701.3</v>
      </c>
      <c r="BN7" s="92">
        <v>1.3219799999999999</v>
      </c>
      <c r="BO7" s="92">
        <v>6418.28</v>
      </c>
      <c r="BP7" s="92">
        <v>128.71600000000001</v>
      </c>
      <c r="BQ7" s="93">
        <v>1720.25</v>
      </c>
      <c r="BR7" s="93">
        <v>2.0147900000000001</v>
      </c>
      <c r="BS7" s="93">
        <v>7150.3</v>
      </c>
      <c r="BT7" s="93">
        <v>150.01400000000001</v>
      </c>
      <c r="BU7" s="94">
        <v>1739.42</v>
      </c>
      <c r="BV7" s="94">
        <v>13.3812</v>
      </c>
      <c r="BW7" s="94">
        <v>6658.98</v>
      </c>
      <c r="BX7" s="94">
        <v>297.83600000000001</v>
      </c>
    </row>
    <row r="8" spans="2:76">
      <c r="B8" s="2">
        <f>C9+C11+C16</f>
        <v>331.6128201058342</v>
      </c>
      <c r="C8" s="69"/>
      <c r="E8" s="22">
        <f t="shared" ref="E8:E17" si="5">E7+F8</f>
        <v>0.45623129152369135</v>
      </c>
      <c r="F8" s="11">
        <f t="shared" si="0"/>
        <v>0.19405709279404249</v>
      </c>
      <c r="G8" s="91">
        <v>0.26579999999999998</v>
      </c>
      <c r="H8" s="91">
        <v>1.1999999999999999E-3</v>
      </c>
      <c r="I8" s="2">
        <v>344.27850000000001</v>
      </c>
      <c r="J8" s="91">
        <v>1.1999999999999999E-3</v>
      </c>
      <c r="K8" s="2">
        <f t="shared" si="3"/>
        <v>590631.21282010584</v>
      </c>
      <c r="L8" s="11">
        <f t="shared" si="4"/>
        <v>883.02067164138361</v>
      </c>
      <c r="M8" s="101">
        <f t="shared" ref="M8:M16" si="6">K8/G8/O$4</f>
        <v>0.37070655635843219</v>
      </c>
      <c r="N8" s="100">
        <f t="shared" si="1"/>
        <v>1.7630962513308333E-3</v>
      </c>
      <c r="O8" s="91">
        <f t="shared" si="2"/>
        <v>590299.6</v>
      </c>
      <c r="Q8" s="92">
        <v>2507.12</v>
      </c>
      <c r="R8" s="92">
        <v>0.14513899999999999</v>
      </c>
      <c r="S8" s="92">
        <v>59430.8</v>
      </c>
      <c r="T8" s="92">
        <v>272.49200000000002</v>
      </c>
      <c r="U8" s="93">
        <v>2658.2</v>
      </c>
      <c r="V8" s="93">
        <v>0.18540100000000001</v>
      </c>
      <c r="W8" s="93">
        <v>57366.9</v>
      </c>
      <c r="X8" s="93">
        <v>264.988</v>
      </c>
      <c r="Y8" s="92">
        <v>2478.33</v>
      </c>
      <c r="Z8" s="92">
        <v>0.16674</v>
      </c>
      <c r="AA8" s="92">
        <v>59502.3</v>
      </c>
      <c r="AB8" s="92">
        <v>278.46699999999998</v>
      </c>
      <c r="AC8" s="93">
        <v>2523.1999999999998</v>
      </c>
      <c r="AD8" s="93">
        <v>0.18521099999999999</v>
      </c>
      <c r="AE8" s="93">
        <v>56051.3</v>
      </c>
      <c r="AF8" s="93">
        <v>267.64</v>
      </c>
      <c r="AG8" s="92">
        <v>2503.8000000000002</v>
      </c>
      <c r="AH8" s="92">
        <v>0.196461</v>
      </c>
      <c r="AI8" s="92">
        <v>57335.7</v>
      </c>
      <c r="AJ8" s="92">
        <v>280.53800000000001</v>
      </c>
      <c r="AK8" s="93">
        <v>2489.9299999999998</v>
      </c>
      <c r="AL8" s="93">
        <v>0.184861</v>
      </c>
      <c r="AM8" s="93">
        <v>55913.8</v>
      </c>
      <c r="AN8" s="93">
        <v>272.08600000000001</v>
      </c>
      <c r="AO8" s="92">
        <v>2458.06</v>
      </c>
      <c r="AP8" s="92">
        <v>0.15815399999999999</v>
      </c>
      <c r="AQ8" s="92">
        <v>59996.1</v>
      </c>
      <c r="AR8" s="92">
        <v>278.70499999999998</v>
      </c>
      <c r="AS8" s="93">
        <v>3627.06</v>
      </c>
      <c r="AT8" s="93">
        <v>0.22620699999999999</v>
      </c>
      <c r="AU8" s="93">
        <v>57672.7</v>
      </c>
      <c r="AV8" s="93">
        <v>281.101</v>
      </c>
      <c r="AW8" s="92">
        <v>2420.64</v>
      </c>
      <c r="AX8" s="92">
        <v>0.261905</v>
      </c>
      <c r="AY8" s="92">
        <v>20904</v>
      </c>
      <c r="AZ8" s="92">
        <v>164.70599999999999</v>
      </c>
      <c r="BA8" s="93">
        <v>2353.17</v>
      </c>
      <c r="BB8" s="93">
        <v>0.27504200000000001</v>
      </c>
      <c r="BC8" s="93">
        <v>22623.7</v>
      </c>
      <c r="BD8" s="93">
        <v>169.60400000000001</v>
      </c>
      <c r="BE8" s="92">
        <v>2410.12</v>
      </c>
      <c r="BF8" s="92">
        <v>0.62199300000000002</v>
      </c>
      <c r="BG8" s="92">
        <v>20687.2</v>
      </c>
      <c r="BH8" s="92">
        <v>184.32</v>
      </c>
      <c r="BI8" s="93">
        <v>2571.0300000000002</v>
      </c>
      <c r="BJ8" s="93">
        <v>0.34590500000000002</v>
      </c>
      <c r="BK8" s="93">
        <v>22563.200000000001</v>
      </c>
      <c r="BL8" s="93">
        <v>170.99100000000001</v>
      </c>
      <c r="BM8" s="92">
        <v>2389.5</v>
      </c>
      <c r="BN8" s="92">
        <v>0.39794099999999999</v>
      </c>
      <c r="BO8" s="92">
        <v>18876.900000000001</v>
      </c>
      <c r="BP8" s="92">
        <v>161.77500000000001</v>
      </c>
      <c r="BQ8" s="93">
        <v>2416.4699999999998</v>
      </c>
      <c r="BR8" s="93">
        <v>0.73579300000000003</v>
      </c>
      <c r="BS8" s="93">
        <v>21375</v>
      </c>
      <c r="BT8" s="93">
        <v>177.13499999999999</v>
      </c>
      <c r="BU8" s="94">
        <v>2434.4499999999998</v>
      </c>
      <c r="BV8" s="94">
        <v>0</v>
      </c>
      <c r="BW8" s="94">
        <v>20023.900000000001</v>
      </c>
      <c r="BX8" s="94" t="s">
        <v>59</v>
      </c>
    </row>
    <row r="9" spans="2:76">
      <c r="C9" s="2">
        <f>AD24/13*O9</f>
        <v>60.802959352318112</v>
      </c>
      <c r="D9" s="91">
        <v>344</v>
      </c>
      <c r="E9" s="22">
        <f t="shared" si="5"/>
        <v>0.47256333503686943</v>
      </c>
      <c r="F9" s="11">
        <f t="shared" si="0"/>
        <v>1.633204351317807E-2</v>
      </c>
      <c r="G9" s="91">
        <v>2.2370000000000001E-2</v>
      </c>
      <c r="H9" s="91">
        <v>1E-4</v>
      </c>
      <c r="I9" s="2">
        <v>411.11649999999997</v>
      </c>
      <c r="J9" s="91">
        <v>1.1999999999999999E-3</v>
      </c>
      <c r="K9" s="2">
        <f t="shared" si="3"/>
        <v>43181.822959352321</v>
      </c>
      <c r="L9" s="11">
        <f t="shared" si="4"/>
        <v>343.88167326672124</v>
      </c>
      <c r="M9" s="101">
        <f t="shared" si="6"/>
        <v>0.32203556566634783</v>
      </c>
      <c r="N9" s="100">
        <f t="shared" si="1"/>
        <v>2.9441313788781372E-3</v>
      </c>
      <c r="O9" s="91">
        <f t="shared" si="2"/>
        <v>43121.020000000004</v>
      </c>
      <c r="Q9" s="92">
        <v>2993.87</v>
      </c>
      <c r="R9" s="92">
        <v>1.2494000000000001</v>
      </c>
      <c r="S9" s="92">
        <v>4250.51</v>
      </c>
      <c r="T9" s="92">
        <v>98.326499999999996</v>
      </c>
      <c r="U9" s="93">
        <v>3174.6</v>
      </c>
      <c r="V9" s="93">
        <v>0.99747699999999995</v>
      </c>
      <c r="W9" s="93">
        <v>4302.1400000000003</v>
      </c>
      <c r="X9" s="93">
        <v>106.256</v>
      </c>
      <c r="Y9" s="92">
        <v>2960.52</v>
      </c>
      <c r="Z9" s="92">
        <v>1.3647499999999999</v>
      </c>
      <c r="AA9" s="92">
        <v>4284.76</v>
      </c>
      <c r="AB9" s="92">
        <v>105.913</v>
      </c>
      <c r="AC9" s="93">
        <v>3016.43</v>
      </c>
      <c r="AD9" s="93">
        <v>1.72387</v>
      </c>
      <c r="AE9" s="93">
        <v>3883.31</v>
      </c>
      <c r="AF9" s="93">
        <v>98.986199999999997</v>
      </c>
      <c r="AG9" s="92">
        <v>2987</v>
      </c>
      <c r="AH9" s="92">
        <v>1.0335399999999999</v>
      </c>
      <c r="AI9" s="92">
        <v>4282.28</v>
      </c>
      <c r="AJ9" s="92">
        <v>105.379</v>
      </c>
      <c r="AK9" s="93">
        <v>2974.88</v>
      </c>
      <c r="AL9" s="93">
        <v>1.4673700000000001</v>
      </c>
      <c r="AM9" s="93">
        <v>4090.38</v>
      </c>
      <c r="AN9" s="93">
        <v>104.44799999999999</v>
      </c>
      <c r="AO9" s="92">
        <v>2934.53</v>
      </c>
      <c r="AP9" s="92">
        <v>1.1204400000000001</v>
      </c>
      <c r="AQ9" s="92">
        <v>4450.13</v>
      </c>
      <c r="AR9" s="92">
        <v>106.27</v>
      </c>
      <c r="AS9" s="93">
        <v>4330.8900000000003</v>
      </c>
      <c r="AT9" s="93">
        <v>1.7304900000000001</v>
      </c>
      <c r="AU9" s="93">
        <v>4053.27</v>
      </c>
      <c r="AV9" s="93">
        <v>105.804</v>
      </c>
      <c r="AW9" s="92">
        <v>2894.81</v>
      </c>
      <c r="AX9" s="92">
        <v>1.4585300000000001</v>
      </c>
      <c r="AY9" s="92">
        <v>1525.03</v>
      </c>
      <c r="AZ9" s="92">
        <v>66.406499999999994</v>
      </c>
      <c r="BA9" s="93">
        <v>2806.83</v>
      </c>
      <c r="BB9" s="93">
        <v>19.024699999999999</v>
      </c>
      <c r="BC9" s="93">
        <v>1660.17</v>
      </c>
      <c r="BD9" s="93">
        <v>64.486199999999997</v>
      </c>
      <c r="BE9" s="92">
        <v>2879.92</v>
      </c>
      <c r="BF9" s="92">
        <v>5.4819500000000003</v>
      </c>
      <c r="BG9" s="92">
        <v>1493.08</v>
      </c>
      <c r="BH9" s="92">
        <v>74.927700000000002</v>
      </c>
      <c r="BI9" s="93">
        <v>3079.07</v>
      </c>
      <c r="BJ9" s="93">
        <v>1.83832</v>
      </c>
      <c r="BK9" s="93">
        <v>1788.33</v>
      </c>
      <c r="BL9" s="93">
        <v>79.093100000000007</v>
      </c>
      <c r="BM9" s="92">
        <v>2853.11</v>
      </c>
      <c r="BN9" s="92">
        <v>0</v>
      </c>
      <c r="BO9" s="92">
        <v>1366.94</v>
      </c>
      <c r="BP9" s="92">
        <v>73.776200000000003</v>
      </c>
      <c r="BQ9" s="93">
        <v>2884.74</v>
      </c>
      <c r="BR9" s="93">
        <v>3.87154</v>
      </c>
      <c r="BS9" s="93">
        <v>1690.69</v>
      </c>
      <c r="BT9" s="93">
        <v>76.793999999999997</v>
      </c>
      <c r="BU9" s="94">
        <v>2851.45</v>
      </c>
      <c r="BV9" s="94">
        <v>0</v>
      </c>
      <c r="BW9" s="94">
        <v>4174.97</v>
      </c>
      <c r="BX9" s="94">
        <v>831.66800000000001</v>
      </c>
    </row>
    <row r="10" spans="2:76">
      <c r="B10" s="2">
        <f>AD22/13*O10</f>
        <v>133.67677061977093</v>
      </c>
      <c r="C10" s="2">
        <f>AD23/13*O10</f>
        <v>106.92038304000002</v>
      </c>
      <c r="D10" s="97">
        <v>122245</v>
      </c>
      <c r="E10" s="22">
        <f t="shared" si="5"/>
        <v>0.49537855004745568</v>
      </c>
      <c r="F10" s="11">
        <f t="shared" si="0"/>
        <v>2.2815215010586261E-2</v>
      </c>
      <c r="G10" s="91">
        <v>3.125E-2</v>
      </c>
      <c r="H10" s="91">
        <v>1.3999999999999999E-4</v>
      </c>
      <c r="I10" s="2">
        <v>443.96499999999997</v>
      </c>
      <c r="J10" s="91">
        <v>3.0000000000000001E-3</v>
      </c>
      <c r="K10" s="2">
        <f t="shared" si="3"/>
        <v>59377.977153659776</v>
      </c>
      <c r="L10" s="11">
        <f t="shared" si="4"/>
        <v>373.09749926698782</v>
      </c>
      <c r="M10" s="101">
        <f t="shared" si="6"/>
        <v>0.31698902502438558</v>
      </c>
      <c r="N10" s="100">
        <f t="shared" si="1"/>
        <v>2.4528034712696309E-3</v>
      </c>
      <c r="O10" s="91">
        <f t="shared" si="2"/>
        <v>59137.380000000005</v>
      </c>
      <c r="Q10" s="92">
        <v>3232.6</v>
      </c>
      <c r="R10" s="92">
        <v>0.73239799999999999</v>
      </c>
      <c r="S10" s="92">
        <v>6011.41</v>
      </c>
      <c r="T10" s="92">
        <v>109.456</v>
      </c>
      <c r="U10" s="93">
        <v>3429.13</v>
      </c>
      <c r="V10" s="93">
        <v>0.99808699999999995</v>
      </c>
      <c r="W10" s="93">
        <v>5653.41</v>
      </c>
      <c r="X10" s="93">
        <v>108.35599999999999</v>
      </c>
      <c r="Y10" s="92">
        <v>3196.52</v>
      </c>
      <c r="Z10" s="92">
        <v>0.74219199999999996</v>
      </c>
      <c r="AA10" s="92">
        <v>6005.8</v>
      </c>
      <c r="AB10" s="92">
        <v>118.625</v>
      </c>
      <c r="AC10" s="93">
        <v>3257.68</v>
      </c>
      <c r="AD10" s="93">
        <v>0.95798700000000003</v>
      </c>
      <c r="AE10" s="93">
        <v>5569.18</v>
      </c>
      <c r="AF10" s="93">
        <v>109.52500000000001</v>
      </c>
      <c r="AG10" s="92">
        <v>3224.9</v>
      </c>
      <c r="AH10" s="92">
        <v>0.80868799999999996</v>
      </c>
      <c r="AI10" s="92">
        <v>5707.34</v>
      </c>
      <c r="AJ10" s="92">
        <v>113.855</v>
      </c>
      <c r="AK10" s="93">
        <v>3212.18</v>
      </c>
      <c r="AL10" s="93">
        <v>0.91558799999999996</v>
      </c>
      <c r="AM10" s="93">
        <v>5436.17</v>
      </c>
      <c r="AN10" s="93">
        <v>114.288</v>
      </c>
      <c r="AO10" s="92">
        <v>3169.47</v>
      </c>
      <c r="AP10" s="92">
        <v>0.74073699999999998</v>
      </c>
      <c r="AQ10" s="92">
        <v>5812.02</v>
      </c>
      <c r="AR10" s="92">
        <v>110.68899999999999</v>
      </c>
      <c r="AS10" s="93">
        <v>4674.59</v>
      </c>
      <c r="AT10" s="93">
        <v>1.0583100000000001</v>
      </c>
      <c r="AU10" s="93">
        <v>5748.86</v>
      </c>
      <c r="AV10" s="93">
        <v>125.76600000000001</v>
      </c>
      <c r="AW10" s="92">
        <v>3133.2</v>
      </c>
      <c r="AX10" s="92">
        <v>1.2780800000000001</v>
      </c>
      <c r="AY10" s="92">
        <v>2207.5300000000002</v>
      </c>
      <c r="AZ10" s="92">
        <v>70.345500000000001</v>
      </c>
      <c r="BA10" s="93">
        <v>3027.5</v>
      </c>
      <c r="BB10" s="93">
        <v>1.0668299999999999</v>
      </c>
      <c r="BC10" s="93">
        <v>2279.2800000000002</v>
      </c>
      <c r="BD10" s="93">
        <v>71.727800000000002</v>
      </c>
      <c r="BE10" s="92">
        <v>3112.39</v>
      </c>
      <c r="BF10" s="92">
        <v>9.1438699999999997</v>
      </c>
      <c r="BG10" s="92">
        <v>2119.39</v>
      </c>
      <c r="BH10" s="92">
        <v>86.653599999999997</v>
      </c>
      <c r="BI10" s="93">
        <v>3332.57</v>
      </c>
      <c r="BJ10" s="93">
        <v>1.8201700000000001</v>
      </c>
      <c r="BK10" s="93">
        <v>2371.48</v>
      </c>
      <c r="BL10" s="93">
        <v>74.496300000000005</v>
      </c>
      <c r="BM10" s="92">
        <v>3080.3</v>
      </c>
      <c r="BN10" s="92">
        <v>1.76102</v>
      </c>
      <c r="BO10" s="92">
        <v>2041.39</v>
      </c>
      <c r="BP10" s="92">
        <v>77.2727</v>
      </c>
      <c r="BQ10" s="93">
        <v>3115.12</v>
      </c>
      <c r="BR10" s="93">
        <v>6.7221599999999997</v>
      </c>
      <c r="BS10" s="93">
        <v>2174.12</v>
      </c>
      <c r="BT10" s="93">
        <v>78.712500000000006</v>
      </c>
      <c r="BU10" s="94">
        <v>3137.8</v>
      </c>
      <c r="BV10" s="94">
        <v>6.16838</v>
      </c>
      <c r="BW10" s="94">
        <v>1850.39</v>
      </c>
      <c r="BX10" s="94">
        <v>185.374</v>
      </c>
    </row>
    <row r="11" spans="2:76">
      <c r="C11" s="2">
        <f>AD24/13*O11</f>
        <v>248.82920985240483</v>
      </c>
      <c r="D11" s="91">
        <v>344</v>
      </c>
      <c r="E11" s="22">
        <f t="shared" si="5"/>
        <v>0.589997809739359</v>
      </c>
      <c r="F11" s="11">
        <f t="shared" si="0"/>
        <v>9.4619259691903337E-2</v>
      </c>
      <c r="G11" s="91">
        <v>0.12959999999999999</v>
      </c>
      <c r="H11" s="91">
        <v>5.9999999999999995E-4</v>
      </c>
      <c r="I11" s="2">
        <v>778.90449999999998</v>
      </c>
      <c r="J11" s="91">
        <v>2.3999999999999998E-3</v>
      </c>
      <c r="K11" s="2">
        <f t="shared" si="3"/>
        <v>176716.70920985236</v>
      </c>
      <c r="L11" s="11">
        <f t="shared" si="4"/>
        <v>512.1954654217177</v>
      </c>
      <c r="M11" s="101">
        <f t="shared" si="6"/>
        <v>0.22747908019611163</v>
      </c>
      <c r="N11" s="100">
        <f t="shared" si="1"/>
        <v>1.2429997456862864E-3</v>
      </c>
      <c r="O11" s="91">
        <f t="shared" si="2"/>
        <v>176467.87999999995</v>
      </c>
      <c r="Q11" s="92">
        <v>5669.3</v>
      </c>
      <c r="R11" s="92">
        <v>0.34955999999999998</v>
      </c>
      <c r="S11" s="92">
        <v>17690.900000000001</v>
      </c>
      <c r="T11" s="92">
        <v>156.852</v>
      </c>
      <c r="U11" s="93">
        <v>6014.07</v>
      </c>
      <c r="V11" s="93">
        <v>0.43623800000000001</v>
      </c>
      <c r="W11" s="93">
        <v>16921.400000000001</v>
      </c>
      <c r="X11" s="93">
        <v>153.851</v>
      </c>
      <c r="Y11" s="92">
        <v>5606.21</v>
      </c>
      <c r="Z11" s="92">
        <v>0.37362699999999999</v>
      </c>
      <c r="AA11" s="92">
        <v>17878</v>
      </c>
      <c r="AB11" s="92">
        <v>162.58699999999999</v>
      </c>
      <c r="AC11" s="93">
        <v>5716.6</v>
      </c>
      <c r="AD11" s="93">
        <v>0.45787699999999998</v>
      </c>
      <c r="AE11" s="93">
        <v>16129</v>
      </c>
      <c r="AF11" s="93">
        <v>151.21100000000001</v>
      </c>
      <c r="AG11" s="92">
        <v>5657.44</v>
      </c>
      <c r="AH11" s="92">
        <v>0.38892399999999999</v>
      </c>
      <c r="AI11" s="92">
        <v>17065</v>
      </c>
      <c r="AJ11" s="92">
        <v>157.524</v>
      </c>
      <c r="AK11" s="93">
        <v>5630.93</v>
      </c>
      <c r="AL11" s="93">
        <v>0.42687199999999997</v>
      </c>
      <c r="AM11" s="93">
        <v>16586.099999999999</v>
      </c>
      <c r="AN11" s="93">
        <v>158.87799999999999</v>
      </c>
      <c r="AO11" s="92">
        <v>5568.75</v>
      </c>
      <c r="AP11" s="92">
        <v>0.36442600000000003</v>
      </c>
      <c r="AQ11" s="92">
        <v>17734.099999999999</v>
      </c>
      <c r="AR11" s="92">
        <v>160.51900000000001</v>
      </c>
      <c r="AS11" s="93">
        <v>8221.3799999999992</v>
      </c>
      <c r="AT11" s="93">
        <v>0.59438599999999997</v>
      </c>
      <c r="AU11" s="93">
        <v>16395.400000000001</v>
      </c>
      <c r="AV11" s="93">
        <v>167.07</v>
      </c>
      <c r="AW11" s="92">
        <v>5493.55</v>
      </c>
      <c r="AX11" s="92">
        <v>0.54026300000000005</v>
      </c>
      <c r="AY11" s="92">
        <v>6829.24</v>
      </c>
      <c r="AZ11" s="92">
        <v>97.937100000000001</v>
      </c>
      <c r="BA11" s="93">
        <v>5315.36</v>
      </c>
      <c r="BB11" s="93">
        <v>0.73326800000000003</v>
      </c>
      <c r="BC11" s="93">
        <v>6949.04</v>
      </c>
      <c r="BD11" s="93">
        <v>96.855400000000003</v>
      </c>
      <c r="BE11" s="92">
        <v>5486.02</v>
      </c>
      <c r="BF11" s="92">
        <v>2.23143</v>
      </c>
      <c r="BG11" s="92">
        <v>6375.18</v>
      </c>
      <c r="BH11" s="92">
        <v>103.386</v>
      </c>
      <c r="BI11" s="93">
        <v>5847.49</v>
      </c>
      <c r="BJ11" s="93">
        <v>0.73528899999999997</v>
      </c>
      <c r="BK11" s="93">
        <v>7092.83</v>
      </c>
      <c r="BL11" s="93">
        <v>102.122</v>
      </c>
      <c r="BM11" s="92">
        <v>5429.49</v>
      </c>
      <c r="BN11" s="92">
        <v>0.91005400000000003</v>
      </c>
      <c r="BO11" s="92">
        <v>5980.58</v>
      </c>
      <c r="BP11" s="92">
        <v>95.123999999999995</v>
      </c>
      <c r="BQ11" s="93">
        <v>5487.89</v>
      </c>
      <c r="BR11" s="93">
        <v>1.80497</v>
      </c>
      <c r="BS11" s="93">
        <v>6841.11</v>
      </c>
      <c r="BT11" s="93">
        <v>109.081</v>
      </c>
      <c r="BU11" s="94">
        <v>5505.85</v>
      </c>
      <c r="BV11" s="94">
        <v>0</v>
      </c>
      <c r="BW11" s="94">
        <v>6575.89</v>
      </c>
      <c r="BX11" s="94">
        <v>181.40299999999999</v>
      </c>
    </row>
    <row r="12" spans="2:76">
      <c r="B12" s="2">
        <f>AD22/13*O12</f>
        <v>119.41867730891073</v>
      </c>
      <c r="C12" s="2">
        <f>AD23/13*O12</f>
        <v>95.51615184000002</v>
      </c>
      <c r="D12" s="97">
        <v>122245</v>
      </c>
      <c r="E12" s="22">
        <f t="shared" si="5"/>
        <v>0.62096079433452578</v>
      </c>
      <c r="F12" s="11">
        <f t="shared" si="0"/>
        <v>3.0962984595166828E-2</v>
      </c>
      <c r="G12" s="91">
        <v>4.2410000000000003E-2</v>
      </c>
      <c r="H12" s="91">
        <v>2.3000000000000001E-4</v>
      </c>
      <c r="I12" s="2">
        <v>867.38</v>
      </c>
      <c r="J12" s="91">
        <v>3.0000000000000001E-3</v>
      </c>
      <c r="K12" s="2">
        <f t="shared" si="3"/>
        <v>53044.664829148911</v>
      </c>
      <c r="L12" s="11">
        <f t="shared" si="4"/>
        <v>341.99899674735889</v>
      </c>
      <c r="M12" s="101">
        <f t="shared" si="6"/>
        <v>0.20866148153394815</v>
      </c>
      <c r="N12" s="100">
        <f t="shared" si="1"/>
        <v>1.7621612355638151E-3</v>
      </c>
      <c r="O12" s="91">
        <f t="shared" si="2"/>
        <v>52829.73</v>
      </c>
      <c r="Q12" s="92">
        <v>6315.17</v>
      </c>
      <c r="R12" s="92">
        <v>0.95929399999999998</v>
      </c>
      <c r="S12" s="92">
        <v>5394.29</v>
      </c>
      <c r="T12" s="92">
        <v>103.184</v>
      </c>
      <c r="U12" s="93">
        <v>6699.74</v>
      </c>
      <c r="V12" s="93">
        <v>0.983236</v>
      </c>
      <c r="W12" s="93">
        <v>5051.87</v>
      </c>
      <c r="X12" s="93">
        <v>101.59399999999999</v>
      </c>
      <c r="Y12" s="92">
        <v>6241.68</v>
      </c>
      <c r="Z12" s="92">
        <v>0.99070400000000003</v>
      </c>
      <c r="AA12" s="92">
        <v>5416.58</v>
      </c>
      <c r="AB12" s="92">
        <v>108.65</v>
      </c>
      <c r="AC12" s="93">
        <v>6364.87</v>
      </c>
      <c r="AD12" s="93">
        <v>1.03609</v>
      </c>
      <c r="AE12" s="93">
        <v>4705.9399999999996</v>
      </c>
      <c r="AF12" s="93">
        <v>99.953299999999999</v>
      </c>
      <c r="AG12" s="92">
        <v>6301.78</v>
      </c>
      <c r="AH12" s="92">
        <v>0.96360999999999997</v>
      </c>
      <c r="AI12" s="92">
        <v>5015.66</v>
      </c>
      <c r="AJ12" s="92">
        <v>101.111</v>
      </c>
      <c r="AK12" s="93">
        <v>6268.97</v>
      </c>
      <c r="AL12" s="93">
        <v>1.20061</v>
      </c>
      <c r="AM12" s="93">
        <v>5021.88</v>
      </c>
      <c r="AN12" s="93">
        <v>107.616</v>
      </c>
      <c r="AO12" s="92">
        <v>6199.26</v>
      </c>
      <c r="AP12" s="92">
        <v>0.92774100000000004</v>
      </c>
      <c r="AQ12" s="92">
        <v>5475.67</v>
      </c>
      <c r="AR12" s="92">
        <v>110.023</v>
      </c>
      <c r="AS12" s="93">
        <v>9152.9699999999993</v>
      </c>
      <c r="AT12" s="93">
        <v>1.5556300000000001</v>
      </c>
      <c r="AU12" s="93">
        <v>4675.8500000000004</v>
      </c>
      <c r="AV12" s="93">
        <v>114.63</v>
      </c>
      <c r="AW12" s="92">
        <v>6117.59</v>
      </c>
      <c r="AX12" s="92">
        <v>2.0160999999999998</v>
      </c>
      <c r="AY12" s="92">
        <v>2103.62</v>
      </c>
      <c r="AZ12" s="92">
        <v>62.731499999999997</v>
      </c>
      <c r="BA12" s="93">
        <v>5925.64</v>
      </c>
      <c r="BB12" s="93">
        <v>1.9528000000000001</v>
      </c>
      <c r="BC12" s="93">
        <v>2085.5500000000002</v>
      </c>
      <c r="BD12" s="93">
        <v>62.257899999999999</v>
      </c>
      <c r="BE12" s="92">
        <v>6105.36</v>
      </c>
      <c r="BF12" s="92">
        <v>5.6412800000000001</v>
      </c>
      <c r="BG12" s="92">
        <v>1904.95</v>
      </c>
      <c r="BH12" s="92">
        <v>72.434799999999996</v>
      </c>
      <c r="BI12" s="93">
        <v>6508.67</v>
      </c>
      <c r="BJ12" s="93">
        <v>1.8683099999999999</v>
      </c>
      <c r="BK12" s="93">
        <v>2292.36</v>
      </c>
      <c r="BL12" s="93">
        <v>70.729399999999998</v>
      </c>
      <c r="BM12" s="92">
        <v>6053.37</v>
      </c>
      <c r="BN12" s="92">
        <v>2.6090499999999999</v>
      </c>
      <c r="BO12" s="92">
        <v>1631.65</v>
      </c>
      <c r="BP12" s="92">
        <v>61.377299999999998</v>
      </c>
      <c r="BQ12" s="93">
        <v>6120.58</v>
      </c>
      <c r="BR12" s="93">
        <v>3.8594599999999999</v>
      </c>
      <c r="BS12" s="93">
        <v>2053.86</v>
      </c>
      <c r="BT12" s="93">
        <v>72.951400000000007</v>
      </c>
      <c r="BU12" s="94">
        <v>6143.4</v>
      </c>
      <c r="BV12" s="94">
        <v>0</v>
      </c>
      <c r="BW12" s="94">
        <v>1953.55</v>
      </c>
      <c r="BX12" s="94">
        <v>141.81100000000001</v>
      </c>
    </row>
    <row r="13" spans="2:76">
      <c r="B13" s="2">
        <f>AD22/13*O13</f>
        <v>398.57083512441443</v>
      </c>
      <c r="D13" s="91">
        <v>122</v>
      </c>
      <c r="E13" s="22">
        <f t="shared" si="5"/>
        <v>0.72769949624005248</v>
      </c>
      <c r="F13" s="11">
        <f t="shared" si="0"/>
        <v>0.10673870190552676</v>
      </c>
      <c r="G13" s="91">
        <v>0.1462</v>
      </c>
      <c r="H13" s="91">
        <v>5.9999999999999995E-4</v>
      </c>
      <c r="I13" s="2">
        <v>964.072</v>
      </c>
      <c r="J13" s="91">
        <v>1.7999999999999999E-2</v>
      </c>
      <c r="K13" s="2">
        <f t="shared" si="3"/>
        <v>176722.66083512441</v>
      </c>
      <c r="L13" s="11">
        <f t="shared" si="4"/>
        <v>493.55477770531206</v>
      </c>
      <c r="M13" s="101">
        <f t="shared" si="6"/>
        <v>0.20165719350849792</v>
      </c>
      <c r="N13" s="100">
        <f t="shared" si="1"/>
        <v>1.0017654395510012E-3</v>
      </c>
      <c r="O13" s="91">
        <f t="shared" si="2"/>
        <v>176324.09</v>
      </c>
      <c r="Q13" s="92">
        <v>7019.16</v>
      </c>
      <c r="R13" s="92">
        <v>0.34843200000000002</v>
      </c>
      <c r="S13" s="92">
        <v>17505.400000000001</v>
      </c>
      <c r="T13" s="92">
        <v>152.96</v>
      </c>
      <c r="U13" s="93">
        <v>7446.11</v>
      </c>
      <c r="V13" s="93">
        <v>0.42049599999999998</v>
      </c>
      <c r="W13" s="93">
        <v>17145.8</v>
      </c>
      <c r="X13" s="93">
        <v>152.809</v>
      </c>
      <c r="Y13" s="92">
        <v>6936.3</v>
      </c>
      <c r="Z13" s="92">
        <v>0.38075599999999998</v>
      </c>
      <c r="AA13" s="92">
        <v>17496.8</v>
      </c>
      <c r="AB13" s="92">
        <v>158.06800000000001</v>
      </c>
      <c r="AC13" s="93">
        <v>7073.46</v>
      </c>
      <c r="AD13" s="93">
        <v>0.44488</v>
      </c>
      <c r="AE13" s="93">
        <v>15967.2</v>
      </c>
      <c r="AF13" s="93">
        <v>146.489</v>
      </c>
      <c r="AG13" s="92">
        <v>7005.76</v>
      </c>
      <c r="AH13" s="92">
        <v>0.34692099999999998</v>
      </c>
      <c r="AI13" s="92">
        <v>17348.7</v>
      </c>
      <c r="AJ13" s="92">
        <v>145.071</v>
      </c>
      <c r="AK13" s="93">
        <v>6970.31</v>
      </c>
      <c r="AL13" s="93">
        <v>0.45349499999999998</v>
      </c>
      <c r="AM13" s="93">
        <v>16095.2</v>
      </c>
      <c r="AN13" s="93">
        <v>150.78800000000001</v>
      </c>
      <c r="AO13" s="92">
        <v>6888.56</v>
      </c>
      <c r="AP13" s="92">
        <v>0.37165599999999999</v>
      </c>
      <c r="AQ13" s="92">
        <v>17621.900000000001</v>
      </c>
      <c r="AR13" s="92">
        <v>156.773</v>
      </c>
      <c r="AS13" s="93">
        <v>10169.5</v>
      </c>
      <c r="AT13" s="93">
        <v>0.59310399999999996</v>
      </c>
      <c r="AU13" s="93">
        <v>16095.3</v>
      </c>
      <c r="AV13" s="93">
        <v>161.572</v>
      </c>
      <c r="AW13" s="92">
        <v>6795.68</v>
      </c>
      <c r="AX13" s="92">
        <v>0.55524499999999999</v>
      </c>
      <c r="AY13" s="92">
        <v>6810.35</v>
      </c>
      <c r="AZ13" s="92">
        <v>96.411699999999996</v>
      </c>
      <c r="BA13" s="93">
        <v>6599.89</v>
      </c>
      <c r="BB13" s="93">
        <v>0.68128200000000005</v>
      </c>
      <c r="BC13" s="93">
        <v>7257.19</v>
      </c>
      <c r="BD13" s="93">
        <v>96.055800000000005</v>
      </c>
      <c r="BE13" s="92">
        <v>6795.67</v>
      </c>
      <c r="BF13" s="92">
        <v>0.53237769999999995</v>
      </c>
      <c r="BG13" s="92">
        <v>7000.32</v>
      </c>
      <c r="BH13" s="92">
        <v>91.971000000000004</v>
      </c>
      <c r="BI13" s="93">
        <v>7230.32</v>
      </c>
      <c r="BJ13" s="93">
        <v>0.66681999999999997</v>
      </c>
      <c r="BK13" s="93">
        <v>7197.3</v>
      </c>
      <c r="BL13" s="93">
        <v>100.93</v>
      </c>
      <c r="BM13" s="92">
        <v>6721.96</v>
      </c>
      <c r="BN13" s="92">
        <v>0.84843199999999996</v>
      </c>
      <c r="BO13" s="92">
        <v>5785.9</v>
      </c>
      <c r="BP13" s="92">
        <v>91.191100000000006</v>
      </c>
      <c r="BQ13" s="93">
        <v>6799.06</v>
      </c>
      <c r="BR13" s="93">
        <v>1.0765199999999999</v>
      </c>
      <c r="BS13" s="93">
        <v>6996.73</v>
      </c>
      <c r="BT13" s="93">
        <v>102.251</v>
      </c>
      <c r="BU13" s="94">
        <v>6838.58</v>
      </c>
      <c r="BV13" s="94">
        <v>9.2882099999999994</v>
      </c>
      <c r="BW13" s="94">
        <v>6743.76</v>
      </c>
      <c r="BX13" s="94">
        <v>165.15</v>
      </c>
    </row>
    <row r="14" spans="2:76">
      <c r="B14" s="2">
        <f>AD22/13*O14</f>
        <v>344.5270182763382</v>
      </c>
      <c r="D14" s="91">
        <v>122</v>
      </c>
      <c r="E14" s="22">
        <f t="shared" si="5"/>
        <v>0.82553113820544632</v>
      </c>
      <c r="F14" s="11">
        <f t="shared" si="0"/>
        <v>9.7831641965393887E-2</v>
      </c>
      <c r="G14" s="91">
        <v>0.13400000000000001</v>
      </c>
      <c r="H14" s="91">
        <v>5.9999999999999995E-4</v>
      </c>
      <c r="I14" s="2">
        <v>1112.076</v>
      </c>
      <c r="J14" s="91">
        <v>3.0000000000000001E-3</v>
      </c>
      <c r="K14" s="2">
        <f t="shared" si="3"/>
        <v>152760.12701827634</v>
      </c>
      <c r="L14" s="11">
        <f t="shared" si="4"/>
        <v>469.43086593106551</v>
      </c>
      <c r="M14" s="101">
        <f t="shared" si="6"/>
        <v>0.19018403703877365</v>
      </c>
      <c r="N14" s="100">
        <f t="shared" si="1"/>
        <v>1.0335769748277001E-3</v>
      </c>
      <c r="O14" s="91">
        <f t="shared" si="2"/>
        <v>152415.6</v>
      </c>
      <c r="Q14" s="92">
        <v>8096.59</v>
      </c>
      <c r="R14" s="92">
        <v>0.384127</v>
      </c>
      <c r="S14" s="92">
        <v>15353.5</v>
      </c>
      <c r="T14" s="92">
        <v>143.417</v>
      </c>
      <c r="U14" s="93">
        <v>8589.2099999999991</v>
      </c>
      <c r="V14" s="93">
        <v>0.44904500000000003</v>
      </c>
      <c r="W14" s="93">
        <v>14700.8</v>
      </c>
      <c r="X14" s="93">
        <v>143.19999999999999</v>
      </c>
      <c r="Y14" s="92">
        <v>8001.5</v>
      </c>
      <c r="Z14" s="92">
        <v>0.43749300000000002</v>
      </c>
      <c r="AA14" s="92">
        <v>15491.8</v>
      </c>
      <c r="AB14" s="92">
        <v>150.47399999999999</v>
      </c>
      <c r="AC14" s="93">
        <v>8159.64</v>
      </c>
      <c r="AD14" s="93">
        <v>0.508745</v>
      </c>
      <c r="AE14" s="93">
        <v>13520.4</v>
      </c>
      <c r="AF14" s="93">
        <v>136.131</v>
      </c>
      <c r="AG14" s="92">
        <v>8080.68</v>
      </c>
      <c r="AH14" s="92">
        <v>0.42779400000000001</v>
      </c>
      <c r="AI14" s="92">
        <v>14749.4</v>
      </c>
      <c r="AJ14" s="92">
        <v>144.399</v>
      </c>
      <c r="AK14" s="93">
        <v>8040.32</v>
      </c>
      <c r="AL14" s="93">
        <v>0.49238300000000002</v>
      </c>
      <c r="AM14" s="93">
        <v>13902.2</v>
      </c>
      <c r="AN14" s="93">
        <v>140.78</v>
      </c>
      <c r="AO14" s="92">
        <v>7943.27</v>
      </c>
      <c r="AP14" s="92">
        <v>0.40075300000000003</v>
      </c>
      <c r="AQ14" s="92">
        <v>15524.1</v>
      </c>
      <c r="AR14" s="92">
        <v>146.84399999999999</v>
      </c>
      <c r="AS14" s="93">
        <v>11727.4</v>
      </c>
      <c r="AT14" s="93">
        <v>0.65122800000000003</v>
      </c>
      <c r="AU14" s="93">
        <v>13887.4</v>
      </c>
      <c r="AV14" s="93">
        <v>158.209</v>
      </c>
      <c r="AW14" s="92">
        <v>7835.91</v>
      </c>
      <c r="AX14" s="92">
        <v>0.588059</v>
      </c>
      <c r="AY14" s="92">
        <v>5926.48</v>
      </c>
      <c r="AZ14" s="92">
        <v>86.1387</v>
      </c>
      <c r="BA14" s="93">
        <v>7610.68</v>
      </c>
      <c r="BB14" s="93">
        <v>0.66589399999999999</v>
      </c>
      <c r="BC14" s="93">
        <v>6236.39</v>
      </c>
      <c r="BD14" s="93">
        <v>90.512799999999999</v>
      </c>
      <c r="BE14" s="92">
        <v>7817.65</v>
      </c>
      <c r="BF14" s="92">
        <v>1.36219</v>
      </c>
      <c r="BG14" s="92">
        <v>5598.15</v>
      </c>
      <c r="BH14" s="92">
        <v>94.412099999999995</v>
      </c>
      <c r="BI14" s="93">
        <v>8338.94</v>
      </c>
      <c r="BJ14" s="93">
        <v>0.71131800000000001</v>
      </c>
      <c r="BK14" s="93">
        <v>6386.53</v>
      </c>
      <c r="BL14" s="93">
        <v>94.191100000000006</v>
      </c>
      <c r="BM14" s="92">
        <v>7748.6</v>
      </c>
      <c r="BN14" s="92">
        <v>0.90260499999999999</v>
      </c>
      <c r="BO14" s="92">
        <v>5002.72</v>
      </c>
      <c r="BP14" s="92">
        <v>87.230800000000002</v>
      </c>
      <c r="BQ14" s="93">
        <v>7833.4</v>
      </c>
      <c r="BR14" s="93">
        <v>1.07647</v>
      </c>
      <c r="BS14" s="93">
        <v>6135.73</v>
      </c>
      <c r="BT14" s="93">
        <v>99.227000000000004</v>
      </c>
      <c r="BU14" s="94">
        <v>7883.22</v>
      </c>
      <c r="BV14" s="94">
        <v>0</v>
      </c>
      <c r="BW14" s="94">
        <v>5678.37</v>
      </c>
      <c r="BX14" s="94">
        <v>157.94</v>
      </c>
    </row>
    <row r="15" spans="2:76">
      <c r="B15" s="2">
        <f>AD22/13*O15</f>
        <v>33.643433279045837</v>
      </c>
      <c r="C15" s="2">
        <f>AD23/13*O15</f>
        <v>26.909452976000001</v>
      </c>
      <c r="D15" s="97">
        <v>122245</v>
      </c>
      <c r="E15" s="22">
        <f t="shared" si="5"/>
        <v>0.83586186756223979</v>
      </c>
      <c r="F15" s="11">
        <f t="shared" si="0"/>
        <v>1.0330729356793458E-2</v>
      </c>
      <c r="G15" s="91">
        <v>1.4149999999999999E-2</v>
      </c>
      <c r="H15" s="91">
        <v>9.0000000000000006E-5</v>
      </c>
      <c r="I15" s="2">
        <v>1212.9480000000001</v>
      </c>
      <c r="J15" s="91">
        <v>1.1000000000000001E-3</v>
      </c>
      <c r="K15" s="2">
        <f t="shared" si="3"/>
        <v>14944.099886255044</v>
      </c>
      <c r="L15" s="11">
        <f t="shared" si="4"/>
        <v>205.21727217685651</v>
      </c>
      <c r="M15" s="101">
        <f t="shared" si="6"/>
        <v>0.1761903715257028</v>
      </c>
      <c r="N15" s="100">
        <f t="shared" si="1"/>
        <v>2.675364547828101E-3</v>
      </c>
      <c r="O15" s="91">
        <f t="shared" si="2"/>
        <v>14883.546999999999</v>
      </c>
      <c r="Q15" s="92">
        <v>8831.8799999999992</v>
      </c>
      <c r="R15" s="92">
        <v>2.95912</v>
      </c>
      <c r="S15" s="92">
        <v>1424.6</v>
      </c>
      <c r="T15" s="92">
        <v>60.505899999999997</v>
      </c>
      <c r="U15" s="93">
        <v>9368.64</v>
      </c>
      <c r="V15" s="93">
        <v>2.8393000000000002</v>
      </c>
      <c r="W15" s="93">
        <v>1387.12</v>
      </c>
      <c r="X15" s="93">
        <v>59.664700000000003</v>
      </c>
      <c r="Y15" s="92">
        <v>8727.07</v>
      </c>
      <c r="Z15" s="92">
        <v>2.7888099999999998</v>
      </c>
      <c r="AA15" s="92">
        <v>1520.8</v>
      </c>
      <c r="AB15" s="92">
        <v>65.210499999999996</v>
      </c>
      <c r="AC15" s="93">
        <v>8898.31</v>
      </c>
      <c r="AD15" s="93">
        <v>2.2060200000000001</v>
      </c>
      <c r="AE15" s="93">
        <v>1301.58</v>
      </c>
      <c r="AF15" s="93">
        <v>55.997300000000003</v>
      </c>
      <c r="AG15" s="92">
        <v>8815.64</v>
      </c>
      <c r="AH15" s="92">
        <v>2.4224800000000002</v>
      </c>
      <c r="AI15" s="92">
        <v>1478.2</v>
      </c>
      <c r="AJ15" s="92">
        <v>63.318199999999997</v>
      </c>
      <c r="AK15" s="93">
        <v>8769.35</v>
      </c>
      <c r="AL15" s="93">
        <v>3.8815200000000001</v>
      </c>
      <c r="AM15" s="93">
        <v>1310.1300000000001</v>
      </c>
      <c r="AN15" s="93">
        <v>61.255099999999999</v>
      </c>
      <c r="AO15" s="92">
        <v>8662.2099999999991</v>
      </c>
      <c r="AP15" s="92">
        <v>2.0815399999999999</v>
      </c>
      <c r="AQ15" s="92">
        <v>1656.95</v>
      </c>
      <c r="AR15" s="92">
        <v>71.805700000000002</v>
      </c>
      <c r="AS15" s="93">
        <v>12792.1</v>
      </c>
      <c r="AT15" s="93">
        <v>6.9168900000000004</v>
      </c>
      <c r="AU15" s="93">
        <v>1361.62</v>
      </c>
      <c r="AV15" s="93">
        <v>61.403700000000001</v>
      </c>
      <c r="AW15" s="92">
        <v>8546.3700000000008</v>
      </c>
      <c r="AX15" s="92">
        <v>4.4041699999999997</v>
      </c>
      <c r="AY15" s="92">
        <v>536.63499999999999</v>
      </c>
      <c r="AZ15" s="92">
        <v>39.896900000000002</v>
      </c>
      <c r="BA15" s="93">
        <v>8297.9599999999991</v>
      </c>
      <c r="BB15" s="93">
        <v>2.823</v>
      </c>
      <c r="BC15" s="93">
        <v>589.41099999999994</v>
      </c>
      <c r="BD15" s="93">
        <v>38.175199999999997</v>
      </c>
      <c r="BE15" s="92">
        <v>8521.2999999999993</v>
      </c>
      <c r="BF15" s="92">
        <v>4.4835700000000003</v>
      </c>
      <c r="BG15" s="92">
        <v>689.30799999999999</v>
      </c>
      <c r="BH15" s="92">
        <v>53.3414</v>
      </c>
      <c r="BI15" s="93">
        <v>9094.85</v>
      </c>
      <c r="BJ15" s="93">
        <v>10.155099999999999</v>
      </c>
      <c r="BK15" s="93">
        <v>583.15499999999997</v>
      </c>
      <c r="BL15" s="93">
        <v>35.735700000000001</v>
      </c>
      <c r="BM15" s="92">
        <v>8450.2000000000007</v>
      </c>
      <c r="BN15" s="92">
        <v>0</v>
      </c>
      <c r="BO15" s="92">
        <v>457.11200000000002</v>
      </c>
      <c r="BP15" s="92">
        <v>33.085700000000003</v>
      </c>
      <c r="BQ15" s="93">
        <v>8540.19</v>
      </c>
      <c r="BR15" s="93">
        <v>4.8499999999999996</v>
      </c>
      <c r="BS15" s="93">
        <v>586.92600000000004</v>
      </c>
      <c r="BT15" s="93">
        <v>50.509500000000003</v>
      </c>
      <c r="BU15" s="94">
        <v>7608.92</v>
      </c>
      <c r="BV15" s="94">
        <v>0</v>
      </c>
      <c r="BW15" s="94">
        <v>8723.76</v>
      </c>
      <c r="BX15" s="94">
        <v>3546.14</v>
      </c>
    </row>
    <row r="16" spans="2:76">
      <c r="C16" s="2">
        <f>AD24/13*O16</f>
        <v>21.980650901111304</v>
      </c>
      <c r="D16" s="91">
        <v>344</v>
      </c>
      <c r="E16" s="22">
        <f t="shared" si="5"/>
        <v>0.84777688544936836</v>
      </c>
      <c r="F16" s="11">
        <f t="shared" si="0"/>
        <v>1.191501788712857E-2</v>
      </c>
      <c r="G16" s="91">
        <v>1.6320000000000001E-2</v>
      </c>
      <c r="H16" s="91">
        <v>9.0000000000000006E-5</v>
      </c>
      <c r="I16" s="2">
        <v>1299.1420000000001</v>
      </c>
      <c r="J16" s="91">
        <v>8.0000000000000002E-3</v>
      </c>
      <c r="K16" s="2">
        <f t="shared" si="3"/>
        <v>15610.499650901111</v>
      </c>
      <c r="L16" s="11">
        <f t="shared" si="4"/>
        <v>180.64724113752749</v>
      </c>
      <c r="M16" s="101">
        <f t="shared" si="6"/>
        <v>0.15957523731625781</v>
      </c>
      <c r="N16" s="100">
        <f t="shared" si="1"/>
        <v>2.0479469072103708E-3</v>
      </c>
      <c r="O16" s="91">
        <f t="shared" si="2"/>
        <v>15588.519</v>
      </c>
      <c r="Q16" s="92">
        <v>9458.92</v>
      </c>
      <c r="R16" s="92">
        <v>2.2947199999999999</v>
      </c>
      <c r="S16" s="92">
        <v>1523.02</v>
      </c>
      <c r="T16" s="92">
        <v>49.9069</v>
      </c>
      <c r="U16" s="93">
        <v>10034.299999999999</v>
      </c>
      <c r="V16" s="93">
        <v>2.0243099999999998</v>
      </c>
      <c r="W16" s="93">
        <v>1383.16</v>
      </c>
      <c r="X16" s="93">
        <v>50.324300000000001</v>
      </c>
      <c r="Y16" s="92">
        <v>9346.83</v>
      </c>
      <c r="Z16" s="92">
        <v>1.93797</v>
      </c>
      <c r="AA16" s="92">
        <v>1615.91</v>
      </c>
      <c r="AB16" s="92">
        <v>55.978200000000001</v>
      </c>
      <c r="AC16" s="93">
        <v>9532.5300000000007</v>
      </c>
      <c r="AD16" s="93">
        <v>7.1246700000000001</v>
      </c>
      <c r="AE16" s="93">
        <v>1349.22</v>
      </c>
      <c r="AF16" s="93">
        <v>48.0458</v>
      </c>
      <c r="AG16" s="92">
        <v>9442.3700000000008</v>
      </c>
      <c r="AH16" s="92">
        <v>2.06332</v>
      </c>
      <c r="AI16" s="92">
        <v>1484.42</v>
      </c>
      <c r="AJ16" s="92">
        <v>56.584800000000001</v>
      </c>
      <c r="AK16" s="93">
        <v>9392.5499999999993</v>
      </c>
      <c r="AL16" s="93">
        <v>1.73756</v>
      </c>
      <c r="AM16" s="93">
        <v>1335.55</v>
      </c>
      <c r="AN16" s="93">
        <v>54.398899999999998</v>
      </c>
      <c r="AO16" s="92">
        <v>9276.9500000000007</v>
      </c>
      <c r="AP16" s="92">
        <v>1.8028599999999999</v>
      </c>
      <c r="AQ16" s="92">
        <v>1642.68</v>
      </c>
      <c r="AR16" s="92">
        <v>56.132100000000001</v>
      </c>
      <c r="AS16" s="93">
        <v>13697</v>
      </c>
      <c r="AT16" s="93">
        <v>2.3163100000000001</v>
      </c>
      <c r="AU16" s="93">
        <v>1508.42</v>
      </c>
      <c r="AV16" s="93">
        <v>58.616399999999999</v>
      </c>
      <c r="AW16" s="92">
        <v>9151.9</v>
      </c>
      <c r="AX16" s="92">
        <v>2.9929399999999999</v>
      </c>
      <c r="AY16" s="92">
        <v>581.60799999999995</v>
      </c>
      <c r="AZ16" s="92">
        <v>37.905299999999997</v>
      </c>
      <c r="BA16" s="93">
        <v>8888.6</v>
      </c>
      <c r="BB16" s="93">
        <v>5.9124699999999999</v>
      </c>
      <c r="BC16" s="93">
        <v>648.32100000000003</v>
      </c>
      <c r="BD16" s="93">
        <v>33.638199999999998</v>
      </c>
      <c r="BE16" s="92">
        <v>9120.26</v>
      </c>
      <c r="BF16" s="92">
        <v>3.2323300000000001</v>
      </c>
      <c r="BG16" s="92">
        <v>720.48099999999999</v>
      </c>
      <c r="BH16" s="92">
        <v>53.227200000000003</v>
      </c>
      <c r="BI16" s="93">
        <v>9737.24</v>
      </c>
      <c r="BJ16" s="93">
        <v>11.612299999999999</v>
      </c>
      <c r="BK16" s="93">
        <v>595.29899999999998</v>
      </c>
      <c r="BL16" s="93">
        <v>32.264499999999998</v>
      </c>
      <c r="BM16" s="92">
        <v>9047.25</v>
      </c>
      <c r="BN16" s="92">
        <v>13.3667</v>
      </c>
      <c r="BO16" s="92">
        <v>553.84100000000001</v>
      </c>
      <c r="BP16" s="92">
        <v>32.673699999999997</v>
      </c>
      <c r="BQ16" s="93">
        <v>9146.49</v>
      </c>
      <c r="BR16" s="93">
        <v>4.2666500000000003</v>
      </c>
      <c r="BS16" s="93">
        <v>646.58900000000006</v>
      </c>
      <c r="BT16" s="93">
        <v>43.708300000000001</v>
      </c>
      <c r="BU16" s="94">
        <v>9190.7000000000007</v>
      </c>
      <c r="BV16" s="94">
        <v>8.2155500000000004</v>
      </c>
      <c r="BW16" s="94">
        <v>745.18200000000002</v>
      </c>
      <c r="BX16" s="94">
        <v>101.456</v>
      </c>
    </row>
    <row r="17" spans="2:76">
      <c r="B17" s="2">
        <f>AD22/13*O17</f>
        <v>455.84494031218685</v>
      </c>
      <c r="D17" s="91">
        <v>122</v>
      </c>
      <c r="E17" s="22">
        <f t="shared" si="5"/>
        <v>0.99999999999999989</v>
      </c>
      <c r="F17" s="11">
        <f t="shared" si="0"/>
        <v>0.15222311455063153</v>
      </c>
      <c r="G17" s="91">
        <v>0.20849999999999999</v>
      </c>
      <c r="H17" s="91">
        <v>8.9999999999999998E-4</v>
      </c>
      <c r="I17" s="2">
        <v>1408.0129999999999</v>
      </c>
      <c r="J17" s="91">
        <v>3.0000000000000001E-3</v>
      </c>
      <c r="K17" s="2">
        <f>O17+B17+C17</f>
        <v>202117.47494031215</v>
      </c>
      <c r="L17" s="11">
        <f t="shared" si="4"/>
        <v>492.35674223691706</v>
      </c>
      <c r="M17" s="101">
        <f>K17/G17/O$4</f>
        <v>0.16172108788008865</v>
      </c>
      <c r="N17" s="100">
        <f t="shared" si="1"/>
        <v>8.020044549366252E-4</v>
      </c>
      <c r="O17" s="91">
        <f t="shared" si="2"/>
        <v>201661.62999999998</v>
      </c>
      <c r="Q17" s="92">
        <v>10250.200000000001</v>
      </c>
      <c r="R17" s="92">
        <v>0.32973200000000003</v>
      </c>
      <c r="S17" s="92">
        <v>19993.5</v>
      </c>
      <c r="T17" s="92">
        <v>153.137</v>
      </c>
      <c r="U17" s="93">
        <v>10874.6</v>
      </c>
      <c r="V17" s="93">
        <v>0.38908900000000002</v>
      </c>
      <c r="W17" s="93">
        <v>19272.5</v>
      </c>
      <c r="X17" s="93">
        <v>150.44399999999999</v>
      </c>
      <c r="Y17" s="92">
        <v>10128.9</v>
      </c>
      <c r="Z17" s="92">
        <v>0.34411799999999998</v>
      </c>
      <c r="AA17" s="92">
        <v>19966.099999999999</v>
      </c>
      <c r="AB17" s="92">
        <v>154.27199999999999</v>
      </c>
      <c r="AC17" s="93">
        <v>10329.5</v>
      </c>
      <c r="AD17" s="93">
        <v>0.38706099999999999</v>
      </c>
      <c r="AE17" s="93">
        <v>17997.099999999999</v>
      </c>
      <c r="AF17" s="93">
        <v>145.04400000000001</v>
      </c>
      <c r="AG17" s="92">
        <v>10232.700000000001</v>
      </c>
      <c r="AH17" s="92">
        <v>0.34579500000000002</v>
      </c>
      <c r="AI17" s="92">
        <v>19303.599999999999</v>
      </c>
      <c r="AJ17" s="92">
        <v>150.49199999999999</v>
      </c>
      <c r="AK17" s="93">
        <v>10179.799999999999</v>
      </c>
      <c r="AL17" s="93">
        <v>0.40412799999999999</v>
      </c>
      <c r="AM17" s="93">
        <v>18611.8</v>
      </c>
      <c r="AN17" s="93">
        <v>149.12799999999999</v>
      </c>
      <c r="AO17" s="92">
        <v>10053</v>
      </c>
      <c r="AP17" s="92">
        <v>0.331258</v>
      </c>
      <c r="AQ17" s="92">
        <v>20504.5</v>
      </c>
      <c r="AR17" s="92">
        <v>158.27699999999999</v>
      </c>
      <c r="AS17" s="93">
        <v>14848.4</v>
      </c>
      <c r="AT17" s="93">
        <v>0.57988899999999999</v>
      </c>
      <c r="AU17" s="93">
        <v>18191</v>
      </c>
      <c r="AV17" s="93">
        <v>158.648</v>
      </c>
      <c r="AW17" s="92">
        <v>9915.93</v>
      </c>
      <c r="AX17" s="92">
        <v>0.52700400000000003</v>
      </c>
      <c r="AY17" s="92">
        <v>8174.57</v>
      </c>
      <c r="AZ17" s="92">
        <v>95.966300000000004</v>
      </c>
      <c r="BA17" s="93">
        <v>9629.76</v>
      </c>
      <c r="BB17" s="93">
        <v>0.50154900000000002</v>
      </c>
      <c r="BC17" s="93">
        <v>8507.9599999999991</v>
      </c>
      <c r="BD17" s="93">
        <v>97.563500000000005</v>
      </c>
      <c r="BE17" s="92">
        <v>9889.2800000000007</v>
      </c>
      <c r="BF17" s="92">
        <v>1.0277499999999999</v>
      </c>
      <c r="BG17" s="92">
        <v>7707.67</v>
      </c>
      <c r="BH17" s="92">
        <v>97.685599999999994</v>
      </c>
      <c r="BI17" s="93">
        <v>10551.1</v>
      </c>
      <c r="BJ17" s="93">
        <v>0.59213199999999999</v>
      </c>
      <c r="BK17" s="93">
        <v>8444.83</v>
      </c>
      <c r="BL17" s="93">
        <v>99.410300000000007</v>
      </c>
      <c r="BM17" s="92">
        <v>9801.49</v>
      </c>
      <c r="BN17" s="92">
        <v>0.67099699999999995</v>
      </c>
      <c r="BO17" s="92">
        <v>6707.08</v>
      </c>
      <c r="BP17" s="92">
        <v>88.512600000000006</v>
      </c>
      <c r="BQ17" s="93">
        <v>9909.31</v>
      </c>
      <c r="BR17" s="93">
        <v>0.861128</v>
      </c>
      <c r="BS17" s="93">
        <v>8279.42</v>
      </c>
      <c r="BT17" s="93">
        <v>101.97</v>
      </c>
      <c r="BU17" s="94">
        <v>9974.66</v>
      </c>
      <c r="BV17" s="94">
        <v>4.3146300000000002</v>
      </c>
      <c r="BW17" s="94">
        <v>7809.52</v>
      </c>
      <c r="BX17" s="94">
        <v>210.75399999999999</v>
      </c>
    </row>
    <row r="18" spans="2:76">
      <c r="G18" s="91">
        <f>SUM(G6:G17)</f>
        <v>1.3696999999999999</v>
      </c>
      <c r="I18" s="2"/>
      <c r="L18" s="11"/>
      <c r="M18" s="11"/>
      <c r="Q18" s="92"/>
      <c r="R18" s="92"/>
      <c r="S18" s="92"/>
      <c r="T18" s="92"/>
      <c r="U18" s="93"/>
      <c r="V18" s="93"/>
      <c r="W18" s="93"/>
      <c r="X18" s="93"/>
      <c r="Y18" s="92"/>
      <c r="Z18" s="92"/>
      <c r="AA18" s="92"/>
      <c r="AB18" s="92"/>
      <c r="AC18" s="93"/>
      <c r="AD18" s="93"/>
      <c r="AE18" s="93"/>
      <c r="AF18" s="93"/>
      <c r="AG18" s="92"/>
      <c r="AH18" s="92"/>
      <c r="AI18" s="92"/>
      <c r="AJ18" s="92"/>
      <c r="AK18" s="93"/>
      <c r="AL18" s="93"/>
      <c r="AM18" s="93"/>
      <c r="AN18" s="93"/>
      <c r="AO18" s="92"/>
      <c r="AP18" s="92"/>
      <c r="AQ18" s="92"/>
      <c r="AR18" s="92"/>
      <c r="AS18" s="93"/>
      <c r="AT18" s="93"/>
      <c r="AU18" s="93"/>
      <c r="AV18" s="93"/>
      <c r="AW18" s="92"/>
      <c r="AX18" s="92"/>
      <c r="AY18" s="92"/>
      <c r="AZ18" s="92"/>
      <c r="BA18" s="93"/>
      <c r="BB18" s="93"/>
      <c r="BC18" s="93"/>
      <c r="BD18" s="93"/>
      <c r="BE18" s="92"/>
      <c r="BF18" s="92"/>
      <c r="BG18" s="92"/>
      <c r="BH18" s="92"/>
      <c r="BI18" s="93"/>
      <c r="BJ18" s="93"/>
      <c r="BK18" s="93"/>
      <c r="BL18" s="93"/>
      <c r="BM18" s="92"/>
      <c r="BN18" s="92"/>
      <c r="BO18" s="92"/>
      <c r="BP18" s="92"/>
      <c r="BQ18" s="93"/>
      <c r="BR18" s="93"/>
      <c r="BS18" s="93"/>
      <c r="BT18" s="93"/>
      <c r="BU18" s="94"/>
      <c r="BV18" s="94"/>
      <c r="BW18" s="94"/>
      <c r="BX18" s="94"/>
    </row>
    <row r="20" spans="2:76">
      <c r="I20" s="91" t="s">
        <v>168</v>
      </c>
      <c r="Q20" s="3">
        <v>5000000</v>
      </c>
      <c r="R20" s="2">
        <f>SQRT(Q20)</f>
        <v>2236.0679774997898</v>
      </c>
    </row>
    <row r="21" spans="2:76">
      <c r="E21" s="91" t="s">
        <v>167</v>
      </c>
      <c r="G21" s="91" t="s">
        <v>61</v>
      </c>
      <c r="I21" s="72" t="s">
        <v>84</v>
      </c>
      <c r="J21" s="72"/>
      <c r="K21" s="72"/>
      <c r="L21" s="72"/>
      <c r="M21" s="72"/>
      <c r="N21" s="72"/>
      <c r="O21" s="72"/>
      <c r="P21" s="72"/>
      <c r="Q21" s="91" t="s">
        <v>155</v>
      </c>
      <c r="R21" s="2"/>
      <c r="Z21" s="91" t="s">
        <v>156</v>
      </c>
      <c r="AD21" s="100" t="s">
        <v>161</v>
      </c>
      <c r="AE21" s="100"/>
    </row>
    <row r="22" spans="2:76">
      <c r="E22" s="1">
        <f>M6/AD22</f>
        <v>18.687424119256111</v>
      </c>
      <c r="F22" s="1">
        <f>E22*SQRT((N6/M6)^2+(AE22/AD22)^2)</f>
        <v>0.15563203566193637</v>
      </c>
      <c r="G22" s="91">
        <v>0.28410000000000002</v>
      </c>
      <c r="H22" s="91">
        <v>1.2999999999999999E-3</v>
      </c>
      <c r="I22" s="72" t="s">
        <v>13</v>
      </c>
      <c r="J22" s="72">
        <v>122</v>
      </c>
      <c r="K22" s="72" t="s">
        <v>65</v>
      </c>
      <c r="L22" s="72">
        <v>52353</v>
      </c>
      <c r="M22" s="72" t="s">
        <v>66</v>
      </c>
      <c r="N22" s="72">
        <v>5441</v>
      </c>
      <c r="O22" s="72" t="s">
        <v>67</v>
      </c>
      <c r="P22" s="72">
        <v>3466</v>
      </c>
      <c r="Q22" s="91">
        <f>L22-(N22+P22)/2</f>
        <v>47899.5</v>
      </c>
      <c r="R22" s="2">
        <f>Q22/G22</f>
        <v>168600.84477296725</v>
      </c>
      <c r="T22" s="91">
        <f t="shared" ref="T22:T33" si="7">SUM(L36,L50,L64,L78,L92,L120,L134,L148,L162,L176,L190,L204,L218,L232)</f>
        <v>43631</v>
      </c>
      <c r="U22" s="2">
        <f>SQRT(T22)</f>
        <v>208.88034852517839</v>
      </c>
      <c r="V22" s="91">
        <f t="shared" ref="V22:V33" si="8">SUM(N36,N50,N64,N78,N92,N120,N134,N148,N162,N176,N190,N204,N218,N232)</f>
        <v>2358</v>
      </c>
      <c r="W22" s="2">
        <f>SQRT(V22)</f>
        <v>48.559242168715933</v>
      </c>
      <c r="X22" s="91">
        <f t="shared" ref="X22:X33" si="9">SUM(P36,P50,P64,P78,P92,P120,P134,P148,P162,P176,P190,P204,P218,P232)</f>
        <v>1419</v>
      </c>
      <c r="Y22" s="2">
        <f>SQRT(X22)</f>
        <v>37.669616403674723</v>
      </c>
      <c r="Z22" s="91">
        <f>T22-(V22+X22)/2</f>
        <v>41742.5</v>
      </c>
      <c r="AA22" s="2">
        <f>SQRT(U22^2+(W22/2)^2+(Y22/2)^2)</f>
        <v>211.12851536445757</v>
      </c>
      <c r="AB22" s="3">
        <f t="shared" ref="AB22:AB33" si="10">Q$20*G22</f>
        <v>1420500</v>
      </c>
      <c r="AC22" s="69">
        <f t="shared" ref="AC22:AC33" si="11">AB22*SQRT((R$20/Q$20)^2+(H22/G22)^2)</f>
        <v>6530.9696102493072</v>
      </c>
      <c r="AD22" s="102">
        <f t="shared" ref="AD22:AD33" si="12">Z22/(Q$20*G22)</f>
        <v>2.9385779655051038E-2</v>
      </c>
      <c r="AE22" s="103">
        <f t="shared" ref="AE22:AE33" si="13">AD22*SQRT((AC$22/AB$22)^2+(AA22/Z22)^2)</f>
        <v>2.0085900771395191E-4</v>
      </c>
    </row>
    <row r="23" spans="2:76">
      <c r="E23" s="1">
        <f t="shared" ref="E23:E33" si="14">M7/AD23</f>
        <v>18.9481188275862</v>
      </c>
      <c r="F23" s="1">
        <f t="shared" ref="F23:F33" si="15">E23*SQRT((N7/M7)^2+(AE23/AD23)^2)</f>
        <v>0.26438084198883821</v>
      </c>
      <c r="G23" s="91">
        <v>7.4999999999999997E-2</v>
      </c>
      <c r="H23" s="91">
        <v>4.0000000000000002E-4</v>
      </c>
      <c r="I23" s="72" t="s">
        <v>13</v>
      </c>
      <c r="J23" s="72">
        <v>245</v>
      </c>
      <c r="K23" s="72" t="s">
        <v>65</v>
      </c>
      <c r="L23" s="72">
        <v>12814</v>
      </c>
      <c r="M23" s="72" t="s">
        <v>66</v>
      </c>
      <c r="N23" s="72">
        <v>2843</v>
      </c>
      <c r="O23" s="72" t="s">
        <v>67</v>
      </c>
      <c r="P23" s="72">
        <v>2345</v>
      </c>
      <c r="Q23" s="91">
        <f t="shared" ref="Q23:Q33" si="16">L23-(N23+P23)/2</f>
        <v>10220</v>
      </c>
      <c r="R23" s="2">
        <f t="shared" ref="R23:R33" si="17">Q23/G23</f>
        <v>136266.66666666669</v>
      </c>
      <c r="T23" s="91">
        <f t="shared" si="7"/>
        <v>9894</v>
      </c>
      <c r="U23" s="2">
        <f t="shared" ref="U23:W33" si="18">SQRT(T23)</f>
        <v>99.468588006465637</v>
      </c>
      <c r="V23" s="91">
        <f t="shared" si="8"/>
        <v>1166</v>
      </c>
      <c r="W23" s="2">
        <f t="shared" si="18"/>
        <v>34.146742157927747</v>
      </c>
      <c r="X23" s="91">
        <f t="shared" si="9"/>
        <v>994</v>
      </c>
      <c r="Y23" s="2">
        <f t="shared" ref="Y23:Y32" si="19">SQRT(X23)</f>
        <v>31.527765540868891</v>
      </c>
      <c r="Z23" s="91">
        <f t="shared" ref="Z23:Z33" si="20">T23-(V23+X23)/2</f>
        <v>8814</v>
      </c>
      <c r="AA23" s="2">
        <f t="shared" ref="AA23:AA33" si="21">SQRT(U23^2+(W23/2)^2+(Y23/2)^2)</f>
        <v>102.14695296483396</v>
      </c>
      <c r="AB23" s="3">
        <f t="shared" si="10"/>
        <v>375000</v>
      </c>
      <c r="AC23" s="69">
        <f t="shared" si="11"/>
        <v>2007.0189336426304</v>
      </c>
      <c r="AD23" s="102">
        <f t="shared" si="12"/>
        <v>2.3504000000000001E-2</v>
      </c>
      <c r="AE23" s="103">
        <f t="shared" si="13"/>
        <v>2.930443804845627E-4</v>
      </c>
    </row>
    <row r="24" spans="2:76">
      <c r="E24" s="1">
        <f t="shared" si="14"/>
        <v>20.223262664464684</v>
      </c>
      <c r="F24" s="1">
        <f t="shared" si="15"/>
        <v>0.18789630280467456</v>
      </c>
      <c r="G24" s="91">
        <v>0.26579999999999998</v>
      </c>
      <c r="H24" s="91">
        <v>1.1999999999999999E-3</v>
      </c>
      <c r="I24" s="72" t="s">
        <v>13</v>
      </c>
      <c r="J24" s="72">
        <v>344</v>
      </c>
      <c r="K24" s="72" t="s">
        <v>65</v>
      </c>
      <c r="L24" s="72">
        <v>29304</v>
      </c>
      <c r="M24" s="72" t="s">
        <v>66</v>
      </c>
      <c r="N24" s="72">
        <v>1689</v>
      </c>
      <c r="O24" s="72" t="s">
        <v>67</v>
      </c>
      <c r="P24" s="72">
        <v>1340</v>
      </c>
      <c r="Q24" s="91">
        <f t="shared" si="16"/>
        <v>27789.5</v>
      </c>
      <c r="R24" s="2">
        <f t="shared" si="17"/>
        <v>104550.41384499625</v>
      </c>
      <c r="T24" s="91">
        <f t="shared" si="7"/>
        <v>24962</v>
      </c>
      <c r="U24" s="2">
        <f t="shared" si="18"/>
        <v>157.99367075930604</v>
      </c>
      <c r="V24" s="91">
        <f t="shared" si="8"/>
        <v>674</v>
      </c>
      <c r="W24" s="2">
        <f t="shared" si="18"/>
        <v>25.96150997149434</v>
      </c>
      <c r="X24" s="91">
        <f t="shared" si="9"/>
        <v>527</v>
      </c>
      <c r="Y24" s="2">
        <f t="shared" si="19"/>
        <v>22.956480566497994</v>
      </c>
      <c r="Z24" s="91">
        <f t="shared" si="20"/>
        <v>24361.5</v>
      </c>
      <c r="AA24" s="2">
        <f t="shared" si="21"/>
        <v>158.9410267992503</v>
      </c>
      <c r="AB24" s="3">
        <f t="shared" si="10"/>
        <v>1329000</v>
      </c>
      <c r="AC24" s="69">
        <f t="shared" si="11"/>
        <v>6029.3654890046264</v>
      </c>
      <c r="AD24" s="102">
        <f t="shared" si="12"/>
        <v>1.8330699774266365E-2</v>
      </c>
      <c r="AE24" s="103">
        <f t="shared" si="13"/>
        <v>1.4630671579800823E-4</v>
      </c>
    </row>
    <row r="25" spans="2:76">
      <c r="E25" s="1">
        <f t="shared" si="14"/>
        <v>19.118725063578029</v>
      </c>
      <c r="F25" s="1">
        <f t="shared" si="15"/>
        <v>0.54894618104778214</v>
      </c>
      <c r="G25" s="91">
        <v>2.2370000000000001E-2</v>
      </c>
      <c r="H25" s="91">
        <v>1E-4</v>
      </c>
      <c r="I25" s="72" t="s">
        <v>13</v>
      </c>
      <c r="J25" s="72">
        <v>411</v>
      </c>
      <c r="K25" s="72" t="s">
        <v>65</v>
      </c>
      <c r="L25" s="72">
        <v>3261</v>
      </c>
      <c r="M25" s="72" t="s">
        <v>66</v>
      </c>
      <c r="N25" s="72">
        <v>1162</v>
      </c>
      <c r="O25" s="72" t="s">
        <v>67</v>
      </c>
      <c r="P25" s="72">
        <v>1183</v>
      </c>
      <c r="Q25" s="91">
        <f t="shared" si="16"/>
        <v>2088.5</v>
      </c>
      <c r="R25" s="2">
        <f t="shared" si="17"/>
        <v>93361.645060348674</v>
      </c>
      <c r="T25" s="91">
        <f t="shared" si="7"/>
        <v>2331</v>
      </c>
      <c r="U25" s="2">
        <f t="shared" si="18"/>
        <v>48.28043081829324</v>
      </c>
      <c r="V25" s="91">
        <f t="shared" si="8"/>
        <v>445</v>
      </c>
      <c r="W25" s="2">
        <f t="shared" si="18"/>
        <v>21.095023109728988</v>
      </c>
      <c r="X25" s="91">
        <f t="shared" si="9"/>
        <v>449</v>
      </c>
      <c r="Y25" s="2">
        <f t="shared" si="19"/>
        <v>21.189620100417091</v>
      </c>
      <c r="Z25" s="91">
        <f t="shared" si="20"/>
        <v>1884</v>
      </c>
      <c r="AA25" s="2">
        <f t="shared" si="21"/>
        <v>50.542061691229016</v>
      </c>
      <c r="AB25" s="3">
        <f t="shared" si="10"/>
        <v>111850</v>
      </c>
      <c r="AC25" s="69">
        <f t="shared" si="11"/>
        <v>502.4958552067867</v>
      </c>
      <c r="AD25" s="102">
        <f t="shared" si="12"/>
        <v>1.6843987483236476E-2</v>
      </c>
      <c r="AE25" s="103">
        <f t="shared" si="13"/>
        <v>4.5846171248788159E-4</v>
      </c>
    </row>
    <row r="26" spans="2:76">
      <c r="E26" s="1">
        <f t="shared" si="14"/>
        <v>20.671759248773057</v>
      </c>
      <c r="F26" s="1">
        <f t="shared" si="15"/>
        <v>0.51575348089569251</v>
      </c>
      <c r="G26" s="91">
        <v>3.125E-2</v>
      </c>
      <c r="H26" s="91">
        <v>1.3999999999999999E-4</v>
      </c>
      <c r="I26" s="72" t="s">
        <v>13</v>
      </c>
      <c r="J26" s="72">
        <v>444</v>
      </c>
      <c r="K26" s="72" t="s">
        <v>65</v>
      </c>
      <c r="L26" s="72">
        <v>3864</v>
      </c>
      <c r="M26" s="72" t="s">
        <v>66</v>
      </c>
      <c r="N26" s="72">
        <v>1153</v>
      </c>
      <c r="O26" s="72" t="s">
        <v>67</v>
      </c>
      <c r="P26" s="72">
        <v>1173</v>
      </c>
      <c r="Q26" s="91">
        <f t="shared" si="16"/>
        <v>2701</v>
      </c>
      <c r="R26" s="2">
        <f t="shared" si="17"/>
        <v>86432</v>
      </c>
      <c r="T26" s="91">
        <f t="shared" si="7"/>
        <v>2871</v>
      </c>
      <c r="U26" s="2">
        <f t="shared" si="18"/>
        <v>53.581713298475258</v>
      </c>
      <c r="V26" s="91">
        <f t="shared" si="8"/>
        <v>481</v>
      </c>
      <c r="W26" s="2">
        <f t="shared" si="18"/>
        <v>21.931712199461309</v>
      </c>
      <c r="X26" s="91">
        <f t="shared" si="9"/>
        <v>469</v>
      </c>
      <c r="Y26" s="2">
        <f t="shared" si="19"/>
        <v>21.656407827707714</v>
      </c>
      <c r="Z26" s="91">
        <f t="shared" si="20"/>
        <v>2396</v>
      </c>
      <c r="AA26" s="2">
        <f t="shared" si="21"/>
        <v>55.753923628745632</v>
      </c>
      <c r="AB26" s="3">
        <f t="shared" si="10"/>
        <v>156250</v>
      </c>
      <c r="AC26" s="69">
        <f t="shared" si="11"/>
        <v>703.47907751403659</v>
      </c>
      <c r="AD26" s="102">
        <f t="shared" si="12"/>
        <v>1.53344E-2</v>
      </c>
      <c r="AE26" s="103">
        <f t="shared" si="13"/>
        <v>3.6372342877764158E-4</v>
      </c>
    </row>
    <row r="27" spans="2:76">
      <c r="E27" s="1">
        <f t="shared" si="14"/>
        <v>21.655126188788064</v>
      </c>
      <c r="F27" s="1">
        <f t="shared" si="15"/>
        <v>0.3129005915572628</v>
      </c>
      <c r="G27" s="91">
        <v>0.12959999999999999</v>
      </c>
      <c r="H27" s="91">
        <v>5.9999999999999995E-4</v>
      </c>
      <c r="I27" s="72" t="s">
        <v>13</v>
      </c>
      <c r="J27" s="72">
        <v>779</v>
      </c>
      <c r="K27" s="72" t="s">
        <v>65</v>
      </c>
      <c r="L27" s="72">
        <v>8641</v>
      </c>
      <c r="M27" s="72" t="s">
        <v>66</v>
      </c>
      <c r="N27" s="72">
        <v>885</v>
      </c>
      <c r="O27" s="72" t="s">
        <v>67</v>
      </c>
      <c r="P27" s="72">
        <v>807</v>
      </c>
      <c r="Q27" s="91">
        <f t="shared" si="16"/>
        <v>7795</v>
      </c>
      <c r="R27" s="2">
        <f t="shared" si="17"/>
        <v>60146.604938271608</v>
      </c>
      <c r="T27" s="91">
        <f t="shared" si="7"/>
        <v>7143</v>
      </c>
      <c r="U27" s="2">
        <f t="shared" si="18"/>
        <v>84.516270622880654</v>
      </c>
      <c r="V27" s="91">
        <f t="shared" si="8"/>
        <v>363</v>
      </c>
      <c r="W27" s="2">
        <f t="shared" si="18"/>
        <v>19.05255888325765</v>
      </c>
      <c r="X27" s="91">
        <f t="shared" si="9"/>
        <v>309</v>
      </c>
      <c r="Y27" s="2">
        <f t="shared" si="19"/>
        <v>17.578395831246947</v>
      </c>
      <c r="Z27" s="91">
        <f t="shared" si="20"/>
        <v>6807</v>
      </c>
      <c r="AA27" s="2">
        <f t="shared" si="21"/>
        <v>85.5043858524228</v>
      </c>
      <c r="AB27" s="3">
        <f t="shared" si="10"/>
        <v>648000</v>
      </c>
      <c r="AC27" s="69">
        <f t="shared" si="11"/>
        <v>3013.9642997222113</v>
      </c>
      <c r="AD27" s="102">
        <f t="shared" si="12"/>
        <v>1.0504629629629629E-2</v>
      </c>
      <c r="AE27" s="103">
        <f t="shared" si="13"/>
        <v>1.405122438832717E-4</v>
      </c>
    </row>
    <row r="28" spans="2:76">
      <c r="E28" s="1">
        <f t="shared" si="14"/>
        <v>21.44773008205221</v>
      </c>
      <c r="F28" s="1">
        <f t="shared" si="15"/>
        <v>0.55918575530897463</v>
      </c>
      <c r="G28" s="91">
        <v>4.2410000000000003E-2</v>
      </c>
      <c r="H28" s="91">
        <v>2.3000000000000001E-4</v>
      </c>
      <c r="I28" s="72" t="s">
        <v>13</v>
      </c>
      <c r="J28" s="72">
        <v>867</v>
      </c>
      <c r="K28" s="72" t="s">
        <v>65</v>
      </c>
      <c r="L28" s="72">
        <v>3071</v>
      </c>
      <c r="M28" s="72" t="s">
        <v>66</v>
      </c>
      <c r="N28" s="72">
        <v>810</v>
      </c>
      <c r="O28" s="72" t="s">
        <v>67</v>
      </c>
      <c r="P28" s="72">
        <v>733</v>
      </c>
      <c r="Q28" s="91">
        <f t="shared" si="16"/>
        <v>2299.5</v>
      </c>
      <c r="R28" s="2">
        <f t="shared" si="17"/>
        <v>54220.702664465927</v>
      </c>
      <c r="T28" s="91">
        <f t="shared" si="7"/>
        <v>2354</v>
      </c>
      <c r="U28" s="2">
        <f t="shared" si="18"/>
        <v>48.518037882832814</v>
      </c>
      <c r="V28" s="91">
        <f t="shared" si="8"/>
        <v>311</v>
      </c>
      <c r="W28" s="2">
        <f t="shared" si="18"/>
        <v>17.635192088548397</v>
      </c>
      <c r="X28" s="91">
        <f t="shared" si="9"/>
        <v>271</v>
      </c>
      <c r="Y28" s="2">
        <f t="shared" si="19"/>
        <v>16.46207763315433</v>
      </c>
      <c r="Z28" s="91">
        <f t="shared" si="20"/>
        <v>2063</v>
      </c>
      <c r="AA28" s="2">
        <f t="shared" si="21"/>
        <v>49.994999749974994</v>
      </c>
      <c r="AB28" s="3">
        <f t="shared" si="10"/>
        <v>212050.00000000003</v>
      </c>
      <c r="AC28" s="69">
        <f t="shared" si="11"/>
        <v>1153.9033930533353</v>
      </c>
      <c r="AD28" s="102">
        <f t="shared" si="12"/>
        <v>9.7288375383164337E-3</v>
      </c>
      <c r="AE28" s="103">
        <f t="shared" si="13"/>
        <v>2.3997539007826886E-4</v>
      </c>
    </row>
    <row r="29" spans="2:76">
      <c r="E29" s="1">
        <f t="shared" si="14"/>
        <v>21.796748255908913</v>
      </c>
      <c r="F29" s="1">
        <f t="shared" si="15"/>
        <v>0.30846163084806927</v>
      </c>
      <c r="G29" s="91">
        <v>0.1462</v>
      </c>
      <c r="H29" s="91">
        <v>5.9999999999999995E-4</v>
      </c>
      <c r="I29" s="72" t="s">
        <v>13</v>
      </c>
      <c r="J29" s="72">
        <v>964</v>
      </c>
      <c r="K29" s="72" t="s">
        <v>65</v>
      </c>
      <c r="L29" s="72">
        <v>8199</v>
      </c>
      <c r="M29" s="72" t="s">
        <v>66</v>
      </c>
      <c r="N29" s="72">
        <v>509</v>
      </c>
      <c r="O29" s="72" t="s">
        <v>67</v>
      </c>
      <c r="P29" s="72">
        <v>519</v>
      </c>
      <c r="Q29" s="91">
        <f t="shared" si="16"/>
        <v>7685</v>
      </c>
      <c r="R29" s="2">
        <f t="shared" si="17"/>
        <v>52564.979480164162</v>
      </c>
      <c r="T29" s="91">
        <f t="shared" si="7"/>
        <v>6964</v>
      </c>
      <c r="U29" s="2">
        <f t="shared" si="18"/>
        <v>83.450584180100265</v>
      </c>
      <c r="V29" s="91">
        <f t="shared" si="8"/>
        <v>202</v>
      </c>
      <c r="W29" s="2">
        <f t="shared" si="18"/>
        <v>14.212670403551895</v>
      </c>
      <c r="X29" s="91">
        <f t="shared" si="9"/>
        <v>200</v>
      </c>
      <c r="Y29" s="2">
        <f t="shared" si="19"/>
        <v>14.142135623730951</v>
      </c>
      <c r="Z29" s="91">
        <f t="shared" si="20"/>
        <v>6763</v>
      </c>
      <c r="AA29" s="2">
        <f t="shared" si="21"/>
        <v>84.050580009896422</v>
      </c>
      <c r="AB29" s="3">
        <f t="shared" si="10"/>
        <v>731000</v>
      </c>
      <c r="AC29" s="69">
        <f t="shared" si="11"/>
        <v>3017.7594668893012</v>
      </c>
      <c r="AD29" s="102">
        <f t="shared" si="12"/>
        <v>9.2517099863201092E-3</v>
      </c>
      <c r="AE29" s="103">
        <f t="shared" si="13"/>
        <v>1.2259604199937153E-4</v>
      </c>
    </row>
    <row r="30" spans="2:76">
      <c r="E30" s="1">
        <f t="shared" si="14"/>
        <v>22.218536149255158</v>
      </c>
      <c r="F30" s="1">
        <f t="shared" si="15"/>
        <v>0.33906801322259655</v>
      </c>
      <c r="G30" s="91">
        <v>0.13400000000000001</v>
      </c>
      <c r="H30" s="91">
        <v>5.9999999999999995E-4</v>
      </c>
      <c r="I30" s="72" t="s">
        <v>13</v>
      </c>
      <c r="J30" s="72">
        <v>1112</v>
      </c>
      <c r="K30" s="72" t="s">
        <v>65</v>
      </c>
      <c r="L30" s="72">
        <v>6952</v>
      </c>
      <c r="M30" s="72" t="s">
        <v>66</v>
      </c>
      <c r="N30" s="72">
        <v>454</v>
      </c>
      <c r="O30" s="72" t="s">
        <v>67</v>
      </c>
      <c r="P30" s="72">
        <v>459</v>
      </c>
      <c r="Q30" s="91">
        <f t="shared" si="16"/>
        <v>6495.5</v>
      </c>
      <c r="R30" s="2">
        <f t="shared" si="17"/>
        <v>48473.880597014926</v>
      </c>
      <c r="T30" s="91">
        <f t="shared" si="7"/>
        <v>5907</v>
      </c>
      <c r="U30" s="2">
        <f t="shared" si="18"/>
        <v>76.857010090166796</v>
      </c>
      <c r="V30" s="91">
        <f t="shared" si="8"/>
        <v>158</v>
      </c>
      <c r="W30" s="2">
        <f t="shared" si="18"/>
        <v>12.569805089976535</v>
      </c>
      <c r="X30" s="91">
        <f t="shared" si="9"/>
        <v>186</v>
      </c>
      <c r="Y30" s="2">
        <f t="shared" si="19"/>
        <v>13.638181696985855</v>
      </c>
      <c r="Z30" s="91">
        <f t="shared" si="20"/>
        <v>5735</v>
      </c>
      <c r="AA30" s="2">
        <f t="shared" si="21"/>
        <v>77.414468931847622</v>
      </c>
      <c r="AB30" s="3">
        <f t="shared" si="10"/>
        <v>670000</v>
      </c>
      <c r="AC30" s="69">
        <f t="shared" si="11"/>
        <v>3014.9262014185351</v>
      </c>
      <c r="AD30" s="102">
        <f t="shared" si="12"/>
        <v>8.5597014925373142E-3</v>
      </c>
      <c r="AE30" s="103">
        <f t="shared" si="13"/>
        <v>1.2206225211609249E-4</v>
      </c>
    </row>
    <row r="31" spans="2:76">
      <c r="E31" s="1">
        <f t="shared" si="14"/>
        <v>21.363271268969108</v>
      </c>
      <c r="F31" s="1">
        <f>E31*SQRT((N15/M15)^2+(AE31/AD31)^2)</f>
        <v>1.0804965554022223</v>
      </c>
      <c r="G31" s="91">
        <v>1.4149999999999999E-2</v>
      </c>
      <c r="H31" s="91">
        <v>9.0000000000000006E-5</v>
      </c>
      <c r="I31" s="72" t="s">
        <v>13</v>
      </c>
      <c r="J31" s="72">
        <v>1213</v>
      </c>
      <c r="K31" s="72" t="s">
        <v>65</v>
      </c>
      <c r="L31" s="72">
        <v>975</v>
      </c>
      <c r="M31" s="72" t="s">
        <v>66</v>
      </c>
      <c r="N31" s="72">
        <v>354</v>
      </c>
      <c r="O31" s="72" t="s">
        <v>67</v>
      </c>
      <c r="P31" s="72">
        <v>285</v>
      </c>
      <c r="Q31" s="91">
        <f t="shared" si="16"/>
        <v>655.5</v>
      </c>
      <c r="R31" s="2">
        <f t="shared" si="17"/>
        <v>46325.088339222617</v>
      </c>
      <c r="T31" s="91">
        <f t="shared" si="7"/>
        <v>718</v>
      </c>
      <c r="U31" s="2">
        <f t="shared" si="18"/>
        <v>26.795522013948524</v>
      </c>
      <c r="V31" s="91">
        <f t="shared" si="8"/>
        <v>144</v>
      </c>
      <c r="W31" s="2">
        <f t="shared" si="18"/>
        <v>12</v>
      </c>
      <c r="X31" s="91">
        <f t="shared" si="9"/>
        <v>125</v>
      </c>
      <c r="Y31" s="2">
        <f t="shared" si="19"/>
        <v>11.180339887498949</v>
      </c>
      <c r="Z31" s="91">
        <f t="shared" si="20"/>
        <v>583.5</v>
      </c>
      <c r="AA31" s="2">
        <f t="shared" si="21"/>
        <v>28.022312538404108</v>
      </c>
      <c r="AB31" s="3">
        <f t="shared" si="10"/>
        <v>70750</v>
      </c>
      <c r="AC31" s="69">
        <f t="shared" si="11"/>
        <v>451.11097581415595</v>
      </c>
      <c r="AD31" s="102">
        <f t="shared" si="12"/>
        <v>8.2473498233215543E-3</v>
      </c>
      <c r="AE31" s="103">
        <f t="shared" si="13"/>
        <v>3.9788602216760328E-4</v>
      </c>
    </row>
    <row r="32" spans="2:76">
      <c r="E32" s="1">
        <f t="shared" si="14"/>
        <v>21.053095173818331</v>
      </c>
      <c r="F32" s="1">
        <f t="shared" si="15"/>
        <v>0.92492241382152429</v>
      </c>
      <c r="G32" s="91">
        <v>1.6320000000000001E-2</v>
      </c>
      <c r="H32" s="91">
        <v>9.0000000000000006E-5</v>
      </c>
      <c r="I32" s="72" t="s">
        <v>13</v>
      </c>
      <c r="J32" s="72">
        <v>1299</v>
      </c>
      <c r="K32" s="72" t="s">
        <v>65</v>
      </c>
      <c r="L32" s="72">
        <v>783</v>
      </c>
      <c r="M32" s="72" t="s">
        <v>66</v>
      </c>
      <c r="N32" s="72">
        <v>93</v>
      </c>
      <c r="O32" s="72" t="s">
        <v>67</v>
      </c>
      <c r="P32" s="72">
        <v>52</v>
      </c>
      <c r="Q32" s="91">
        <f t="shared" si="16"/>
        <v>710.5</v>
      </c>
      <c r="R32" s="2">
        <f t="shared" si="17"/>
        <v>43535.539215686273</v>
      </c>
      <c r="T32" s="91">
        <f t="shared" si="7"/>
        <v>651</v>
      </c>
      <c r="U32" s="2">
        <f t="shared" si="18"/>
        <v>25.514701644346147</v>
      </c>
      <c r="V32" s="91">
        <f t="shared" si="8"/>
        <v>32</v>
      </c>
      <c r="W32" s="2">
        <f t="shared" si="18"/>
        <v>5.6568542494923806</v>
      </c>
      <c r="X32" s="91">
        <f t="shared" si="9"/>
        <v>33</v>
      </c>
      <c r="Y32" s="2">
        <f t="shared" si="19"/>
        <v>5.7445626465380286</v>
      </c>
      <c r="Z32" s="91">
        <f t="shared" si="20"/>
        <v>618.5</v>
      </c>
      <c r="AA32" s="2">
        <f t="shared" si="21"/>
        <v>25.831182706178978</v>
      </c>
      <c r="AB32" s="3">
        <f t="shared" si="10"/>
        <v>81600</v>
      </c>
      <c r="AC32" s="69">
        <f t="shared" si="11"/>
        <v>451.47725524105863</v>
      </c>
      <c r="AD32" s="102">
        <f t="shared" si="12"/>
        <v>7.5796568627450982E-3</v>
      </c>
      <c r="AE32" s="103">
        <f t="shared" si="13"/>
        <v>3.1847100817163017E-4</v>
      </c>
    </row>
    <row r="33" spans="5:31">
      <c r="E33" s="1">
        <f t="shared" si="14"/>
        <v>22.770696125741818</v>
      </c>
      <c r="F33" s="1">
        <f t="shared" si="15"/>
        <v>0.30624355493985056</v>
      </c>
      <c r="G33" s="91">
        <v>0.20849999999999999</v>
      </c>
      <c r="H33" s="91">
        <v>8.9999999999999998E-4</v>
      </c>
      <c r="I33" s="72" t="s">
        <v>13</v>
      </c>
      <c r="J33" s="72">
        <v>1408</v>
      </c>
      <c r="K33" s="72" t="s">
        <v>65</v>
      </c>
      <c r="L33" s="72">
        <v>8418</v>
      </c>
      <c r="M33" s="72" t="s">
        <v>66</v>
      </c>
      <c r="N33" s="72">
        <v>22</v>
      </c>
      <c r="O33" s="72" t="s">
        <v>67</v>
      </c>
      <c r="P33" s="72">
        <v>60</v>
      </c>
      <c r="Q33" s="91">
        <f t="shared" si="16"/>
        <v>8377</v>
      </c>
      <c r="R33" s="2">
        <f t="shared" si="17"/>
        <v>40177.458033573144</v>
      </c>
      <c r="T33" s="91">
        <f t="shared" si="7"/>
        <v>7407</v>
      </c>
      <c r="U33" s="2">
        <f t="shared" si="18"/>
        <v>86.063929726686311</v>
      </c>
      <c r="V33" s="91">
        <f t="shared" si="8"/>
        <v>6</v>
      </c>
      <c r="W33" s="2">
        <f t="shared" si="18"/>
        <v>2.4494897427831779</v>
      </c>
      <c r="X33" s="91">
        <f t="shared" si="9"/>
        <v>0</v>
      </c>
      <c r="Y33" s="2">
        <f>SQRT(X33)</f>
        <v>0</v>
      </c>
      <c r="Z33" s="91">
        <f t="shared" si="20"/>
        <v>7404</v>
      </c>
      <c r="AA33" s="2">
        <f t="shared" si="21"/>
        <v>86.072643737717272</v>
      </c>
      <c r="AB33" s="3">
        <f t="shared" si="10"/>
        <v>1042500</v>
      </c>
      <c r="AC33" s="69">
        <f t="shared" si="11"/>
        <v>4524.0867863028452</v>
      </c>
      <c r="AD33" s="102">
        <f t="shared" si="12"/>
        <v>7.1021582733812949E-3</v>
      </c>
      <c r="AE33" s="103">
        <f t="shared" si="13"/>
        <v>8.8786254062013316E-5</v>
      </c>
    </row>
    <row r="35" spans="5:31">
      <c r="I35" s="91" t="s">
        <v>68</v>
      </c>
    </row>
    <row r="36" spans="5:31">
      <c r="I36" s="91" t="s">
        <v>13</v>
      </c>
      <c r="J36" s="91">
        <v>122</v>
      </c>
      <c r="K36" s="91" t="s">
        <v>65</v>
      </c>
      <c r="L36" s="91">
        <v>5734</v>
      </c>
      <c r="M36" s="91" t="s">
        <v>66</v>
      </c>
      <c r="N36" s="91">
        <v>218</v>
      </c>
      <c r="O36" s="91" t="s">
        <v>67</v>
      </c>
      <c r="P36" s="91">
        <v>144</v>
      </c>
    </row>
    <row r="37" spans="5:31">
      <c r="I37" s="91" t="s">
        <v>13</v>
      </c>
      <c r="J37" s="91">
        <v>245</v>
      </c>
      <c r="K37" s="91" t="s">
        <v>65</v>
      </c>
      <c r="L37" s="91">
        <v>1172</v>
      </c>
      <c r="M37" s="91" t="s">
        <v>66</v>
      </c>
      <c r="N37" s="91">
        <v>120</v>
      </c>
      <c r="O37" s="91" t="s">
        <v>67</v>
      </c>
      <c r="P37" s="91">
        <v>90</v>
      </c>
    </row>
    <row r="38" spans="5:31">
      <c r="I38" s="91" t="s">
        <v>13</v>
      </c>
      <c r="J38" s="91">
        <v>344</v>
      </c>
      <c r="K38" s="91" t="s">
        <v>65</v>
      </c>
      <c r="L38" s="91">
        <v>3025</v>
      </c>
      <c r="M38" s="91" t="s">
        <v>66</v>
      </c>
      <c r="N38" s="91">
        <v>67</v>
      </c>
      <c r="O38" s="91" t="s">
        <v>67</v>
      </c>
      <c r="P38" s="91">
        <v>53</v>
      </c>
    </row>
    <row r="39" spans="5:31">
      <c r="I39" s="91" t="s">
        <v>13</v>
      </c>
      <c r="J39" s="91">
        <v>411</v>
      </c>
      <c r="K39" s="91" t="s">
        <v>65</v>
      </c>
      <c r="L39" s="91">
        <v>265</v>
      </c>
      <c r="M39" s="91" t="s">
        <v>66</v>
      </c>
      <c r="N39" s="91">
        <v>44</v>
      </c>
      <c r="O39" s="91" t="s">
        <v>67</v>
      </c>
      <c r="P39" s="91">
        <v>36</v>
      </c>
    </row>
    <row r="40" spans="5:31">
      <c r="I40" s="91" t="s">
        <v>13</v>
      </c>
      <c r="J40" s="91">
        <v>444</v>
      </c>
      <c r="K40" s="91" t="s">
        <v>65</v>
      </c>
      <c r="L40" s="91">
        <v>359</v>
      </c>
      <c r="M40" s="91" t="s">
        <v>66</v>
      </c>
      <c r="N40" s="91">
        <v>52</v>
      </c>
      <c r="O40" s="91" t="s">
        <v>67</v>
      </c>
      <c r="P40" s="91">
        <v>54</v>
      </c>
    </row>
    <row r="41" spans="5:31">
      <c r="I41" s="91" t="s">
        <v>13</v>
      </c>
      <c r="J41" s="91">
        <v>779</v>
      </c>
      <c r="K41" s="91" t="s">
        <v>65</v>
      </c>
      <c r="L41" s="91">
        <v>818</v>
      </c>
      <c r="M41" s="91" t="s">
        <v>66</v>
      </c>
      <c r="N41" s="91">
        <v>39</v>
      </c>
      <c r="O41" s="91" t="s">
        <v>67</v>
      </c>
      <c r="P41" s="91">
        <v>37</v>
      </c>
    </row>
    <row r="42" spans="5:31">
      <c r="I42" s="91" t="s">
        <v>13</v>
      </c>
      <c r="J42" s="91">
        <v>867</v>
      </c>
      <c r="K42" s="91" t="s">
        <v>65</v>
      </c>
      <c r="L42" s="91">
        <v>256</v>
      </c>
      <c r="M42" s="91" t="s">
        <v>66</v>
      </c>
      <c r="N42" s="91">
        <v>43</v>
      </c>
      <c r="O42" s="91" t="s">
        <v>67</v>
      </c>
      <c r="P42" s="91">
        <v>29</v>
      </c>
    </row>
    <row r="43" spans="5:31">
      <c r="I43" s="91" t="s">
        <v>13</v>
      </c>
      <c r="J43" s="91">
        <v>964</v>
      </c>
      <c r="K43" s="91" t="s">
        <v>65</v>
      </c>
      <c r="L43" s="91">
        <v>830</v>
      </c>
      <c r="M43" s="91" t="s">
        <v>66</v>
      </c>
      <c r="N43" s="91">
        <v>26</v>
      </c>
      <c r="O43" s="91" t="s">
        <v>67</v>
      </c>
      <c r="P43" s="91">
        <v>23</v>
      </c>
    </row>
    <row r="44" spans="5:31">
      <c r="I44" s="91" t="s">
        <v>13</v>
      </c>
      <c r="J44" s="91">
        <v>1112</v>
      </c>
      <c r="K44" s="91" t="s">
        <v>65</v>
      </c>
      <c r="L44" s="91">
        <v>665</v>
      </c>
      <c r="M44" s="91" t="s">
        <v>66</v>
      </c>
      <c r="N44" s="91">
        <v>18</v>
      </c>
      <c r="O44" s="91" t="s">
        <v>67</v>
      </c>
      <c r="P44" s="91">
        <v>16</v>
      </c>
    </row>
    <row r="45" spans="5:31">
      <c r="I45" s="91" t="s">
        <v>13</v>
      </c>
      <c r="J45" s="91">
        <v>1213</v>
      </c>
      <c r="K45" s="91" t="s">
        <v>65</v>
      </c>
      <c r="L45" s="91">
        <v>77</v>
      </c>
      <c r="M45" s="91" t="s">
        <v>66</v>
      </c>
      <c r="N45" s="91">
        <v>20</v>
      </c>
      <c r="O45" s="91" t="s">
        <v>67</v>
      </c>
      <c r="P45" s="91">
        <v>18</v>
      </c>
    </row>
    <row r="46" spans="5:31">
      <c r="I46" s="91" t="s">
        <v>13</v>
      </c>
      <c r="J46" s="91">
        <v>1299</v>
      </c>
      <c r="K46" s="91" t="s">
        <v>65</v>
      </c>
      <c r="L46" s="91">
        <v>74</v>
      </c>
      <c r="M46" s="91" t="s">
        <v>66</v>
      </c>
      <c r="N46" s="91">
        <v>4</v>
      </c>
      <c r="O46" s="91" t="s">
        <v>67</v>
      </c>
      <c r="P46" s="91">
        <v>10</v>
      </c>
    </row>
    <row r="47" spans="5:31">
      <c r="I47" s="91" t="s">
        <v>13</v>
      </c>
      <c r="J47" s="91">
        <v>1408</v>
      </c>
      <c r="K47" s="91" t="s">
        <v>65</v>
      </c>
      <c r="L47" s="91">
        <v>797</v>
      </c>
      <c r="M47" s="91" t="s">
        <v>66</v>
      </c>
      <c r="N47" s="91">
        <v>0</v>
      </c>
      <c r="O47" s="91" t="s">
        <v>67</v>
      </c>
      <c r="P47" s="91">
        <v>0</v>
      </c>
    </row>
    <row r="49" spans="9:16">
      <c r="I49" s="91" t="s">
        <v>69</v>
      </c>
    </row>
    <row r="50" spans="9:16">
      <c r="I50" s="91" t="s">
        <v>13</v>
      </c>
      <c r="J50" s="91">
        <v>122</v>
      </c>
      <c r="K50" s="91" t="s">
        <v>65</v>
      </c>
      <c r="L50" s="91">
        <v>5604</v>
      </c>
      <c r="M50" s="91" t="s">
        <v>66</v>
      </c>
      <c r="N50" s="91">
        <v>226</v>
      </c>
      <c r="O50" s="91" t="s">
        <v>67</v>
      </c>
      <c r="P50" s="91">
        <v>129</v>
      </c>
    </row>
    <row r="51" spans="9:16">
      <c r="I51" s="91" t="s">
        <v>13</v>
      </c>
      <c r="J51" s="91">
        <v>245</v>
      </c>
      <c r="K51" s="91" t="s">
        <v>65</v>
      </c>
      <c r="L51" s="91">
        <v>1213</v>
      </c>
      <c r="M51" s="91" t="s">
        <v>66</v>
      </c>
      <c r="N51" s="91">
        <v>126</v>
      </c>
      <c r="O51" s="91" t="s">
        <v>67</v>
      </c>
      <c r="P51" s="91">
        <v>110</v>
      </c>
    </row>
    <row r="52" spans="9:16">
      <c r="I52" s="91" t="s">
        <v>13</v>
      </c>
      <c r="J52" s="91">
        <v>344</v>
      </c>
      <c r="K52" s="91" t="s">
        <v>65</v>
      </c>
      <c r="L52" s="91">
        <v>3065</v>
      </c>
      <c r="M52" s="91" t="s">
        <v>66</v>
      </c>
      <c r="N52" s="91">
        <v>67</v>
      </c>
      <c r="O52" s="91" t="s">
        <v>67</v>
      </c>
      <c r="P52" s="91">
        <v>54</v>
      </c>
    </row>
    <row r="53" spans="9:16">
      <c r="I53" s="91" t="s">
        <v>13</v>
      </c>
      <c r="J53" s="91">
        <v>411</v>
      </c>
      <c r="K53" s="91" t="s">
        <v>65</v>
      </c>
      <c r="L53" s="91">
        <v>283</v>
      </c>
      <c r="M53" s="91" t="s">
        <v>66</v>
      </c>
      <c r="N53" s="91">
        <v>52</v>
      </c>
      <c r="O53" s="91" t="s">
        <v>67</v>
      </c>
      <c r="P53" s="91">
        <v>48</v>
      </c>
    </row>
    <row r="54" spans="9:16">
      <c r="I54" s="91" t="s">
        <v>13</v>
      </c>
      <c r="J54" s="91">
        <v>444</v>
      </c>
      <c r="K54" s="91" t="s">
        <v>65</v>
      </c>
      <c r="L54" s="91">
        <v>300</v>
      </c>
      <c r="M54" s="91" t="s">
        <v>66</v>
      </c>
      <c r="N54" s="91">
        <v>49</v>
      </c>
      <c r="O54" s="91" t="s">
        <v>67</v>
      </c>
      <c r="P54" s="91">
        <v>39</v>
      </c>
    </row>
    <row r="55" spans="9:16">
      <c r="I55" s="91" t="s">
        <v>13</v>
      </c>
      <c r="J55" s="91">
        <v>779</v>
      </c>
      <c r="K55" s="91" t="s">
        <v>65</v>
      </c>
      <c r="L55" s="91">
        <v>824</v>
      </c>
      <c r="M55" s="91" t="s">
        <v>66</v>
      </c>
      <c r="N55" s="91">
        <v>37</v>
      </c>
      <c r="O55" s="91" t="s">
        <v>67</v>
      </c>
      <c r="P55" s="91">
        <v>38</v>
      </c>
    </row>
    <row r="56" spans="9:16">
      <c r="I56" s="91" t="s">
        <v>13</v>
      </c>
      <c r="J56" s="91">
        <v>867</v>
      </c>
      <c r="K56" s="91" t="s">
        <v>65</v>
      </c>
      <c r="L56" s="91">
        <v>281</v>
      </c>
      <c r="M56" s="91" t="s">
        <v>66</v>
      </c>
      <c r="N56" s="91">
        <v>36</v>
      </c>
      <c r="O56" s="91" t="s">
        <v>67</v>
      </c>
      <c r="P56" s="91">
        <v>33</v>
      </c>
    </row>
    <row r="57" spans="9:16">
      <c r="I57" s="91" t="s">
        <v>13</v>
      </c>
      <c r="J57" s="91">
        <v>964</v>
      </c>
      <c r="K57" s="91" t="s">
        <v>65</v>
      </c>
      <c r="L57" s="91">
        <v>773</v>
      </c>
      <c r="M57" s="91" t="s">
        <v>66</v>
      </c>
      <c r="N57" s="91">
        <v>16</v>
      </c>
      <c r="O57" s="91" t="s">
        <v>67</v>
      </c>
      <c r="P57" s="91">
        <v>24</v>
      </c>
    </row>
    <row r="58" spans="9:16">
      <c r="I58" s="91" t="s">
        <v>13</v>
      </c>
      <c r="J58" s="91">
        <v>1112</v>
      </c>
      <c r="K58" s="91" t="s">
        <v>65</v>
      </c>
      <c r="L58" s="91">
        <v>697</v>
      </c>
      <c r="M58" s="91" t="s">
        <v>66</v>
      </c>
      <c r="N58" s="91">
        <v>27</v>
      </c>
      <c r="O58" s="91" t="s">
        <v>67</v>
      </c>
      <c r="P58" s="91">
        <v>30</v>
      </c>
    </row>
    <row r="59" spans="9:16">
      <c r="I59" s="91" t="s">
        <v>13</v>
      </c>
      <c r="J59" s="91">
        <v>1213</v>
      </c>
      <c r="K59" s="91" t="s">
        <v>65</v>
      </c>
      <c r="L59" s="91">
        <v>87</v>
      </c>
      <c r="M59" s="91" t="s">
        <v>66</v>
      </c>
      <c r="N59" s="91">
        <v>16</v>
      </c>
      <c r="O59" s="91" t="s">
        <v>67</v>
      </c>
      <c r="P59" s="91">
        <v>11</v>
      </c>
    </row>
    <row r="60" spans="9:16">
      <c r="I60" s="91" t="s">
        <v>13</v>
      </c>
      <c r="J60" s="91">
        <v>1299</v>
      </c>
      <c r="K60" s="91" t="s">
        <v>65</v>
      </c>
      <c r="L60" s="91">
        <v>60</v>
      </c>
      <c r="M60" s="91" t="s">
        <v>66</v>
      </c>
      <c r="N60" s="91">
        <v>3</v>
      </c>
      <c r="O60" s="91" t="s">
        <v>67</v>
      </c>
      <c r="P60" s="91">
        <v>1</v>
      </c>
    </row>
    <row r="61" spans="9:16">
      <c r="I61" s="91" t="s">
        <v>13</v>
      </c>
      <c r="J61" s="91">
        <v>1408</v>
      </c>
      <c r="K61" s="91" t="s">
        <v>65</v>
      </c>
      <c r="L61" s="91">
        <v>822</v>
      </c>
      <c r="M61" s="91" t="s">
        <v>66</v>
      </c>
      <c r="N61" s="91">
        <v>0</v>
      </c>
      <c r="O61" s="91" t="s">
        <v>67</v>
      </c>
      <c r="P61" s="91">
        <v>0</v>
      </c>
    </row>
    <row r="63" spans="9:16">
      <c r="I63" s="91" t="s">
        <v>70</v>
      </c>
    </row>
    <row r="64" spans="9:16">
      <c r="I64" s="91" t="s">
        <v>13</v>
      </c>
      <c r="J64" s="91">
        <v>122</v>
      </c>
      <c r="K64" s="91" t="s">
        <v>65</v>
      </c>
      <c r="L64" s="91">
        <v>5571</v>
      </c>
      <c r="M64" s="91" t="s">
        <v>66</v>
      </c>
      <c r="N64" s="91">
        <v>221</v>
      </c>
      <c r="O64" s="91" t="s">
        <v>67</v>
      </c>
      <c r="P64" s="91">
        <v>147</v>
      </c>
    </row>
    <row r="65" spans="9:16">
      <c r="I65" s="91" t="s">
        <v>13</v>
      </c>
      <c r="J65" s="91">
        <v>245</v>
      </c>
      <c r="K65" s="91" t="s">
        <v>65</v>
      </c>
      <c r="L65" s="91">
        <v>1167</v>
      </c>
      <c r="M65" s="91" t="s">
        <v>66</v>
      </c>
      <c r="N65" s="91">
        <v>99</v>
      </c>
      <c r="O65" s="91" t="s">
        <v>67</v>
      </c>
      <c r="P65" s="91">
        <v>102</v>
      </c>
    </row>
    <row r="66" spans="9:16">
      <c r="I66" s="91" t="s">
        <v>13</v>
      </c>
      <c r="J66" s="91">
        <v>344</v>
      </c>
      <c r="K66" s="91" t="s">
        <v>65</v>
      </c>
      <c r="L66" s="91">
        <v>2944</v>
      </c>
      <c r="M66" s="91" t="s">
        <v>66</v>
      </c>
      <c r="N66" s="91">
        <v>67</v>
      </c>
      <c r="O66" s="91" t="s">
        <v>67</v>
      </c>
      <c r="P66" s="91">
        <v>50</v>
      </c>
    </row>
    <row r="67" spans="9:16">
      <c r="I67" s="91" t="s">
        <v>13</v>
      </c>
      <c r="J67" s="91">
        <v>411</v>
      </c>
      <c r="K67" s="91" t="s">
        <v>65</v>
      </c>
      <c r="L67" s="91">
        <v>289</v>
      </c>
      <c r="M67" s="91" t="s">
        <v>66</v>
      </c>
      <c r="N67" s="91">
        <v>34</v>
      </c>
      <c r="O67" s="91" t="s">
        <v>67</v>
      </c>
      <c r="P67" s="91">
        <v>37</v>
      </c>
    </row>
    <row r="68" spans="9:16">
      <c r="I68" s="91" t="s">
        <v>13</v>
      </c>
      <c r="J68" s="91">
        <v>444</v>
      </c>
      <c r="K68" s="91" t="s">
        <v>65</v>
      </c>
      <c r="L68" s="91">
        <v>330</v>
      </c>
      <c r="M68" s="91" t="s">
        <v>66</v>
      </c>
      <c r="N68" s="91">
        <v>37</v>
      </c>
      <c r="O68" s="91" t="s">
        <v>67</v>
      </c>
      <c r="P68" s="91">
        <v>47</v>
      </c>
    </row>
    <row r="69" spans="9:16">
      <c r="I69" s="91" t="s">
        <v>13</v>
      </c>
      <c r="J69" s="91">
        <v>779</v>
      </c>
      <c r="K69" s="91" t="s">
        <v>65</v>
      </c>
      <c r="L69" s="91">
        <v>786</v>
      </c>
      <c r="M69" s="91" t="s">
        <v>66</v>
      </c>
      <c r="N69" s="91">
        <v>31</v>
      </c>
      <c r="O69" s="91" t="s">
        <v>67</v>
      </c>
      <c r="P69" s="91">
        <v>34</v>
      </c>
    </row>
    <row r="70" spans="9:16">
      <c r="I70" s="91" t="s">
        <v>13</v>
      </c>
      <c r="J70" s="91">
        <v>867</v>
      </c>
      <c r="K70" s="91" t="s">
        <v>65</v>
      </c>
      <c r="L70" s="91">
        <v>281</v>
      </c>
      <c r="M70" s="91" t="s">
        <v>66</v>
      </c>
      <c r="N70" s="91">
        <v>30</v>
      </c>
      <c r="O70" s="91" t="s">
        <v>67</v>
      </c>
      <c r="P70" s="91">
        <v>25</v>
      </c>
    </row>
    <row r="71" spans="9:16">
      <c r="I71" s="91" t="s">
        <v>13</v>
      </c>
      <c r="J71" s="91">
        <v>964</v>
      </c>
      <c r="K71" s="91" t="s">
        <v>65</v>
      </c>
      <c r="L71" s="91">
        <v>793</v>
      </c>
      <c r="M71" s="91" t="s">
        <v>66</v>
      </c>
      <c r="N71" s="91">
        <v>24</v>
      </c>
      <c r="O71" s="91" t="s">
        <v>67</v>
      </c>
      <c r="P71" s="91">
        <v>21</v>
      </c>
    </row>
    <row r="72" spans="9:16">
      <c r="I72" s="91" t="s">
        <v>13</v>
      </c>
      <c r="J72" s="91">
        <v>1112</v>
      </c>
      <c r="K72" s="91" t="s">
        <v>65</v>
      </c>
      <c r="L72" s="91">
        <v>653</v>
      </c>
      <c r="M72" s="91" t="s">
        <v>66</v>
      </c>
      <c r="N72" s="91">
        <v>16</v>
      </c>
      <c r="O72" s="91" t="s">
        <v>67</v>
      </c>
      <c r="P72" s="91">
        <v>19</v>
      </c>
    </row>
    <row r="73" spans="9:16">
      <c r="I73" s="91" t="s">
        <v>13</v>
      </c>
      <c r="J73" s="91">
        <v>1213</v>
      </c>
      <c r="K73" s="91" t="s">
        <v>65</v>
      </c>
      <c r="L73" s="91">
        <v>66</v>
      </c>
      <c r="M73" s="91" t="s">
        <v>66</v>
      </c>
      <c r="N73" s="91">
        <v>14</v>
      </c>
      <c r="O73" s="91" t="s">
        <v>67</v>
      </c>
      <c r="P73" s="91">
        <v>15</v>
      </c>
    </row>
    <row r="74" spans="9:16">
      <c r="I74" s="91" t="s">
        <v>13</v>
      </c>
      <c r="J74" s="91">
        <v>1299</v>
      </c>
      <c r="K74" s="91" t="s">
        <v>65</v>
      </c>
      <c r="L74" s="91">
        <v>69</v>
      </c>
      <c r="M74" s="91" t="s">
        <v>66</v>
      </c>
      <c r="N74" s="91">
        <v>3</v>
      </c>
      <c r="O74" s="91" t="s">
        <v>67</v>
      </c>
      <c r="P74" s="91">
        <v>2</v>
      </c>
    </row>
    <row r="75" spans="9:16">
      <c r="I75" s="91" t="s">
        <v>13</v>
      </c>
      <c r="J75" s="91">
        <v>1408</v>
      </c>
      <c r="K75" s="91" t="s">
        <v>65</v>
      </c>
      <c r="L75" s="91">
        <v>828</v>
      </c>
      <c r="M75" s="91" t="s">
        <v>66</v>
      </c>
      <c r="N75" s="91">
        <v>1</v>
      </c>
      <c r="O75" s="91" t="s">
        <v>67</v>
      </c>
      <c r="P75" s="91">
        <v>0</v>
      </c>
    </row>
    <row r="77" spans="9:16">
      <c r="I77" s="91" t="s">
        <v>71</v>
      </c>
    </row>
    <row r="78" spans="9:16">
      <c r="I78" s="91" t="s">
        <v>13</v>
      </c>
      <c r="J78" s="91">
        <v>122</v>
      </c>
      <c r="K78" s="91" t="s">
        <v>65</v>
      </c>
      <c r="L78" s="91">
        <v>5581</v>
      </c>
      <c r="M78" s="91" t="s">
        <v>66</v>
      </c>
      <c r="N78" s="91">
        <v>218</v>
      </c>
      <c r="O78" s="91" t="s">
        <v>67</v>
      </c>
      <c r="P78" s="91">
        <v>161</v>
      </c>
    </row>
    <row r="79" spans="9:16">
      <c r="I79" s="91" t="s">
        <v>13</v>
      </c>
      <c r="J79" s="91">
        <v>245</v>
      </c>
      <c r="K79" s="91" t="s">
        <v>65</v>
      </c>
      <c r="L79" s="91">
        <v>1226</v>
      </c>
      <c r="M79" s="91" t="s">
        <v>66</v>
      </c>
      <c r="N79" s="91">
        <v>110</v>
      </c>
      <c r="O79" s="91" t="s">
        <v>67</v>
      </c>
      <c r="P79" s="91">
        <v>99</v>
      </c>
    </row>
    <row r="80" spans="9:16">
      <c r="I80" s="91" t="s">
        <v>13</v>
      </c>
      <c r="J80" s="91">
        <v>344</v>
      </c>
      <c r="K80" s="91" t="s">
        <v>65</v>
      </c>
      <c r="L80" s="91">
        <v>2901</v>
      </c>
      <c r="M80" s="91" t="s">
        <v>66</v>
      </c>
      <c r="N80" s="91">
        <v>54</v>
      </c>
      <c r="O80" s="91" t="s">
        <v>67</v>
      </c>
      <c r="P80" s="91">
        <v>51</v>
      </c>
    </row>
    <row r="81" spans="9:16">
      <c r="I81" s="91" t="s">
        <v>13</v>
      </c>
      <c r="J81" s="91">
        <v>411</v>
      </c>
      <c r="K81" s="91" t="s">
        <v>65</v>
      </c>
      <c r="L81" s="91">
        <v>256</v>
      </c>
      <c r="M81" s="91" t="s">
        <v>66</v>
      </c>
      <c r="N81" s="91">
        <v>51</v>
      </c>
      <c r="O81" s="91" t="s">
        <v>67</v>
      </c>
      <c r="P81" s="91">
        <v>50</v>
      </c>
    </row>
    <row r="82" spans="9:16">
      <c r="I82" s="91" t="s">
        <v>13</v>
      </c>
      <c r="J82" s="91">
        <v>444</v>
      </c>
      <c r="K82" s="91" t="s">
        <v>65</v>
      </c>
      <c r="L82" s="91">
        <v>346</v>
      </c>
      <c r="M82" s="91" t="s">
        <v>66</v>
      </c>
      <c r="N82" s="91">
        <v>46</v>
      </c>
      <c r="O82" s="91" t="s">
        <v>67</v>
      </c>
      <c r="P82" s="91">
        <v>46</v>
      </c>
    </row>
    <row r="83" spans="9:16">
      <c r="I83" s="91" t="s">
        <v>13</v>
      </c>
      <c r="J83" s="91">
        <v>779</v>
      </c>
      <c r="K83" s="91" t="s">
        <v>65</v>
      </c>
      <c r="L83" s="91">
        <v>851</v>
      </c>
      <c r="M83" s="91" t="s">
        <v>66</v>
      </c>
      <c r="N83" s="91">
        <v>32</v>
      </c>
      <c r="O83" s="91" t="s">
        <v>67</v>
      </c>
      <c r="P83" s="91">
        <v>31</v>
      </c>
    </row>
    <row r="84" spans="9:16">
      <c r="I84" s="91" t="s">
        <v>13</v>
      </c>
      <c r="J84" s="91">
        <v>867</v>
      </c>
      <c r="K84" s="91" t="s">
        <v>65</v>
      </c>
      <c r="L84" s="91">
        <v>308</v>
      </c>
      <c r="M84" s="91" t="s">
        <v>66</v>
      </c>
      <c r="N84" s="91">
        <v>26</v>
      </c>
      <c r="O84" s="91" t="s">
        <v>67</v>
      </c>
      <c r="P84" s="91">
        <v>27</v>
      </c>
    </row>
    <row r="85" spans="9:16">
      <c r="I85" s="91" t="s">
        <v>13</v>
      </c>
      <c r="J85" s="91">
        <v>964</v>
      </c>
      <c r="K85" s="91" t="s">
        <v>65</v>
      </c>
      <c r="L85" s="91">
        <v>801</v>
      </c>
      <c r="M85" s="91" t="s">
        <v>66</v>
      </c>
      <c r="N85" s="91">
        <v>20</v>
      </c>
      <c r="O85" s="91" t="s">
        <v>67</v>
      </c>
      <c r="P85" s="91">
        <v>19</v>
      </c>
    </row>
    <row r="86" spans="9:16">
      <c r="I86" s="91" t="s">
        <v>13</v>
      </c>
      <c r="J86" s="91">
        <v>1112</v>
      </c>
      <c r="K86" s="91" t="s">
        <v>65</v>
      </c>
      <c r="L86" s="91">
        <v>670</v>
      </c>
      <c r="M86" s="91" t="s">
        <v>66</v>
      </c>
      <c r="N86" s="91">
        <v>14</v>
      </c>
      <c r="O86" s="91" t="s">
        <v>67</v>
      </c>
      <c r="P86" s="91">
        <v>15</v>
      </c>
    </row>
    <row r="87" spans="9:16">
      <c r="I87" s="91" t="s">
        <v>13</v>
      </c>
      <c r="J87" s="91">
        <v>1213</v>
      </c>
      <c r="K87" s="91" t="s">
        <v>65</v>
      </c>
      <c r="L87" s="91">
        <v>73</v>
      </c>
      <c r="M87" s="91" t="s">
        <v>66</v>
      </c>
      <c r="N87" s="91">
        <v>15</v>
      </c>
      <c r="O87" s="91" t="s">
        <v>67</v>
      </c>
      <c r="P87" s="91">
        <v>9</v>
      </c>
    </row>
    <row r="88" spans="9:16">
      <c r="I88" s="91" t="s">
        <v>13</v>
      </c>
      <c r="J88" s="91">
        <v>1299</v>
      </c>
      <c r="K88" s="91" t="s">
        <v>65</v>
      </c>
      <c r="L88" s="91">
        <v>78</v>
      </c>
      <c r="M88" s="91" t="s">
        <v>66</v>
      </c>
      <c r="N88" s="91">
        <v>4</v>
      </c>
      <c r="O88" s="91" t="s">
        <v>67</v>
      </c>
      <c r="P88" s="91">
        <v>2</v>
      </c>
    </row>
    <row r="89" spans="9:16">
      <c r="I89" s="91" t="s">
        <v>13</v>
      </c>
      <c r="J89" s="91">
        <v>1408</v>
      </c>
      <c r="K89" s="91" t="s">
        <v>65</v>
      </c>
      <c r="L89" s="91">
        <v>851</v>
      </c>
      <c r="M89" s="91" t="s">
        <v>66</v>
      </c>
      <c r="N89" s="91">
        <v>0</v>
      </c>
      <c r="O89" s="91" t="s">
        <v>67</v>
      </c>
      <c r="P89" s="91">
        <v>0</v>
      </c>
    </row>
    <row r="91" spans="9:16">
      <c r="I91" s="91" t="s">
        <v>72</v>
      </c>
    </row>
    <row r="92" spans="9:16">
      <c r="I92" s="91" t="s">
        <v>13</v>
      </c>
      <c r="J92" s="91">
        <v>122</v>
      </c>
      <c r="K92" s="91" t="s">
        <v>65</v>
      </c>
      <c r="L92" s="91">
        <v>5651</v>
      </c>
      <c r="M92" s="91" t="s">
        <v>66</v>
      </c>
      <c r="N92" s="91">
        <v>251</v>
      </c>
      <c r="O92" s="91" t="s">
        <v>67</v>
      </c>
      <c r="P92" s="91">
        <v>133</v>
      </c>
    </row>
    <row r="93" spans="9:16">
      <c r="I93" s="91" t="s">
        <v>13</v>
      </c>
      <c r="J93" s="91">
        <v>245</v>
      </c>
      <c r="K93" s="91" t="s">
        <v>65</v>
      </c>
      <c r="L93" s="91">
        <v>1198</v>
      </c>
      <c r="M93" s="91" t="s">
        <v>66</v>
      </c>
      <c r="N93" s="91">
        <v>96</v>
      </c>
      <c r="O93" s="91" t="s">
        <v>67</v>
      </c>
      <c r="P93" s="91">
        <v>104</v>
      </c>
    </row>
    <row r="94" spans="9:16">
      <c r="I94" s="91" t="s">
        <v>13</v>
      </c>
      <c r="J94" s="91">
        <v>344</v>
      </c>
      <c r="K94" s="91" t="s">
        <v>65</v>
      </c>
      <c r="L94" s="91">
        <v>2970</v>
      </c>
      <c r="M94" s="91" t="s">
        <v>66</v>
      </c>
      <c r="N94" s="91">
        <v>67</v>
      </c>
      <c r="O94" s="91" t="s">
        <v>67</v>
      </c>
      <c r="P94" s="91">
        <v>44</v>
      </c>
    </row>
    <row r="95" spans="9:16">
      <c r="I95" s="91" t="s">
        <v>13</v>
      </c>
      <c r="J95" s="91">
        <v>411</v>
      </c>
      <c r="K95" s="91" t="s">
        <v>65</v>
      </c>
      <c r="L95" s="91">
        <v>257</v>
      </c>
      <c r="M95" s="91" t="s">
        <v>66</v>
      </c>
      <c r="N95" s="91">
        <v>37</v>
      </c>
      <c r="O95" s="91" t="s">
        <v>67</v>
      </c>
      <c r="P95" s="91">
        <v>43</v>
      </c>
    </row>
    <row r="96" spans="9:16">
      <c r="I96" s="91" t="s">
        <v>13</v>
      </c>
      <c r="J96" s="91">
        <v>444</v>
      </c>
      <c r="K96" s="91" t="s">
        <v>65</v>
      </c>
      <c r="L96" s="91">
        <v>332</v>
      </c>
      <c r="M96" s="91" t="s">
        <v>66</v>
      </c>
      <c r="N96" s="91">
        <v>34</v>
      </c>
      <c r="O96" s="91" t="s">
        <v>67</v>
      </c>
      <c r="P96" s="91">
        <v>58</v>
      </c>
    </row>
    <row r="97" spans="9:16">
      <c r="I97" s="91" t="s">
        <v>13</v>
      </c>
      <c r="J97" s="91">
        <v>779</v>
      </c>
      <c r="K97" s="91" t="s">
        <v>65</v>
      </c>
      <c r="L97" s="91">
        <v>828</v>
      </c>
      <c r="M97" s="91" t="s">
        <v>66</v>
      </c>
      <c r="N97" s="91">
        <v>45</v>
      </c>
      <c r="O97" s="91" t="s">
        <v>67</v>
      </c>
      <c r="P97" s="91">
        <v>18</v>
      </c>
    </row>
    <row r="98" spans="9:16">
      <c r="I98" s="91" t="s">
        <v>13</v>
      </c>
      <c r="J98" s="91">
        <v>867</v>
      </c>
      <c r="K98" s="91" t="s">
        <v>65</v>
      </c>
      <c r="L98" s="91">
        <v>285</v>
      </c>
      <c r="M98" s="91" t="s">
        <v>66</v>
      </c>
      <c r="N98" s="91">
        <v>35</v>
      </c>
      <c r="O98" s="91" t="s">
        <v>67</v>
      </c>
      <c r="P98" s="91">
        <v>30</v>
      </c>
    </row>
    <row r="99" spans="9:16">
      <c r="I99" s="91" t="s">
        <v>13</v>
      </c>
      <c r="J99" s="91">
        <v>964</v>
      </c>
      <c r="K99" s="91" t="s">
        <v>65</v>
      </c>
      <c r="L99" s="91">
        <v>802</v>
      </c>
      <c r="M99" s="91" t="s">
        <v>66</v>
      </c>
      <c r="N99" s="91">
        <v>25</v>
      </c>
      <c r="O99" s="91" t="s">
        <v>67</v>
      </c>
      <c r="P99" s="91">
        <v>21</v>
      </c>
    </row>
    <row r="100" spans="9:16">
      <c r="I100" s="91" t="s">
        <v>13</v>
      </c>
      <c r="J100" s="91">
        <v>1112</v>
      </c>
      <c r="K100" s="91" t="s">
        <v>65</v>
      </c>
      <c r="L100" s="91">
        <v>662</v>
      </c>
      <c r="M100" s="91" t="s">
        <v>66</v>
      </c>
      <c r="N100" s="91">
        <v>16</v>
      </c>
      <c r="O100" s="91" t="s">
        <v>67</v>
      </c>
      <c r="P100" s="91">
        <v>25</v>
      </c>
    </row>
    <row r="101" spans="9:16">
      <c r="I101" s="91" t="s">
        <v>13</v>
      </c>
      <c r="J101" s="91">
        <v>1213</v>
      </c>
      <c r="K101" s="91" t="s">
        <v>65</v>
      </c>
      <c r="L101" s="91">
        <v>90</v>
      </c>
      <c r="M101" s="91" t="s">
        <v>66</v>
      </c>
      <c r="N101" s="91">
        <v>13</v>
      </c>
      <c r="O101" s="91" t="s">
        <v>67</v>
      </c>
      <c r="P101" s="91">
        <v>17</v>
      </c>
    </row>
    <row r="102" spans="9:16">
      <c r="I102" s="91" t="s">
        <v>13</v>
      </c>
      <c r="J102" s="91">
        <v>1299</v>
      </c>
      <c r="K102" s="91" t="s">
        <v>65</v>
      </c>
      <c r="L102" s="91">
        <v>67</v>
      </c>
      <c r="M102" s="91" t="s">
        <v>66</v>
      </c>
      <c r="N102" s="91">
        <v>5</v>
      </c>
      <c r="O102" s="91" t="s">
        <v>67</v>
      </c>
      <c r="P102" s="91">
        <v>3</v>
      </c>
    </row>
    <row r="103" spans="9:16">
      <c r="I103" s="91" t="s">
        <v>13</v>
      </c>
      <c r="J103" s="91">
        <v>1408</v>
      </c>
      <c r="K103" s="91" t="s">
        <v>65</v>
      </c>
      <c r="L103" s="91">
        <v>838</v>
      </c>
      <c r="M103" s="91" t="s">
        <v>66</v>
      </c>
      <c r="N103" s="91">
        <v>0</v>
      </c>
      <c r="O103" s="91" t="s">
        <v>67</v>
      </c>
      <c r="P103" s="91">
        <v>0</v>
      </c>
    </row>
    <row r="105" spans="9:16">
      <c r="I105" s="57" t="s">
        <v>73</v>
      </c>
      <c r="J105" s="57"/>
      <c r="K105" s="57"/>
      <c r="L105" s="57"/>
      <c r="M105" s="57"/>
      <c r="N105" s="57"/>
      <c r="O105" s="57"/>
      <c r="P105" s="57"/>
    </row>
    <row r="106" spans="9:16">
      <c r="I106" s="57" t="s">
        <v>13</v>
      </c>
      <c r="J106" s="57">
        <v>122</v>
      </c>
      <c r="K106" s="57" t="s">
        <v>65</v>
      </c>
      <c r="L106" s="57">
        <v>5585</v>
      </c>
      <c r="M106" s="57" t="s">
        <v>66</v>
      </c>
      <c r="N106" s="57">
        <v>217</v>
      </c>
      <c r="O106" s="57" t="s">
        <v>67</v>
      </c>
      <c r="P106" s="57">
        <v>137</v>
      </c>
    </row>
    <row r="107" spans="9:16">
      <c r="I107" s="57" t="s">
        <v>13</v>
      </c>
      <c r="J107" s="57">
        <v>245</v>
      </c>
      <c r="K107" s="57" t="s">
        <v>65</v>
      </c>
      <c r="L107" s="57">
        <v>1186</v>
      </c>
      <c r="M107" s="57" t="s">
        <v>66</v>
      </c>
      <c r="N107" s="57">
        <v>117</v>
      </c>
      <c r="O107" s="57" t="s">
        <v>67</v>
      </c>
      <c r="P107" s="57">
        <v>109</v>
      </c>
    </row>
    <row r="108" spans="9:16">
      <c r="I108" s="57" t="s">
        <v>13</v>
      </c>
      <c r="J108" s="57">
        <v>344</v>
      </c>
      <c r="K108" s="57" t="s">
        <v>65</v>
      </c>
      <c r="L108" s="57">
        <v>2969</v>
      </c>
      <c r="M108" s="57" t="s">
        <v>66</v>
      </c>
      <c r="N108" s="57">
        <v>62</v>
      </c>
      <c r="O108" s="57" t="s">
        <v>67</v>
      </c>
      <c r="P108" s="57">
        <v>47</v>
      </c>
    </row>
    <row r="109" spans="9:16">
      <c r="I109" s="57" t="s">
        <v>13</v>
      </c>
      <c r="J109" s="57">
        <v>411</v>
      </c>
      <c r="K109" s="57" t="s">
        <v>65</v>
      </c>
      <c r="L109" s="57">
        <v>235</v>
      </c>
      <c r="M109" s="57" t="s">
        <v>66</v>
      </c>
      <c r="N109" s="57">
        <v>48</v>
      </c>
      <c r="O109" s="57" t="s">
        <v>67</v>
      </c>
      <c r="P109" s="57">
        <v>43</v>
      </c>
    </row>
    <row r="110" spans="9:16">
      <c r="I110" s="57" t="s">
        <v>13</v>
      </c>
      <c r="J110" s="57">
        <v>444</v>
      </c>
      <c r="K110" s="57" t="s">
        <v>65</v>
      </c>
      <c r="L110" s="57">
        <v>304</v>
      </c>
      <c r="M110" s="57" t="s">
        <v>66</v>
      </c>
      <c r="N110" s="57">
        <v>36</v>
      </c>
      <c r="O110" s="57" t="s">
        <v>67</v>
      </c>
      <c r="P110" s="57">
        <v>51</v>
      </c>
    </row>
    <row r="111" spans="9:16">
      <c r="I111" s="57" t="s">
        <v>13</v>
      </c>
      <c r="J111" s="57">
        <v>779</v>
      </c>
      <c r="K111" s="57" t="s">
        <v>65</v>
      </c>
      <c r="L111" s="57">
        <v>865</v>
      </c>
      <c r="M111" s="57" t="s">
        <v>66</v>
      </c>
      <c r="N111" s="57">
        <v>37</v>
      </c>
      <c r="O111" s="57" t="s">
        <v>67</v>
      </c>
      <c r="P111" s="57">
        <v>34</v>
      </c>
    </row>
    <row r="112" spans="9:16">
      <c r="I112" s="57" t="s">
        <v>13</v>
      </c>
      <c r="J112" s="57">
        <v>867</v>
      </c>
      <c r="K112" s="57" t="s">
        <v>65</v>
      </c>
      <c r="L112" s="57">
        <v>241</v>
      </c>
      <c r="M112" s="57" t="s">
        <v>66</v>
      </c>
      <c r="N112" s="57">
        <v>34</v>
      </c>
      <c r="O112" s="57" t="s">
        <v>67</v>
      </c>
      <c r="P112" s="57">
        <v>42</v>
      </c>
    </row>
    <row r="113" spans="9:16">
      <c r="I113" s="57" t="s">
        <v>13</v>
      </c>
      <c r="J113" s="57">
        <v>964</v>
      </c>
      <c r="K113" s="57" t="s">
        <v>65</v>
      </c>
      <c r="L113" s="57">
        <v>778</v>
      </c>
      <c r="M113" s="57" t="s">
        <v>66</v>
      </c>
      <c r="N113" s="57">
        <v>19</v>
      </c>
      <c r="O113" s="57" t="s">
        <v>67</v>
      </c>
      <c r="P113" s="57">
        <v>19</v>
      </c>
    </row>
    <row r="114" spans="9:16">
      <c r="I114" s="57" t="s">
        <v>13</v>
      </c>
      <c r="J114" s="57">
        <v>1112</v>
      </c>
      <c r="K114" s="57" t="s">
        <v>65</v>
      </c>
      <c r="L114" s="57">
        <v>655</v>
      </c>
      <c r="M114" s="57" t="s">
        <v>66</v>
      </c>
      <c r="N114" s="57">
        <v>19</v>
      </c>
      <c r="O114" s="57" t="s">
        <v>67</v>
      </c>
      <c r="P114" s="57">
        <v>23</v>
      </c>
    </row>
    <row r="115" spans="9:16">
      <c r="I115" s="57" t="s">
        <v>13</v>
      </c>
      <c r="J115" s="57">
        <v>1213</v>
      </c>
      <c r="K115" s="57" t="s">
        <v>65</v>
      </c>
      <c r="L115" s="57">
        <v>78</v>
      </c>
      <c r="M115" s="57" t="s">
        <v>66</v>
      </c>
      <c r="N115" s="57">
        <v>18</v>
      </c>
      <c r="O115" s="57" t="s">
        <v>67</v>
      </c>
      <c r="P115" s="57">
        <v>10</v>
      </c>
    </row>
    <row r="116" spans="9:16">
      <c r="I116" s="57" t="s">
        <v>13</v>
      </c>
      <c r="J116" s="57">
        <v>1299</v>
      </c>
      <c r="K116" s="57" t="s">
        <v>65</v>
      </c>
      <c r="L116" s="57">
        <v>75</v>
      </c>
      <c r="M116" s="57" t="s">
        <v>66</v>
      </c>
      <c r="N116" s="57">
        <v>2</v>
      </c>
      <c r="O116" s="57" t="s">
        <v>67</v>
      </c>
      <c r="P116" s="57">
        <v>7</v>
      </c>
    </row>
    <row r="117" spans="9:16">
      <c r="I117" s="57" t="s">
        <v>13</v>
      </c>
      <c r="J117" s="57">
        <v>1408</v>
      </c>
      <c r="K117" s="57" t="s">
        <v>65</v>
      </c>
      <c r="L117" s="57">
        <v>864</v>
      </c>
      <c r="M117" s="57" t="s">
        <v>66</v>
      </c>
      <c r="N117" s="57">
        <v>0</v>
      </c>
      <c r="O117" s="57" t="s">
        <v>67</v>
      </c>
      <c r="P117" s="57">
        <v>0</v>
      </c>
    </row>
    <row r="119" spans="9:16">
      <c r="I119" s="91" t="s">
        <v>74</v>
      </c>
    </row>
    <row r="120" spans="9:16">
      <c r="I120" s="91" t="s">
        <v>13</v>
      </c>
      <c r="J120" s="91">
        <v>122</v>
      </c>
      <c r="K120" s="91" t="s">
        <v>65</v>
      </c>
      <c r="L120" s="91">
        <v>5623</v>
      </c>
      <c r="M120" s="91" t="s">
        <v>66</v>
      </c>
      <c r="N120" s="91">
        <v>242</v>
      </c>
      <c r="O120" s="91" t="s">
        <v>67</v>
      </c>
      <c r="P120" s="91">
        <v>152</v>
      </c>
    </row>
    <row r="121" spans="9:16">
      <c r="I121" s="91" t="s">
        <v>13</v>
      </c>
      <c r="J121" s="91">
        <v>245</v>
      </c>
      <c r="K121" s="91" t="s">
        <v>65</v>
      </c>
      <c r="L121" s="91">
        <v>1168</v>
      </c>
      <c r="M121" s="91" t="s">
        <v>66</v>
      </c>
      <c r="N121" s="91">
        <v>106</v>
      </c>
      <c r="O121" s="91" t="s">
        <v>67</v>
      </c>
      <c r="P121" s="91">
        <v>111</v>
      </c>
    </row>
    <row r="122" spans="9:16">
      <c r="I122" s="91" t="s">
        <v>13</v>
      </c>
      <c r="J122" s="91">
        <v>344</v>
      </c>
      <c r="K122" s="91" t="s">
        <v>65</v>
      </c>
      <c r="L122" s="91">
        <v>3039</v>
      </c>
      <c r="M122" s="91" t="s">
        <v>66</v>
      </c>
      <c r="N122" s="91">
        <v>45</v>
      </c>
      <c r="O122" s="91" t="s">
        <v>67</v>
      </c>
      <c r="P122" s="91">
        <v>49</v>
      </c>
    </row>
    <row r="123" spans="9:16">
      <c r="I123" s="91" t="s">
        <v>13</v>
      </c>
      <c r="J123" s="91">
        <v>411</v>
      </c>
      <c r="K123" s="91" t="s">
        <v>65</v>
      </c>
      <c r="L123" s="91">
        <v>278</v>
      </c>
      <c r="M123" s="91" t="s">
        <v>66</v>
      </c>
      <c r="N123" s="91">
        <v>46</v>
      </c>
      <c r="O123" s="91" t="s">
        <v>67</v>
      </c>
      <c r="P123" s="91">
        <v>47</v>
      </c>
    </row>
    <row r="124" spans="9:16">
      <c r="I124" s="91" t="s">
        <v>13</v>
      </c>
      <c r="J124" s="91">
        <v>444</v>
      </c>
      <c r="K124" s="91" t="s">
        <v>65</v>
      </c>
      <c r="L124" s="91">
        <v>370</v>
      </c>
      <c r="M124" s="91" t="s">
        <v>66</v>
      </c>
      <c r="N124" s="91">
        <v>49</v>
      </c>
      <c r="O124" s="91" t="s">
        <v>67</v>
      </c>
      <c r="P124" s="91">
        <v>41</v>
      </c>
    </row>
    <row r="125" spans="9:16">
      <c r="I125" s="91" t="s">
        <v>13</v>
      </c>
      <c r="J125" s="91">
        <v>779</v>
      </c>
      <c r="K125" s="91" t="s">
        <v>65</v>
      </c>
      <c r="L125" s="91">
        <v>824</v>
      </c>
      <c r="M125" s="91" t="s">
        <v>66</v>
      </c>
      <c r="N125" s="91">
        <v>40</v>
      </c>
      <c r="O125" s="91" t="s">
        <v>67</v>
      </c>
      <c r="P125" s="91">
        <v>41</v>
      </c>
    </row>
    <row r="126" spans="9:16">
      <c r="I126" s="91" t="s">
        <v>13</v>
      </c>
      <c r="J126" s="91">
        <v>867</v>
      </c>
      <c r="K126" s="91" t="s">
        <v>65</v>
      </c>
      <c r="L126" s="91">
        <v>265</v>
      </c>
      <c r="M126" s="91" t="s">
        <v>66</v>
      </c>
      <c r="N126" s="91">
        <v>28</v>
      </c>
      <c r="O126" s="91" t="s">
        <v>67</v>
      </c>
      <c r="P126" s="91">
        <v>27</v>
      </c>
    </row>
    <row r="127" spans="9:16">
      <c r="I127" s="91" t="s">
        <v>13</v>
      </c>
      <c r="J127" s="91">
        <v>964</v>
      </c>
      <c r="K127" s="91" t="s">
        <v>65</v>
      </c>
      <c r="L127" s="91">
        <v>810</v>
      </c>
      <c r="M127" s="91" t="s">
        <v>66</v>
      </c>
      <c r="N127" s="91">
        <v>21</v>
      </c>
      <c r="O127" s="91" t="s">
        <v>67</v>
      </c>
      <c r="P127" s="91">
        <v>19</v>
      </c>
    </row>
    <row r="128" spans="9:16">
      <c r="I128" s="91" t="s">
        <v>13</v>
      </c>
      <c r="J128" s="91">
        <v>1112</v>
      </c>
      <c r="K128" s="91" t="s">
        <v>65</v>
      </c>
      <c r="L128" s="91">
        <v>701</v>
      </c>
      <c r="M128" s="91" t="s">
        <v>66</v>
      </c>
      <c r="N128" s="91">
        <v>14</v>
      </c>
      <c r="O128" s="91" t="s">
        <v>67</v>
      </c>
      <c r="P128" s="91">
        <v>17</v>
      </c>
    </row>
    <row r="129" spans="9:16">
      <c r="I129" s="91" t="s">
        <v>13</v>
      </c>
      <c r="J129" s="91">
        <v>1213</v>
      </c>
      <c r="K129" s="91" t="s">
        <v>65</v>
      </c>
      <c r="L129" s="91">
        <v>89</v>
      </c>
      <c r="M129" s="91" t="s">
        <v>66</v>
      </c>
      <c r="N129" s="91">
        <v>19</v>
      </c>
      <c r="O129" s="91" t="s">
        <v>67</v>
      </c>
      <c r="P129" s="91">
        <v>19</v>
      </c>
    </row>
    <row r="130" spans="9:16">
      <c r="I130" s="91" t="s">
        <v>13</v>
      </c>
      <c r="J130" s="91">
        <v>1299</v>
      </c>
      <c r="K130" s="91" t="s">
        <v>65</v>
      </c>
      <c r="L130" s="91">
        <v>74</v>
      </c>
      <c r="M130" s="91" t="s">
        <v>66</v>
      </c>
      <c r="N130" s="91">
        <v>1</v>
      </c>
      <c r="O130" s="91" t="s">
        <v>67</v>
      </c>
      <c r="P130" s="91">
        <v>3</v>
      </c>
    </row>
    <row r="131" spans="9:16">
      <c r="I131" s="91" t="s">
        <v>13</v>
      </c>
      <c r="J131" s="91">
        <v>1408</v>
      </c>
      <c r="K131" s="91" t="s">
        <v>65</v>
      </c>
      <c r="L131" s="91">
        <v>829</v>
      </c>
      <c r="M131" s="91" t="s">
        <v>66</v>
      </c>
      <c r="N131" s="91">
        <v>0</v>
      </c>
      <c r="O131" s="91" t="s">
        <v>67</v>
      </c>
      <c r="P131" s="91">
        <v>0</v>
      </c>
    </row>
    <row r="133" spans="9:16">
      <c r="I133" s="91" t="s">
        <v>75</v>
      </c>
    </row>
    <row r="134" spans="9:16">
      <c r="I134" s="91" t="s">
        <v>13</v>
      </c>
      <c r="J134" s="91">
        <v>122</v>
      </c>
      <c r="K134" s="91" t="s">
        <v>65</v>
      </c>
      <c r="L134" s="91">
        <v>5612</v>
      </c>
      <c r="M134" s="91" t="s">
        <v>66</v>
      </c>
      <c r="N134" s="91">
        <v>226</v>
      </c>
      <c r="O134" s="91" t="s">
        <v>67</v>
      </c>
      <c r="P134" s="91">
        <v>150</v>
      </c>
    </row>
    <row r="135" spans="9:16">
      <c r="I135" s="91" t="s">
        <v>13</v>
      </c>
      <c r="J135" s="91">
        <v>245</v>
      </c>
      <c r="K135" s="91" t="s">
        <v>65</v>
      </c>
      <c r="L135" s="91">
        <v>1193</v>
      </c>
      <c r="M135" s="91" t="s">
        <v>66</v>
      </c>
      <c r="N135" s="91">
        <v>120</v>
      </c>
      <c r="O135" s="91" t="s">
        <v>67</v>
      </c>
      <c r="P135" s="91">
        <v>101</v>
      </c>
    </row>
    <row r="136" spans="9:16">
      <c r="I136" s="91" t="s">
        <v>13</v>
      </c>
      <c r="J136" s="91">
        <v>344</v>
      </c>
      <c r="K136" s="91" t="s">
        <v>65</v>
      </c>
      <c r="L136" s="91">
        <v>3087</v>
      </c>
      <c r="M136" s="91" t="s">
        <v>66</v>
      </c>
      <c r="N136" s="91">
        <v>51</v>
      </c>
      <c r="O136" s="91" t="s">
        <v>67</v>
      </c>
      <c r="P136" s="91">
        <v>49</v>
      </c>
    </row>
    <row r="137" spans="9:16">
      <c r="I137" s="91" t="s">
        <v>13</v>
      </c>
      <c r="J137" s="91">
        <v>411</v>
      </c>
      <c r="K137" s="91" t="s">
        <v>65</v>
      </c>
      <c r="L137" s="91">
        <v>271</v>
      </c>
      <c r="M137" s="91" t="s">
        <v>66</v>
      </c>
      <c r="N137" s="91">
        <v>47</v>
      </c>
      <c r="O137" s="91" t="s">
        <v>67</v>
      </c>
      <c r="P137" s="91">
        <v>53</v>
      </c>
    </row>
    <row r="138" spans="9:16">
      <c r="I138" s="91" t="s">
        <v>13</v>
      </c>
      <c r="J138" s="91">
        <v>444</v>
      </c>
      <c r="K138" s="91" t="s">
        <v>65</v>
      </c>
      <c r="L138" s="91">
        <v>331</v>
      </c>
      <c r="M138" s="91" t="s">
        <v>66</v>
      </c>
      <c r="N138" s="91">
        <v>46</v>
      </c>
      <c r="O138" s="91" t="s">
        <v>67</v>
      </c>
      <c r="P138" s="91">
        <v>47</v>
      </c>
    </row>
    <row r="139" spans="9:16">
      <c r="I139" s="91" t="s">
        <v>13</v>
      </c>
      <c r="J139" s="91">
        <v>779</v>
      </c>
      <c r="K139" s="91" t="s">
        <v>65</v>
      </c>
      <c r="L139" s="91">
        <v>844</v>
      </c>
      <c r="M139" s="91" t="s">
        <v>66</v>
      </c>
      <c r="N139" s="91">
        <v>42</v>
      </c>
      <c r="O139" s="91" t="s">
        <v>67</v>
      </c>
      <c r="P139" s="91">
        <v>31</v>
      </c>
    </row>
    <row r="140" spans="9:16">
      <c r="I140" s="91" t="s">
        <v>13</v>
      </c>
      <c r="J140" s="91">
        <v>867</v>
      </c>
      <c r="K140" s="91" t="s">
        <v>65</v>
      </c>
      <c r="L140" s="91">
        <v>233</v>
      </c>
      <c r="M140" s="91" t="s">
        <v>66</v>
      </c>
      <c r="N140" s="91">
        <v>39</v>
      </c>
      <c r="O140" s="91" t="s">
        <v>67</v>
      </c>
      <c r="P140" s="91">
        <v>25</v>
      </c>
    </row>
    <row r="141" spans="9:16">
      <c r="I141" s="91" t="s">
        <v>13</v>
      </c>
      <c r="J141" s="91">
        <v>964</v>
      </c>
      <c r="K141" s="91" t="s">
        <v>65</v>
      </c>
      <c r="L141" s="91">
        <v>803</v>
      </c>
      <c r="M141" s="91" t="s">
        <v>66</v>
      </c>
      <c r="N141" s="91">
        <v>12</v>
      </c>
      <c r="O141" s="91" t="s">
        <v>67</v>
      </c>
      <c r="P141" s="91">
        <v>23</v>
      </c>
    </row>
    <row r="142" spans="9:16">
      <c r="I142" s="91" t="s">
        <v>13</v>
      </c>
      <c r="J142" s="91">
        <v>1112</v>
      </c>
      <c r="K142" s="91" t="s">
        <v>65</v>
      </c>
      <c r="L142" s="91">
        <v>657</v>
      </c>
      <c r="M142" s="91" t="s">
        <v>66</v>
      </c>
      <c r="N142" s="91">
        <v>19</v>
      </c>
      <c r="O142" s="91" t="s">
        <v>67</v>
      </c>
      <c r="P142" s="91">
        <v>24</v>
      </c>
    </row>
    <row r="143" spans="9:16">
      <c r="I143" s="91" t="s">
        <v>13</v>
      </c>
      <c r="J143" s="91">
        <v>1213</v>
      </c>
      <c r="K143" s="91" t="s">
        <v>65</v>
      </c>
      <c r="L143" s="91">
        <v>93</v>
      </c>
      <c r="M143" s="91" t="s">
        <v>66</v>
      </c>
      <c r="N143" s="91">
        <v>17</v>
      </c>
      <c r="O143" s="91" t="s">
        <v>67</v>
      </c>
      <c r="P143" s="91">
        <v>11</v>
      </c>
    </row>
    <row r="144" spans="9:16">
      <c r="I144" s="91" t="s">
        <v>13</v>
      </c>
      <c r="J144" s="91">
        <v>1299</v>
      </c>
      <c r="K144" s="91" t="s">
        <v>65</v>
      </c>
      <c r="L144" s="91">
        <v>70</v>
      </c>
      <c r="M144" s="91" t="s">
        <v>66</v>
      </c>
      <c r="N144" s="91">
        <v>2</v>
      </c>
      <c r="O144" s="91" t="s">
        <v>67</v>
      </c>
      <c r="P144" s="91">
        <v>4</v>
      </c>
    </row>
    <row r="145" spans="9:16">
      <c r="I145" s="91" t="s">
        <v>13</v>
      </c>
      <c r="J145" s="91">
        <v>1408</v>
      </c>
      <c r="K145" s="91" t="s">
        <v>65</v>
      </c>
      <c r="L145" s="91">
        <v>853</v>
      </c>
      <c r="M145" s="91" t="s">
        <v>66</v>
      </c>
      <c r="N145" s="91">
        <v>1</v>
      </c>
      <c r="O145" s="91" t="s">
        <v>67</v>
      </c>
      <c r="P145" s="91">
        <v>0</v>
      </c>
    </row>
    <row r="147" spans="9:16">
      <c r="I147" s="91" t="s">
        <v>76</v>
      </c>
    </row>
    <row r="148" spans="9:16">
      <c r="I148" s="91" t="s">
        <v>13</v>
      </c>
      <c r="J148" s="91">
        <v>122</v>
      </c>
      <c r="K148" s="91" t="s">
        <v>65</v>
      </c>
      <c r="L148" s="91">
        <v>582</v>
      </c>
      <c r="M148" s="91" t="s">
        <v>66</v>
      </c>
      <c r="N148" s="91">
        <v>116</v>
      </c>
      <c r="O148" s="91" t="s">
        <v>67</v>
      </c>
      <c r="P148" s="91">
        <v>62</v>
      </c>
    </row>
    <row r="149" spans="9:16">
      <c r="I149" s="91" t="s">
        <v>13</v>
      </c>
      <c r="J149" s="91">
        <v>245</v>
      </c>
      <c r="K149" s="91" t="s">
        <v>65</v>
      </c>
      <c r="L149" s="91">
        <v>218</v>
      </c>
      <c r="M149" s="91" t="s">
        <v>66</v>
      </c>
      <c r="N149" s="91">
        <v>49</v>
      </c>
      <c r="O149" s="91" t="s">
        <v>67</v>
      </c>
      <c r="P149" s="91">
        <v>31</v>
      </c>
    </row>
    <row r="150" spans="9:16">
      <c r="I150" s="91" t="s">
        <v>13</v>
      </c>
      <c r="J150" s="91">
        <v>344</v>
      </c>
      <c r="K150" s="91" t="s">
        <v>65</v>
      </c>
      <c r="L150" s="91">
        <v>586</v>
      </c>
      <c r="M150" s="91" t="s">
        <v>66</v>
      </c>
      <c r="N150" s="91">
        <v>30</v>
      </c>
      <c r="O150" s="91" t="s">
        <v>67</v>
      </c>
      <c r="P150" s="91">
        <v>25</v>
      </c>
    </row>
    <row r="151" spans="9:16">
      <c r="I151" s="91" t="s">
        <v>13</v>
      </c>
      <c r="J151" s="91">
        <v>411</v>
      </c>
      <c r="K151" s="91" t="s">
        <v>65</v>
      </c>
      <c r="L151" s="91">
        <v>55</v>
      </c>
      <c r="M151" s="91" t="s">
        <v>66</v>
      </c>
      <c r="N151" s="91">
        <v>24</v>
      </c>
      <c r="O151" s="91" t="s">
        <v>67</v>
      </c>
      <c r="P151" s="91">
        <v>22</v>
      </c>
    </row>
    <row r="152" spans="9:16">
      <c r="I152" s="91" t="s">
        <v>13</v>
      </c>
      <c r="J152" s="91">
        <v>444</v>
      </c>
      <c r="K152" s="91" t="s">
        <v>65</v>
      </c>
      <c r="L152" s="91">
        <v>78</v>
      </c>
      <c r="M152" s="91" t="s">
        <v>66</v>
      </c>
      <c r="N152" s="91">
        <v>30</v>
      </c>
      <c r="O152" s="91" t="s">
        <v>67</v>
      </c>
      <c r="P152" s="91">
        <v>19</v>
      </c>
    </row>
    <row r="153" spans="9:16">
      <c r="I153" s="91" t="s">
        <v>13</v>
      </c>
      <c r="J153" s="91">
        <v>779</v>
      </c>
      <c r="K153" s="91" t="s">
        <v>65</v>
      </c>
      <c r="L153" s="91">
        <v>183</v>
      </c>
      <c r="M153" s="91" t="s">
        <v>66</v>
      </c>
      <c r="N153" s="91">
        <v>16</v>
      </c>
      <c r="O153" s="91" t="s">
        <v>67</v>
      </c>
      <c r="P153" s="91">
        <v>12</v>
      </c>
    </row>
    <row r="154" spans="9:16">
      <c r="I154" s="91" t="s">
        <v>13</v>
      </c>
      <c r="J154" s="91">
        <v>867</v>
      </c>
      <c r="K154" s="91" t="s">
        <v>65</v>
      </c>
      <c r="L154" s="91">
        <v>62</v>
      </c>
      <c r="M154" s="91" t="s">
        <v>66</v>
      </c>
      <c r="N154" s="91">
        <v>11</v>
      </c>
      <c r="O154" s="91" t="s">
        <v>67</v>
      </c>
      <c r="P154" s="91">
        <v>11</v>
      </c>
    </row>
    <row r="155" spans="9:16">
      <c r="I155" s="91" t="s">
        <v>13</v>
      </c>
      <c r="J155" s="91">
        <v>964</v>
      </c>
      <c r="K155" s="91" t="s">
        <v>65</v>
      </c>
      <c r="L155" s="91">
        <v>180</v>
      </c>
      <c r="M155" s="91" t="s">
        <v>66</v>
      </c>
      <c r="N155" s="91">
        <v>8</v>
      </c>
      <c r="O155" s="91" t="s">
        <v>67</v>
      </c>
      <c r="P155" s="91">
        <v>8</v>
      </c>
    </row>
    <row r="156" spans="9:16">
      <c r="I156" s="91" t="s">
        <v>13</v>
      </c>
      <c r="J156" s="91">
        <v>1112</v>
      </c>
      <c r="K156" s="91" t="s">
        <v>65</v>
      </c>
      <c r="L156" s="91">
        <v>177</v>
      </c>
      <c r="M156" s="91" t="s">
        <v>66</v>
      </c>
      <c r="N156" s="91">
        <v>6</v>
      </c>
      <c r="O156" s="91" t="s">
        <v>67</v>
      </c>
      <c r="P156" s="91">
        <v>2</v>
      </c>
    </row>
    <row r="157" spans="9:16">
      <c r="I157" s="91" t="s">
        <v>13</v>
      </c>
      <c r="J157" s="91">
        <v>1213</v>
      </c>
      <c r="K157" s="91" t="s">
        <v>65</v>
      </c>
      <c r="L157" s="91">
        <v>16</v>
      </c>
      <c r="M157" s="91" t="s">
        <v>66</v>
      </c>
      <c r="N157" s="91">
        <v>2</v>
      </c>
      <c r="O157" s="91" t="s">
        <v>67</v>
      </c>
      <c r="P157" s="91">
        <v>5</v>
      </c>
    </row>
    <row r="158" spans="9:16">
      <c r="I158" s="91" t="s">
        <v>13</v>
      </c>
      <c r="J158" s="91">
        <v>1299</v>
      </c>
      <c r="K158" s="91" t="s">
        <v>65</v>
      </c>
      <c r="L158" s="91">
        <v>15</v>
      </c>
      <c r="M158" s="91" t="s">
        <v>66</v>
      </c>
      <c r="N158" s="91">
        <v>2</v>
      </c>
      <c r="O158" s="91" t="s">
        <v>67</v>
      </c>
      <c r="P158" s="91">
        <v>0</v>
      </c>
    </row>
    <row r="159" spans="9:16">
      <c r="I159" s="91" t="s">
        <v>13</v>
      </c>
      <c r="J159" s="91">
        <v>1408</v>
      </c>
      <c r="K159" s="91" t="s">
        <v>65</v>
      </c>
      <c r="L159" s="91">
        <v>222</v>
      </c>
      <c r="M159" s="91" t="s">
        <v>66</v>
      </c>
      <c r="N159" s="91">
        <v>2</v>
      </c>
      <c r="O159" s="91" t="s">
        <v>67</v>
      </c>
      <c r="P159" s="91">
        <v>0</v>
      </c>
    </row>
    <row r="161" spans="9:16">
      <c r="I161" s="91" t="s">
        <v>77</v>
      </c>
    </row>
    <row r="162" spans="9:16">
      <c r="I162" s="91" t="s">
        <v>13</v>
      </c>
      <c r="J162" s="91">
        <v>122</v>
      </c>
      <c r="K162" s="91" t="s">
        <v>65</v>
      </c>
      <c r="L162" s="91">
        <v>586</v>
      </c>
      <c r="M162" s="91" t="s">
        <v>66</v>
      </c>
      <c r="N162" s="91">
        <v>83</v>
      </c>
      <c r="O162" s="91" t="s">
        <v>67</v>
      </c>
      <c r="P162" s="91">
        <v>65</v>
      </c>
    </row>
    <row r="163" spans="9:16">
      <c r="I163" s="91" t="s">
        <v>13</v>
      </c>
      <c r="J163" s="91">
        <v>245</v>
      </c>
      <c r="K163" s="91" t="s">
        <v>65</v>
      </c>
      <c r="L163" s="91">
        <v>242</v>
      </c>
      <c r="M163" s="91" t="s">
        <v>66</v>
      </c>
      <c r="N163" s="91">
        <v>52</v>
      </c>
      <c r="O163" s="91" t="s">
        <v>67</v>
      </c>
      <c r="P163" s="91">
        <v>51</v>
      </c>
    </row>
    <row r="164" spans="9:16">
      <c r="I164" s="91" t="s">
        <v>13</v>
      </c>
      <c r="J164" s="91">
        <v>344</v>
      </c>
      <c r="K164" s="91" t="s">
        <v>65</v>
      </c>
      <c r="L164" s="91">
        <v>546</v>
      </c>
      <c r="M164" s="91" t="s">
        <v>66</v>
      </c>
      <c r="N164" s="91">
        <v>29</v>
      </c>
      <c r="O164" s="91" t="s">
        <v>67</v>
      </c>
      <c r="P164" s="91">
        <v>24</v>
      </c>
    </row>
    <row r="165" spans="9:16">
      <c r="I165" s="91" t="s">
        <v>13</v>
      </c>
      <c r="J165" s="91">
        <v>411</v>
      </c>
      <c r="K165" s="91" t="s">
        <v>65</v>
      </c>
      <c r="L165" s="91">
        <v>66</v>
      </c>
      <c r="M165" s="91" t="s">
        <v>66</v>
      </c>
      <c r="N165" s="91">
        <v>24</v>
      </c>
      <c r="O165" s="91" t="s">
        <v>67</v>
      </c>
      <c r="P165" s="91">
        <v>19</v>
      </c>
    </row>
    <row r="166" spans="9:16">
      <c r="I166" s="91" t="s">
        <v>13</v>
      </c>
      <c r="J166" s="91">
        <v>444</v>
      </c>
      <c r="K166" s="91" t="s">
        <v>65</v>
      </c>
      <c r="L166" s="91">
        <v>68</v>
      </c>
      <c r="M166" s="91" t="s">
        <v>66</v>
      </c>
      <c r="N166" s="91">
        <v>21</v>
      </c>
      <c r="O166" s="91" t="s">
        <v>67</v>
      </c>
      <c r="P166" s="91">
        <v>26</v>
      </c>
    </row>
    <row r="167" spans="9:16">
      <c r="I167" s="91" t="s">
        <v>13</v>
      </c>
      <c r="J167" s="91">
        <v>779</v>
      </c>
      <c r="K167" s="91" t="s">
        <v>65</v>
      </c>
      <c r="L167" s="91">
        <v>194</v>
      </c>
      <c r="M167" s="91" t="s">
        <v>66</v>
      </c>
      <c r="N167" s="91">
        <v>11</v>
      </c>
      <c r="O167" s="91" t="s">
        <v>67</v>
      </c>
      <c r="P167" s="91">
        <v>12</v>
      </c>
    </row>
    <row r="168" spans="9:16">
      <c r="I168" s="91" t="s">
        <v>13</v>
      </c>
      <c r="J168" s="91">
        <v>867</v>
      </c>
      <c r="K168" s="91" t="s">
        <v>65</v>
      </c>
      <c r="L168" s="91">
        <v>75</v>
      </c>
      <c r="M168" s="91" t="s">
        <v>66</v>
      </c>
      <c r="N168" s="91">
        <v>15</v>
      </c>
      <c r="O168" s="91" t="s">
        <v>67</v>
      </c>
      <c r="P168" s="91">
        <v>19</v>
      </c>
    </row>
    <row r="169" spans="9:16">
      <c r="I169" s="91" t="s">
        <v>13</v>
      </c>
      <c r="J169" s="91">
        <v>964</v>
      </c>
      <c r="K169" s="91" t="s">
        <v>65</v>
      </c>
      <c r="L169" s="91">
        <v>173</v>
      </c>
      <c r="M169" s="91" t="s">
        <v>66</v>
      </c>
      <c r="N169" s="91">
        <v>3</v>
      </c>
      <c r="O169" s="91" t="s">
        <v>67</v>
      </c>
      <c r="P169" s="91">
        <v>9</v>
      </c>
    </row>
    <row r="170" spans="9:16">
      <c r="I170" s="91" t="s">
        <v>13</v>
      </c>
      <c r="J170" s="91">
        <v>1112</v>
      </c>
      <c r="K170" s="91" t="s">
        <v>65</v>
      </c>
      <c r="L170" s="91">
        <v>173</v>
      </c>
      <c r="M170" s="91" t="s">
        <v>66</v>
      </c>
      <c r="N170" s="91">
        <v>5</v>
      </c>
      <c r="O170" s="91" t="s">
        <v>67</v>
      </c>
      <c r="P170" s="91">
        <v>6</v>
      </c>
    </row>
    <row r="171" spans="9:16">
      <c r="I171" s="91" t="s">
        <v>13</v>
      </c>
      <c r="J171" s="91">
        <v>1213</v>
      </c>
      <c r="K171" s="91" t="s">
        <v>65</v>
      </c>
      <c r="L171" s="91">
        <v>27</v>
      </c>
      <c r="M171" s="91" t="s">
        <v>66</v>
      </c>
      <c r="N171" s="91">
        <v>5</v>
      </c>
      <c r="O171" s="91" t="s">
        <v>67</v>
      </c>
      <c r="P171" s="91">
        <v>2</v>
      </c>
    </row>
    <row r="172" spans="9:16">
      <c r="I172" s="91" t="s">
        <v>13</v>
      </c>
      <c r="J172" s="91">
        <v>1299</v>
      </c>
      <c r="K172" s="91" t="s">
        <v>65</v>
      </c>
      <c r="L172" s="91">
        <v>28</v>
      </c>
      <c r="M172" s="91" t="s">
        <v>66</v>
      </c>
      <c r="N172" s="91">
        <v>0</v>
      </c>
      <c r="O172" s="91" t="s">
        <v>67</v>
      </c>
      <c r="P172" s="91">
        <v>3</v>
      </c>
    </row>
    <row r="173" spans="9:16">
      <c r="I173" s="91" t="s">
        <v>13</v>
      </c>
      <c r="J173" s="91">
        <v>1408</v>
      </c>
      <c r="K173" s="91" t="s">
        <v>65</v>
      </c>
      <c r="L173" s="91">
        <v>246</v>
      </c>
      <c r="M173" s="91" t="s">
        <v>66</v>
      </c>
      <c r="N173" s="91">
        <v>1</v>
      </c>
      <c r="O173" s="91" t="s">
        <v>67</v>
      </c>
      <c r="P173" s="91">
        <v>0</v>
      </c>
    </row>
    <row r="175" spans="9:16">
      <c r="I175" s="91" t="s">
        <v>78</v>
      </c>
    </row>
    <row r="176" spans="9:16">
      <c r="I176" s="91" t="s">
        <v>13</v>
      </c>
      <c r="J176" s="91">
        <v>122</v>
      </c>
      <c r="K176" s="91" t="s">
        <v>65</v>
      </c>
      <c r="L176" s="91">
        <v>619</v>
      </c>
      <c r="M176" s="91" t="s">
        <v>66</v>
      </c>
      <c r="N176" s="91">
        <v>110</v>
      </c>
      <c r="O176" s="91" t="s">
        <v>67</v>
      </c>
      <c r="P176" s="91">
        <v>48</v>
      </c>
    </row>
    <row r="177" spans="9:16">
      <c r="I177" s="91" t="s">
        <v>13</v>
      </c>
      <c r="J177" s="91">
        <v>245</v>
      </c>
      <c r="K177" s="91" t="s">
        <v>65</v>
      </c>
      <c r="L177" s="91">
        <v>203</v>
      </c>
      <c r="M177" s="91" t="s">
        <v>66</v>
      </c>
      <c r="N177" s="91">
        <v>52</v>
      </c>
      <c r="O177" s="91" t="s">
        <v>67</v>
      </c>
      <c r="P177" s="91">
        <v>35</v>
      </c>
    </row>
    <row r="178" spans="9:16">
      <c r="I178" s="91" t="s">
        <v>13</v>
      </c>
      <c r="J178" s="91">
        <v>344</v>
      </c>
      <c r="K178" s="91" t="s">
        <v>65</v>
      </c>
      <c r="L178" s="91">
        <v>518</v>
      </c>
      <c r="M178" s="91" t="s">
        <v>66</v>
      </c>
      <c r="N178" s="91">
        <v>43</v>
      </c>
      <c r="O178" s="91" t="s">
        <v>67</v>
      </c>
      <c r="P178" s="91">
        <v>24</v>
      </c>
    </row>
    <row r="179" spans="9:16">
      <c r="I179" s="91" t="s">
        <v>13</v>
      </c>
      <c r="J179" s="91">
        <v>411</v>
      </c>
      <c r="K179" s="91" t="s">
        <v>65</v>
      </c>
      <c r="L179" s="91">
        <v>59</v>
      </c>
      <c r="M179" s="91" t="s">
        <v>66</v>
      </c>
      <c r="N179" s="91">
        <v>18</v>
      </c>
      <c r="O179" s="91" t="s">
        <v>67</v>
      </c>
      <c r="P179" s="91">
        <v>20</v>
      </c>
    </row>
    <row r="180" spans="9:16">
      <c r="I180" s="91" t="s">
        <v>13</v>
      </c>
      <c r="J180" s="91">
        <v>444</v>
      </c>
      <c r="K180" s="91" t="s">
        <v>65</v>
      </c>
      <c r="L180" s="91">
        <v>77</v>
      </c>
      <c r="M180" s="91" t="s">
        <v>66</v>
      </c>
      <c r="N180" s="91">
        <v>17</v>
      </c>
      <c r="O180" s="91" t="s">
        <v>67</v>
      </c>
      <c r="P180" s="91">
        <v>14</v>
      </c>
    </row>
    <row r="181" spans="9:16">
      <c r="I181" s="91" t="s">
        <v>13</v>
      </c>
      <c r="J181" s="91">
        <v>779</v>
      </c>
      <c r="K181" s="91" t="s">
        <v>65</v>
      </c>
      <c r="L181" s="91">
        <v>211</v>
      </c>
      <c r="M181" s="91" t="s">
        <v>66</v>
      </c>
      <c r="N181" s="91">
        <v>11</v>
      </c>
      <c r="O181" s="91" t="s">
        <v>67</v>
      </c>
      <c r="P181" s="91">
        <v>10</v>
      </c>
    </row>
    <row r="182" spans="9:16">
      <c r="I182" s="91" t="s">
        <v>13</v>
      </c>
      <c r="J182" s="91">
        <v>867</v>
      </c>
      <c r="K182" s="91" t="s">
        <v>65</v>
      </c>
      <c r="L182" s="91">
        <v>62</v>
      </c>
      <c r="M182" s="91" t="s">
        <v>66</v>
      </c>
      <c r="N182" s="91">
        <v>12</v>
      </c>
      <c r="O182" s="91" t="s">
        <v>67</v>
      </c>
      <c r="P182" s="91">
        <v>12</v>
      </c>
    </row>
    <row r="183" spans="9:16">
      <c r="I183" s="91" t="s">
        <v>13</v>
      </c>
      <c r="J183" s="91">
        <v>964</v>
      </c>
      <c r="K183" s="91" t="s">
        <v>65</v>
      </c>
      <c r="L183" s="91">
        <v>196</v>
      </c>
      <c r="M183" s="91" t="s">
        <v>66</v>
      </c>
      <c r="N183" s="91">
        <v>6</v>
      </c>
      <c r="O183" s="91" t="s">
        <v>67</v>
      </c>
      <c r="P183" s="91">
        <v>9</v>
      </c>
    </row>
    <row r="184" spans="9:16">
      <c r="I184" s="91" t="s">
        <v>13</v>
      </c>
      <c r="J184" s="91">
        <v>1112</v>
      </c>
      <c r="K184" s="91" t="s">
        <v>65</v>
      </c>
      <c r="L184" s="91">
        <v>170</v>
      </c>
      <c r="M184" s="91" t="s">
        <v>66</v>
      </c>
      <c r="N184" s="91">
        <v>7</v>
      </c>
      <c r="O184" s="91" t="s">
        <v>67</v>
      </c>
      <c r="P184" s="91">
        <v>5</v>
      </c>
    </row>
    <row r="185" spans="9:16">
      <c r="I185" s="91" t="s">
        <v>13</v>
      </c>
      <c r="J185" s="91">
        <v>1213</v>
      </c>
      <c r="K185" s="91" t="s">
        <v>65</v>
      </c>
      <c r="L185" s="91">
        <v>18</v>
      </c>
      <c r="M185" s="91" t="s">
        <v>66</v>
      </c>
      <c r="N185" s="91">
        <v>8</v>
      </c>
      <c r="O185" s="91" t="s">
        <v>67</v>
      </c>
      <c r="P185" s="91">
        <v>8</v>
      </c>
    </row>
    <row r="186" spans="9:16">
      <c r="I186" s="91" t="s">
        <v>13</v>
      </c>
      <c r="J186" s="91">
        <v>1299</v>
      </c>
      <c r="K186" s="91" t="s">
        <v>65</v>
      </c>
      <c r="L186" s="91">
        <v>29</v>
      </c>
      <c r="M186" s="91" t="s">
        <v>66</v>
      </c>
      <c r="N186" s="91">
        <v>0</v>
      </c>
      <c r="O186" s="91" t="s">
        <v>67</v>
      </c>
      <c r="P186" s="91">
        <v>1</v>
      </c>
    </row>
    <row r="187" spans="9:16">
      <c r="I187" s="91" t="s">
        <v>13</v>
      </c>
      <c r="J187" s="91">
        <v>1408</v>
      </c>
      <c r="K187" s="91" t="s">
        <v>65</v>
      </c>
      <c r="L187" s="91">
        <v>230</v>
      </c>
      <c r="M187" s="91" t="s">
        <v>66</v>
      </c>
      <c r="N187" s="91">
        <v>0</v>
      </c>
      <c r="O187" s="91" t="s">
        <v>67</v>
      </c>
      <c r="P187" s="91">
        <v>0</v>
      </c>
    </row>
    <row r="189" spans="9:16">
      <c r="I189" s="91" t="s">
        <v>79</v>
      </c>
    </row>
    <row r="190" spans="9:16">
      <c r="I190" s="91" t="s">
        <v>13</v>
      </c>
      <c r="J190" s="91">
        <v>122</v>
      </c>
      <c r="K190" s="91" t="s">
        <v>65</v>
      </c>
      <c r="L190" s="91">
        <v>595</v>
      </c>
      <c r="M190" s="91" t="s">
        <v>66</v>
      </c>
      <c r="N190" s="91">
        <v>112</v>
      </c>
      <c r="O190" s="91" t="s">
        <v>67</v>
      </c>
      <c r="P190" s="91">
        <v>53</v>
      </c>
    </row>
    <row r="191" spans="9:16">
      <c r="I191" s="91" t="s">
        <v>13</v>
      </c>
      <c r="J191" s="91">
        <v>245</v>
      </c>
      <c r="K191" s="91" t="s">
        <v>65</v>
      </c>
      <c r="L191" s="91">
        <v>228</v>
      </c>
      <c r="M191" s="91" t="s">
        <v>66</v>
      </c>
      <c r="N191" s="91">
        <v>53</v>
      </c>
      <c r="O191" s="91" t="s">
        <v>67</v>
      </c>
      <c r="P191" s="91">
        <v>49</v>
      </c>
    </row>
    <row r="192" spans="9:16">
      <c r="I192" s="91" t="s">
        <v>13</v>
      </c>
      <c r="J192" s="91">
        <v>344</v>
      </c>
      <c r="K192" s="91" t="s">
        <v>65</v>
      </c>
      <c r="L192" s="91">
        <v>599</v>
      </c>
      <c r="M192" s="91" t="s">
        <v>66</v>
      </c>
      <c r="N192" s="91">
        <v>36</v>
      </c>
      <c r="O192" s="91" t="s">
        <v>67</v>
      </c>
      <c r="P192" s="91">
        <v>31</v>
      </c>
    </row>
    <row r="193" spans="9:16">
      <c r="I193" s="91" t="s">
        <v>13</v>
      </c>
      <c r="J193" s="91">
        <v>411</v>
      </c>
      <c r="K193" s="91" t="s">
        <v>65</v>
      </c>
      <c r="L193" s="91">
        <v>67</v>
      </c>
      <c r="M193" s="91" t="s">
        <v>66</v>
      </c>
      <c r="N193" s="91">
        <v>20</v>
      </c>
      <c r="O193" s="91" t="s">
        <v>67</v>
      </c>
      <c r="P193" s="91">
        <v>17</v>
      </c>
    </row>
    <row r="194" spans="9:16">
      <c r="I194" s="91" t="s">
        <v>13</v>
      </c>
      <c r="J194" s="91">
        <v>444</v>
      </c>
      <c r="K194" s="91" t="s">
        <v>65</v>
      </c>
      <c r="L194" s="91">
        <v>76</v>
      </c>
      <c r="M194" s="91" t="s">
        <v>66</v>
      </c>
      <c r="N194" s="91">
        <v>24</v>
      </c>
      <c r="O194" s="91" t="s">
        <v>67</v>
      </c>
      <c r="P194" s="91">
        <v>16</v>
      </c>
    </row>
    <row r="195" spans="9:16">
      <c r="I195" s="91" t="s">
        <v>13</v>
      </c>
      <c r="J195" s="91">
        <v>779</v>
      </c>
      <c r="K195" s="91" t="s">
        <v>65</v>
      </c>
      <c r="L195" s="91">
        <v>229</v>
      </c>
      <c r="M195" s="91" t="s">
        <v>66</v>
      </c>
      <c r="N195" s="91">
        <v>13</v>
      </c>
      <c r="O195" s="91" t="s">
        <v>67</v>
      </c>
      <c r="P195" s="91">
        <v>9</v>
      </c>
    </row>
    <row r="196" spans="9:16">
      <c r="I196" s="91" t="s">
        <v>13</v>
      </c>
      <c r="J196" s="91">
        <v>867</v>
      </c>
      <c r="K196" s="91" t="s">
        <v>65</v>
      </c>
      <c r="L196" s="91">
        <v>61</v>
      </c>
      <c r="M196" s="91" t="s">
        <v>66</v>
      </c>
      <c r="N196" s="91">
        <v>12</v>
      </c>
      <c r="O196" s="91" t="s">
        <v>67</v>
      </c>
      <c r="P196" s="91">
        <v>7</v>
      </c>
    </row>
    <row r="197" spans="9:16">
      <c r="I197" s="91" t="s">
        <v>13</v>
      </c>
      <c r="J197" s="91">
        <v>964</v>
      </c>
      <c r="K197" s="91" t="s">
        <v>65</v>
      </c>
      <c r="L197" s="91">
        <v>194</v>
      </c>
      <c r="M197" s="91" t="s">
        <v>66</v>
      </c>
      <c r="N197" s="91">
        <v>10</v>
      </c>
      <c r="O197" s="91" t="s">
        <v>67</v>
      </c>
      <c r="P197" s="91">
        <v>6</v>
      </c>
    </row>
    <row r="198" spans="9:16">
      <c r="I198" s="91" t="s">
        <v>13</v>
      </c>
      <c r="J198" s="91">
        <v>1112</v>
      </c>
      <c r="K198" s="91" t="s">
        <v>65</v>
      </c>
      <c r="L198" s="91">
        <v>151</v>
      </c>
      <c r="M198" s="91" t="s">
        <v>66</v>
      </c>
      <c r="N198" s="91">
        <v>5</v>
      </c>
      <c r="O198" s="91" t="s">
        <v>67</v>
      </c>
      <c r="P198" s="91">
        <v>7</v>
      </c>
    </row>
    <row r="199" spans="9:16">
      <c r="I199" s="91" t="s">
        <v>13</v>
      </c>
      <c r="J199" s="91">
        <v>1213</v>
      </c>
      <c r="K199" s="91" t="s">
        <v>65</v>
      </c>
      <c r="L199" s="91">
        <v>12</v>
      </c>
      <c r="M199" s="91" t="s">
        <v>66</v>
      </c>
      <c r="N199" s="91">
        <v>6</v>
      </c>
      <c r="O199" s="91" t="s">
        <v>67</v>
      </c>
      <c r="P199" s="91">
        <v>2</v>
      </c>
    </row>
    <row r="200" spans="9:16">
      <c r="I200" s="91" t="s">
        <v>13</v>
      </c>
      <c r="J200" s="91">
        <v>1299</v>
      </c>
      <c r="K200" s="91" t="s">
        <v>65</v>
      </c>
      <c r="L200" s="91">
        <v>20</v>
      </c>
      <c r="M200" s="91" t="s">
        <v>66</v>
      </c>
      <c r="N200" s="91">
        <v>4</v>
      </c>
      <c r="O200" s="91" t="s">
        <v>67</v>
      </c>
      <c r="P200" s="91">
        <v>1</v>
      </c>
    </row>
    <row r="201" spans="9:16">
      <c r="I201" s="91" t="s">
        <v>13</v>
      </c>
      <c r="J201" s="91">
        <v>1408</v>
      </c>
      <c r="K201" s="91" t="s">
        <v>65</v>
      </c>
      <c r="L201" s="91">
        <v>209</v>
      </c>
      <c r="M201" s="91" t="s">
        <v>66</v>
      </c>
      <c r="N201" s="91">
        <v>0</v>
      </c>
      <c r="O201" s="91" t="s">
        <v>67</v>
      </c>
      <c r="P201" s="91">
        <v>0</v>
      </c>
    </row>
    <row r="203" spans="9:16">
      <c r="I203" s="91" t="s">
        <v>80</v>
      </c>
    </row>
    <row r="204" spans="9:16">
      <c r="I204" s="91" t="s">
        <v>13</v>
      </c>
      <c r="J204" s="91">
        <v>122</v>
      </c>
      <c r="K204" s="91" t="s">
        <v>65</v>
      </c>
      <c r="L204" s="91">
        <v>630</v>
      </c>
      <c r="M204" s="91" t="s">
        <v>66</v>
      </c>
      <c r="N204" s="91">
        <v>110</v>
      </c>
      <c r="O204" s="91" t="s">
        <v>67</v>
      </c>
      <c r="P204" s="91">
        <v>60</v>
      </c>
    </row>
    <row r="205" spans="9:16">
      <c r="I205" s="91" t="s">
        <v>13</v>
      </c>
      <c r="J205" s="91">
        <v>245</v>
      </c>
      <c r="K205" s="91" t="s">
        <v>65</v>
      </c>
      <c r="L205" s="91">
        <v>210</v>
      </c>
      <c r="M205" s="91" t="s">
        <v>66</v>
      </c>
      <c r="N205" s="91">
        <v>57</v>
      </c>
      <c r="O205" s="91" t="s">
        <v>67</v>
      </c>
      <c r="P205" s="91">
        <v>36</v>
      </c>
    </row>
    <row r="206" spans="9:16">
      <c r="I206" s="91" t="s">
        <v>13</v>
      </c>
      <c r="J206" s="91">
        <v>344</v>
      </c>
      <c r="K206" s="91" t="s">
        <v>65</v>
      </c>
      <c r="L206" s="91">
        <v>593</v>
      </c>
      <c r="M206" s="91" t="s">
        <v>66</v>
      </c>
      <c r="N206" s="91">
        <v>40</v>
      </c>
      <c r="O206" s="91" t="s">
        <v>67</v>
      </c>
      <c r="P206" s="91">
        <v>31</v>
      </c>
    </row>
    <row r="207" spans="9:16">
      <c r="I207" s="91" t="s">
        <v>13</v>
      </c>
      <c r="J207" s="91">
        <v>411</v>
      </c>
      <c r="K207" s="91" t="s">
        <v>65</v>
      </c>
      <c r="L207" s="91">
        <v>53</v>
      </c>
      <c r="M207" s="91" t="s">
        <v>66</v>
      </c>
      <c r="N207" s="91">
        <v>20</v>
      </c>
      <c r="O207" s="91" t="s">
        <v>67</v>
      </c>
      <c r="P207" s="91">
        <v>22</v>
      </c>
    </row>
    <row r="208" spans="9:16">
      <c r="I208" s="91" t="s">
        <v>13</v>
      </c>
      <c r="J208" s="91">
        <v>444</v>
      </c>
      <c r="K208" s="91" t="s">
        <v>65</v>
      </c>
      <c r="L208" s="91">
        <v>60</v>
      </c>
      <c r="M208" s="91" t="s">
        <v>66</v>
      </c>
      <c r="N208" s="91">
        <v>22</v>
      </c>
      <c r="O208" s="91" t="s">
        <v>67</v>
      </c>
      <c r="P208" s="91">
        <v>14</v>
      </c>
    </row>
    <row r="209" spans="9:16">
      <c r="I209" s="91" t="s">
        <v>13</v>
      </c>
      <c r="J209" s="91">
        <v>779</v>
      </c>
      <c r="K209" s="91" t="s">
        <v>65</v>
      </c>
      <c r="L209" s="91">
        <v>172</v>
      </c>
      <c r="M209" s="91" t="s">
        <v>66</v>
      </c>
      <c r="N209" s="91">
        <v>17</v>
      </c>
      <c r="O209" s="91" t="s">
        <v>67</v>
      </c>
      <c r="P209" s="91">
        <v>12</v>
      </c>
    </row>
    <row r="210" spans="9:16">
      <c r="I210" s="91" t="s">
        <v>13</v>
      </c>
      <c r="J210" s="91">
        <v>867</v>
      </c>
      <c r="K210" s="91" t="s">
        <v>65</v>
      </c>
      <c r="L210" s="91">
        <v>62</v>
      </c>
      <c r="M210" s="91" t="s">
        <v>66</v>
      </c>
      <c r="N210" s="91">
        <v>10</v>
      </c>
      <c r="O210" s="91" t="s">
        <v>67</v>
      </c>
      <c r="P210" s="91">
        <v>6</v>
      </c>
    </row>
    <row r="211" spans="9:16">
      <c r="I211" s="91" t="s">
        <v>13</v>
      </c>
      <c r="J211" s="91">
        <v>964</v>
      </c>
      <c r="K211" s="91" t="s">
        <v>65</v>
      </c>
      <c r="L211" s="91">
        <v>222</v>
      </c>
      <c r="M211" s="91" t="s">
        <v>66</v>
      </c>
      <c r="N211" s="91">
        <v>10</v>
      </c>
      <c r="O211" s="91" t="s">
        <v>67</v>
      </c>
      <c r="P211" s="91">
        <v>8</v>
      </c>
    </row>
    <row r="212" spans="9:16">
      <c r="I212" s="91" t="s">
        <v>13</v>
      </c>
      <c r="J212" s="91">
        <v>1112</v>
      </c>
      <c r="K212" s="91" t="s">
        <v>65</v>
      </c>
      <c r="L212" s="91">
        <v>186</v>
      </c>
      <c r="M212" s="91" t="s">
        <v>66</v>
      </c>
      <c r="N212" s="91">
        <v>7</v>
      </c>
      <c r="O212" s="91" t="s">
        <v>67</v>
      </c>
      <c r="P212" s="91">
        <v>7</v>
      </c>
    </row>
    <row r="213" spans="9:16">
      <c r="I213" s="91" t="s">
        <v>13</v>
      </c>
      <c r="J213" s="91">
        <v>1213</v>
      </c>
      <c r="K213" s="91" t="s">
        <v>65</v>
      </c>
      <c r="L213" s="91">
        <v>18</v>
      </c>
      <c r="M213" s="91" t="s">
        <v>66</v>
      </c>
      <c r="N213" s="91">
        <v>4</v>
      </c>
      <c r="O213" s="91" t="s">
        <v>67</v>
      </c>
      <c r="P213" s="91">
        <v>2</v>
      </c>
    </row>
    <row r="214" spans="9:16">
      <c r="I214" s="91" t="s">
        <v>13</v>
      </c>
      <c r="J214" s="91">
        <v>1299</v>
      </c>
      <c r="K214" s="91" t="s">
        <v>65</v>
      </c>
      <c r="L214" s="91">
        <v>21</v>
      </c>
      <c r="M214" s="91" t="s">
        <v>66</v>
      </c>
      <c r="N214" s="91">
        <v>2</v>
      </c>
      <c r="O214" s="91" t="s">
        <v>67</v>
      </c>
      <c r="P214" s="91">
        <v>2</v>
      </c>
    </row>
    <row r="215" spans="9:16">
      <c r="I215" s="91" t="s">
        <v>13</v>
      </c>
      <c r="J215" s="91">
        <v>1408</v>
      </c>
      <c r="K215" s="91" t="s">
        <v>65</v>
      </c>
      <c r="L215" s="91">
        <v>228</v>
      </c>
      <c r="M215" s="91" t="s">
        <v>66</v>
      </c>
      <c r="N215" s="91">
        <v>0</v>
      </c>
      <c r="O215" s="91" t="s">
        <v>67</v>
      </c>
      <c r="P215" s="91">
        <v>0</v>
      </c>
    </row>
    <row r="217" spans="9:16">
      <c r="I217" s="91" t="s">
        <v>81</v>
      </c>
    </row>
    <row r="218" spans="9:16">
      <c r="I218" s="91" t="s">
        <v>13</v>
      </c>
      <c r="J218" s="91">
        <v>122</v>
      </c>
      <c r="K218" s="91" t="s">
        <v>65</v>
      </c>
      <c r="L218" s="91">
        <v>616</v>
      </c>
      <c r="M218" s="91" t="s">
        <v>66</v>
      </c>
      <c r="N218" s="91">
        <v>112</v>
      </c>
      <c r="O218" s="91" t="s">
        <v>67</v>
      </c>
      <c r="P218" s="91">
        <v>56</v>
      </c>
    </row>
    <row r="219" spans="9:16">
      <c r="I219" s="91" t="s">
        <v>13</v>
      </c>
      <c r="J219" s="91">
        <v>245</v>
      </c>
      <c r="K219" s="91" t="s">
        <v>65</v>
      </c>
      <c r="L219" s="91">
        <v>232</v>
      </c>
      <c r="M219" s="91" t="s">
        <v>66</v>
      </c>
      <c r="N219" s="91">
        <v>67</v>
      </c>
      <c r="O219" s="91" t="s">
        <v>67</v>
      </c>
      <c r="P219" s="91">
        <v>42</v>
      </c>
    </row>
    <row r="220" spans="9:16">
      <c r="I220" s="91" t="s">
        <v>13</v>
      </c>
      <c r="J220" s="91">
        <v>344</v>
      </c>
      <c r="K220" s="91" t="s">
        <v>65</v>
      </c>
      <c r="L220" s="91">
        <v>558</v>
      </c>
      <c r="M220" s="91" t="s">
        <v>66</v>
      </c>
      <c r="N220" s="91">
        <v>49</v>
      </c>
      <c r="O220" s="91" t="s">
        <v>67</v>
      </c>
      <c r="P220" s="91">
        <v>20</v>
      </c>
    </row>
    <row r="221" spans="9:16">
      <c r="I221" s="91" t="s">
        <v>13</v>
      </c>
      <c r="J221" s="91">
        <v>411</v>
      </c>
      <c r="K221" s="91" t="s">
        <v>65</v>
      </c>
      <c r="L221" s="91">
        <v>63</v>
      </c>
      <c r="M221" s="91" t="s">
        <v>66</v>
      </c>
      <c r="N221" s="91">
        <v>15</v>
      </c>
      <c r="O221" s="91" t="s">
        <v>67</v>
      </c>
      <c r="P221" s="91">
        <v>17</v>
      </c>
    </row>
    <row r="222" spans="9:16">
      <c r="I222" s="91" t="s">
        <v>13</v>
      </c>
      <c r="J222" s="91">
        <v>444</v>
      </c>
      <c r="K222" s="91" t="s">
        <v>65</v>
      </c>
      <c r="L222" s="91">
        <v>75</v>
      </c>
      <c r="M222" s="91" t="s">
        <v>66</v>
      </c>
      <c r="N222" s="91">
        <v>30</v>
      </c>
      <c r="O222" s="91" t="s">
        <v>67</v>
      </c>
      <c r="P222" s="91">
        <v>15</v>
      </c>
    </row>
    <row r="223" spans="9:16">
      <c r="I223" s="91" t="s">
        <v>13</v>
      </c>
      <c r="J223" s="91">
        <v>779</v>
      </c>
      <c r="K223" s="91" t="s">
        <v>65</v>
      </c>
      <c r="L223" s="91">
        <v>203</v>
      </c>
      <c r="M223" s="91" t="s">
        <v>66</v>
      </c>
      <c r="N223" s="91">
        <v>13</v>
      </c>
      <c r="O223" s="91" t="s">
        <v>67</v>
      </c>
      <c r="P223" s="91">
        <v>11</v>
      </c>
    </row>
    <row r="224" spans="9:16">
      <c r="I224" s="91" t="s">
        <v>13</v>
      </c>
      <c r="J224" s="91">
        <v>867</v>
      </c>
      <c r="K224" s="91" t="s">
        <v>65</v>
      </c>
      <c r="L224" s="91">
        <v>54</v>
      </c>
      <c r="M224" s="91" t="s">
        <v>66</v>
      </c>
      <c r="N224" s="91">
        <v>3</v>
      </c>
      <c r="O224" s="91" t="s">
        <v>67</v>
      </c>
      <c r="P224" s="91">
        <v>8</v>
      </c>
    </row>
    <row r="225" spans="9:16">
      <c r="I225" s="91" t="s">
        <v>13</v>
      </c>
      <c r="J225" s="91">
        <v>964</v>
      </c>
      <c r="K225" s="91" t="s">
        <v>65</v>
      </c>
      <c r="L225" s="91">
        <v>218</v>
      </c>
      <c r="M225" s="91" t="s">
        <v>66</v>
      </c>
      <c r="N225" s="91">
        <v>9</v>
      </c>
      <c r="O225" s="91" t="s">
        <v>67</v>
      </c>
      <c r="P225" s="91">
        <v>7</v>
      </c>
    </row>
    <row r="226" spans="9:16">
      <c r="I226" s="91" t="s">
        <v>13</v>
      </c>
      <c r="J226" s="91">
        <v>1112</v>
      </c>
      <c r="K226" s="91" t="s">
        <v>65</v>
      </c>
      <c r="L226" s="91">
        <v>175</v>
      </c>
      <c r="M226" s="91" t="s">
        <v>66</v>
      </c>
      <c r="N226" s="91">
        <v>3</v>
      </c>
      <c r="O226" s="91" t="s">
        <v>67</v>
      </c>
      <c r="P226" s="91">
        <v>5</v>
      </c>
    </row>
    <row r="227" spans="9:16">
      <c r="I227" s="91" t="s">
        <v>13</v>
      </c>
      <c r="J227" s="91">
        <v>1213</v>
      </c>
      <c r="K227" s="91" t="s">
        <v>65</v>
      </c>
      <c r="L227" s="91">
        <v>25</v>
      </c>
      <c r="M227" s="91" t="s">
        <v>66</v>
      </c>
      <c r="N227" s="91">
        <v>1</v>
      </c>
      <c r="O227" s="91" t="s">
        <v>67</v>
      </c>
      <c r="P227" s="91">
        <v>5</v>
      </c>
    </row>
    <row r="228" spans="9:16">
      <c r="I228" s="91" t="s">
        <v>13</v>
      </c>
      <c r="J228" s="91">
        <v>1299</v>
      </c>
      <c r="K228" s="91" t="s">
        <v>65</v>
      </c>
      <c r="L228" s="91">
        <v>27</v>
      </c>
      <c r="M228" s="91" t="s">
        <v>66</v>
      </c>
      <c r="N228" s="91">
        <v>1</v>
      </c>
      <c r="O228" s="91" t="s">
        <v>67</v>
      </c>
      <c r="P228" s="91">
        <v>0</v>
      </c>
    </row>
    <row r="229" spans="9:16">
      <c r="I229" s="91" t="s">
        <v>13</v>
      </c>
      <c r="J229" s="91">
        <v>1408</v>
      </c>
      <c r="K229" s="91" t="s">
        <v>65</v>
      </c>
      <c r="L229" s="91">
        <v>230</v>
      </c>
      <c r="M229" s="91" t="s">
        <v>66</v>
      </c>
      <c r="N229" s="91">
        <v>0</v>
      </c>
      <c r="O229" s="91" t="s">
        <v>67</v>
      </c>
      <c r="P229" s="91">
        <v>0</v>
      </c>
    </row>
    <row r="231" spans="9:16">
      <c r="I231" s="91" t="s">
        <v>82</v>
      </c>
    </row>
    <row r="232" spans="9:16">
      <c r="I232" s="91" t="s">
        <v>13</v>
      </c>
      <c r="J232" s="91">
        <v>122</v>
      </c>
      <c r="K232" s="91" t="s">
        <v>65</v>
      </c>
      <c r="L232" s="91">
        <v>627</v>
      </c>
      <c r="M232" s="91" t="s">
        <v>66</v>
      </c>
      <c r="N232" s="91">
        <v>113</v>
      </c>
      <c r="O232" s="91" t="s">
        <v>67</v>
      </c>
      <c r="P232" s="91">
        <v>59</v>
      </c>
    </row>
    <row r="233" spans="9:16">
      <c r="I233" s="91" t="s">
        <v>13</v>
      </c>
      <c r="J233" s="91">
        <v>245</v>
      </c>
      <c r="K233" s="91" t="s">
        <v>65</v>
      </c>
      <c r="L233" s="91">
        <v>224</v>
      </c>
      <c r="M233" s="91" t="s">
        <v>66</v>
      </c>
      <c r="N233" s="91">
        <v>59</v>
      </c>
      <c r="O233" s="91" t="s">
        <v>67</v>
      </c>
      <c r="P233" s="91">
        <v>33</v>
      </c>
    </row>
    <row r="234" spans="9:16">
      <c r="I234" s="91" t="s">
        <v>13</v>
      </c>
      <c r="J234" s="91">
        <v>344</v>
      </c>
      <c r="K234" s="91" t="s">
        <v>65</v>
      </c>
      <c r="L234" s="91">
        <v>531</v>
      </c>
      <c r="M234" s="91" t="s">
        <v>66</v>
      </c>
      <c r="N234" s="91">
        <v>29</v>
      </c>
      <c r="O234" s="91" t="s">
        <v>67</v>
      </c>
      <c r="P234" s="91">
        <v>22</v>
      </c>
    </row>
    <row r="235" spans="9:16">
      <c r="I235" s="91" t="s">
        <v>13</v>
      </c>
      <c r="J235" s="91">
        <v>411</v>
      </c>
      <c r="K235" s="91" t="s">
        <v>65</v>
      </c>
      <c r="L235" s="91">
        <v>69</v>
      </c>
      <c r="M235" s="91" t="s">
        <v>66</v>
      </c>
      <c r="N235" s="91">
        <v>13</v>
      </c>
      <c r="O235" s="91" t="s">
        <v>67</v>
      </c>
      <c r="P235" s="91">
        <v>18</v>
      </c>
    </row>
    <row r="236" spans="9:16">
      <c r="I236" s="91" t="s">
        <v>13</v>
      </c>
      <c r="J236" s="91">
        <v>444</v>
      </c>
      <c r="K236" s="91" t="s">
        <v>65</v>
      </c>
      <c r="L236" s="91">
        <v>69</v>
      </c>
      <c r="M236" s="91" t="s">
        <v>66</v>
      </c>
      <c r="N236" s="91">
        <v>24</v>
      </c>
      <c r="O236" s="91" t="s">
        <v>67</v>
      </c>
      <c r="P236" s="91">
        <v>33</v>
      </c>
    </row>
    <row r="237" spans="9:16">
      <c r="I237" s="91" t="s">
        <v>13</v>
      </c>
      <c r="J237" s="91">
        <v>779</v>
      </c>
      <c r="K237" s="91" t="s">
        <v>65</v>
      </c>
      <c r="L237" s="91">
        <v>176</v>
      </c>
      <c r="M237" s="91" t="s">
        <v>66</v>
      </c>
      <c r="N237" s="91">
        <v>16</v>
      </c>
      <c r="O237" s="91" t="s">
        <v>67</v>
      </c>
      <c r="P237" s="91">
        <v>13</v>
      </c>
    </row>
    <row r="238" spans="9:16">
      <c r="I238" s="91" t="s">
        <v>13</v>
      </c>
      <c r="J238" s="91">
        <v>867</v>
      </c>
      <c r="K238" s="91" t="s">
        <v>65</v>
      </c>
      <c r="L238" s="91">
        <v>69</v>
      </c>
      <c r="M238" s="91" t="s">
        <v>66</v>
      </c>
      <c r="N238" s="91">
        <v>11</v>
      </c>
      <c r="O238" s="91" t="s">
        <v>67</v>
      </c>
      <c r="P238" s="91">
        <v>12</v>
      </c>
    </row>
    <row r="239" spans="9:16">
      <c r="I239" s="91" t="s">
        <v>13</v>
      </c>
      <c r="J239" s="91">
        <v>964</v>
      </c>
      <c r="K239" s="91" t="s">
        <v>65</v>
      </c>
      <c r="L239" s="91">
        <v>169</v>
      </c>
      <c r="M239" s="91" t="s">
        <v>66</v>
      </c>
      <c r="N239" s="91">
        <v>12</v>
      </c>
      <c r="O239" s="91" t="s">
        <v>67</v>
      </c>
      <c r="P239" s="91">
        <v>3</v>
      </c>
    </row>
    <row r="240" spans="9:16">
      <c r="I240" s="91" t="s">
        <v>13</v>
      </c>
      <c r="J240" s="91">
        <v>1112</v>
      </c>
      <c r="K240" s="91" t="s">
        <v>65</v>
      </c>
      <c r="L240" s="91">
        <v>170</v>
      </c>
      <c r="M240" s="91" t="s">
        <v>66</v>
      </c>
      <c r="N240" s="91">
        <v>1</v>
      </c>
      <c r="O240" s="91" t="s">
        <v>67</v>
      </c>
      <c r="P240" s="91">
        <v>8</v>
      </c>
    </row>
    <row r="241" spans="1:16">
      <c r="I241" s="91" t="s">
        <v>13</v>
      </c>
      <c r="J241" s="91">
        <v>1213</v>
      </c>
      <c r="K241" s="91" t="s">
        <v>65</v>
      </c>
      <c r="L241" s="91">
        <v>27</v>
      </c>
      <c r="M241" s="91" t="s">
        <v>66</v>
      </c>
      <c r="N241" s="91">
        <v>4</v>
      </c>
      <c r="O241" s="91" t="s">
        <v>67</v>
      </c>
      <c r="P241" s="91">
        <v>1</v>
      </c>
    </row>
    <row r="242" spans="1:16">
      <c r="I242" s="91" t="s">
        <v>13</v>
      </c>
      <c r="J242" s="91">
        <v>1299</v>
      </c>
      <c r="K242" s="91" t="s">
        <v>65</v>
      </c>
      <c r="L242" s="91">
        <v>19</v>
      </c>
      <c r="M242" s="91" t="s">
        <v>66</v>
      </c>
      <c r="N242" s="91">
        <v>1</v>
      </c>
      <c r="O242" s="91" t="s">
        <v>67</v>
      </c>
      <c r="P242" s="91">
        <v>1</v>
      </c>
    </row>
    <row r="243" spans="1:16">
      <c r="I243" s="91" t="s">
        <v>13</v>
      </c>
      <c r="J243" s="91">
        <v>1408</v>
      </c>
      <c r="K243" s="91" t="s">
        <v>65</v>
      </c>
      <c r="L243" s="91">
        <v>224</v>
      </c>
      <c r="M243" s="91" t="s">
        <v>66</v>
      </c>
      <c r="N243" s="91">
        <v>1</v>
      </c>
      <c r="O243" s="91" t="s">
        <v>67</v>
      </c>
      <c r="P243" s="91">
        <v>0</v>
      </c>
    </row>
    <row r="245" spans="1:16">
      <c r="I245" s="57" t="s">
        <v>83</v>
      </c>
      <c r="J245" s="57"/>
      <c r="K245" s="57"/>
      <c r="L245" s="57"/>
      <c r="M245" s="57"/>
      <c r="N245" s="57"/>
      <c r="O245" s="57"/>
      <c r="P245" s="57"/>
    </row>
    <row r="246" spans="1:16">
      <c r="A246" s="110" t="s">
        <v>176</v>
      </c>
      <c r="B246" s="108"/>
      <c r="C246" s="108"/>
      <c r="D246" s="108"/>
      <c r="I246" s="57" t="s">
        <v>13</v>
      </c>
      <c r="J246" s="57">
        <v>122</v>
      </c>
      <c r="K246" s="57" t="s">
        <v>65</v>
      </c>
      <c r="L246" s="57">
        <v>572</v>
      </c>
      <c r="M246" s="57" t="s">
        <v>66</v>
      </c>
      <c r="N246" s="57">
        <v>125</v>
      </c>
      <c r="O246" s="57" t="s">
        <v>67</v>
      </c>
      <c r="P246" s="57">
        <v>43</v>
      </c>
    </row>
    <row r="247" spans="1:16">
      <c r="A247" s="72" t="s">
        <v>13</v>
      </c>
      <c r="B247" s="72">
        <v>245</v>
      </c>
      <c r="C247" s="72" t="s">
        <v>170</v>
      </c>
      <c r="D247" s="72">
        <v>9.2031000000000002E-2</v>
      </c>
      <c r="I247" s="57" t="s">
        <v>13</v>
      </c>
      <c r="J247" s="57">
        <v>245</v>
      </c>
      <c r="K247" s="57" t="s">
        <v>65</v>
      </c>
      <c r="L247" s="57">
        <v>205</v>
      </c>
      <c r="M247" s="57" t="s">
        <v>66</v>
      </c>
      <c r="N247" s="57">
        <v>56</v>
      </c>
      <c r="O247" s="57" t="s">
        <v>67</v>
      </c>
      <c r="P247" s="57">
        <v>43</v>
      </c>
    </row>
    <row r="248" spans="1:16">
      <c r="A248" s="72" t="s">
        <v>13</v>
      </c>
      <c r="B248" s="72">
        <v>344</v>
      </c>
      <c r="C248" s="72" t="s">
        <v>170</v>
      </c>
      <c r="D248" s="72">
        <v>3.0925000000000001E-2</v>
      </c>
      <c r="I248" s="57" t="s">
        <v>13</v>
      </c>
      <c r="J248" s="57">
        <v>344</v>
      </c>
      <c r="K248" s="57" t="s">
        <v>65</v>
      </c>
      <c r="L248" s="57">
        <v>550</v>
      </c>
      <c r="M248" s="57" t="s">
        <v>66</v>
      </c>
      <c r="N248" s="57">
        <v>25</v>
      </c>
      <c r="O248" s="57" t="s">
        <v>67</v>
      </c>
      <c r="P248" s="57">
        <v>24</v>
      </c>
    </row>
    <row r="249" spans="1:16">
      <c r="A249" s="72" t="s">
        <v>13</v>
      </c>
      <c r="B249" s="72">
        <v>411</v>
      </c>
      <c r="C249" s="72" t="s">
        <v>170</v>
      </c>
      <c r="D249" s="72">
        <v>8.3856E-2</v>
      </c>
      <c r="I249" s="57" t="s">
        <v>13</v>
      </c>
      <c r="J249" s="57">
        <v>411</v>
      </c>
      <c r="K249" s="57" t="s">
        <v>65</v>
      </c>
      <c r="L249" s="57">
        <v>71</v>
      </c>
      <c r="M249" s="57" t="s">
        <v>66</v>
      </c>
      <c r="N249" s="57">
        <v>17</v>
      </c>
      <c r="O249" s="57" t="s">
        <v>67</v>
      </c>
      <c r="P249" s="57">
        <v>25</v>
      </c>
    </row>
    <row r="250" spans="1:16">
      <c r="A250" s="72" t="s">
        <v>13</v>
      </c>
      <c r="B250" s="72">
        <v>444</v>
      </c>
      <c r="C250" s="72" t="s">
        <v>170</v>
      </c>
      <c r="D250" s="72">
        <v>9.4334399999999995E-3</v>
      </c>
      <c r="I250" s="57" t="s">
        <v>13</v>
      </c>
      <c r="J250" s="57">
        <v>444</v>
      </c>
      <c r="K250" s="57" t="s">
        <v>65</v>
      </c>
      <c r="L250" s="57">
        <v>71</v>
      </c>
      <c r="M250" s="57" t="s">
        <v>66</v>
      </c>
      <c r="N250" s="57">
        <v>28</v>
      </c>
      <c r="O250" s="57" t="s">
        <v>67</v>
      </c>
      <c r="P250" s="57">
        <v>19</v>
      </c>
    </row>
    <row r="251" spans="1:16">
      <c r="A251" s="72" t="s">
        <v>13</v>
      </c>
      <c r="B251" s="72">
        <v>779</v>
      </c>
      <c r="C251" s="72" t="s">
        <v>170</v>
      </c>
      <c r="D251" s="72">
        <v>-3.7685099999999999E-2</v>
      </c>
      <c r="I251" s="57" t="s">
        <v>13</v>
      </c>
      <c r="J251" s="57">
        <v>779</v>
      </c>
      <c r="K251" s="57" t="s">
        <v>65</v>
      </c>
      <c r="L251" s="57">
        <v>164</v>
      </c>
      <c r="M251" s="57" t="s">
        <v>66</v>
      </c>
      <c r="N251" s="57">
        <v>14</v>
      </c>
      <c r="O251" s="57" t="s">
        <v>67</v>
      </c>
      <c r="P251" s="57">
        <v>9</v>
      </c>
    </row>
    <row r="252" spans="1:16">
      <c r="A252" s="72" t="s">
        <v>13</v>
      </c>
      <c r="B252" s="72">
        <v>867</v>
      </c>
      <c r="C252" s="72" t="s">
        <v>170</v>
      </c>
      <c r="D252" s="72">
        <v>-2.7746699999999999E-2</v>
      </c>
      <c r="I252" s="57" t="s">
        <v>13</v>
      </c>
      <c r="J252" s="57">
        <v>867</v>
      </c>
      <c r="K252" s="57" t="s">
        <v>65</v>
      </c>
      <c r="L252" s="57">
        <v>67</v>
      </c>
      <c r="M252" s="57" t="s">
        <v>66</v>
      </c>
      <c r="N252" s="57">
        <v>15</v>
      </c>
      <c r="O252" s="57" t="s">
        <v>67</v>
      </c>
      <c r="P252" s="57">
        <v>12</v>
      </c>
    </row>
    <row r="253" spans="1:16">
      <c r="A253" s="72" t="s">
        <v>13</v>
      </c>
      <c r="B253" s="72">
        <v>964</v>
      </c>
      <c r="C253" s="72" t="s">
        <v>170</v>
      </c>
      <c r="D253" s="72">
        <v>-4.4470299999999997E-2</v>
      </c>
      <c r="I253" s="57" t="s">
        <v>13</v>
      </c>
      <c r="J253" s="57">
        <v>964</v>
      </c>
      <c r="K253" s="57" t="s">
        <v>65</v>
      </c>
      <c r="L253" s="57">
        <v>161</v>
      </c>
      <c r="M253" s="57" t="s">
        <v>66</v>
      </c>
      <c r="N253" s="57">
        <v>9</v>
      </c>
      <c r="O253" s="57" t="s">
        <v>67</v>
      </c>
      <c r="P253" s="57">
        <v>6</v>
      </c>
    </row>
    <row r="254" spans="1:16">
      <c r="A254" s="72" t="s">
        <v>13</v>
      </c>
      <c r="B254" s="72">
        <v>1112</v>
      </c>
      <c r="C254" s="72" t="s">
        <v>170</v>
      </c>
      <c r="D254" s="72">
        <v>-6.4682500000000004E-2</v>
      </c>
      <c r="I254" s="57" t="s">
        <v>13</v>
      </c>
      <c r="J254" s="57">
        <v>1112</v>
      </c>
      <c r="K254" s="57" t="s">
        <v>65</v>
      </c>
      <c r="L254" s="57">
        <v>152</v>
      </c>
      <c r="M254" s="57" t="s">
        <v>66</v>
      </c>
      <c r="N254" s="57">
        <v>8</v>
      </c>
      <c r="O254" s="57" t="s">
        <v>67</v>
      </c>
      <c r="P254" s="57">
        <v>3</v>
      </c>
    </row>
    <row r="255" spans="1:16">
      <c r="A255" s="72" t="s">
        <v>13</v>
      </c>
      <c r="B255" s="72">
        <v>1213</v>
      </c>
      <c r="C255" s="72" t="s">
        <v>170</v>
      </c>
      <c r="D255" s="72">
        <v>-2.3702399999999998E-2</v>
      </c>
      <c r="I255" s="57" t="s">
        <v>13</v>
      </c>
      <c r="J255" s="57">
        <v>1213</v>
      </c>
      <c r="K255" s="57" t="s">
        <v>65</v>
      </c>
      <c r="L255" s="57">
        <v>14</v>
      </c>
      <c r="M255" s="57" t="s">
        <v>66</v>
      </c>
      <c r="N255" s="57">
        <v>4</v>
      </c>
      <c r="O255" s="57" t="s">
        <v>67</v>
      </c>
      <c r="P255" s="57">
        <v>3</v>
      </c>
    </row>
    <row r="256" spans="1:16">
      <c r="A256" s="72" t="s">
        <v>13</v>
      </c>
      <c r="B256" s="72">
        <v>1299</v>
      </c>
      <c r="C256" s="72" t="s">
        <v>170</v>
      </c>
      <c r="D256" s="72">
        <v>-8.8379700000000005E-3</v>
      </c>
      <c r="I256" s="57" t="s">
        <v>13</v>
      </c>
      <c r="J256" s="57">
        <v>1299</v>
      </c>
      <c r="K256" s="57" t="s">
        <v>65</v>
      </c>
      <c r="L256" s="57">
        <v>14</v>
      </c>
      <c r="M256" s="57" t="s">
        <v>66</v>
      </c>
      <c r="N256" s="57">
        <v>0</v>
      </c>
      <c r="O256" s="57" t="s">
        <v>67</v>
      </c>
      <c r="P256" s="57">
        <v>1</v>
      </c>
    </row>
    <row r="257" spans="1:43">
      <c r="A257" s="72" t="s">
        <v>13</v>
      </c>
      <c r="B257" s="72">
        <v>1408</v>
      </c>
      <c r="C257" s="72" t="s">
        <v>170</v>
      </c>
      <c r="D257" s="72">
        <v>-9.1143199999999994E-2</v>
      </c>
      <c r="I257" s="57" t="s">
        <v>13</v>
      </c>
      <c r="J257" s="57">
        <v>1408</v>
      </c>
      <c r="K257" s="57" t="s">
        <v>65</v>
      </c>
      <c r="L257" s="57">
        <v>213</v>
      </c>
      <c r="M257" s="57" t="s">
        <v>66</v>
      </c>
      <c r="N257" s="57">
        <v>0</v>
      </c>
      <c r="O257" s="57" t="s">
        <v>67</v>
      </c>
      <c r="P257" s="57">
        <v>0</v>
      </c>
    </row>
    <row r="258" spans="1:43">
      <c r="A258" s="108"/>
      <c r="B258" s="108"/>
      <c r="C258" s="108" t="s">
        <v>172</v>
      </c>
      <c r="D258" s="11">
        <f>AVERAGE(C261:C271)</f>
        <v>-7.4566118181818193E-3</v>
      </c>
    </row>
    <row r="259" spans="1:43">
      <c r="A259" s="108"/>
      <c r="B259" s="109">
        <f>SQRT(SUMSQ(C261:C271)/COUNTA(C261:C271))</f>
        <v>5.5469365016929104E-2</v>
      </c>
      <c r="C259" s="108" t="s">
        <v>171</v>
      </c>
      <c r="D259" s="108">
        <f>COUNT(C261:C271)</f>
        <v>11</v>
      </c>
    </row>
    <row r="260" spans="1:43">
      <c r="A260" s="108"/>
      <c r="B260" s="108"/>
      <c r="C260" s="11"/>
      <c r="D260" s="22"/>
      <c r="E260" s="91">
        <v>1</v>
      </c>
      <c r="F260" s="91" t="s">
        <v>85</v>
      </c>
      <c r="G260" s="91">
        <v>122</v>
      </c>
      <c r="H260" s="91" t="s">
        <v>97</v>
      </c>
      <c r="I260" s="91" t="s">
        <v>98</v>
      </c>
      <c r="J260" s="91">
        <v>2.9999999999999997E-4</v>
      </c>
      <c r="K260" s="91" t="s">
        <v>97</v>
      </c>
      <c r="L260" s="91" t="s">
        <v>110</v>
      </c>
      <c r="M260" s="95">
        <f t="shared" ref="M260:M271" si="22">AD22</f>
        <v>2.9385779655051038E-2</v>
      </c>
      <c r="N260" s="91" t="s">
        <v>97</v>
      </c>
      <c r="O260" s="91" t="s">
        <v>122</v>
      </c>
      <c r="P260" s="95">
        <f t="shared" ref="P260:P271" si="23">AE22</f>
        <v>2.0085900771395191E-4</v>
      </c>
      <c r="Q260" s="91" t="s">
        <v>97</v>
      </c>
      <c r="S260" s="91" t="s">
        <v>85</v>
      </c>
      <c r="T260" s="91">
        <v>122</v>
      </c>
      <c r="U260" s="91" t="s">
        <v>97</v>
      </c>
      <c r="V260" s="91" t="s">
        <v>98</v>
      </c>
      <c r="W260" s="91">
        <v>2.9999999999999997E-4</v>
      </c>
      <c r="X260" s="91" t="s">
        <v>97</v>
      </c>
      <c r="Y260" s="91" t="s">
        <v>110</v>
      </c>
      <c r="Z260" s="95">
        <f t="shared" ref="Z260:Z271" si="24">M6</f>
        <v>0.54914452748894627</v>
      </c>
      <c r="AA260" s="91" t="s">
        <v>97</v>
      </c>
      <c r="AB260" s="91" t="s">
        <v>122</v>
      </c>
      <c r="AC260" s="95">
        <f t="shared" ref="AC260:AC271" si="25">N6</f>
        <v>2.6127873676729239E-3</v>
      </c>
      <c r="AD260" s="91" t="s">
        <v>97</v>
      </c>
      <c r="AF260" s="91" t="s">
        <v>85</v>
      </c>
      <c r="AG260" s="91">
        <v>122</v>
      </c>
      <c r="AH260" s="91" t="s">
        <v>97</v>
      </c>
      <c r="AI260" s="91" t="s">
        <v>98</v>
      </c>
      <c r="AJ260" s="91">
        <v>2.9999999999999997E-4</v>
      </c>
      <c r="AK260" s="91" t="s">
        <v>97</v>
      </c>
      <c r="AL260" s="91" t="s">
        <v>110</v>
      </c>
      <c r="AM260" s="95">
        <f>E22</f>
        <v>18.687424119256111</v>
      </c>
      <c r="AN260" s="91" t="s">
        <v>97</v>
      </c>
      <c r="AO260" s="91" t="s">
        <v>122</v>
      </c>
      <c r="AP260" s="95">
        <f>F22</f>
        <v>0.15563203566193637</v>
      </c>
      <c r="AQ260" s="91" t="s">
        <v>97</v>
      </c>
    </row>
    <row r="261" spans="1:43">
      <c r="A261" s="108"/>
      <c r="B261" s="108" t="s">
        <v>170</v>
      </c>
      <c r="C261" s="11">
        <f>D247</f>
        <v>9.2031000000000002E-2</v>
      </c>
      <c r="D261" s="22">
        <f>(C261-D$258)^2</f>
        <v>9.8977849052852302E-3</v>
      </c>
      <c r="E261" s="91">
        <v>1</v>
      </c>
      <c r="F261" s="91" t="s">
        <v>86</v>
      </c>
      <c r="G261" s="91">
        <v>245</v>
      </c>
      <c r="H261" s="91" t="s">
        <v>97</v>
      </c>
      <c r="I261" s="91" t="s">
        <v>99</v>
      </c>
      <c r="J261" s="91">
        <v>8.0000000000000004E-4</v>
      </c>
      <c r="K261" s="91" t="s">
        <v>97</v>
      </c>
      <c r="L261" s="91" t="s">
        <v>111</v>
      </c>
      <c r="M261" s="95">
        <f t="shared" si="22"/>
        <v>2.3504000000000001E-2</v>
      </c>
      <c r="N261" s="91" t="s">
        <v>97</v>
      </c>
      <c r="O261" s="91" t="s">
        <v>123</v>
      </c>
      <c r="P261" s="95">
        <f t="shared" si="23"/>
        <v>2.930443804845627E-4</v>
      </c>
      <c r="Q261" s="91" t="s">
        <v>97</v>
      </c>
      <c r="S261" s="91" t="s">
        <v>86</v>
      </c>
      <c r="T261" s="91">
        <v>245</v>
      </c>
      <c r="U261" s="91" t="s">
        <v>97</v>
      </c>
      <c r="V261" s="91" t="s">
        <v>99</v>
      </c>
      <c r="W261" s="91">
        <v>8.0000000000000004E-4</v>
      </c>
      <c r="X261" s="91" t="s">
        <v>97</v>
      </c>
      <c r="Y261" s="91" t="s">
        <v>111</v>
      </c>
      <c r="Z261" s="95">
        <f t="shared" si="24"/>
        <v>0.44535658492358604</v>
      </c>
      <c r="AA261" s="91" t="s">
        <v>97</v>
      </c>
      <c r="AB261" s="91" t="s">
        <v>123</v>
      </c>
      <c r="AC261" s="95">
        <f t="shared" si="25"/>
        <v>2.7896377421679748E-3</v>
      </c>
      <c r="AD261" s="91" t="s">
        <v>97</v>
      </c>
      <c r="AF261" s="108" t="s">
        <v>85</v>
      </c>
      <c r="AG261" s="91">
        <v>245</v>
      </c>
      <c r="AH261" s="91" t="s">
        <v>97</v>
      </c>
      <c r="AI261" s="108" t="s">
        <v>98</v>
      </c>
      <c r="AJ261" s="91">
        <v>8.0000000000000004E-4</v>
      </c>
      <c r="AK261" s="91" t="s">
        <v>97</v>
      </c>
      <c r="AL261" s="108" t="s">
        <v>110</v>
      </c>
      <c r="AM261" s="95">
        <f t="shared" ref="AM261:AM271" si="26">E23</f>
        <v>18.9481188275862</v>
      </c>
      <c r="AN261" s="91" t="s">
        <v>97</v>
      </c>
      <c r="AO261" s="108" t="s">
        <v>122</v>
      </c>
      <c r="AP261" s="95">
        <f t="shared" ref="AP261:AP271" si="27">F23</f>
        <v>0.26438084198883821</v>
      </c>
      <c r="AQ261" s="91" t="s">
        <v>97</v>
      </c>
    </row>
    <row r="262" spans="1:43">
      <c r="A262" s="108"/>
      <c r="B262" s="108" t="s">
        <v>170</v>
      </c>
      <c r="C262" s="11">
        <f t="shared" ref="C262:C270" si="28">D248</f>
        <v>3.0925000000000001E-2</v>
      </c>
      <c r="D262" s="22">
        <f t="shared" ref="D262:D271" si="29">(C262-D$258)^2</f>
        <v>1.4731481257615946E-3</v>
      </c>
      <c r="E262" s="91">
        <v>1</v>
      </c>
      <c r="F262" s="91" t="s">
        <v>87</v>
      </c>
      <c r="G262" s="91">
        <v>344</v>
      </c>
      <c r="H262" s="91" t="s">
        <v>97</v>
      </c>
      <c r="I262" s="91" t="s">
        <v>100</v>
      </c>
      <c r="J262" s="91">
        <v>1.1999999999999999E-3</v>
      </c>
      <c r="K262" s="91" t="s">
        <v>97</v>
      </c>
      <c r="L262" s="91" t="s">
        <v>112</v>
      </c>
      <c r="M262" s="95">
        <f t="shared" si="22"/>
        <v>1.8330699774266365E-2</v>
      </c>
      <c r="N262" s="91" t="s">
        <v>97</v>
      </c>
      <c r="O262" s="91" t="s">
        <v>124</v>
      </c>
      <c r="P262" s="95">
        <f t="shared" si="23"/>
        <v>1.4630671579800823E-4</v>
      </c>
      <c r="Q262" s="91" t="s">
        <v>97</v>
      </c>
      <c r="S262" s="91" t="s">
        <v>87</v>
      </c>
      <c r="T262" s="91">
        <v>344</v>
      </c>
      <c r="U262" s="91" t="s">
        <v>97</v>
      </c>
      <c r="V262" s="91" t="s">
        <v>100</v>
      </c>
      <c r="W262" s="91">
        <v>1.1999999999999999E-3</v>
      </c>
      <c r="X262" s="91" t="s">
        <v>97</v>
      </c>
      <c r="Y262" s="91" t="s">
        <v>112</v>
      </c>
      <c r="Z262" s="95">
        <f t="shared" si="24"/>
        <v>0.37070655635843219</v>
      </c>
      <c r="AA262" s="91" t="s">
        <v>97</v>
      </c>
      <c r="AB262" s="91" t="s">
        <v>124</v>
      </c>
      <c r="AC262" s="95">
        <f t="shared" si="25"/>
        <v>1.7630962513308333E-3</v>
      </c>
      <c r="AD262" s="91" t="s">
        <v>97</v>
      </c>
      <c r="AF262" s="108" t="s">
        <v>86</v>
      </c>
      <c r="AG262" s="91">
        <v>344</v>
      </c>
      <c r="AH262" s="91" t="s">
        <v>97</v>
      </c>
      <c r="AI262" s="108" t="s">
        <v>99</v>
      </c>
      <c r="AJ262" s="91">
        <v>1.1999999999999999E-3</v>
      </c>
      <c r="AK262" s="91" t="s">
        <v>97</v>
      </c>
      <c r="AL262" s="108" t="s">
        <v>111</v>
      </c>
      <c r="AM262" s="95">
        <f t="shared" si="26"/>
        <v>20.223262664464684</v>
      </c>
      <c r="AN262" s="91" t="s">
        <v>97</v>
      </c>
      <c r="AO262" s="108" t="s">
        <v>123</v>
      </c>
      <c r="AP262" s="95">
        <f t="shared" si="27"/>
        <v>0.18789630280467456</v>
      </c>
      <c r="AQ262" s="91" t="s">
        <v>97</v>
      </c>
    </row>
    <row r="263" spans="1:43">
      <c r="A263" s="108"/>
      <c r="B263" s="108" t="s">
        <v>170</v>
      </c>
      <c r="C263" s="11">
        <f t="shared" si="28"/>
        <v>8.3856E-2</v>
      </c>
      <c r="D263" s="22">
        <f t="shared" si="29"/>
        <v>8.3379930770579574E-3</v>
      </c>
      <c r="E263" s="91">
        <v>1</v>
      </c>
      <c r="F263" s="91" t="s">
        <v>88</v>
      </c>
      <c r="G263" s="91">
        <v>411</v>
      </c>
      <c r="H263" s="91" t="s">
        <v>97</v>
      </c>
      <c r="I263" s="91" t="s">
        <v>101</v>
      </c>
      <c r="J263" s="91">
        <v>1.1999999999999999E-3</v>
      </c>
      <c r="K263" s="91" t="s">
        <v>97</v>
      </c>
      <c r="L263" s="91" t="s">
        <v>113</v>
      </c>
      <c r="M263" s="95">
        <f t="shared" si="22"/>
        <v>1.6843987483236476E-2</v>
      </c>
      <c r="N263" s="91" t="s">
        <v>97</v>
      </c>
      <c r="O263" s="91" t="s">
        <v>125</v>
      </c>
      <c r="P263" s="95">
        <f t="shared" si="23"/>
        <v>4.5846171248788159E-4</v>
      </c>
      <c r="Q263" s="91" t="s">
        <v>97</v>
      </c>
      <c r="S263" s="91" t="s">
        <v>88</v>
      </c>
      <c r="T263" s="91">
        <v>411</v>
      </c>
      <c r="U263" s="91" t="s">
        <v>97</v>
      </c>
      <c r="V263" s="91" t="s">
        <v>101</v>
      </c>
      <c r="W263" s="91">
        <v>1.1999999999999999E-3</v>
      </c>
      <c r="X263" s="91" t="s">
        <v>97</v>
      </c>
      <c r="Y263" s="91" t="s">
        <v>113</v>
      </c>
      <c r="Z263" s="95">
        <f t="shared" si="24"/>
        <v>0.32203556566634783</v>
      </c>
      <c r="AA263" s="91" t="s">
        <v>97</v>
      </c>
      <c r="AB263" s="91" t="s">
        <v>125</v>
      </c>
      <c r="AC263" s="95">
        <f t="shared" si="25"/>
        <v>2.9441313788781372E-3</v>
      </c>
      <c r="AD263" s="91" t="s">
        <v>97</v>
      </c>
      <c r="AF263" s="108" t="s">
        <v>87</v>
      </c>
      <c r="AG263" s="91">
        <v>411</v>
      </c>
      <c r="AH263" s="91" t="s">
        <v>97</v>
      </c>
      <c r="AI263" s="108" t="s">
        <v>100</v>
      </c>
      <c r="AJ263" s="91">
        <v>1.1999999999999999E-3</v>
      </c>
      <c r="AK263" s="91" t="s">
        <v>97</v>
      </c>
      <c r="AL263" s="108" t="s">
        <v>112</v>
      </c>
      <c r="AM263" s="95">
        <f t="shared" si="26"/>
        <v>19.118725063578029</v>
      </c>
      <c r="AN263" s="91" t="s">
        <v>97</v>
      </c>
      <c r="AO263" s="108" t="s">
        <v>124</v>
      </c>
      <c r="AP263" s="95">
        <f t="shared" si="27"/>
        <v>0.54894618104778214</v>
      </c>
      <c r="AQ263" s="91" t="s">
        <v>97</v>
      </c>
    </row>
    <row r="264" spans="1:43">
      <c r="A264" s="108"/>
      <c r="B264" s="108" t="s">
        <v>170</v>
      </c>
      <c r="C264" s="11">
        <f t="shared" si="28"/>
        <v>9.4334399999999995E-3</v>
      </c>
      <c r="D264" s="22">
        <f t="shared" si="29"/>
        <v>2.8527385042086692E-4</v>
      </c>
      <c r="E264" s="91">
        <v>1</v>
      </c>
      <c r="F264" s="91" t="s">
        <v>89</v>
      </c>
      <c r="G264" s="91">
        <v>444</v>
      </c>
      <c r="H264" s="91" t="s">
        <v>97</v>
      </c>
      <c r="I264" s="91" t="s">
        <v>102</v>
      </c>
      <c r="J264" s="91">
        <v>3.0000000000000001E-3</v>
      </c>
      <c r="K264" s="91" t="s">
        <v>97</v>
      </c>
      <c r="L264" s="91" t="s">
        <v>114</v>
      </c>
      <c r="M264" s="95">
        <f t="shared" si="22"/>
        <v>1.53344E-2</v>
      </c>
      <c r="N264" s="91" t="s">
        <v>97</v>
      </c>
      <c r="O264" s="91" t="s">
        <v>126</v>
      </c>
      <c r="P264" s="95">
        <f t="shared" si="23"/>
        <v>3.6372342877764158E-4</v>
      </c>
      <c r="Q264" s="91" t="s">
        <v>97</v>
      </c>
      <c r="S264" s="91" t="s">
        <v>89</v>
      </c>
      <c r="T264" s="91">
        <v>444</v>
      </c>
      <c r="U264" s="91" t="s">
        <v>97</v>
      </c>
      <c r="V264" s="91" t="s">
        <v>102</v>
      </c>
      <c r="W264" s="91">
        <v>3.0000000000000001E-3</v>
      </c>
      <c r="X264" s="91" t="s">
        <v>97</v>
      </c>
      <c r="Y264" s="91" t="s">
        <v>114</v>
      </c>
      <c r="Z264" s="95">
        <f t="shared" si="24"/>
        <v>0.31698902502438558</v>
      </c>
      <c r="AA264" s="91" t="s">
        <v>97</v>
      </c>
      <c r="AB264" s="91" t="s">
        <v>126</v>
      </c>
      <c r="AC264" s="95">
        <f t="shared" si="25"/>
        <v>2.4528034712696309E-3</v>
      </c>
      <c r="AD264" s="91" t="s">
        <v>97</v>
      </c>
      <c r="AF264" s="108" t="s">
        <v>88</v>
      </c>
      <c r="AG264" s="91">
        <v>444</v>
      </c>
      <c r="AH264" s="91" t="s">
        <v>97</v>
      </c>
      <c r="AI264" s="108" t="s">
        <v>101</v>
      </c>
      <c r="AJ264" s="91">
        <v>3.0000000000000001E-3</v>
      </c>
      <c r="AK264" s="91" t="s">
        <v>97</v>
      </c>
      <c r="AL264" s="108" t="s">
        <v>113</v>
      </c>
      <c r="AM264" s="95">
        <f t="shared" si="26"/>
        <v>20.671759248773057</v>
      </c>
      <c r="AN264" s="91" t="s">
        <v>97</v>
      </c>
      <c r="AO264" s="108" t="s">
        <v>125</v>
      </c>
      <c r="AP264" s="95">
        <f t="shared" si="27"/>
        <v>0.51575348089569251</v>
      </c>
      <c r="AQ264" s="91" t="s">
        <v>97</v>
      </c>
    </row>
    <row r="265" spans="1:43">
      <c r="A265" s="108"/>
      <c r="B265" s="108" t="s">
        <v>170</v>
      </c>
      <c r="C265" s="11">
        <f t="shared" si="28"/>
        <v>-3.7685099999999999E-2</v>
      </c>
      <c r="D265" s="22">
        <f t="shared" si="29"/>
        <v>9.1376149775832134E-4</v>
      </c>
      <c r="E265" s="91">
        <v>1</v>
      </c>
      <c r="F265" s="91" t="s">
        <v>90</v>
      </c>
      <c r="G265" s="91">
        <v>779</v>
      </c>
      <c r="H265" s="91" t="s">
        <v>97</v>
      </c>
      <c r="I265" s="91" t="s">
        <v>103</v>
      </c>
      <c r="J265" s="91">
        <v>2.3999999999999998E-3</v>
      </c>
      <c r="K265" s="91" t="s">
        <v>97</v>
      </c>
      <c r="L265" s="91" t="s">
        <v>115</v>
      </c>
      <c r="M265" s="95">
        <f t="shared" si="22"/>
        <v>1.0504629629629629E-2</v>
      </c>
      <c r="N265" s="91" t="s">
        <v>97</v>
      </c>
      <c r="O265" s="91" t="s">
        <v>127</v>
      </c>
      <c r="P265" s="95">
        <f t="shared" si="23"/>
        <v>1.405122438832717E-4</v>
      </c>
      <c r="Q265" s="91" t="s">
        <v>97</v>
      </c>
      <c r="S265" s="91" t="s">
        <v>90</v>
      </c>
      <c r="T265" s="91">
        <v>779</v>
      </c>
      <c r="U265" s="91" t="s">
        <v>97</v>
      </c>
      <c r="V265" s="91" t="s">
        <v>103</v>
      </c>
      <c r="W265" s="91">
        <v>2.3999999999999998E-3</v>
      </c>
      <c r="X265" s="91" t="s">
        <v>97</v>
      </c>
      <c r="Y265" s="91" t="s">
        <v>115</v>
      </c>
      <c r="Z265" s="95">
        <f t="shared" si="24"/>
        <v>0.22747908019611163</v>
      </c>
      <c r="AA265" s="91" t="s">
        <v>97</v>
      </c>
      <c r="AB265" s="91" t="s">
        <v>127</v>
      </c>
      <c r="AC265" s="95">
        <f t="shared" si="25"/>
        <v>1.2429997456862864E-3</v>
      </c>
      <c r="AD265" s="91" t="s">
        <v>97</v>
      </c>
      <c r="AF265" s="108" t="s">
        <v>89</v>
      </c>
      <c r="AG265" s="91">
        <v>779</v>
      </c>
      <c r="AH265" s="91" t="s">
        <v>97</v>
      </c>
      <c r="AI265" s="108" t="s">
        <v>102</v>
      </c>
      <c r="AJ265" s="91">
        <v>2.3999999999999998E-3</v>
      </c>
      <c r="AK265" s="91" t="s">
        <v>97</v>
      </c>
      <c r="AL265" s="108" t="s">
        <v>114</v>
      </c>
      <c r="AM265" s="95">
        <f t="shared" si="26"/>
        <v>21.655126188788064</v>
      </c>
      <c r="AN265" s="91" t="s">
        <v>97</v>
      </c>
      <c r="AO265" s="108" t="s">
        <v>126</v>
      </c>
      <c r="AP265" s="95">
        <f t="shared" si="27"/>
        <v>0.3129005915572628</v>
      </c>
      <c r="AQ265" s="91" t="s">
        <v>97</v>
      </c>
    </row>
    <row r="266" spans="1:43">
      <c r="A266" s="108"/>
      <c r="B266" s="108" t="s">
        <v>170</v>
      </c>
      <c r="C266" s="11">
        <f t="shared" si="28"/>
        <v>-2.7746699999999999E-2</v>
      </c>
      <c r="D266" s="22">
        <f t="shared" si="29"/>
        <v>4.1168767842595776E-4</v>
      </c>
      <c r="E266" s="91">
        <v>1</v>
      </c>
      <c r="F266" s="91" t="s">
        <v>91</v>
      </c>
      <c r="G266" s="91">
        <v>867</v>
      </c>
      <c r="H266" s="91" t="s">
        <v>97</v>
      </c>
      <c r="I266" s="91" t="s">
        <v>104</v>
      </c>
      <c r="J266" s="91">
        <v>3.0000000000000001E-3</v>
      </c>
      <c r="K266" s="91" t="s">
        <v>97</v>
      </c>
      <c r="L266" s="91" t="s">
        <v>116</v>
      </c>
      <c r="M266" s="95">
        <f t="shared" si="22"/>
        <v>9.7288375383164337E-3</v>
      </c>
      <c r="N266" s="91" t="s">
        <v>97</v>
      </c>
      <c r="O266" s="91" t="s">
        <v>128</v>
      </c>
      <c r="P266" s="95">
        <f t="shared" si="23"/>
        <v>2.3997539007826886E-4</v>
      </c>
      <c r="Q266" s="91" t="s">
        <v>97</v>
      </c>
      <c r="S266" s="91" t="s">
        <v>91</v>
      </c>
      <c r="T266" s="91">
        <v>867</v>
      </c>
      <c r="U266" s="91" t="s">
        <v>97</v>
      </c>
      <c r="V266" s="91" t="s">
        <v>104</v>
      </c>
      <c r="W266" s="91">
        <v>3.0000000000000001E-3</v>
      </c>
      <c r="X266" s="91" t="s">
        <v>97</v>
      </c>
      <c r="Y266" s="91" t="s">
        <v>116</v>
      </c>
      <c r="Z266" s="95">
        <f t="shared" si="24"/>
        <v>0.20866148153394815</v>
      </c>
      <c r="AA266" s="91" t="s">
        <v>97</v>
      </c>
      <c r="AB266" s="91" t="s">
        <v>128</v>
      </c>
      <c r="AC266" s="95">
        <f t="shared" si="25"/>
        <v>1.7621612355638151E-3</v>
      </c>
      <c r="AD266" s="91" t="s">
        <v>97</v>
      </c>
      <c r="AF266" s="108" t="s">
        <v>90</v>
      </c>
      <c r="AG266" s="91">
        <v>867</v>
      </c>
      <c r="AH266" s="91" t="s">
        <v>97</v>
      </c>
      <c r="AI266" s="108" t="s">
        <v>103</v>
      </c>
      <c r="AJ266" s="91">
        <v>3.0000000000000001E-3</v>
      </c>
      <c r="AK266" s="91" t="s">
        <v>97</v>
      </c>
      <c r="AL266" s="108" t="s">
        <v>115</v>
      </c>
      <c r="AM266" s="95">
        <f t="shared" si="26"/>
        <v>21.44773008205221</v>
      </c>
      <c r="AN266" s="91" t="s">
        <v>97</v>
      </c>
      <c r="AO266" s="108" t="s">
        <v>127</v>
      </c>
      <c r="AP266" s="95">
        <f t="shared" si="27"/>
        <v>0.55918575530897463</v>
      </c>
      <c r="AQ266" s="91" t="s">
        <v>97</v>
      </c>
    </row>
    <row r="267" spans="1:43">
      <c r="A267" s="108"/>
      <c r="B267" s="108" t="s">
        <v>170</v>
      </c>
      <c r="C267" s="11">
        <f t="shared" si="28"/>
        <v>-4.4470299999999997E-2</v>
      </c>
      <c r="D267" s="22">
        <f t="shared" si="29"/>
        <v>1.3700131128208664E-3</v>
      </c>
      <c r="E267" s="91">
        <v>1</v>
      </c>
      <c r="F267" s="91" t="s">
        <v>92</v>
      </c>
      <c r="G267" s="91">
        <v>964</v>
      </c>
      <c r="H267" s="91" t="s">
        <v>97</v>
      </c>
      <c r="I267" s="91" t="s">
        <v>105</v>
      </c>
      <c r="J267" s="91">
        <v>1.7999999999999999E-2</v>
      </c>
      <c r="K267" s="91" t="s">
        <v>97</v>
      </c>
      <c r="L267" s="91" t="s">
        <v>117</v>
      </c>
      <c r="M267" s="95">
        <f t="shared" si="22"/>
        <v>9.2517099863201092E-3</v>
      </c>
      <c r="N267" s="91" t="s">
        <v>97</v>
      </c>
      <c r="O267" s="91" t="s">
        <v>129</v>
      </c>
      <c r="P267" s="95">
        <f t="shared" si="23"/>
        <v>1.2259604199937153E-4</v>
      </c>
      <c r="Q267" s="91" t="s">
        <v>97</v>
      </c>
      <c r="S267" s="91" t="s">
        <v>92</v>
      </c>
      <c r="T267" s="91">
        <v>964</v>
      </c>
      <c r="U267" s="91" t="s">
        <v>97</v>
      </c>
      <c r="V267" s="91" t="s">
        <v>105</v>
      </c>
      <c r="W267" s="91">
        <v>1.7999999999999999E-2</v>
      </c>
      <c r="X267" s="91" t="s">
        <v>97</v>
      </c>
      <c r="Y267" s="91" t="s">
        <v>117</v>
      </c>
      <c r="Z267" s="95">
        <f t="shared" si="24"/>
        <v>0.20165719350849792</v>
      </c>
      <c r="AA267" s="91" t="s">
        <v>97</v>
      </c>
      <c r="AB267" s="91" t="s">
        <v>129</v>
      </c>
      <c r="AC267" s="95">
        <f t="shared" si="25"/>
        <v>1.0017654395510012E-3</v>
      </c>
      <c r="AD267" s="91" t="s">
        <v>97</v>
      </c>
      <c r="AF267" s="108" t="s">
        <v>91</v>
      </c>
      <c r="AG267" s="91">
        <v>964</v>
      </c>
      <c r="AH267" s="91" t="s">
        <v>97</v>
      </c>
      <c r="AI267" s="108" t="s">
        <v>104</v>
      </c>
      <c r="AJ267" s="91">
        <v>1.7999999999999999E-2</v>
      </c>
      <c r="AK267" s="91" t="s">
        <v>97</v>
      </c>
      <c r="AL267" s="108" t="s">
        <v>116</v>
      </c>
      <c r="AM267" s="95">
        <f t="shared" si="26"/>
        <v>21.796748255908913</v>
      </c>
      <c r="AN267" s="91" t="s">
        <v>97</v>
      </c>
      <c r="AO267" s="108" t="s">
        <v>128</v>
      </c>
      <c r="AP267" s="95">
        <f t="shared" si="27"/>
        <v>0.30846163084806927</v>
      </c>
      <c r="AQ267" s="91" t="s">
        <v>97</v>
      </c>
    </row>
    <row r="268" spans="1:43">
      <c r="A268" s="108"/>
      <c r="B268" s="108" t="s">
        <v>170</v>
      </c>
      <c r="C268" s="11">
        <f t="shared" si="28"/>
        <v>-6.4682500000000004E-2</v>
      </c>
      <c r="D268" s="22">
        <f t="shared" si="29"/>
        <v>3.2748022781979584E-3</v>
      </c>
      <c r="E268" s="91">
        <v>1</v>
      </c>
      <c r="F268" s="91" t="s">
        <v>93</v>
      </c>
      <c r="G268" s="91">
        <v>1112</v>
      </c>
      <c r="H268" s="91" t="s">
        <v>97</v>
      </c>
      <c r="I268" s="91" t="s">
        <v>106</v>
      </c>
      <c r="J268" s="91">
        <v>3.0000000000000001E-3</v>
      </c>
      <c r="K268" s="91" t="s">
        <v>97</v>
      </c>
      <c r="L268" s="91" t="s">
        <v>118</v>
      </c>
      <c r="M268" s="95">
        <f t="shared" si="22"/>
        <v>8.5597014925373142E-3</v>
      </c>
      <c r="N268" s="91" t="s">
        <v>97</v>
      </c>
      <c r="O268" s="91" t="s">
        <v>130</v>
      </c>
      <c r="P268" s="95">
        <f t="shared" si="23"/>
        <v>1.2206225211609249E-4</v>
      </c>
      <c r="Q268" s="91" t="s">
        <v>97</v>
      </c>
      <c r="S268" s="91" t="s">
        <v>93</v>
      </c>
      <c r="T268" s="91">
        <v>1112</v>
      </c>
      <c r="U268" s="91" t="s">
        <v>97</v>
      </c>
      <c r="V268" s="91" t="s">
        <v>106</v>
      </c>
      <c r="W268" s="91">
        <v>3.0000000000000001E-3</v>
      </c>
      <c r="X268" s="91" t="s">
        <v>97</v>
      </c>
      <c r="Y268" s="91" t="s">
        <v>118</v>
      </c>
      <c r="Z268" s="95">
        <f t="shared" si="24"/>
        <v>0.19018403703877365</v>
      </c>
      <c r="AA268" s="91" t="s">
        <v>97</v>
      </c>
      <c r="AB268" s="91" t="s">
        <v>130</v>
      </c>
      <c r="AC268" s="95">
        <f t="shared" si="25"/>
        <v>1.0335769748277001E-3</v>
      </c>
      <c r="AD268" s="91" t="s">
        <v>97</v>
      </c>
      <c r="AF268" s="108" t="s">
        <v>92</v>
      </c>
      <c r="AG268" s="91">
        <v>1112</v>
      </c>
      <c r="AH268" s="91" t="s">
        <v>97</v>
      </c>
      <c r="AI268" s="108" t="s">
        <v>105</v>
      </c>
      <c r="AJ268" s="91">
        <v>3.0000000000000001E-3</v>
      </c>
      <c r="AK268" s="91" t="s">
        <v>97</v>
      </c>
      <c r="AL268" s="108" t="s">
        <v>117</v>
      </c>
      <c r="AM268" s="95">
        <f t="shared" si="26"/>
        <v>22.218536149255158</v>
      </c>
      <c r="AN268" s="91" t="s">
        <v>97</v>
      </c>
      <c r="AO268" s="108" t="s">
        <v>129</v>
      </c>
      <c r="AP268" s="95">
        <f t="shared" si="27"/>
        <v>0.33906801322259655</v>
      </c>
      <c r="AQ268" s="91" t="s">
        <v>97</v>
      </c>
    </row>
    <row r="269" spans="1:43">
      <c r="A269" s="108"/>
      <c r="B269" s="108" t="s">
        <v>170</v>
      </c>
      <c r="C269" s="11">
        <f t="shared" si="28"/>
        <v>-2.3702399999999998E-2</v>
      </c>
      <c r="D269" s="22">
        <f t="shared" si="29"/>
        <v>2.6392563364850322E-4</v>
      </c>
      <c r="E269" s="91">
        <v>1</v>
      </c>
      <c r="F269" s="91" t="s">
        <v>94</v>
      </c>
      <c r="G269" s="91">
        <v>1213</v>
      </c>
      <c r="H269" s="91" t="s">
        <v>97</v>
      </c>
      <c r="I269" s="91" t="s">
        <v>107</v>
      </c>
      <c r="J269" s="91">
        <v>1.1000000000000001E-3</v>
      </c>
      <c r="K269" s="91" t="s">
        <v>97</v>
      </c>
      <c r="L269" s="91" t="s">
        <v>119</v>
      </c>
      <c r="M269" s="95">
        <f t="shared" si="22"/>
        <v>8.2473498233215543E-3</v>
      </c>
      <c r="N269" s="91" t="s">
        <v>97</v>
      </c>
      <c r="O269" s="91" t="s">
        <v>131</v>
      </c>
      <c r="P269" s="95">
        <f t="shared" si="23"/>
        <v>3.9788602216760328E-4</v>
      </c>
      <c r="Q269" s="91" t="s">
        <v>97</v>
      </c>
      <c r="S269" s="91" t="s">
        <v>94</v>
      </c>
      <c r="T269" s="91">
        <v>1213</v>
      </c>
      <c r="U269" s="91" t="s">
        <v>97</v>
      </c>
      <c r="V269" s="91" t="s">
        <v>107</v>
      </c>
      <c r="W269" s="91">
        <v>1.1000000000000001E-3</v>
      </c>
      <c r="X269" s="91" t="s">
        <v>97</v>
      </c>
      <c r="Y269" s="91" t="s">
        <v>119</v>
      </c>
      <c r="Z269" s="95">
        <f t="shared" si="24"/>
        <v>0.1761903715257028</v>
      </c>
      <c r="AA269" s="91" t="s">
        <v>97</v>
      </c>
      <c r="AB269" s="91" t="s">
        <v>131</v>
      </c>
      <c r="AC269" s="95">
        <f t="shared" si="25"/>
        <v>2.675364547828101E-3</v>
      </c>
      <c r="AD269" s="91" t="s">
        <v>97</v>
      </c>
      <c r="AF269" s="108" t="s">
        <v>93</v>
      </c>
      <c r="AG269" s="91">
        <v>1213</v>
      </c>
      <c r="AH269" s="91" t="s">
        <v>97</v>
      </c>
      <c r="AI269" s="108" t="s">
        <v>106</v>
      </c>
      <c r="AJ269" s="91">
        <v>1.1000000000000001E-3</v>
      </c>
      <c r="AK269" s="91" t="s">
        <v>97</v>
      </c>
      <c r="AL269" s="108" t="s">
        <v>118</v>
      </c>
      <c r="AM269" s="95">
        <f t="shared" si="26"/>
        <v>21.363271268969108</v>
      </c>
      <c r="AN269" s="91" t="s">
        <v>97</v>
      </c>
      <c r="AO269" s="108" t="s">
        <v>130</v>
      </c>
      <c r="AP269" s="95">
        <f t="shared" si="27"/>
        <v>1.0804965554022223</v>
      </c>
      <c r="AQ269" s="91" t="s">
        <v>97</v>
      </c>
    </row>
    <row r="270" spans="1:43">
      <c r="A270" s="108"/>
      <c r="B270" s="108" t="s">
        <v>170</v>
      </c>
      <c r="C270" s="11">
        <f t="shared" si="28"/>
        <v>-8.8379700000000005E-3</v>
      </c>
      <c r="D270" s="22">
        <f t="shared" si="29"/>
        <v>1.9081504264760314E-6</v>
      </c>
      <c r="E270" s="91">
        <v>1</v>
      </c>
      <c r="F270" s="91" t="s">
        <v>95</v>
      </c>
      <c r="G270" s="91">
        <v>1299</v>
      </c>
      <c r="H270" s="91" t="s">
        <v>97</v>
      </c>
      <c r="I270" s="91" t="s">
        <v>108</v>
      </c>
      <c r="J270" s="91">
        <v>8.0000000000000002E-3</v>
      </c>
      <c r="K270" s="91" t="s">
        <v>97</v>
      </c>
      <c r="L270" s="91" t="s">
        <v>120</v>
      </c>
      <c r="M270" s="95">
        <f t="shared" si="22"/>
        <v>7.5796568627450982E-3</v>
      </c>
      <c r="N270" s="91" t="s">
        <v>97</v>
      </c>
      <c r="O270" s="91" t="s">
        <v>132</v>
      </c>
      <c r="P270" s="95">
        <f t="shared" si="23"/>
        <v>3.1847100817163017E-4</v>
      </c>
      <c r="Q270" s="91" t="s">
        <v>97</v>
      </c>
      <c r="S270" s="91" t="s">
        <v>95</v>
      </c>
      <c r="T270" s="91">
        <v>1299</v>
      </c>
      <c r="U270" s="91" t="s">
        <v>97</v>
      </c>
      <c r="V270" s="91" t="s">
        <v>108</v>
      </c>
      <c r="W270" s="91">
        <v>8.0000000000000002E-3</v>
      </c>
      <c r="X270" s="91" t="s">
        <v>97</v>
      </c>
      <c r="Y270" s="91" t="s">
        <v>120</v>
      </c>
      <c r="Z270" s="95">
        <f t="shared" si="24"/>
        <v>0.15957523731625781</v>
      </c>
      <c r="AA270" s="91" t="s">
        <v>97</v>
      </c>
      <c r="AB270" s="91" t="s">
        <v>132</v>
      </c>
      <c r="AC270" s="95">
        <f t="shared" si="25"/>
        <v>2.0479469072103708E-3</v>
      </c>
      <c r="AD270" s="91" t="s">
        <v>97</v>
      </c>
      <c r="AF270" s="108" t="s">
        <v>94</v>
      </c>
      <c r="AG270" s="91">
        <v>1299</v>
      </c>
      <c r="AH270" s="91" t="s">
        <v>97</v>
      </c>
      <c r="AI270" s="108" t="s">
        <v>107</v>
      </c>
      <c r="AJ270" s="91">
        <v>8.0000000000000002E-3</v>
      </c>
      <c r="AK270" s="91" t="s">
        <v>97</v>
      </c>
      <c r="AL270" s="108" t="s">
        <v>119</v>
      </c>
      <c r="AM270" s="95">
        <f t="shared" si="26"/>
        <v>21.053095173818331</v>
      </c>
      <c r="AN270" s="91" t="s">
        <v>97</v>
      </c>
      <c r="AO270" s="108" t="s">
        <v>131</v>
      </c>
      <c r="AP270" s="95">
        <f t="shared" si="27"/>
        <v>0.92492241382152429</v>
      </c>
      <c r="AQ270" s="91" t="s">
        <v>97</v>
      </c>
    </row>
    <row r="271" spans="1:43">
      <c r="A271" s="108"/>
      <c r="B271" s="108" t="s">
        <v>170</v>
      </c>
      <c r="C271" s="11">
        <f>D257</f>
        <v>-9.1143199999999994E-2</v>
      </c>
      <c r="D271" s="22">
        <f t="shared" si="29"/>
        <v>7.00344504151323E-3</v>
      </c>
      <c r="E271" s="91">
        <v>1</v>
      </c>
      <c r="F271" s="91" t="s">
        <v>96</v>
      </c>
      <c r="G271" s="91">
        <v>1408</v>
      </c>
      <c r="H271" s="91" t="s">
        <v>97</v>
      </c>
      <c r="I271" s="91" t="s">
        <v>109</v>
      </c>
      <c r="J271" s="91">
        <v>3.0000000000000001E-3</v>
      </c>
      <c r="K271" s="91" t="s">
        <v>97</v>
      </c>
      <c r="L271" s="91" t="s">
        <v>121</v>
      </c>
      <c r="M271" s="95">
        <f t="shared" si="22"/>
        <v>7.1021582733812949E-3</v>
      </c>
      <c r="N271" s="91" t="s">
        <v>97</v>
      </c>
      <c r="O271" s="91" t="s">
        <v>133</v>
      </c>
      <c r="P271" s="95">
        <f t="shared" si="23"/>
        <v>8.8786254062013316E-5</v>
      </c>
      <c r="Q271" s="91" t="s">
        <v>97</v>
      </c>
      <c r="S271" s="91" t="s">
        <v>96</v>
      </c>
      <c r="T271" s="91">
        <v>1408</v>
      </c>
      <c r="U271" s="91" t="s">
        <v>97</v>
      </c>
      <c r="V271" s="91" t="s">
        <v>109</v>
      </c>
      <c r="W271" s="91">
        <v>3.0000000000000001E-3</v>
      </c>
      <c r="X271" s="91" t="s">
        <v>97</v>
      </c>
      <c r="Y271" s="91" t="s">
        <v>121</v>
      </c>
      <c r="Z271" s="95">
        <f t="shared" si="24"/>
        <v>0.16172108788008865</v>
      </c>
      <c r="AA271" s="91" t="s">
        <v>97</v>
      </c>
      <c r="AB271" s="91" t="s">
        <v>133</v>
      </c>
      <c r="AC271" s="95">
        <f t="shared" si="25"/>
        <v>8.020044549366252E-4</v>
      </c>
      <c r="AD271" s="91" t="s">
        <v>97</v>
      </c>
      <c r="AF271" s="108" t="s">
        <v>95</v>
      </c>
      <c r="AG271" s="91">
        <v>1408</v>
      </c>
      <c r="AH271" s="91" t="s">
        <v>97</v>
      </c>
      <c r="AI271" s="108" t="s">
        <v>108</v>
      </c>
      <c r="AJ271" s="91">
        <v>3.0000000000000001E-3</v>
      </c>
      <c r="AK271" s="91" t="s">
        <v>97</v>
      </c>
      <c r="AL271" s="108" t="s">
        <v>120</v>
      </c>
      <c r="AM271" s="95">
        <f t="shared" si="26"/>
        <v>22.770696125741818</v>
      </c>
      <c r="AN271" s="91" t="s">
        <v>97</v>
      </c>
      <c r="AO271" s="108" t="s">
        <v>132</v>
      </c>
      <c r="AP271" s="95">
        <f t="shared" si="27"/>
        <v>0.30624355493985056</v>
      </c>
      <c r="AQ271" s="91" t="s">
        <v>97</v>
      </c>
    </row>
    <row r="272" spans="1:43">
      <c r="A272" s="108"/>
      <c r="B272" s="108"/>
      <c r="C272" s="108"/>
      <c r="D272" s="108"/>
      <c r="AF272" s="108" t="s">
        <v>96</v>
      </c>
      <c r="AI272" s="108" t="s">
        <v>109</v>
      </c>
      <c r="AL272" s="108" t="s">
        <v>121</v>
      </c>
      <c r="AO272" s="108" t="s">
        <v>133</v>
      </c>
    </row>
    <row r="273" spans="1:37">
      <c r="A273" s="108"/>
      <c r="B273" s="108"/>
      <c r="C273" s="75" t="s">
        <v>173</v>
      </c>
      <c r="D273" s="83">
        <f>SQRT((1/D259)*SUM(D261:D271))</f>
        <v>5.4965893020802181E-2</v>
      </c>
      <c r="G273" s="91" t="s">
        <v>163</v>
      </c>
      <c r="T273" s="91" t="s">
        <v>166</v>
      </c>
      <c r="AG273" s="91" t="s">
        <v>166</v>
      </c>
    </row>
    <row r="274" spans="1:37">
      <c r="D274" s="11"/>
      <c r="H274" s="29" t="str">
        <f t="shared" ref="H274:H285" si="30">F260&amp;G260&amp;H260</f>
        <v>energy[0][0]=122;</v>
      </c>
      <c r="I274" s="29" t="str">
        <f>I260&amp;J260&amp;K260</f>
        <v>energyerr[0][0]=0.0003;</v>
      </c>
      <c r="J274" s="29" t="str">
        <f>L260&amp;TEXT(ROUND(M260,4),"0.0000")&amp;N260</f>
        <v>eff[0][0]=0.0294;</v>
      </c>
      <c r="K274" s="29" t="str">
        <f t="shared" ref="K274:K285" si="31">O260&amp;TEXT(ROUND(P260,4),"0.0000")&amp;Q260</f>
        <v>efferr[0][0]=0.0002;</v>
      </c>
      <c r="U274" s="29" t="str">
        <f t="shared" ref="U274:U285" si="32">S260&amp;T260&amp;U260</f>
        <v>energy[0][0]=122;</v>
      </c>
      <c r="V274" s="29" t="str">
        <f t="shared" ref="V274:V285" si="33">V260&amp;W260&amp;X260</f>
        <v>energyerr[0][0]=0.0003;</v>
      </c>
      <c r="W274" s="29" t="str">
        <f t="shared" ref="W274:W285" si="34">Y260&amp;TEXT(ROUND(Z260,4),"0.0000")&amp;AA260</f>
        <v>eff[0][0]=0.5491;</v>
      </c>
      <c r="X274" s="29" t="str">
        <f t="shared" ref="X274:X285" si="35">AB260&amp;TEXT(ROUND(AC260,4),"0.0000")&amp;AD260</f>
        <v>efferr[0][0]=0.0026;</v>
      </c>
      <c r="AH274" s="26" t="str">
        <f t="shared" ref="AH274:AH285" si="36">AF260&amp;AG260&amp;AH260</f>
        <v>energy[0][0]=122;</v>
      </c>
      <c r="AI274" s="26" t="str">
        <f t="shared" ref="AI274:AI285" si="37">AI260&amp;AJ260&amp;AK260</f>
        <v>energyerr[0][0]=0.0003;</v>
      </c>
      <c r="AJ274" s="26" t="str">
        <f t="shared" ref="AJ274:AJ285" si="38">AL260&amp;TEXT(ROUND(AM260,4),"0.0000")&amp;AN260</f>
        <v>eff[0][0]=18.6874;</v>
      </c>
      <c r="AK274" s="26" t="str">
        <f t="shared" ref="AK274:AK285" si="39">AO260&amp;TEXT(ROUND(AP260,4),"0.0000")&amp;AQ260</f>
        <v>efferr[0][0]=0.1556;</v>
      </c>
    </row>
    <row r="275" spans="1:37">
      <c r="H275" s="29" t="str">
        <f t="shared" si="30"/>
        <v>energy[0][1]=245;</v>
      </c>
      <c r="I275" s="29" t="str">
        <f t="shared" ref="I275:I285" si="40">I261&amp;J261&amp;K261</f>
        <v>energyerr[0][1]=0.0008;</v>
      </c>
      <c r="J275" s="29" t="str">
        <f t="shared" ref="J275:J285" si="41">L261&amp;TEXT(ROUND(M261,4),"0.0000")&amp;N261</f>
        <v>eff[0][1]=0.0235;</v>
      </c>
      <c r="K275" s="29" t="str">
        <f t="shared" si="31"/>
        <v>efferr[0][1]=0.0003;</v>
      </c>
      <c r="U275" s="29" t="str">
        <f t="shared" si="32"/>
        <v>energy[0][1]=245;</v>
      </c>
      <c r="V275" s="29" t="str">
        <f t="shared" si="33"/>
        <v>energyerr[0][1]=0.0008;</v>
      </c>
      <c r="W275" s="29" t="str">
        <f t="shared" si="34"/>
        <v>eff[0][1]=0.4454;</v>
      </c>
      <c r="X275" s="29" t="str">
        <f t="shared" si="35"/>
        <v>efferr[0][1]=0.0028;</v>
      </c>
      <c r="AH275" s="26" t="str">
        <f t="shared" si="36"/>
        <v>energy[0][0]=245;</v>
      </c>
      <c r="AI275" s="26" t="str">
        <f t="shared" si="37"/>
        <v>energyerr[0][0]=0.0008;</v>
      </c>
      <c r="AJ275" s="26" t="str">
        <f t="shared" si="38"/>
        <v>eff[0][0]=18.9481;</v>
      </c>
      <c r="AK275" s="26" t="str">
        <f t="shared" si="39"/>
        <v>efferr[0][0]=0.2644;</v>
      </c>
    </row>
    <row r="276" spans="1:37">
      <c r="H276" s="29" t="str">
        <f t="shared" si="30"/>
        <v>energy[0][2]=344;</v>
      </c>
      <c r="I276" s="29" t="str">
        <f t="shared" si="40"/>
        <v>energyerr[0][2]=0.0012;</v>
      </c>
      <c r="J276" s="29" t="str">
        <f t="shared" si="41"/>
        <v>eff[0][2]=0.0183;</v>
      </c>
      <c r="K276" s="29" t="str">
        <f t="shared" si="31"/>
        <v>efferr[0][2]=0.0001;</v>
      </c>
      <c r="U276" s="29" t="str">
        <f t="shared" si="32"/>
        <v>energy[0][2]=344;</v>
      </c>
      <c r="V276" s="29" t="str">
        <f t="shared" si="33"/>
        <v>energyerr[0][2]=0.0012;</v>
      </c>
      <c r="W276" s="29" t="str">
        <f t="shared" si="34"/>
        <v>eff[0][2]=0.3707;</v>
      </c>
      <c r="X276" s="29" t="str">
        <f t="shared" si="35"/>
        <v>efferr[0][2]=0.0018;</v>
      </c>
      <c r="AH276" s="26" t="str">
        <f t="shared" si="36"/>
        <v>energy[0][1]=344;</v>
      </c>
      <c r="AI276" s="26" t="str">
        <f t="shared" si="37"/>
        <v>energyerr[0][1]=0.0012;</v>
      </c>
      <c r="AJ276" s="26" t="str">
        <f t="shared" si="38"/>
        <v>eff[0][1]=20.2233;</v>
      </c>
      <c r="AK276" s="26" t="str">
        <f t="shared" si="39"/>
        <v>efferr[0][1]=0.1879;</v>
      </c>
    </row>
    <row r="277" spans="1:37">
      <c r="H277" s="29" t="str">
        <f t="shared" si="30"/>
        <v>energy[0][3]=411;</v>
      </c>
      <c r="I277" s="29" t="str">
        <f t="shared" si="40"/>
        <v>energyerr[0][3]=0.0012;</v>
      </c>
      <c r="J277" s="29" t="str">
        <f t="shared" si="41"/>
        <v>eff[0][3]=0.0168;</v>
      </c>
      <c r="K277" s="29" t="str">
        <f t="shared" si="31"/>
        <v>efferr[0][3]=0.0005;</v>
      </c>
      <c r="U277" s="29" t="str">
        <f t="shared" si="32"/>
        <v>energy[0][3]=411;</v>
      </c>
      <c r="V277" s="29" t="str">
        <f t="shared" si="33"/>
        <v>energyerr[0][3]=0.0012;</v>
      </c>
      <c r="W277" s="29" t="str">
        <f t="shared" si="34"/>
        <v>eff[0][3]=0.3220;</v>
      </c>
      <c r="X277" s="29" t="str">
        <f t="shared" si="35"/>
        <v>efferr[0][3]=0.0029;</v>
      </c>
      <c r="AH277" s="26" t="str">
        <f t="shared" si="36"/>
        <v>energy[0][2]=411;</v>
      </c>
      <c r="AI277" s="26" t="str">
        <f t="shared" si="37"/>
        <v>energyerr[0][2]=0.0012;</v>
      </c>
      <c r="AJ277" s="26" t="str">
        <f t="shared" si="38"/>
        <v>eff[0][2]=19.1187;</v>
      </c>
      <c r="AK277" s="26" t="str">
        <f t="shared" si="39"/>
        <v>efferr[0][2]=0.5489;</v>
      </c>
    </row>
    <row r="278" spans="1:37">
      <c r="H278" s="29" t="str">
        <f t="shared" si="30"/>
        <v>energy[0][4]=444;</v>
      </c>
      <c r="I278" s="29" t="str">
        <f t="shared" si="40"/>
        <v>energyerr[0][4]=0.003;</v>
      </c>
      <c r="J278" s="29" t="str">
        <f t="shared" si="41"/>
        <v>eff[0][4]=0.0153;</v>
      </c>
      <c r="K278" s="29" t="str">
        <f t="shared" si="31"/>
        <v>efferr[0][4]=0.0004;</v>
      </c>
      <c r="U278" s="29" t="str">
        <f t="shared" si="32"/>
        <v>energy[0][4]=444;</v>
      </c>
      <c r="V278" s="29" t="str">
        <f t="shared" si="33"/>
        <v>energyerr[0][4]=0.003;</v>
      </c>
      <c r="W278" s="29" t="str">
        <f t="shared" si="34"/>
        <v>eff[0][4]=0.3170;</v>
      </c>
      <c r="X278" s="29" t="str">
        <f t="shared" si="35"/>
        <v>efferr[0][4]=0.0025;</v>
      </c>
      <c r="AH278" s="26" t="str">
        <f t="shared" si="36"/>
        <v>energy[0][3]=444;</v>
      </c>
      <c r="AI278" s="26" t="str">
        <f t="shared" si="37"/>
        <v>energyerr[0][3]=0.003;</v>
      </c>
      <c r="AJ278" s="26" t="str">
        <f t="shared" si="38"/>
        <v>eff[0][3]=20.6718;</v>
      </c>
      <c r="AK278" s="26" t="str">
        <f t="shared" si="39"/>
        <v>efferr[0][3]=0.5158;</v>
      </c>
    </row>
    <row r="279" spans="1:37">
      <c r="H279" s="29" t="str">
        <f t="shared" si="30"/>
        <v>energy[0][5]=779;</v>
      </c>
      <c r="I279" s="29" t="str">
        <f t="shared" si="40"/>
        <v>energyerr[0][5]=0.0024;</v>
      </c>
      <c r="J279" s="29" t="str">
        <f t="shared" si="41"/>
        <v>eff[0][5]=0.0105;</v>
      </c>
      <c r="K279" s="29" t="str">
        <f t="shared" si="31"/>
        <v>efferr[0][5]=0.0001;</v>
      </c>
      <c r="U279" s="29" t="str">
        <f t="shared" si="32"/>
        <v>energy[0][5]=779;</v>
      </c>
      <c r="V279" s="29" t="str">
        <f t="shared" si="33"/>
        <v>energyerr[0][5]=0.0024;</v>
      </c>
      <c r="W279" s="29" t="str">
        <f t="shared" si="34"/>
        <v>eff[0][5]=0.2275;</v>
      </c>
      <c r="X279" s="29" t="str">
        <f t="shared" si="35"/>
        <v>efferr[0][5]=0.0012;</v>
      </c>
      <c r="AH279" s="26" t="str">
        <f t="shared" si="36"/>
        <v>energy[0][4]=779;</v>
      </c>
      <c r="AI279" s="26" t="str">
        <f t="shared" si="37"/>
        <v>energyerr[0][4]=0.0024;</v>
      </c>
      <c r="AJ279" s="26" t="str">
        <f t="shared" si="38"/>
        <v>eff[0][4]=21.6551;</v>
      </c>
      <c r="AK279" s="26" t="str">
        <f t="shared" si="39"/>
        <v>efferr[0][4]=0.3129;</v>
      </c>
    </row>
    <row r="280" spans="1:37">
      <c r="H280" s="29" t="str">
        <f t="shared" si="30"/>
        <v>energy[0][6]=867;</v>
      </c>
      <c r="I280" s="29" t="str">
        <f t="shared" si="40"/>
        <v>energyerr[0][6]=0.003;</v>
      </c>
      <c r="J280" s="29" t="str">
        <f t="shared" si="41"/>
        <v>eff[0][6]=0.0097;</v>
      </c>
      <c r="K280" s="29" t="str">
        <f t="shared" si="31"/>
        <v>efferr[0][6]=0.0002;</v>
      </c>
      <c r="U280" s="29" t="str">
        <f t="shared" si="32"/>
        <v>energy[0][6]=867;</v>
      </c>
      <c r="V280" s="29" t="str">
        <f t="shared" si="33"/>
        <v>energyerr[0][6]=0.003;</v>
      </c>
      <c r="W280" s="29" t="str">
        <f t="shared" si="34"/>
        <v>eff[0][6]=0.2087;</v>
      </c>
      <c r="X280" s="29" t="str">
        <f t="shared" si="35"/>
        <v>efferr[0][6]=0.0018;</v>
      </c>
      <c r="AH280" s="26" t="str">
        <f t="shared" si="36"/>
        <v>energy[0][5]=867;</v>
      </c>
      <c r="AI280" s="26" t="str">
        <f t="shared" si="37"/>
        <v>energyerr[0][5]=0.003;</v>
      </c>
      <c r="AJ280" s="26" t="str">
        <f t="shared" si="38"/>
        <v>eff[0][5]=21.4477;</v>
      </c>
      <c r="AK280" s="26" t="str">
        <f t="shared" si="39"/>
        <v>efferr[0][5]=0.5592;</v>
      </c>
    </row>
    <row r="281" spans="1:37">
      <c r="H281" s="29" t="str">
        <f t="shared" si="30"/>
        <v>energy[0][7]=964;</v>
      </c>
      <c r="I281" s="29" t="str">
        <f t="shared" si="40"/>
        <v>energyerr[0][7]=0.018;</v>
      </c>
      <c r="J281" s="29" t="str">
        <f t="shared" si="41"/>
        <v>eff[0][7]=0.0093;</v>
      </c>
      <c r="K281" s="29" t="str">
        <f t="shared" si="31"/>
        <v>efferr[0][7]=0.0001;</v>
      </c>
      <c r="U281" s="29" t="str">
        <f t="shared" si="32"/>
        <v>energy[0][7]=964;</v>
      </c>
      <c r="V281" s="29" t="str">
        <f t="shared" si="33"/>
        <v>energyerr[0][7]=0.018;</v>
      </c>
      <c r="W281" s="29" t="str">
        <f t="shared" si="34"/>
        <v>eff[0][7]=0.2017;</v>
      </c>
      <c r="X281" s="29" t="str">
        <f t="shared" si="35"/>
        <v>efferr[0][7]=0.0010;</v>
      </c>
      <c r="AH281" s="26" t="str">
        <f t="shared" si="36"/>
        <v>energy[0][6]=964;</v>
      </c>
      <c r="AI281" s="26" t="str">
        <f t="shared" si="37"/>
        <v>energyerr[0][6]=0.018;</v>
      </c>
      <c r="AJ281" s="26" t="str">
        <f t="shared" si="38"/>
        <v>eff[0][6]=21.7967;</v>
      </c>
      <c r="AK281" s="26" t="str">
        <f t="shared" si="39"/>
        <v>efferr[0][6]=0.3085;</v>
      </c>
    </row>
    <row r="282" spans="1:37">
      <c r="H282" s="29" t="str">
        <f t="shared" si="30"/>
        <v>energy[0][8]=1112;</v>
      </c>
      <c r="I282" s="29" t="str">
        <f t="shared" si="40"/>
        <v>energyerr[0][8]=0.003;</v>
      </c>
      <c r="J282" s="29" t="str">
        <f t="shared" si="41"/>
        <v>eff[0][8]=0.0086;</v>
      </c>
      <c r="K282" s="29" t="str">
        <f t="shared" si="31"/>
        <v>efferr[0][8]=0.0001;</v>
      </c>
      <c r="U282" s="29" t="str">
        <f t="shared" si="32"/>
        <v>energy[0][8]=1112;</v>
      </c>
      <c r="V282" s="29" t="str">
        <f t="shared" si="33"/>
        <v>energyerr[0][8]=0.003;</v>
      </c>
      <c r="W282" s="29" t="str">
        <f t="shared" si="34"/>
        <v>eff[0][8]=0.1902;</v>
      </c>
      <c r="X282" s="29" t="str">
        <f t="shared" si="35"/>
        <v>efferr[0][8]=0.0010;</v>
      </c>
      <c r="AH282" s="26" t="str">
        <f t="shared" si="36"/>
        <v>energy[0][7]=1112;</v>
      </c>
      <c r="AI282" s="26" t="str">
        <f t="shared" si="37"/>
        <v>energyerr[0][7]=0.003;</v>
      </c>
      <c r="AJ282" s="26" t="str">
        <f t="shared" si="38"/>
        <v>eff[0][7]=22.2185;</v>
      </c>
      <c r="AK282" s="26" t="str">
        <f t="shared" si="39"/>
        <v>efferr[0][7]=0.3391;</v>
      </c>
    </row>
    <row r="283" spans="1:37">
      <c r="H283" s="29" t="str">
        <f t="shared" si="30"/>
        <v>energy[0][9]=1213;</v>
      </c>
      <c r="I283" s="29" t="str">
        <f t="shared" si="40"/>
        <v>energyerr[0][9]=0.0011;</v>
      </c>
      <c r="J283" s="29" t="str">
        <f t="shared" si="41"/>
        <v>eff[0][9]=0.0082;</v>
      </c>
      <c r="K283" s="29" t="str">
        <f t="shared" si="31"/>
        <v>efferr[0][9]=0.0004;</v>
      </c>
      <c r="U283" s="29" t="str">
        <f t="shared" si="32"/>
        <v>energy[0][9]=1213;</v>
      </c>
      <c r="V283" s="29" t="str">
        <f t="shared" si="33"/>
        <v>energyerr[0][9]=0.0011;</v>
      </c>
      <c r="W283" s="29" t="str">
        <f t="shared" si="34"/>
        <v>eff[0][9]=0.1762;</v>
      </c>
      <c r="X283" s="29" t="str">
        <f t="shared" si="35"/>
        <v>efferr[0][9]=0.0027;</v>
      </c>
      <c r="AH283" s="26" t="str">
        <f t="shared" si="36"/>
        <v>energy[0][8]=1213;</v>
      </c>
      <c r="AI283" s="26" t="str">
        <f t="shared" si="37"/>
        <v>energyerr[0][8]=0.0011;</v>
      </c>
      <c r="AJ283" s="26" t="str">
        <f t="shared" si="38"/>
        <v>eff[0][8]=21.3633;</v>
      </c>
      <c r="AK283" s="26" t="str">
        <f t="shared" si="39"/>
        <v>efferr[0][8]=1.0805;</v>
      </c>
    </row>
    <row r="284" spans="1:37">
      <c r="H284" s="29" t="str">
        <f t="shared" si="30"/>
        <v>energy[0][10]=1299;</v>
      </c>
      <c r="I284" s="29" t="str">
        <f t="shared" si="40"/>
        <v>energyerr[0][10]=0.008;</v>
      </c>
      <c r="J284" s="29" t="str">
        <f t="shared" si="41"/>
        <v>eff[0][10]=0.0076;</v>
      </c>
      <c r="K284" s="29" t="str">
        <f t="shared" si="31"/>
        <v>efferr[0][10]=0.0003;</v>
      </c>
      <c r="U284" s="29" t="str">
        <f t="shared" si="32"/>
        <v>energy[0][10]=1299;</v>
      </c>
      <c r="V284" s="29" t="str">
        <f t="shared" si="33"/>
        <v>energyerr[0][10]=0.008;</v>
      </c>
      <c r="W284" s="29" t="str">
        <f t="shared" si="34"/>
        <v>eff[0][10]=0.1596;</v>
      </c>
      <c r="X284" s="29" t="str">
        <f t="shared" si="35"/>
        <v>efferr[0][10]=0.0020;</v>
      </c>
      <c r="AH284" s="26" t="str">
        <f t="shared" si="36"/>
        <v>energy[0][9]=1299;</v>
      </c>
      <c r="AI284" s="26" t="str">
        <f t="shared" si="37"/>
        <v>energyerr[0][9]=0.008;</v>
      </c>
      <c r="AJ284" s="26" t="str">
        <f t="shared" si="38"/>
        <v>eff[0][9]=21.0531;</v>
      </c>
      <c r="AK284" s="26" t="str">
        <f t="shared" si="39"/>
        <v>efferr[0][9]=0.9249;</v>
      </c>
    </row>
    <row r="285" spans="1:37">
      <c r="H285" s="29" t="str">
        <f t="shared" si="30"/>
        <v>energy[0][11]=1408;</v>
      </c>
      <c r="I285" s="29" t="str">
        <f t="shared" si="40"/>
        <v>energyerr[0][11]=0.003;</v>
      </c>
      <c r="J285" s="29" t="str">
        <f t="shared" si="41"/>
        <v>eff[0][11]=0.0071;</v>
      </c>
      <c r="K285" s="29" t="str">
        <f t="shared" si="31"/>
        <v>efferr[0][11]=0.0001;</v>
      </c>
      <c r="U285" s="29" t="str">
        <f t="shared" si="32"/>
        <v>energy[0][11]=1408;</v>
      </c>
      <c r="V285" s="29" t="str">
        <f t="shared" si="33"/>
        <v>energyerr[0][11]=0.003;</v>
      </c>
      <c r="W285" s="29" t="str">
        <f t="shared" si="34"/>
        <v>eff[0][11]=0.1617;</v>
      </c>
      <c r="X285" s="29" t="str">
        <f t="shared" si="35"/>
        <v>efferr[0][11]=0.0008;</v>
      </c>
      <c r="AH285" s="26" t="str">
        <f t="shared" si="36"/>
        <v>energy[0][10]=1408;</v>
      </c>
      <c r="AI285" s="26" t="str">
        <f t="shared" si="37"/>
        <v>energyerr[0][10]=0.003;</v>
      </c>
      <c r="AJ285" s="26" t="str">
        <f t="shared" si="38"/>
        <v>eff[0][10]=22.7707;</v>
      </c>
      <c r="AK285" s="26" t="str">
        <f t="shared" si="39"/>
        <v>efferr[0][10]=0.3062;</v>
      </c>
    </row>
    <row r="287" spans="1:37">
      <c r="G287" s="91" t="s">
        <v>162</v>
      </c>
      <c r="J287" s="91" t="s">
        <v>165</v>
      </c>
    </row>
    <row r="288" spans="1:37">
      <c r="G288" s="72" t="s">
        <v>7</v>
      </c>
      <c r="H288" s="72" t="s">
        <v>134</v>
      </c>
      <c r="I288" s="72"/>
      <c r="J288" s="72"/>
      <c r="K288" s="72"/>
      <c r="L288" s="72"/>
    </row>
    <row r="289" spans="7:12">
      <c r="G289" s="72" t="s">
        <v>135</v>
      </c>
      <c r="H289" s="72">
        <v>4.6398425E-4</v>
      </c>
      <c r="I289" s="72" t="s">
        <v>4</v>
      </c>
      <c r="J289" s="98">
        <v>3.8818840999999999E-7</v>
      </c>
      <c r="K289" s="72"/>
      <c r="L289" s="72"/>
    </row>
    <row r="290" spans="7:12">
      <c r="G290" s="72" t="s">
        <v>136</v>
      </c>
      <c r="H290" s="72">
        <v>-1.1771962E-2</v>
      </c>
      <c r="I290" s="72" t="s">
        <v>4</v>
      </c>
      <c r="J290" s="98">
        <v>3.1024587000000001E-6</v>
      </c>
      <c r="K290" s="72"/>
      <c r="L290" s="72"/>
    </row>
    <row r="291" spans="7:12">
      <c r="G291" s="72" t="s">
        <v>137</v>
      </c>
      <c r="H291" s="72">
        <v>0.12013937</v>
      </c>
      <c r="I291" s="72" t="s">
        <v>4</v>
      </c>
      <c r="J291" s="98">
        <v>2.1807237000000001E-5</v>
      </c>
      <c r="K291" s="72"/>
      <c r="L291" s="72"/>
    </row>
    <row r="292" spans="7:12">
      <c r="G292" s="72" t="s">
        <v>138</v>
      </c>
      <c r="H292" s="72">
        <v>-0.60791211999999994</v>
      </c>
      <c r="I292" s="72" t="s">
        <v>4</v>
      </c>
      <c r="J292" s="98">
        <v>1.4235079999999999E-4</v>
      </c>
      <c r="K292" s="72"/>
      <c r="L292" s="72"/>
    </row>
    <row r="293" spans="7:12">
      <c r="G293" s="72" t="s">
        <v>139</v>
      </c>
      <c r="H293" s="72">
        <v>1.2934895</v>
      </c>
      <c r="I293" s="72" t="s">
        <v>4</v>
      </c>
      <c r="J293" s="98">
        <v>8.944043E-4</v>
      </c>
      <c r="K293" s="72"/>
      <c r="L293" s="72"/>
    </row>
    <row r="294" spans="7:12">
      <c r="G294" s="72" t="s">
        <v>8</v>
      </c>
      <c r="H294" s="72">
        <v>0.32495055</v>
      </c>
      <c r="I294" s="72" t="s">
        <v>4</v>
      </c>
      <c r="J294" s="98">
        <v>5.3090530999999998E-3</v>
      </c>
      <c r="K294" s="72"/>
      <c r="L294" s="72"/>
    </row>
    <row r="295" spans="7:12">
      <c r="G295" s="72" t="s">
        <v>9</v>
      </c>
      <c r="H295" s="72">
        <v>-7.1086198999999999</v>
      </c>
      <c r="I295" s="72" t="s">
        <v>4</v>
      </c>
      <c r="J295" s="98">
        <v>2.4184396E-2</v>
      </c>
      <c r="K295" s="72"/>
      <c r="L295" s="72"/>
    </row>
    <row r="296" spans="7:12">
      <c r="G296" s="72" t="s">
        <v>10</v>
      </c>
      <c r="H296" s="72">
        <v>33.734394999999999</v>
      </c>
      <c r="I296" s="72" t="s">
        <v>11</v>
      </c>
      <c r="J296" s="72">
        <v>5</v>
      </c>
      <c r="K296" s="72" t="s">
        <v>12</v>
      </c>
      <c r="L296" s="99">
        <v>2.6891734000000001E-6</v>
      </c>
    </row>
    <row r="298" spans="7:12">
      <c r="G298" s="91" t="s">
        <v>140</v>
      </c>
      <c r="H298" s="91">
        <f>H289</f>
        <v>4.6398425E-4</v>
      </c>
      <c r="I298" s="91" t="s">
        <v>97</v>
      </c>
      <c r="J298" s="91" t="s">
        <v>153</v>
      </c>
      <c r="K298" s="96">
        <f>J289</f>
        <v>3.8818840999999999E-7</v>
      </c>
      <c r="L298" s="91" t="s">
        <v>97</v>
      </c>
    </row>
    <row r="299" spans="7:12">
      <c r="G299" s="91" t="s">
        <v>141</v>
      </c>
      <c r="H299" s="91">
        <f t="shared" ref="H299:H304" si="42">H290</f>
        <v>-1.1771962E-2</v>
      </c>
      <c r="I299" s="91" t="s">
        <v>97</v>
      </c>
      <c r="J299" s="91" t="s">
        <v>147</v>
      </c>
      <c r="K299" s="96">
        <f t="shared" ref="K299:K304" si="43">J290</f>
        <v>3.1024587000000001E-6</v>
      </c>
      <c r="L299" s="91" t="s">
        <v>97</v>
      </c>
    </row>
    <row r="300" spans="7:12">
      <c r="G300" s="91" t="s">
        <v>142</v>
      </c>
      <c r="H300" s="91">
        <f t="shared" si="42"/>
        <v>0.12013937</v>
      </c>
      <c r="I300" s="91" t="s">
        <v>97</v>
      </c>
      <c r="J300" s="91" t="s">
        <v>148</v>
      </c>
      <c r="K300" s="96">
        <f t="shared" si="43"/>
        <v>2.1807237000000001E-5</v>
      </c>
      <c r="L300" s="91" t="s">
        <v>97</v>
      </c>
    </row>
    <row r="301" spans="7:12">
      <c r="G301" s="91" t="s">
        <v>143</v>
      </c>
      <c r="H301" s="91">
        <f t="shared" si="42"/>
        <v>-0.60791211999999994</v>
      </c>
      <c r="I301" s="91" t="s">
        <v>97</v>
      </c>
      <c r="J301" s="91" t="s">
        <v>149</v>
      </c>
      <c r="K301" s="96">
        <f t="shared" si="43"/>
        <v>1.4235079999999999E-4</v>
      </c>
      <c r="L301" s="91" t="s">
        <v>97</v>
      </c>
    </row>
    <row r="302" spans="7:12">
      <c r="G302" s="91" t="s">
        <v>144</v>
      </c>
      <c r="H302" s="91">
        <f t="shared" si="42"/>
        <v>1.2934895</v>
      </c>
      <c r="I302" s="91" t="s">
        <v>97</v>
      </c>
      <c r="J302" s="91" t="s">
        <v>150</v>
      </c>
      <c r="K302" s="96">
        <f t="shared" si="43"/>
        <v>8.944043E-4</v>
      </c>
      <c r="L302" s="91" t="s">
        <v>97</v>
      </c>
    </row>
    <row r="303" spans="7:12">
      <c r="G303" s="91" t="s">
        <v>145</v>
      </c>
      <c r="H303" s="91">
        <f t="shared" si="42"/>
        <v>0.32495055</v>
      </c>
      <c r="I303" s="91" t="s">
        <v>97</v>
      </c>
      <c r="J303" s="91" t="s">
        <v>151</v>
      </c>
      <c r="K303" s="96">
        <f t="shared" si="43"/>
        <v>5.3090530999999998E-3</v>
      </c>
      <c r="L303" s="91" t="s">
        <v>97</v>
      </c>
    </row>
    <row r="304" spans="7:12">
      <c r="G304" s="91" t="s">
        <v>146</v>
      </c>
      <c r="H304" s="91">
        <f t="shared" si="42"/>
        <v>-7.1086198999999999</v>
      </c>
      <c r="I304" s="91" t="s">
        <v>97</v>
      </c>
      <c r="J304" s="91" t="s">
        <v>152</v>
      </c>
      <c r="K304" s="96">
        <f t="shared" si="43"/>
        <v>2.4184396E-2</v>
      </c>
      <c r="L304" s="91" t="s">
        <v>97</v>
      </c>
    </row>
    <row r="306" spans="7:9">
      <c r="G306" s="91" t="s">
        <v>164</v>
      </c>
    </row>
    <row r="307" spans="7:9">
      <c r="H307" s="29" t="str">
        <f>G298&amp;TEXT(ROUND(H298,8),"0.00000000")&amp;I298</f>
        <v>par[0][6]=0.00046398;</v>
      </c>
      <c r="I307" s="29" t="str">
        <f t="shared" ref="I307:I313" si="44">J298&amp;TEXT(ROUND(K298,8),"0.00000000")&amp;L298</f>
        <v>parerr[0][6]=0.00000039;</v>
      </c>
    </row>
    <row r="308" spans="7:9">
      <c r="H308" s="29" t="str">
        <f t="shared" ref="H308:H313" si="45">G299&amp;TEXT(ROUND(H299,8),"0.00000000")&amp;I299</f>
        <v>par[0][5]=-0.01177196;</v>
      </c>
      <c r="I308" s="29" t="str">
        <f t="shared" si="44"/>
        <v>parerr[0][5]=0.00000310;</v>
      </c>
    </row>
    <row r="309" spans="7:9">
      <c r="H309" s="29" t="str">
        <f t="shared" si="45"/>
        <v>par[0][4]=0.12013937;</v>
      </c>
      <c r="I309" s="29" t="str">
        <f t="shared" si="44"/>
        <v>parerr[0][4]=0.00002181;</v>
      </c>
    </row>
    <row r="310" spans="7:9">
      <c r="H310" s="29" t="str">
        <f t="shared" si="45"/>
        <v>par[0][3]=-0.60791212;</v>
      </c>
      <c r="I310" s="29" t="str">
        <f t="shared" si="44"/>
        <v>parerr[0][3]=0.00014235;</v>
      </c>
    </row>
    <row r="311" spans="7:9">
      <c r="H311" s="29" t="str">
        <f t="shared" si="45"/>
        <v>par[0][2]=1.29348950;</v>
      </c>
      <c r="I311" s="29" t="str">
        <f t="shared" si="44"/>
        <v>parerr[0][2]=0.00089440;</v>
      </c>
    </row>
    <row r="312" spans="7:9">
      <c r="H312" s="29" t="str">
        <f t="shared" si="45"/>
        <v>par[0][1]=0.32495055;</v>
      </c>
      <c r="I312" s="29" t="str">
        <f t="shared" si="44"/>
        <v>parerr[0][1]=0.00530905;</v>
      </c>
    </row>
    <row r="313" spans="7:9">
      <c r="H313" s="29" t="str">
        <f t="shared" si="45"/>
        <v>par[0][0]=-7.10861990;</v>
      </c>
      <c r="I313" s="29" t="str">
        <f t="shared" si="44"/>
        <v>parerr[0][0]=0.02418440;</v>
      </c>
    </row>
  </sheetData>
  <mergeCells count="15">
    <mergeCell ref="AK4:AN4"/>
    <mergeCell ref="Q4:T4"/>
    <mergeCell ref="U4:X4"/>
    <mergeCell ref="Y4:AB4"/>
    <mergeCell ref="AC4:AF4"/>
    <mergeCell ref="AG4:AJ4"/>
    <mergeCell ref="BM4:BP4"/>
    <mergeCell ref="BQ4:BT4"/>
    <mergeCell ref="BU4:BX4"/>
    <mergeCell ref="AO4:AR4"/>
    <mergeCell ref="AS4:AV4"/>
    <mergeCell ref="AW4:AZ4"/>
    <mergeCell ref="BA4:BD4"/>
    <mergeCell ref="BE4:BH4"/>
    <mergeCell ref="BI4:BL4"/>
  </mergeCells>
  <phoneticPr fontId="1" type="noConversion"/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FE9F6-FF67-446F-8630-D560B8BA75D5}">
  <dimension ref="A2:CB313"/>
  <sheetViews>
    <sheetView workbookViewId="0"/>
  </sheetViews>
  <sheetFormatPr defaultColWidth="9" defaultRowHeight="13.2"/>
  <cols>
    <col min="1" max="4" width="9" style="91"/>
    <col min="5" max="5" width="7.88671875" style="91" bestFit="1" customWidth="1"/>
    <col min="6" max="6" width="12.6640625" style="91" bestFit="1" customWidth="1"/>
    <col min="7" max="7" width="9.88671875" style="91" customWidth="1"/>
    <col min="8" max="8" width="8.77734375" style="91" customWidth="1"/>
    <col min="9" max="9" width="9.77734375" style="91" customWidth="1"/>
    <col min="10" max="11" width="8.21875" style="91" customWidth="1"/>
    <col min="12" max="12" width="9.44140625" style="91" bestFit="1" customWidth="1"/>
    <col min="13" max="13" width="8.33203125" style="91" bestFit="1" customWidth="1"/>
    <col min="14" max="14" width="6" style="91" customWidth="1"/>
    <col min="15" max="15" width="11.77734375" style="91" bestFit="1" customWidth="1"/>
    <col min="16" max="16" width="7.88671875" style="91" customWidth="1"/>
    <col min="17" max="17" width="7.33203125" style="91" bestFit="1" customWidth="1"/>
    <col min="18" max="18" width="8.21875" style="91" bestFit="1" customWidth="1"/>
    <col min="19" max="19" width="10.21875" style="91" customWidth="1"/>
    <col min="20" max="20" width="7.88671875" style="91" bestFit="1" customWidth="1"/>
    <col min="21" max="21" width="6.33203125" style="91" customWidth="1"/>
    <col min="22" max="22" width="7" style="91" customWidth="1"/>
    <col min="23" max="23" width="7.6640625" style="91" customWidth="1"/>
    <col min="24" max="24" width="5.109375" style="91" customWidth="1"/>
    <col min="25" max="25" width="7" style="91" customWidth="1"/>
    <col min="26" max="26" width="8.77734375" style="91" bestFit="1" customWidth="1"/>
    <col min="27" max="27" width="7.88671875" style="91" bestFit="1" customWidth="1"/>
    <col min="28" max="28" width="7.33203125" style="91" bestFit="1" customWidth="1"/>
    <col min="29" max="29" width="6.77734375" style="91" bestFit="1" customWidth="1"/>
    <col min="30" max="30" width="8.21875" style="91" bestFit="1" customWidth="1"/>
    <col min="31" max="33" width="6.77734375" style="91" bestFit="1" customWidth="1"/>
    <col min="34" max="34" width="8.21875" style="91" bestFit="1" customWidth="1"/>
    <col min="35" max="37" width="6.77734375" style="91" bestFit="1" customWidth="1"/>
    <col min="38" max="38" width="8.21875" style="91" bestFit="1" customWidth="1"/>
    <col min="39" max="41" width="6.77734375" style="91" bestFit="1" customWidth="1"/>
    <col min="42" max="42" width="8.21875" style="91" bestFit="1" customWidth="1"/>
    <col min="43" max="45" width="6.77734375" style="91" bestFit="1" customWidth="1"/>
    <col min="46" max="46" width="8.21875" style="91" bestFit="1" customWidth="1"/>
    <col min="47" max="49" width="6.77734375" style="91" bestFit="1" customWidth="1"/>
    <col min="50" max="50" width="8.21875" style="91" bestFit="1" customWidth="1"/>
    <col min="51" max="53" width="6.77734375" style="91" bestFit="1" customWidth="1"/>
    <col min="54" max="54" width="8.21875" style="91" bestFit="1" customWidth="1"/>
    <col min="55" max="57" width="6.77734375" style="91" bestFit="1" customWidth="1"/>
    <col min="58" max="58" width="8.21875" style="91" bestFit="1" customWidth="1"/>
    <col min="59" max="61" width="6.77734375" style="91" bestFit="1" customWidth="1"/>
    <col min="62" max="62" width="8.21875" style="91" bestFit="1" customWidth="1"/>
    <col min="63" max="65" width="6.77734375" style="91" bestFit="1" customWidth="1"/>
    <col min="66" max="66" width="8.21875" style="91" bestFit="1" customWidth="1"/>
    <col min="67" max="69" width="6.77734375" style="91" bestFit="1" customWidth="1"/>
    <col min="70" max="70" width="7.44140625" style="91" bestFit="1" customWidth="1"/>
    <col min="71" max="76" width="6.77734375" style="91" bestFit="1" customWidth="1"/>
    <col min="77" max="80" width="9" style="15"/>
    <col min="81" max="16384" width="9" style="91"/>
  </cols>
  <sheetData>
    <row r="2" spans="2:76">
      <c r="L2" s="91" t="s">
        <v>62</v>
      </c>
      <c r="M2" s="91">
        <f>1.088*37000</f>
        <v>40256</v>
      </c>
      <c r="N2" s="91" t="s">
        <v>63</v>
      </c>
    </row>
    <row r="3" spans="2:76">
      <c r="L3" s="11"/>
      <c r="M3" s="11"/>
      <c r="Q3" s="92"/>
      <c r="R3" s="92"/>
      <c r="S3" s="92"/>
      <c r="T3" s="92"/>
      <c r="U3" s="93"/>
      <c r="V3" s="93"/>
      <c r="W3" s="93"/>
      <c r="X3" s="93"/>
      <c r="Y3" s="92"/>
      <c r="Z3" s="92"/>
      <c r="AA3" s="92"/>
      <c r="AB3" s="92"/>
      <c r="AC3" s="93"/>
      <c r="AD3" s="93"/>
      <c r="AE3" s="93"/>
      <c r="AF3" s="93"/>
      <c r="AG3" s="92"/>
      <c r="AH3" s="92"/>
      <c r="AI3" s="92"/>
      <c r="AJ3" s="92"/>
      <c r="AK3" s="93"/>
      <c r="AL3" s="93"/>
      <c r="AM3" s="93"/>
      <c r="AN3" s="93"/>
      <c r="AO3" s="92"/>
      <c r="AP3" s="92"/>
      <c r="AQ3" s="92"/>
      <c r="AR3" s="92"/>
      <c r="AS3" s="93"/>
      <c r="AT3" s="93"/>
      <c r="AU3" s="93"/>
      <c r="AV3" s="93"/>
      <c r="AW3" s="92"/>
      <c r="AX3" s="92"/>
      <c r="AY3" s="92"/>
      <c r="AZ3" s="92"/>
      <c r="BA3" s="93"/>
      <c r="BB3" s="93"/>
      <c r="BC3" s="93"/>
      <c r="BD3" s="93"/>
      <c r="BE3" s="92"/>
      <c r="BF3" s="92"/>
      <c r="BG3" s="92"/>
      <c r="BH3" s="92"/>
      <c r="BI3" s="93"/>
      <c r="BJ3" s="93"/>
      <c r="BK3" s="93"/>
      <c r="BL3" s="93"/>
      <c r="BM3" s="92"/>
      <c r="BN3" s="92"/>
      <c r="BO3" s="92"/>
      <c r="BP3" s="92"/>
      <c r="BQ3" s="93"/>
      <c r="BR3" s="93"/>
      <c r="BS3" s="93"/>
      <c r="BT3" s="93"/>
      <c r="BU3" s="94"/>
      <c r="BV3" s="94"/>
      <c r="BW3" s="94"/>
      <c r="BX3" s="94"/>
    </row>
    <row r="4" spans="2:76">
      <c r="I4" s="100" t="s">
        <v>41</v>
      </c>
      <c r="J4" s="91" t="s">
        <v>42</v>
      </c>
      <c r="L4" s="11" t="s">
        <v>64</v>
      </c>
      <c r="M4" s="11">
        <f>3589570000000/10000000000</f>
        <v>358.95699999999999</v>
      </c>
      <c r="N4" s="91" t="s">
        <v>22</v>
      </c>
      <c r="O4" s="91">
        <f>$M$2*M4</f>
        <v>14450172.992000001</v>
      </c>
      <c r="Q4" s="412" t="s">
        <v>45</v>
      </c>
      <c r="R4" s="412"/>
      <c r="S4" s="412"/>
      <c r="T4" s="412"/>
      <c r="U4" s="413" t="s">
        <v>46</v>
      </c>
      <c r="V4" s="413"/>
      <c r="W4" s="413"/>
      <c r="X4" s="413"/>
      <c r="Y4" s="412" t="s">
        <v>47</v>
      </c>
      <c r="Z4" s="412"/>
      <c r="AA4" s="412"/>
      <c r="AB4" s="412"/>
      <c r="AC4" s="413" t="s">
        <v>48</v>
      </c>
      <c r="AD4" s="413"/>
      <c r="AE4" s="413"/>
      <c r="AF4" s="413"/>
      <c r="AG4" s="412" t="s">
        <v>49</v>
      </c>
      <c r="AH4" s="412"/>
      <c r="AI4" s="412"/>
      <c r="AJ4" s="412"/>
      <c r="AK4" s="413" t="s">
        <v>50</v>
      </c>
      <c r="AL4" s="413"/>
      <c r="AM4" s="413"/>
      <c r="AN4" s="413"/>
      <c r="AO4" s="412" t="s">
        <v>51</v>
      </c>
      <c r="AP4" s="412"/>
      <c r="AQ4" s="412"/>
      <c r="AR4" s="412"/>
      <c r="AS4" s="413" t="s">
        <v>52</v>
      </c>
      <c r="AT4" s="413"/>
      <c r="AU4" s="413"/>
      <c r="AV4" s="413"/>
      <c r="AW4" s="412" t="s">
        <v>53</v>
      </c>
      <c r="AX4" s="412"/>
      <c r="AY4" s="412"/>
      <c r="AZ4" s="412"/>
      <c r="BA4" s="413" t="s">
        <v>54</v>
      </c>
      <c r="BB4" s="413"/>
      <c r="BC4" s="413"/>
      <c r="BD4" s="413"/>
      <c r="BE4" s="412" t="s">
        <v>55</v>
      </c>
      <c r="BF4" s="412"/>
      <c r="BG4" s="412"/>
      <c r="BH4" s="412"/>
      <c r="BI4" s="413" t="s">
        <v>56</v>
      </c>
      <c r="BJ4" s="413"/>
      <c r="BK4" s="413"/>
      <c r="BL4" s="413"/>
      <c r="BM4" s="412" t="s">
        <v>57</v>
      </c>
      <c r="BN4" s="412"/>
      <c r="BO4" s="412"/>
      <c r="BP4" s="412"/>
      <c r="BQ4" s="413" t="s">
        <v>58</v>
      </c>
      <c r="BR4" s="413"/>
      <c r="BS4" s="413"/>
      <c r="BT4" s="413"/>
      <c r="BU4" s="414" t="s">
        <v>60</v>
      </c>
      <c r="BV4" s="414"/>
      <c r="BW4" s="414"/>
      <c r="BX4" s="414"/>
    </row>
    <row r="5" spans="2:76">
      <c r="B5" s="91" t="s">
        <v>154</v>
      </c>
      <c r="C5" s="91" t="s">
        <v>154</v>
      </c>
      <c r="D5" s="91" t="s">
        <v>159</v>
      </c>
      <c r="E5" s="91" t="s">
        <v>158</v>
      </c>
      <c r="G5" s="91" t="s">
        <v>61</v>
      </c>
      <c r="I5" s="91" t="s">
        <v>40</v>
      </c>
      <c r="K5" s="91" t="s">
        <v>156</v>
      </c>
      <c r="L5" s="11"/>
      <c r="M5" s="101" t="s">
        <v>160</v>
      </c>
      <c r="N5" s="100"/>
      <c r="O5" s="91" t="s">
        <v>157</v>
      </c>
      <c r="Q5" s="92" t="s">
        <v>43</v>
      </c>
      <c r="R5" s="92"/>
      <c r="S5" s="92" t="s">
        <v>44</v>
      </c>
      <c r="T5" s="92"/>
      <c r="U5" s="93" t="s">
        <v>43</v>
      </c>
      <c r="V5" s="93"/>
      <c r="W5" s="93" t="s">
        <v>44</v>
      </c>
      <c r="X5" s="93"/>
      <c r="Y5" s="92"/>
      <c r="Z5" s="92"/>
      <c r="AA5" s="92"/>
      <c r="AB5" s="92"/>
      <c r="AC5" s="93"/>
      <c r="AD5" s="93"/>
      <c r="AE5" s="93"/>
      <c r="AF5" s="93"/>
      <c r="AG5" s="92"/>
      <c r="AH5" s="92"/>
      <c r="AI5" s="92"/>
      <c r="AJ5" s="92"/>
      <c r="AK5" s="93"/>
      <c r="AL5" s="93"/>
      <c r="AM5" s="93"/>
      <c r="AN5" s="93"/>
      <c r="AO5" s="92"/>
      <c r="AP5" s="92"/>
      <c r="AQ5" s="92"/>
      <c r="AR5" s="92"/>
      <c r="AS5" s="93" t="s">
        <v>43</v>
      </c>
      <c r="AT5" s="93">
        <v>8</v>
      </c>
      <c r="AU5" s="93" t="s">
        <v>44</v>
      </c>
      <c r="AV5" s="93"/>
      <c r="AW5" s="92"/>
      <c r="AX5" s="92"/>
      <c r="AY5" s="92"/>
      <c r="AZ5" s="92"/>
      <c r="BA5" s="93"/>
      <c r="BB5" s="93"/>
      <c r="BC5" s="93"/>
      <c r="BD5" s="93"/>
      <c r="BE5" s="92"/>
      <c r="BF5" s="92"/>
      <c r="BG5" s="92"/>
      <c r="BH5" s="92"/>
      <c r="BI5" s="93"/>
      <c r="BJ5" s="93"/>
      <c r="BK5" s="93"/>
      <c r="BL5" s="93"/>
      <c r="BM5" s="92"/>
      <c r="BN5" s="92"/>
      <c r="BO5" s="92"/>
      <c r="BP5" s="92"/>
      <c r="BQ5" s="93"/>
      <c r="BR5" s="93"/>
      <c r="BS5" s="93"/>
      <c r="BT5" s="93"/>
      <c r="BU5" s="94"/>
      <c r="BV5" s="94"/>
      <c r="BW5" s="94"/>
      <c r="BX5" s="94"/>
    </row>
    <row r="6" spans="2:76">
      <c r="B6" s="2">
        <f>SUM(B7,B10,B12,B13,B14,B15,B17)</f>
        <v>73929.927941406582</v>
      </c>
      <c r="C6" s="69"/>
      <c r="E6" s="23">
        <f>F6</f>
        <v>0.20741768270424182</v>
      </c>
      <c r="F6" s="11">
        <f t="shared" ref="F6:F17" si="0">G6/G$18</f>
        <v>0.20741768270424182</v>
      </c>
      <c r="G6" s="91">
        <v>0.28410000000000002</v>
      </c>
      <c r="H6" s="91">
        <v>1.2999999999999999E-3</v>
      </c>
      <c r="I6" s="2">
        <v>121.7817</v>
      </c>
      <c r="J6" s="91">
        <v>2.9999999999999997E-4</v>
      </c>
      <c r="K6" s="2">
        <f>O6+B6+C6</f>
        <v>7919871.9279414061</v>
      </c>
      <c r="L6" s="11">
        <f>SQRT(SUMSQ(T6,X6,AB6,AF6,AJ6,AN6,AR6,AV6,AZ6,BD6,BH6,BL6,BP6,BT6))</f>
        <v>3735.6165317826717</v>
      </c>
      <c r="M6" s="101">
        <f>K6/G6/O$4</f>
        <v>1.9291850094776974</v>
      </c>
      <c r="N6" s="100">
        <f t="shared" ref="N6:N17" si="1">M6*SQRT((H6/G6)^2+(L6/O6)^2)</f>
        <v>8.8753260749834841E-3</v>
      </c>
      <c r="O6" s="91">
        <f t="shared" ref="O6:O17" si="2">SUM(S6,W6,AA6,AE6,AI6,AM6,AQ6,AU6,AY6,BC6,BG6,BK6,BO6,BS6)</f>
        <v>7845942</v>
      </c>
      <c r="Q6" s="92">
        <v>894.54700000000003</v>
      </c>
      <c r="R6" s="92">
        <v>6.8001099999999995E-2</v>
      </c>
      <c r="S6" s="92">
        <v>534655</v>
      </c>
      <c r="T6" s="92">
        <v>1030.79</v>
      </c>
      <c r="U6" s="93">
        <v>935.87300000000005</v>
      </c>
      <c r="V6" s="93">
        <v>6.23335E-2</v>
      </c>
      <c r="W6" s="93">
        <v>568802</v>
      </c>
      <c r="X6" s="93">
        <v>906.28300000000002</v>
      </c>
      <c r="Y6" s="92">
        <v>874.82500000000005</v>
      </c>
      <c r="Z6" s="92">
        <v>8.1231999999999999E-2</v>
      </c>
      <c r="AA6" s="92">
        <v>577340</v>
      </c>
      <c r="AB6" s="92">
        <v>1227.42</v>
      </c>
      <c r="AC6" s="93">
        <v>891.37199999999996</v>
      </c>
      <c r="AD6" s="93">
        <v>6.2257399999999997E-2</v>
      </c>
      <c r="AE6" s="93">
        <v>625186</v>
      </c>
      <c r="AF6" s="93">
        <v>982.33799999999997</v>
      </c>
      <c r="AG6" s="92">
        <v>878.77300000000002</v>
      </c>
      <c r="AH6" s="92">
        <v>6.4714499999999994E-2</v>
      </c>
      <c r="AI6" s="92">
        <v>575419</v>
      </c>
      <c r="AJ6" s="92">
        <v>1056.02</v>
      </c>
      <c r="AK6" s="93">
        <v>879.43899999999996</v>
      </c>
      <c r="AL6" s="93">
        <v>6.4577700000000002E-2</v>
      </c>
      <c r="AM6" s="93">
        <v>538702</v>
      </c>
      <c r="AN6" s="93">
        <v>922.65</v>
      </c>
      <c r="AO6" s="92">
        <v>865.59500000000003</v>
      </c>
      <c r="AP6" s="92">
        <v>5.6338800000000001E-2</v>
      </c>
      <c r="AQ6" s="92">
        <v>548358</v>
      </c>
      <c r="AR6" s="92">
        <v>905.33699999999999</v>
      </c>
      <c r="AS6" s="93">
        <v>1278.3699999999999</v>
      </c>
      <c r="AT6" s="93">
        <v>7.9957100000000003E-2</v>
      </c>
      <c r="AU6" s="93">
        <v>572267</v>
      </c>
      <c r="AV6" s="93">
        <v>949.63400000000001</v>
      </c>
      <c r="AW6" s="92">
        <v>851.572</v>
      </c>
      <c r="AX6" s="92">
        <v>5.7776599999999997E-2</v>
      </c>
      <c r="AY6" s="92">
        <v>534529</v>
      </c>
      <c r="AZ6" s="92">
        <v>1012.84</v>
      </c>
      <c r="BA6" s="93">
        <v>823.70699999999999</v>
      </c>
      <c r="BB6" s="93">
        <v>5.1642E-2</v>
      </c>
      <c r="BC6" s="93">
        <v>565850</v>
      </c>
      <c r="BD6" s="93">
        <v>911.95100000000002</v>
      </c>
      <c r="BE6" s="92">
        <v>850.13900000000001</v>
      </c>
      <c r="BF6" s="92">
        <v>0.12712999999999999</v>
      </c>
      <c r="BG6" s="92">
        <v>584730</v>
      </c>
      <c r="BH6" s="92">
        <v>1073.0999999999999</v>
      </c>
      <c r="BI6" s="93">
        <v>905.60400000000004</v>
      </c>
      <c r="BJ6" s="93">
        <v>6.2685900000000003E-2</v>
      </c>
      <c r="BK6" s="93">
        <v>600781</v>
      </c>
      <c r="BL6" s="93">
        <v>982.86500000000001</v>
      </c>
      <c r="BM6" s="92">
        <v>842.97900000000004</v>
      </c>
      <c r="BN6" s="92">
        <v>8.1197400000000003E-2</v>
      </c>
      <c r="BO6" s="92">
        <v>532377</v>
      </c>
      <c r="BP6" s="92">
        <v>919.23800000000006</v>
      </c>
      <c r="BQ6" s="93">
        <v>849.76700000000005</v>
      </c>
      <c r="BR6" s="93">
        <v>0.20930799999999999</v>
      </c>
      <c r="BS6" s="93">
        <v>486946</v>
      </c>
      <c r="BT6" s="93">
        <v>1044.72</v>
      </c>
      <c r="BU6" s="94"/>
      <c r="BV6" s="94"/>
      <c r="BW6" s="94"/>
      <c r="BX6" s="94"/>
    </row>
    <row r="7" spans="2:76">
      <c r="B7" s="2">
        <f>AD22/13*O7</f>
        <v>19093.673063796603</v>
      </c>
      <c r="C7" s="2">
        <f>C10+C12+C15</f>
        <v>9298.2516145774371</v>
      </c>
      <c r="D7" s="91">
        <v>122</v>
      </c>
      <c r="E7" s="22">
        <f>E6+F7</f>
        <v>0.26217419872964887</v>
      </c>
      <c r="F7" s="11">
        <f t="shared" si="0"/>
        <v>5.4756516025407022E-2</v>
      </c>
      <c r="G7" s="91">
        <v>7.4999999999999997E-2</v>
      </c>
      <c r="H7" s="91">
        <v>4.0000000000000002E-4</v>
      </c>
      <c r="I7" s="2">
        <v>244.69739999999999</v>
      </c>
      <c r="J7" s="91">
        <v>8.0000000000000004E-4</v>
      </c>
      <c r="K7" s="2">
        <f t="shared" ref="K7:K16" si="3">O7+B7+C7</f>
        <v>1541528.3246783742</v>
      </c>
      <c r="L7" s="11">
        <f t="shared" ref="L7:L17" si="4">SQRT(SUMSQ(T7,X7,AB7,AF7,AJ7,AN7,AR7,AV7,AZ7,BD7,BH7,BL7,BP7,BT7))</f>
        <v>1855.0421032553411</v>
      </c>
      <c r="M7" s="101">
        <f>K7/G7/O$4</f>
        <v>1.4223851165720118</v>
      </c>
      <c r="N7" s="100">
        <f t="shared" si="1"/>
        <v>7.7838936331462326E-3</v>
      </c>
      <c r="O7" s="91">
        <f t="shared" si="2"/>
        <v>1513136.4000000001</v>
      </c>
      <c r="Q7" s="92">
        <v>1778.18</v>
      </c>
      <c r="R7" s="92">
        <v>0.15009500000000001</v>
      </c>
      <c r="S7" s="92">
        <v>106029</v>
      </c>
      <c r="T7" s="92">
        <v>442.20299999999997</v>
      </c>
      <c r="U7" s="93">
        <v>1887.09</v>
      </c>
      <c r="V7" s="93">
        <v>0.18476000000000001</v>
      </c>
      <c r="W7" s="93">
        <v>106196</v>
      </c>
      <c r="X7" s="93">
        <v>447.95299999999997</v>
      </c>
      <c r="Y7" s="92">
        <v>1758.76</v>
      </c>
      <c r="Z7" s="92">
        <v>0.17321</v>
      </c>
      <c r="AA7" s="92">
        <v>116572</v>
      </c>
      <c r="AB7" s="92">
        <v>517.95600000000002</v>
      </c>
      <c r="AC7" s="93">
        <v>1791.38</v>
      </c>
      <c r="AD7" s="93">
        <v>0.17709</v>
      </c>
      <c r="AE7" s="93">
        <v>119441</v>
      </c>
      <c r="AF7" s="93">
        <v>502.71199999999999</v>
      </c>
      <c r="AG7" s="92">
        <v>1773.86</v>
      </c>
      <c r="AH7" s="92">
        <v>0.166994</v>
      </c>
      <c r="AI7" s="92">
        <v>116487</v>
      </c>
      <c r="AJ7" s="92">
        <v>510.476</v>
      </c>
      <c r="AK7" s="93">
        <v>1765.8</v>
      </c>
      <c r="AL7" s="93">
        <v>0.18329699999999999</v>
      </c>
      <c r="AM7" s="93">
        <v>103517</v>
      </c>
      <c r="AN7" s="93">
        <v>462.71800000000002</v>
      </c>
      <c r="AO7" s="92">
        <v>1745.46</v>
      </c>
      <c r="AP7" s="92">
        <v>0.16275300000000001</v>
      </c>
      <c r="AQ7" s="92">
        <v>105417</v>
      </c>
      <c r="AR7" s="92">
        <v>458.76</v>
      </c>
      <c r="AS7" s="93">
        <v>2573.46</v>
      </c>
      <c r="AT7" s="93">
        <v>0.25742700000000002</v>
      </c>
      <c r="AU7" s="93">
        <v>108298</v>
      </c>
      <c r="AV7" s="93">
        <v>538.81100000000004</v>
      </c>
      <c r="AW7" s="92">
        <v>1719.24</v>
      </c>
      <c r="AX7" s="92">
        <v>0.14754700000000001</v>
      </c>
      <c r="AY7" s="92">
        <v>104567</v>
      </c>
      <c r="AZ7" s="92">
        <v>471.80700000000002</v>
      </c>
      <c r="BA7" s="93">
        <v>1663.57</v>
      </c>
      <c r="BB7" s="93">
        <v>0.14715500000000001</v>
      </c>
      <c r="BC7" s="93">
        <v>109315</v>
      </c>
      <c r="BD7" s="93">
        <v>459.03</v>
      </c>
      <c r="BE7" s="92">
        <v>1710.11</v>
      </c>
      <c r="BF7" s="92">
        <v>0.33549299999999999</v>
      </c>
      <c r="BG7" s="92">
        <v>111911</v>
      </c>
      <c r="BH7" s="92">
        <v>570.36400000000003</v>
      </c>
      <c r="BI7" s="93">
        <v>1828.88</v>
      </c>
      <c r="BJ7" s="93">
        <v>0.182611</v>
      </c>
      <c r="BK7" s="93">
        <v>114513</v>
      </c>
      <c r="BL7" s="93">
        <v>496.935</v>
      </c>
      <c r="BM7" s="92">
        <v>1698.39</v>
      </c>
      <c r="BN7" s="92">
        <v>0.23702100000000001</v>
      </c>
      <c r="BO7" s="92">
        <v>97401.600000000006</v>
      </c>
      <c r="BP7" s="92">
        <v>465.13</v>
      </c>
      <c r="BQ7" s="93">
        <v>1714.34</v>
      </c>
      <c r="BR7" s="93">
        <v>0.74027799999999999</v>
      </c>
      <c r="BS7" s="93">
        <v>93471.8</v>
      </c>
      <c r="BT7" s="93">
        <v>571.48099999999999</v>
      </c>
      <c r="BU7" s="94"/>
      <c r="BV7" s="94"/>
      <c r="BW7" s="94"/>
      <c r="BX7" s="94"/>
    </row>
    <row r="8" spans="2:76">
      <c r="B8" s="2">
        <f>C9+C11+C16</f>
        <v>13589.731842444289</v>
      </c>
      <c r="C8" s="69"/>
      <c r="E8" s="22">
        <f t="shared" ref="E8:E17" si="5">E7+F8</f>
        <v>0.45623129152369135</v>
      </c>
      <c r="F8" s="11">
        <f t="shared" si="0"/>
        <v>0.19405709279404249</v>
      </c>
      <c r="G8" s="91">
        <v>0.26579999999999998</v>
      </c>
      <c r="H8" s="91">
        <v>1.1999999999999999E-3</v>
      </c>
      <c r="I8" s="2">
        <v>344.27850000000001</v>
      </c>
      <c r="J8" s="91">
        <v>1.1999999999999999E-3</v>
      </c>
      <c r="K8" s="2">
        <f t="shared" si="3"/>
        <v>4358469.7318424443</v>
      </c>
      <c r="L8" s="11">
        <f t="shared" si="4"/>
        <v>2657.1601785560465</v>
      </c>
      <c r="M8" s="101">
        <f t="shared" ref="M8:M16" si="6">K8/G8/O$4</f>
        <v>1.1347652067904945</v>
      </c>
      <c r="N8" s="100">
        <f t="shared" si="1"/>
        <v>5.1698832564188672E-3</v>
      </c>
      <c r="O8" s="91">
        <f t="shared" si="2"/>
        <v>4344880</v>
      </c>
      <c r="Q8" s="92">
        <v>2503.0500000000002</v>
      </c>
      <c r="R8" s="92">
        <v>7.0571700000000001E-2</v>
      </c>
      <c r="S8" s="92">
        <v>306605</v>
      </c>
      <c r="T8" s="92">
        <v>633.09</v>
      </c>
      <c r="U8" s="93">
        <v>2654.92</v>
      </c>
      <c r="V8" s="93">
        <v>8.3309099999999997E-2</v>
      </c>
      <c r="W8" s="93">
        <v>310201</v>
      </c>
      <c r="X8" s="93">
        <v>647.23599999999999</v>
      </c>
      <c r="Y8" s="92">
        <v>2478.94</v>
      </c>
      <c r="Z8" s="92">
        <v>8.5010000000000002E-2</v>
      </c>
      <c r="AA8" s="92">
        <v>335469</v>
      </c>
      <c r="AB8" s="92">
        <v>717.25800000000004</v>
      </c>
      <c r="AC8" s="93">
        <v>2519.7199999999998</v>
      </c>
      <c r="AD8" s="93">
        <v>8.5811799999999994E-2</v>
      </c>
      <c r="AE8" s="93">
        <v>343873</v>
      </c>
      <c r="AF8" s="93">
        <v>694.38</v>
      </c>
      <c r="AG8" s="92">
        <v>2499.67</v>
      </c>
      <c r="AH8" s="92">
        <v>8.7233400000000003E-2</v>
      </c>
      <c r="AI8" s="92">
        <v>323586</v>
      </c>
      <c r="AJ8" s="92">
        <v>763.76700000000005</v>
      </c>
      <c r="AK8" s="93">
        <v>2486.65</v>
      </c>
      <c r="AL8" s="93">
        <v>8.3316699999999994E-2</v>
      </c>
      <c r="AM8" s="93">
        <v>301456</v>
      </c>
      <c r="AN8" s="93">
        <v>646.42700000000002</v>
      </c>
      <c r="AO8" s="92">
        <v>2454.9299999999998</v>
      </c>
      <c r="AP8" s="92">
        <v>7.9803700000000005E-2</v>
      </c>
      <c r="AQ8" s="92">
        <v>301248</v>
      </c>
      <c r="AR8" s="92">
        <v>673.221</v>
      </c>
      <c r="AS8" s="93">
        <v>3621.13</v>
      </c>
      <c r="AT8" s="93">
        <v>0.117842</v>
      </c>
      <c r="AU8" s="93">
        <v>312580</v>
      </c>
      <c r="AV8" s="93">
        <v>726.54100000000005</v>
      </c>
      <c r="AW8" s="92">
        <v>2414.79</v>
      </c>
      <c r="AX8" s="92">
        <v>0.10438500000000001</v>
      </c>
      <c r="AY8" s="92">
        <v>284936</v>
      </c>
      <c r="AZ8" s="92">
        <v>944.51400000000001</v>
      </c>
      <c r="BA8" s="93">
        <v>2347.84</v>
      </c>
      <c r="BB8" s="93">
        <v>6.9902900000000004E-2</v>
      </c>
      <c r="BC8" s="93">
        <v>314128</v>
      </c>
      <c r="BD8" s="93">
        <v>648.15700000000004</v>
      </c>
      <c r="BE8" s="92">
        <v>2405.98</v>
      </c>
      <c r="BF8" s="92">
        <v>0.14510500000000001</v>
      </c>
      <c r="BG8" s="92">
        <v>321427</v>
      </c>
      <c r="BH8" s="92">
        <v>738.81500000000005</v>
      </c>
      <c r="BI8" s="93">
        <v>2568.2600000000002</v>
      </c>
      <c r="BJ8" s="93">
        <v>7.9102400000000003E-2</v>
      </c>
      <c r="BK8" s="93">
        <v>340399</v>
      </c>
      <c r="BL8" s="93">
        <v>703.65700000000004</v>
      </c>
      <c r="BM8" s="92">
        <v>2385.48</v>
      </c>
      <c r="BN8" s="92">
        <v>0.108732</v>
      </c>
      <c r="BO8" s="92">
        <v>277278</v>
      </c>
      <c r="BP8" s="92">
        <v>632.83799999999997</v>
      </c>
      <c r="BQ8" s="93">
        <v>2411.67</v>
      </c>
      <c r="BR8" s="93">
        <v>0.25542300000000001</v>
      </c>
      <c r="BS8" s="93">
        <v>271694</v>
      </c>
      <c r="BT8" s="93">
        <v>712.87099999999998</v>
      </c>
      <c r="BU8" s="94"/>
      <c r="BV8" s="94"/>
      <c r="BW8" s="94"/>
      <c r="BX8" s="94"/>
    </row>
    <row r="9" spans="2:76">
      <c r="C9" s="2">
        <f>AD24/13*O9</f>
        <v>2603.9420307518667</v>
      </c>
      <c r="D9" s="91">
        <v>344</v>
      </c>
      <c r="E9" s="22">
        <f t="shared" si="5"/>
        <v>0.47256333503686943</v>
      </c>
      <c r="F9" s="11">
        <f t="shared" si="0"/>
        <v>1.633204351317807E-2</v>
      </c>
      <c r="G9" s="91">
        <v>2.2370000000000001E-2</v>
      </c>
      <c r="H9" s="91">
        <v>1E-4</v>
      </c>
      <c r="I9" s="2">
        <v>411.11649999999997</v>
      </c>
      <c r="J9" s="91">
        <v>1.1999999999999999E-3</v>
      </c>
      <c r="K9" s="2">
        <f t="shared" si="3"/>
        <v>309730.14203075186</v>
      </c>
      <c r="L9" s="11">
        <f t="shared" si="4"/>
        <v>970.21404719680288</v>
      </c>
      <c r="M9" s="101">
        <f t="shared" si="6"/>
        <v>0.95817413045078625</v>
      </c>
      <c r="N9" s="100">
        <f t="shared" si="1"/>
        <v>5.2448694356606431E-3</v>
      </c>
      <c r="O9" s="91">
        <f t="shared" si="2"/>
        <v>307126.2</v>
      </c>
      <c r="Q9" s="92">
        <v>2988.63</v>
      </c>
      <c r="R9" s="92">
        <v>0.42810700000000002</v>
      </c>
      <c r="S9" s="92">
        <v>21477.599999999999</v>
      </c>
      <c r="T9" s="92">
        <v>233.18199999999999</v>
      </c>
      <c r="U9" s="93">
        <v>3170.5</v>
      </c>
      <c r="V9" s="93">
        <v>0.48981799999999998</v>
      </c>
      <c r="W9" s="93">
        <v>21546</v>
      </c>
      <c r="X9" s="93">
        <v>238.346</v>
      </c>
      <c r="Y9" s="92">
        <v>2961.05</v>
      </c>
      <c r="Z9" s="92">
        <v>0.45652500000000001</v>
      </c>
      <c r="AA9" s="92">
        <v>24468.9</v>
      </c>
      <c r="AB9" s="92">
        <v>280.654</v>
      </c>
      <c r="AC9" s="93">
        <v>3012.03</v>
      </c>
      <c r="AD9" s="93">
        <v>0.482989</v>
      </c>
      <c r="AE9" s="93">
        <v>23894.799999999999</v>
      </c>
      <c r="AF9" s="93">
        <v>255.797</v>
      </c>
      <c r="AG9" s="92">
        <v>2983.64</v>
      </c>
      <c r="AH9" s="92">
        <v>0.46076800000000001</v>
      </c>
      <c r="AI9" s="92">
        <v>23132.2</v>
      </c>
      <c r="AJ9" s="92">
        <v>272.24</v>
      </c>
      <c r="AK9" s="93">
        <v>2971.14</v>
      </c>
      <c r="AL9" s="93">
        <v>0.49153999999999998</v>
      </c>
      <c r="AM9" s="93">
        <v>21216.400000000001</v>
      </c>
      <c r="AN9" s="93">
        <v>245.798</v>
      </c>
      <c r="AO9" s="92">
        <v>2931.26</v>
      </c>
      <c r="AP9" s="92">
        <v>0.44841799999999998</v>
      </c>
      <c r="AQ9" s="92">
        <v>21221.9</v>
      </c>
      <c r="AR9" s="92">
        <v>239.78100000000001</v>
      </c>
      <c r="AS9" s="93">
        <v>4326.08</v>
      </c>
      <c r="AT9" s="93">
        <v>0.60217299999999996</v>
      </c>
      <c r="AU9" s="93">
        <v>23288.3</v>
      </c>
      <c r="AV9" s="93">
        <v>232.667</v>
      </c>
      <c r="AW9" s="92">
        <v>2885.82</v>
      </c>
      <c r="AX9" s="92">
        <v>0.40584100000000001</v>
      </c>
      <c r="AY9" s="92">
        <v>20860.8</v>
      </c>
      <c r="AZ9" s="92">
        <v>236.69200000000001</v>
      </c>
      <c r="BA9" s="93">
        <v>2803.8</v>
      </c>
      <c r="BB9" s="93">
        <v>0.41256799999999999</v>
      </c>
      <c r="BC9" s="93">
        <v>21610.9</v>
      </c>
      <c r="BD9" s="93">
        <v>242.69300000000001</v>
      </c>
      <c r="BE9" s="92">
        <v>2873.39</v>
      </c>
      <c r="BF9" s="92">
        <v>0.95468399999999998</v>
      </c>
      <c r="BG9" s="92">
        <v>22339.1</v>
      </c>
      <c r="BH9" s="92">
        <v>311.58999999999997</v>
      </c>
      <c r="BI9" s="93">
        <v>3070.17</v>
      </c>
      <c r="BJ9" s="93">
        <v>0.55123200000000006</v>
      </c>
      <c r="BK9" s="93">
        <v>23139.9</v>
      </c>
      <c r="BL9" s="93">
        <v>255.511</v>
      </c>
      <c r="BM9" s="92">
        <v>2850.41</v>
      </c>
      <c r="BN9" s="92">
        <v>0.63954500000000003</v>
      </c>
      <c r="BO9" s="92">
        <v>19721.7</v>
      </c>
      <c r="BP9" s="92">
        <v>254.667</v>
      </c>
      <c r="BQ9" s="93">
        <v>2880.55</v>
      </c>
      <c r="BR9" s="93">
        <v>2.1712799999999999</v>
      </c>
      <c r="BS9" s="93">
        <v>19207.7</v>
      </c>
      <c r="BT9" s="93">
        <v>312.44400000000002</v>
      </c>
      <c r="BU9" s="94"/>
      <c r="BV9" s="94"/>
      <c r="BW9" s="94"/>
      <c r="BX9" s="94"/>
    </row>
    <row r="10" spans="2:76">
      <c r="B10" s="2">
        <f>AD22/13*O10</f>
        <v>5280.8578669780409</v>
      </c>
      <c r="C10" s="2">
        <f>AD23/13*O10</f>
        <v>4506.3403107589747</v>
      </c>
      <c r="D10" s="97">
        <v>122245</v>
      </c>
      <c r="E10" s="22">
        <f t="shared" si="5"/>
        <v>0.49537855004745568</v>
      </c>
      <c r="F10" s="11">
        <f t="shared" si="0"/>
        <v>2.2815215010586261E-2</v>
      </c>
      <c r="G10" s="91">
        <v>3.125E-2</v>
      </c>
      <c r="H10" s="91">
        <v>1.3999999999999999E-4</v>
      </c>
      <c r="I10" s="2">
        <v>443.96499999999997</v>
      </c>
      <c r="J10" s="91">
        <v>3.0000000000000001E-3</v>
      </c>
      <c r="K10" s="2">
        <f t="shared" si="3"/>
        <v>428284.89817773702</v>
      </c>
      <c r="L10" s="11">
        <f t="shared" si="4"/>
        <v>1052.5602959284565</v>
      </c>
      <c r="M10" s="101">
        <f t="shared" si="6"/>
        <v>0.94843963108781471</v>
      </c>
      <c r="N10" s="100">
        <f t="shared" si="1"/>
        <v>4.8728100540826862E-3</v>
      </c>
      <c r="O10" s="91">
        <f t="shared" si="2"/>
        <v>418497.7</v>
      </c>
      <c r="Q10" s="92">
        <v>3227.4</v>
      </c>
      <c r="R10" s="92">
        <v>0.32994899999999999</v>
      </c>
      <c r="S10" s="92">
        <v>29446.2</v>
      </c>
      <c r="T10" s="92">
        <v>250.51300000000001</v>
      </c>
      <c r="U10" s="93">
        <v>3424.31</v>
      </c>
      <c r="V10" s="93">
        <v>0.37921700000000003</v>
      </c>
      <c r="W10" s="93">
        <v>29422.6</v>
      </c>
      <c r="X10" s="93">
        <v>256.96499999999997</v>
      </c>
      <c r="Y10" s="92">
        <v>3198.08</v>
      </c>
      <c r="Z10" s="92">
        <v>0.38926699999999997</v>
      </c>
      <c r="AA10" s="92">
        <v>32549.9</v>
      </c>
      <c r="AB10" s="92">
        <v>290.70600000000002</v>
      </c>
      <c r="AC10" s="93">
        <v>3253.84</v>
      </c>
      <c r="AD10" s="93">
        <v>0.40712300000000001</v>
      </c>
      <c r="AE10" s="93">
        <v>32495</v>
      </c>
      <c r="AF10" s="93">
        <v>277.28899999999999</v>
      </c>
      <c r="AG10" s="92">
        <v>3220.44</v>
      </c>
      <c r="AH10" s="92">
        <v>0.35680000000000001</v>
      </c>
      <c r="AI10" s="92">
        <v>32722.400000000001</v>
      </c>
      <c r="AJ10" s="92">
        <v>291.14499999999998</v>
      </c>
      <c r="AK10" s="93">
        <v>3208.69</v>
      </c>
      <c r="AL10" s="93">
        <v>0.39536100000000002</v>
      </c>
      <c r="AM10" s="93">
        <v>28894.7</v>
      </c>
      <c r="AN10" s="93">
        <v>260.82499999999999</v>
      </c>
      <c r="AO10" s="92">
        <v>3165.24</v>
      </c>
      <c r="AP10" s="92">
        <v>0.35450300000000001</v>
      </c>
      <c r="AQ10" s="92">
        <v>29281.4</v>
      </c>
      <c r="AR10" s="92">
        <v>256.41000000000003</v>
      </c>
      <c r="AS10" s="93">
        <v>4669.7700000000004</v>
      </c>
      <c r="AT10" s="93">
        <v>0.62709300000000001</v>
      </c>
      <c r="AU10" s="93">
        <v>29996.799999999999</v>
      </c>
      <c r="AV10" s="93">
        <v>336.36099999999999</v>
      </c>
      <c r="AW10" s="92">
        <v>3121.66</v>
      </c>
      <c r="AX10" s="92">
        <v>0.34499600000000002</v>
      </c>
      <c r="AY10" s="92">
        <v>28345.4</v>
      </c>
      <c r="AZ10" s="92">
        <v>252.678</v>
      </c>
      <c r="BA10" s="93">
        <v>3024.76</v>
      </c>
      <c r="BB10" s="93">
        <v>0.31263000000000002</v>
      </c>
      <c r="BC10" s="93">
        <v>30119.9</v>
      </c>
      <c r="BD10" s="93">
        <v>260.02300000000002</v>
      </c>
      <c r="BE10" s="92">
        <v>3104.56</v>
      </c>
      <c r="BF10" s="92">
        <v>0.76022000000000001</v>
      </c>
      <c r="BG10" s="92">
        <v>30263.3</v>
      </c>
      <c r="BH10" s="92">
        <v>322.13799999999998</v>
      </c>
      <c r="BI10" s="93">
        <v>3321.42</v>
      </c>
      <c r="BJ10" s="93">
        <v>0.39716099999999999</v>
      </c>
      <c r="BK10" s="93">
        <v>32383.9</v>
      </c>
      <c r="BL10" s="93">
        <v>283.54300000000001</v>
      </c>
      <c r="BM10" s="92">
        <v>3077.69</v>
      </c>
      <c r="BN10" s="92">
        <v>0.52587399999999995</v>
      </c>
      <c r="BO10" s="92">
        <v>26266.6</v>
      </c>
      <c r="BP10" s="92">
        <v>262.51100000000002</v>
      </c>
      <c r="BQ10" s="93">
        <v>3110.18</v>
      </c>
      <c r="BR10" s="93">
        <v>1.39205</v>
      </c>
      <c r="BS10" s="93">
        <v>26309.599999999999</v>
      </c>
      <c r="BT10" s="93">
        <v>318.55399999999997</v>
      </c>
      <c r="BU10" s="94"/>
      <c r="BV10" s="94"/>
      <c r="BW10" s="94"/>
      <c r="BX10" s="94"/>
    </row>
    <row r="11" spans="2:76">
      <c r="C11" s="2">
        <f>AD24/13*O11</f>
        <v>10129.613286722231</v>
      </c>
      <c r="D11" s="91">
        <v>344</v>
      </c>
      <c r="E11" s="22">
        <f t="shared" si="5"/>
        <v>0.589997809739359</v>
      </c>
      <c r="F11" s="11">
        <f t="shared" si="0"/>
        <v>9.4619259691903337E-2</v>
      </c>
      <c r="G11" s="91">
        <v>0.12959999999999999</v>
      </c>
      <c r="H11" s="91">
        <v>5.9999999999999995E-4</v>
      </c>
      <c r="I11" s="2">
        <v>778.90449999999998</v>
      </c>
      <c r="J11" s="91">
        <v>2.3999999999999998E-3</v>
      </c>
      <c r="K11" s="2">
        <f t="shared" si="3"/>
        <v>1204883.4132867223</v>
      </c>
      <c r="L11" s="11">
        <f t="shared" si="4"/>
        <v>1537.444670913721</v>
      </c>
      <c r="M11" s="101">
        <f t="shared" si="6"/>
        <v>0.64337914310665034</v>
      </c>
      <c r="N11" s="100">
        <f t="shared" si="1"/>
        <v>3.0915289148643298E-3</v>
      </c>
      <c r="O11" s="91">
        <f t="shared" si="2"/>
        <v>1194753.8</v>
      </c>
      <c r="Q11" s="92">
        <v>5662.66</v>
      </c>
      <c r="R11" s="92">
        <v>0.185448</v>
      </c>
      <c r="S11" s="92">
        <v>84114.8</v>
      </c>
      <c r="T11" s="92">
        <v>361.39699999999999</v>
      </c>
      <c r="U11" s="93">
        <v>6007.88</v>
      </c>
      <c r="V11" s="93">
        <v>0.20496800000000001</v>
      </c>
      <c r="W11" s="93">
        <v>83062.600000000006</v>
      </c>
      <c r="X11" s="93">
        <v>367.38600000000002</v>
      </c>
      <c r="Y11" s="92">
        <v>5610.6</v>
      </c>
      <c r="Z11" s="92">
        <v>0.193853</v>
      </c>
      <c r="AA11" s="92">
        <v>95474.5</v>
      </c>
      <c r="AB11" s="92">
        <v>411.11099999999999</v>
      </c>
      <c r="AC11" s="93">
        <v>5711.53</v>
      </c>
      <c r="AD11" s="93">
        <v>0.20769599999999999</v>
      </c>
      <c r="AE11" s="93">
        <v>92301.5</v>
      </c>
      <c r="AF11" s="93">
        <v>391.589</v>
      </c>
      <c r="AG11" s="92">
        <v>5652.14</v>
      </c>
      <c r="AH11" s="92">
        <v>0.19112399999999999</v>
      </c>
      <c r="AI11" s="92">
        <v>93677.2</v>
      </c>
      <c r="AJ11" s="92">
        <v>414.53800000000001</v>
      </c>
      <c r="AK11" s="93">
        <v>5627.05</v>
      </c>
      <c r="AL11" s="93">
        <v>0.21495500000000001</v>
      </c>
      <c r="AM11" s="93">
        <v>81891</v>
      </c>
      <c r="AN11" s="93">
        <v>370.971</v>
      </c>
      <c r="AO11" s="92">
        <v>5563.49</v>
      </c>
      <c r="AP11" s="92">
        <v>0.18946199999999999</v>
      </c>
      <c r="AQ11" s="92">
        <v>83660.899999999994</v>
      </c>
      <c r="AR11" s="92">
        <v>370.55700000000002</v>
      </c>
      <c r="AS11" s="93">
        <v>8206.98</v>
      </c>
      <c r="AT11" s="93">
        <v>0.26860299999999998</v>
      </c>
      <c r="AU11" s="93">
        <v>87602.7</v>
      </c>
      <c r="AV11" s="93">
        <v>383.06099999999998</v>
      </c>
      <c r="AW11" s="92">
        <v>5487.42</v>
      </c>
      <c r="AX11" s="92">
        <v>0</v>
      </c>
      <c r="AY11" s="92">
        <v>79737.8</v>
      </c>
      <c r="AZ11" s="92">
        <v>595.91200000000003</v>
      </c>
      <c r="BA11" s="93">
        <v>5310.57</v>
      </c>
      <c r="BB11" s="93">
        <v>0.17219599999999999</v>
      </c>
      <c r="BC11" s="93">
        <v>86736</v>
      </c>
      <c r="BD11" s="93">
        <v>368.26799999999997</v>
      </c>
      <c r="BE11" s="92">
        <v>5475.3</v>
      </c>
      <c r="BF11" s="92">
        <v>0.42451299999999997</v>
      </c>
      <c r="BG11" s="92">
        <v>85465.8</v>
      </c>
      <c r="BH11" s="92">
        <v>429.81599999999997</v>
      </c>
      <c r="BI11" s="93">
        <v>5840.88</v>
      </c>
      <c r="BJ11" s="93">
        <v>0.182202</v>
      </c>
      <c r="BK11" s="93">
        <v>93792.2</v>
      </c>
      <c r="BL11" s="93">
        <v>365.40699999999998</v>
      </c>
      <c r="BM11" s="92">
        <v>5418.29</v>
      </c>
      <c r="BN11" s="92">
        <v>0.30481599999999998</v>
      </c>
      <c r="BO11" s="92">
        <v>72235.8</v>
      </c>
      <c r="BP11" s="92">
        <v>360.43900000000002</v>
      </c>
      <c r="BQ11" s="93">
        <v>5472.62</v>
      </c>
      <c r="BR11" s="93">
        <v>2.1200700000000001</v>
      </c>
      <c r="BS11" s="93">
        <v>75001</v>
      </c>
      <c r="BT11" s="93">
        <v>493.33499999999998</v>
      </c>
      <c r="BU11" s="94"/>
      <c r="BV11" s="94"/>
      <c r="BW11" s="94"/>
      <c r="BX11" s="94"/>
    </row>
    <row r="12" spans="2:76">
      <c r="B12" s="2">
        <f>AD22/13*O12</f>
        <v>4430.8495940378516</v>
      </c>
      <c r="C12" s="2">
        <f>AD23/13*O12</f>
        <v>3780.9985876307687</v>
      </c>
      <c r="D12" s="97">
        <v>122245</v>
      </c>
      <c r="E12" s="22">
        <f t="shared" si="5"/>
        <v>0.62096079433452578</v>
      </c>
      <c r="F12" s="11">
        <f t="shared" si="0"/>
        <v>3.0962984595166828E-2</v>
      </c>
      <c r="G12" s="91">
        <v>4.2410000000000003E-2</v>
      </c>
      <c r="H12" s="91">
        <v>2.3000000000000001E-4</v>
      </c>
      <c r="I12" s="2">
        <v>867.38</v>
      </c>
      <c r="J12" s="91">
        <v>3.0000000000000001E-3</v>
      </c>
      <c r="K12" s="2">
        <f t="shared" si="3"/>
        <v>359348.04818166856</v>
      </c>
      <c r="L12" s="11">
        <f t="shared" si="4"/>
        <v>1035.865497659807</v>
      </c>
      <c r="M12" s="101">
        <f t="shared" si="6"/>
        <v>0.58637300924308744</v>
      </c>
      <c r="N12" s="100">
        <f t="shared" si="1"/>
        <v>3.6200811164268003E-3</v>
      </c>
      <c r="O12" s="91">
        <f t="shared" si="2"/>
        <v>351136.19999999995</v>
      </c>
      <c r="Q12" s="92">
        <v>6307.49</v>
      </c>
      <c r="R12" s="92">
        <v>0.47842099999999999</v>
      </c>
      <c r="S12" s="92">
        <v>24777.9</v>
      </c>
      <c r="T12" s="92">
        <v>244.77</v>
      </c>
      <c r="U12" s="93">
        <v>6693.85</v>
      </c>
      <c r="V12" s="93">
        <v>0.58659399999999995</v>
      </c>
      <c r="W12" s="93">
        <v>23917.4</v>
      </c>
      <c r="X12" s="93">
        <v>242.18799999999999</v>
      </c>
      <c r="Y12" s="92">
        <v>6247.8</v>
      </c>
      <c r="Z12" s="92">
        <v>0.50934400000000002</v>
      </c>
      <c r="AA12" s="92">
        <v>27631.200000000001</v>
      </c>
      <c r="AB12" s="92">
        <v>287.25799999999998</v>
      </c>
      <c r="AC12" s="93">
        <v>6359.94</v>
      </c>
      <c r="AD12" s="93">
        <v>0.52013500000000001</v>
      </c>
      <c r="AE12" s="93">
        <v>27132.7</v>
      </c>
      <c r="AF12" s="93">
        <v>269.41000000000003</v>
      </c>
      <c r="AG12" s="92">
        <v>6294.74</v>
      </c>
      <c r="AH12" s="92">
        <v>0.46796100000000002</v>
      </c>
      <c r="AI12" s="92">
        <v>27811.4</v>
      </c>
      <c r="AJ12" s="92">
        <v>287.64999999999998</v>
      </c>
      <c r="AK12" s="93">
        <v>6263.81</v>
      </c>
      <c r="AL12" s="93">
        <v>0.50462899999999999</v>
      </c>
      <c r="AM12" s="93">
        <v>24594.6</v>
      </c>
      <c r="AN12" s="93">
        <v>253.559</v>
      </c>
      <c r="AO12" s="92">
        <v>6193.99</v>
      </c>
      <c r="AP12" s="92">
        <v>0.45141100000000001</v>
      </c>
      <c r="AQ12" s="92">
        <v>24811.3</v>
      </c>
      <c r="AR12" s="92">
        <v>255.441</v>
      </c>
      <c r="AS12" s="93">
        <v>9138.07</v>
      </c>
      <c r="AT12" s="93">
        <v>0.70431500000000002</v>
      </c>
      <c r="AU12" s="93">
        <v>25436.1</v>
      </c>
      <c r="AV12" s="93">
        <v>324.39800000000002</v>
      </c>
      <c r="AW12" s="92">
        <v>6108.96</v>
      </c>
      <c r="AX12" s="92">
        <v>0.44078499999999998</v>
      </c>
      <c r="AY12" s="92">
        <v>24050.799999999999</v>
      </c>
      <c r="AZ12" s="92">
        <v>246.60499999999999</v>
      </c>
      <c r="BA12" s="93">
        <v>5915.54</v>
      </c>
      <c r="BB12" s="93">
        <v>0.46400200000000003</v>
      </c>
      <c r="BC12" s="93">
        <v>25478.3</v>
      </c>
      <c r="BD12" s="93">
        <v>235.90899999999999</v>
      </c>
      <c r="BE12" s="92">
        <v>6098.41</v>
      </c>
      <c r="BF12" s="92">
        <v>0.91807000000000005</v>
      </c>
      <c r="BG12" s="92">
        <v>25206.5</v>
      </c>
      <c r="BH12" s="92">
        <v>311.834</v>
      </c>
      <c r="BI12" s="93">
        <v>6502.92</v>
      </c>
      <c r="BJ12" s="93">
        <v>0.51050799999999996</v>
      </c>
      <c r="BK12" s="93">
        <v>26987.3</v>
      </c>
      <c r="BL12" s="93">
        <v>276.334</v>
      </c>
      <c r="BM12" s="92">
        <v>6048.77</v>
      </c>
      <c r="BN12" s="92">
        <v>0.72358100000000003</v>
      </c>
      <c r="BO12" s="92">
        <v>21069.9</v>
      </c>
      <c r="BP12" s="92">
        <v>253.76900000000001</v>
      </c>
      <c r="BQ12" s="93">
        <v>6108.33</v>
      </c>
      <c r="BR12" s="93">
        <v>1.4615899999999999</v>
      </c>
      <c r="BS12" s="93">
        <v>22230.799999999999</v>
      </c>
      <c r="BT12" s="93">
        <v>356.88299999999998</v>
      </c>
      <c r="BU12" s="94"/>
      <c r="BV12" s="94"/>
      <c r="BW12" s="94"/>
      <c r="BX12" s="94"/>
    </row>
    <row r="13" spans="2:76">
      <c r="B13" s="2">
        <f>AD22/13*O13</f>
        <v>14757.791103528005</v>
      </c>
      <c r="D13" s="91">
        <v>122</v>
      </c>
      <c r="E13" s="22">
        <f t="shared" si="5"/>
        <v>0.72769949624005248</v>
      </c>
      <c r="F13" s="11">
        <f t="shared" si="0"/>
        <v>0.10673870190552676</v>
      </c>
      <c r="G13" s="91">
        <v>0.1462</v>
      </c>
      <c r="H13" s="91">
        <v>5.9999999999999995E-4</v>
      </c>
      <c r="I13" s="2">
        <v>964.072</v>
      </c>
      <c r="J13" s="91">
        <v>1.7999999999999999E-2</v>
      </c>
      <c r="K13" s="2">
        <f t="shared" si="3"/>
        <v>1184283.9911035278</v>
      </c>
      <c r="L13" s="11">
        <f t="shared" si="4"/>
        <v>1392.2266460429494</v>
      </c>
      <c r="M13" s="101">
        <f t="shared" si="6"/>
        <v>0.5605772124756695</v>
      </c>
      <c r="N13" s="100">
        <f t="shared" si="1"/>
        <v>2.3954196191590389E-3</v>
      </c>
      <c r="O13" s="91">
        <f t="shared" si="2"/>
        <v>1169526.1999999997</v>
      </c>
      <c r="Q13" s="92">
        <v>7011.46</v>
      </c>
      <c r="R13" s="92">
        <v>0.19157199999999999</v>
      </c>
      <c r="S13" s="92">
        <v>82022</v>
      </c>
      <c r="T13" s="92">
        <v>349.31200000000001</v>
      </c>
      <c r="U13" s="93">
        <v>7439.61</v>
      </c>
      <c r="V13" s="93">
        <v>0.21937999999999999</v>
      </c>
      <c r="W13" s="93">
        <v>81259.5</v>
      </c>
      <c r="X13" s="93">
        <v>359.34199999999998</v>
      </c>
      <c r="Y13" s="92">
        <v>6942.62</v>
      </c>
      <c r="Z13" s="92">
        <v>0.21092900000000001</v>
      </c>
      <c r="AA13" s="92">
        <v>93289.8</v>
      </c>
      <c r="AB13" s="92">
        <v>406.56799999999998</v>
      </c>
      <c r="AC13" s="93">
        <v>7067.96</v>
      </c>
      <c r="AD13" s="93">
        <v>0.20738999999999999</v>
      </c>
      <c r="AE13" s="93">
        <v>89578.9</v>
      </c>
      <c r="AF13" s="93">
        <v>374.15</v>
      </c>
      <c r="AG13" s="92">
        <v>6999.37</v>
      </c>
      <c r="AH13" s="92">
        <v>0.19667000000000001</v>
      </c>
      <c r="AI13" s="92">
        <v>91211</v>
      </c>
      <c r="AJ13" s="92">
        <v>396.06599999999997</v>
      </c>
      <c r="AK13" s="93">
        <v>6964.42</v>
      </c>
      <c r="AL13" s="93">
        <v>0.20918100000000001</v>
      </c>
      <c r="AM13" s="93">
        <v>80218.100000000006</v>
      </c>
      <c r="AN13" s="93">
        <v>354.01</v>
      </c>
      <c r="AO13" s="92">
        <v>6882.76</v>
      </c>
      <c r="AP13" s="92">
        <v>0.18971399999999999</v>
      </c>
      <c r="AQ13" s="92">
        <v>82388</v>
      </c>
      <c r="AR13" s="92">
        <v>359.48399999999998</v>
      </c>
      <c r="AS13" s="93">
        <v>10153.6</v>
      </c>
      <c r="AT13" s="93">
        <v>0.28021299999999999</v>
      </c>
      <c r="AU13" s="93">
        <v>85916.7</v>
      </c>
      <c r="AV13" s="93">
        <v>349.69900000000001</v>
      </c>
      <c r="AW13" s="92">
        <v>6787.94</v>
      </c>
      <c r="AX13" s="92">
        <v>0.18419199999999999</v>
      </c>
      <c r="AY13" s="92">
        <v>81114.7</v>
      </c>
      <c r="AZ13" s="92">
        <v>353.76799999999997</v>
      </c>
      <c r="BA13" s="93">
        <v>6589.72</v>
      </c>
      <c r="BB13" s="93">
        <v>0.18324499999999999</v>
      </c>
      <c r="BC13" s="93">
        <v>84589.9</v>
      </c>
      <c r="BD13" s="93">
        <v>349.99400000000003</v>
      </c>
      <c r="BE13" s="92">
        <v>6774.42</v>
      </c>
      <c r="BF13" s="92">
        <v>0.34642699999999998</v>
      </c>
      <c r="BG13" s="92">
        <v>84220</v>
      </c>
      <c r="BH13" s="92">
        <v>397.82400000000001</v>
      </c>
      <c r="BI13" s="93">
        <v>7223.19</v>
      </c>
      <c r="BJ13" s="93">
        <v>0.214703</v>
      </c>
      <c r="BK13" s="93">
        <v>90674</v>
      </c>
      <c r="BL13" s="93">
        <v>397.08300000000003</v>
      </c>
      <c r="BM13" s="92">
        <v>6717.52</v>
      </c>
      <c r="BN13" s="92">
        <v>0.27063900000000002</v>
      </c>
      <c r="BO13" s="92">
        <v>69657.7</v>
      </c>
      <c r="BP13" s="92">
        <v>343.851</v>
      </c>
      <c r="BQ13" s="93">
        <v>6791.05</v>
      </c>
      <c r="BR13" s="93">
        <v>0.61491200000000001</v>
      </c>
      <c r="BS13" s="93">
        <v>73385.899999999994</v>
      </c>
      <c r="BT13" s="93">
        <v>407.84100000000001</v>
      </c>
      <c r="BU13" s="94"/>
      <c r="BV13" s="94"/>
      <c r="BW13" s="94"/>
      <c r="BX13" s="94"/>
    </row>
    <row r="14" spans="2:76">
      <c r="B14" s="2">
        <f>AD22/13*O14</f>
        <v>12746.070997641673</v>
      </c>
      <c r="D14" s="91">
        <v>122</v>
      </c>
      <c r="E14" s="22">
        <f t="shared" si="5"/>
        <v>0.82553113820544632</v>
      </c>
      <c r="F14" s="11">
        <f t="shared" si="0"/>
        <v>9.7831641965393887E-2</v>
      </c>
      <c r="G14" s="91">
        <v>0.13400000000000001</v>
      </c>
      <c r="H14" s="91">
        <v>5.9999999999999995E-4</v>
      </c>
      <c r="I14" s="2">
        <v>1112.076</v>
      </c>
      <c r="J14" s="91">
        <v>3.0000000000000001E-3</v>
      </c>
      <c r="K14" s="2">
        <f t="shared" si="3"/>
        <v>1022847.3709976416</v>
      </c>
      <c r="L14" s="11">
        <f t="shared" si="4"/>
        <v>1318.579403503255</v>
      </c>
      <c r="M14" s="101">
        <f t="shared" si="6"/>
        <v>0.52824207295159931</v>
      </c>
      <c r="N14" s="100">
        <f t="shared" si="1"/>
        <v>2.4637303260037833E-3</v>
      </c>
      <c r="O14" s="91">
        <f t="shared" si="2"/>
        <v>1010101.2999999999</v>
      </c>
      <c r="Q14" s="92">
        <v>8088.28</v>
      </c>
      <c r="R14" s="92">
        <v>0.245419</v>
      </c>
      <c r="S14" s="92">
        <v>70394.600000000006</v>
      </c>
      <c r="T14" s="92">
        <v>335.875</v>
      </c>
      <c r="U14" s="93">
        <v>8581.69</v>
      </c>
      <c r="V14" s="93">
        <v>0.239426</v>
      </c>
      <c r="W14" s="93">
        <v>69849.2</v>
      </c>
      <c r="X14" s="93">
        <v>340.185</v>
      </c>
      <c r="Y14" s="92">
        <v>8009.03</v>
      </c>
      <c r="Z14" s="92">
        <v>0.22382099999999999</v>
      </c>
      <c r="AA14" s="92">
        <v>81110.3</v>
      </c>
      <c r="AB14" s="92">
        <v>383.27</v>
      </c>
      <c r="AC14" s="93">
        <v>8153.41</v>
      </c>
      <c r="AD14" s="93">
        <v>0.22819</v>
      </c>
      <c r="AE14" s="93">
        <v>77904.399999999994</v>
      </c>
      <c r="AF14" s="93">
        <v>358.25700000000001</v>
      </c>
      <c r="AG14" s="92">
        <v>8073.52</v>
      </c>
      <c r="AH14" s="92">
        <v>0.218999</v>
      </c>
      <c r="AI14" s="92">
        <v>79454.7</v>
      </c>
      <c r="AJ14" s="92">
        <v>374.95299999999997</v>
      </c>
      <c r="AK14" s="93">
        <v>8034.5</v>
      </c>
      <c r="AL14" s="93">
        <v>0.25732699999999997</v>
      </c>
      <c r="AM14" s="93">
        <v>69971.100000000006</v>
      </c>
      <c r="AN14" s="93">
        <v>344.42500000000001</v>
      </c>
      <c r="AO14" s="92">
        <v>7936.73</v>
      </c>
      <c r="AP14" s="92">
        <v>0.23480100000000001</v>
      </c>
      <c r="AQ14" s="92">
        <v>71459.7</v>
      </c>
      <c r="AR14" s="92">
        <v>351.267</v>
      </c>
      <c r="AS14" s="93">
        <v>11710.9</v>
      </c>
      <c r="AT14" s="93">
        <v>0.32211499999999998</v>
      </c>
      <c r="AU14" s="93">
        <v>73705.3</v>
      </c>
      <c r="AV14" s="93">
        <v>335.33100000000002</v>
      </c>
      <c r="AW14" s="92">
        <v>7826.96</v>
      </c>
      <c r="AX14" s="92">
        <v>0.206345</v>
      </c>
      <c r="AY14" s="92">
        <v>70278.600000000006</v>
      </c>
      <c r="AZ14" s="92">
        <v>333.82299999999998</v>
      </c>
      <c r="BA14" s="93">
        <v>7603.49</v>
      </c>
      <c r="BB14" s="93">
        <v>0.21091799999999999</v>
      </c>
      <c r="BC14" s="93">
        <v>72755</v>
      </c>
      <c r="BD14" s="93">
        <v>336.81900000000002</v>
      </c>
      <c r="BE14" s="92">
        <v>7809.66</v>
      </c>
      <c r="BF14" s="92">
        <v>0.35710900000000001</v>
      </c>
      <c r="BG14" s="92">
        <v>71928.399999999994</v>
      </c>
      <c r="BH14" s="92">
        <v>383.44600000000003</v>
      </c>
      <c r="BI14" s="93">
        <v>8330.85</v>
      </c>
      <c r="BJ14" s="93">
        <v>0.22995299999999999</v>
      </c>
      <c r="BK14" s="93">
        <v>77650.2</v>
      </c>
      <c r="BL14" s="93">
        <v>368.48200000000003</v>
      </c>
      <c r="BM14" s="92">
        <v>7743.78</v>
      </c>
      <c r="BN14" s="92">
        <v>0.28344900000000001</v>
      </c>
      <c r="BO14" s="92">
        <v>60263.1</v>
      </c>
      <c r="BP14" s="92">
        <v>328.96100000000001</v>
      </c>
      <c r="BQ14" s="93">
        <v>7825.8</v>
      </c>
      <c r="BR14" s="93">
        <v>0.71113499999999996</v>
      </c>
      <c r="BS14" s="93">
        <v>63376.7</v>
      </c>
      <c r="BT14" s="93">
        <v>352.00299999999999</v>
      </c>
      <c r="BU14" s="94"/>
      <c r="BV14" s="94"/>
      <c r="BW14" s="94"/>
      <c r="BX14" s="94"/>
    </row>
    <row r="15" spans="2:76">
      <c r="B15" s="2">
        <f>AD22/13*O15</f>
        <v>1184.6611667037607</v>
      </c>
      <c r="C15" s="2">
        <f>AD23/13*O15</f>
        <v>1010.9127161876924</v>
      </c>
      <c r="D15" s="97">
        <v>122245</v>
      </c>
      <c r="E15" s="22">
        <f t="shared" si="5"/>
        <v>0.83586186756223979</v>
      </c>
      <c r="F15" s="11">
        <f t="shared" si="0"/>
        <v>1.0330729356793458E-2</v>
      </c>
      <c r="G15" s="91">
        <v>1.4149999999999999E-2</v>
      </c>
      <c r="H15" s="91">
        <v>9.0000000000000006E-5</v>
      </c>
      <c r="I15" s="2">
        <v>1212.9480000000001</v>
      </c>
      <c r="J15" s="91">
        <v>1.1000000000000001E-3</v>
      </c>
      <c r="K15" s="2">
        <f t="shared" si="3"/>
        <v>96077.663882891458</v>
      </c>
      <c r="L15" s="11">
        <f t="shared" si="4"/>
        <v>600.51733281146846</v>
      </c>
      <c r="M15" s="101">
        <f t="shared" si="6"/>
        <v>0.46988647915916198</v>
      </c>
      <c r="N15" s="100">
        <f t="shared" si="1"/>
        <v>4.2386333834145973E-3</v>
      </c>
      <c r="O15" s="91">
        <f t="shared" si="2"/>
        <v>93882.09</v>
      </c>
      <c r="Q15" s="92">
        <v>8839.81</v>
      </c>
      <c r="R15" s="92">
        <v>1.0738000000000001</v>
      </c>
      <c r="S15" s="92">
        <v>6740.75</v>
      </c>
      <c r="T15" s="92">
        <v>134.786</v>
      </c>
      <c r="U15" s="93">
        <v>9361.4</v>
      </c>
      <c r="V15" s="93">
        <v>1.30074</v>
      </c>
      <c r="W15" s="93">
        <v>6508.08</v>
      </c>
      <c r="X15" s="93">
        <v>143.535</v>
      </c>
      <c r="Y15" s="92">
        <v>8735.16</v>
      </c>
      <c r="Z15" s="92">
        <v>1.1059300000000001</v>
      </c>
      <c r="AA15" s="92">
        <v>7581.52</v>
      </c>
      <c r="AB15" s="92">
        <v>177.672</v>
      </c>
      <c r="AC15" s="93">
        <v>8892.51</v>
      </c>
      <c r="AD15" s="93">
        <v>1.0928899999999999</v>
      </c>
      <c r="AE15" s="93">
        <v>7181.55</v>
      </c>
      <c r="AF15" s="93">
        <v>155.54400000000001</v>
      </c>
      <c r="AG15" s="92">
        <v>8807.7999999999993</v>
      </c>
      <c r="AH15" s="92">
        <v>1.1255500000000001</v>
      </c>
      <c r="AI15" s="92">
        <v>7451.31</v>
      </c>
      <c r="AJ15" s="92">
        <v>166.88300000000001</v>
      </c>
      <c r="AK15" s="93">
        <v>8763.0499999999993</v>
      </c>
      <c r="AL15" s="93">
        <v>1.23089</v>
      </c>
      <c r="AM15" s="93">
        <v>6591.71</v>
      </c>
      <c r="AN15" s="93">
        <v>148.57599999999999</v>
      </c>
      <c r="AO15" s="92">
        <v>8656.08</v>
      </c>
      <c r="AP15" s="92">
        <v>1.1699299999999999</v>
      </c>
      <c r="AQ15" s="92">
        <v>6809.23</v>
      </c>
      <c r="AR15" s="92">
        <v>149.05699999999999</v>
      </c>
      <c r="AS15" s="93">
        <v>12773.3</v>
      </c>
      <c r="AT15" s="93">
        <v>2.0440499999999999</v>
      </c>
      <c r="AU15" s="93">
        <v>6537.52</v>
      </c>
      <c r="AV15" s="93">
        <v>199.78200000000001</v>
      </c>
      <c r="AW15" s="92">
        <v>8536.5300000000007</v>
      </c>
      <c r="AX15" s="92">
        <v>1.00911</v>
      </c>
      <c r="AY15" s="92">
        <v>6711.73</v>
      </c>
      <c r="AZ15" s="92">
        <v>145.97800000000001</v>
      </c>
      <c r="BA15" s="93">
        <v>8290.41</v>
      </c>
      <c r="BB15" s="93">
        <v>0.94240000000000002</v>
      </c>
      <c r="BC15" s="93">
        <v>6987.77</v>
      </c>
      <c r="BD15" s="93">
        <v>148.59899999999999</v>
      </c>
      <c r="BE15" s="92">
        <v>8515.2900000000009</v>
      </c>
      <c r="BF15" s="92">
        <v>1.63619</v>
      </c>
      <c r="BG15" s="92">
        <v>6452.27</v>
      </c>
      <c r="BH15" s="92">
        <v>177.00700000000001</v>
      </c>
      <c r="BI15" s="93">
        <v>9086.33</v>
      </c>
      <c r="BJ15" s="93">
        <v>1.2529399999999999</v>
      </c>
      <c r="BK15" s="93">
        <v>6953.68</v>
      </c>
      <c r="BL15" s="93">
        <v>155.69800000000001</v>
      </c>
      <c r="BM15" s="92">
        <v>8444.4</v>
      </c>
      <c r="BN15" s="92">
        <v>1.8559399999999999</v>
      </c>
      <c r="BO15" s="92">
        <v>5547.66</v>
      </c>
      <c r="BP15" s="92">
        <v>143.553</v>
      </c>
      <c r="BQ15" s="93">
        <v>8532.2199999999993</v>
      </c>
      <c r="BR15" s="93">
        <v>2.77522</v>
      </c>
      <c r="BS15" s="93">
        <v>5827.31</v>
      </c>
      <c r="BT15" s="93">
        <v>185.64099999999999</v>
      </c>
      <c r="BU15" s="94"/>
      <c r="BV15" s="94"/>
      <c r="BW15" s="94"/>
      <c r="BX15" s="94"/>
    </row>
    <row r="16" spans="2:76">
      <c r="C16" s="2">
        <f>AD24/13*O16</f>
        <v>856.17652497019139</v>
      </c>
      <c r="D16" s="91">
        <v>344</v>
      </c>
      <c r="E16" s="22">
        <f t="shared" si="5"/>
        <v>0.84777688544936836</v>
      </c>
      <c r="F16" s="11">
        <f t="shared" si="0"/>
        <v>1.191501788712857E-2</v>
      </c>
      <c r="G16" s="91">
        <v>1.6320000000000001E-2</v>
      </c>
      <c r="H16" s="91">
        <v>9.0000000000000006E-5</v>
      </c>
      <c r="I16" s="2">
        <v>1299.1420000000001</v>
      </c>
      <c r="J16" s="91">
        <v>8.0000000000000002E-3</v>
      </c>
      <c r="K16" s="2">
        <f t="shared" si="3"/>
        <v>101839.31652497017</v>
      </c>
      <c r="L16" s="11">
        <f t="shared" si="4"/>
        <v>511.87324571420999</v>
      </c>
      <c r="M16" s="101">
        <f t="shared" si="6"/>
        <v>0.43183941135436038</v>
      </c>
      <c r="N16" s="100">
        <f t="shared" si="1"/>
        <v>3.2346388771444558E-3</v>
      </c>
      <c r="O16" s="91">
        <f t="shared" si="2"/>
        <v>100983.13999999998</v>
      </c>
      <c r="Q16" s="92">
        <v>9449.5499999999993</v>
      </c>
      <c r="R16" s="92">
        <v>1.11391</v>
      </c>
      <c r="S16" s="92">
        <v>6918.98</v>
      </c>
      <c r="T16" s="92">
        <v>119.158</v>
      </c>
      <c r="U16" s="93">
        <v>10025.9</v>
      </c>
      <c r="V16" s="93">
        <v>0.97218000000000004</v>
      </c>
      <c r="W16" s="93">
        <v>6605.51</v>
      </c>
      <c r="X16" s="93">
        <v>119.85599999999999</v>
      </c>
      <c r="Y16" s="92">
        <v>9355.9</v>
      </c>
      <c r="Z16" s="92">
        <v>0.88173699999999999</v>
      </c>
      <c r="AA16" s="92">
        <v>8205.32</v>
      </c>
      <c r="AB16" s="92">
        <v>141.29900000000001</v>
      </c>
      <c r="AC16" s="93">
        <v>9525.14</v>
      </c>
      <c r="AD16" s="93">
        <v>0.98877300000000001</v>
      </c>
      <c r="AE16" s="93">
        <v>7578.79</v>
      </c>
      <c r="AF16" s="93">
        <v>128.512</v>
      </c>
      <c r="AG16" s="92">
        <v>9434.5499999999993</v>
      </c>
      <c r="AH16" s="92">
        <v>0.89100699999999999</v>
      </c>
      <c r="AI16" s="92">
        <v>8048.28</v>
      </c>
      <c r="AJ16" s="92">
        <v>142.36000000000001</v>
      </c>
      <c r="AK16" s="93">
        <v>9386.9699999999993</v>
      </c>
      <c r="AL16" s="93">
        <v>1.0041800000000001</v>
      </c>
      <c r="AM16" s="93">
        <v>6916.84</v>
      </c>
      <c r="AN16" s="93">
        <v>124.755</v>
      </c>
      <c r="AO16" s="92">
        <v>9269.8799999999992</v>
      </c>
      <c r="AP16" s="92">
        <v>0.918215</v>
      </c>
      <c r="AQ16" s="92">
        <v>6870.73</v>
      </c>
      <c r="AR16" s="92">
        <v>118.578</v>
      </c>
      <c r="AS16" s="93">
        <v>13681</v>
      </c>
      <c r="AT16" s="93">
        <v>1.5377799999999999</v>
      </c>
      <c r="AU16" s="93">
        <v>7212.53</v>
      </c>
      <c r="AV16" s="93">
        <v>153.017</v>
      </c>
      <c r="AW16" s="92">
        <v>9143.09</v>
      </c>
      <c r="AX16" s="92">
        <v>0.86311199999999999</v>
      </c>
      <c r="AY16" s="92">
        <v>6898.39</v>
      </c>
      <c r="AZ16" s="92">
        <v>123.28700000000001</v>
      </c>
      <c r="BA16" s="93">
        <v>8880.26</v>
      </c>
      <c r="BB16" s="93">
        <v>0.84264399999999995</v>
      </c>
      <c r="BC16" s="93">
        <v>7140.89</v>
      </c>
      <c r="BD16" s="93">
        <v>121.35599999999999</v>
      </c>
      <c r="BE16" s="92">
        <v>9117.1299999999992</v>
      </c>
      <c r="BF16" s="92">
        <v>1.2044900000000001</v>
      </c>
      <c r="BG16" s="92">
        <v>7853.37</v>
      </c>
      <c r="BH16" s="92">
        <v>155.54499999999999</v>
      </c>
      <c r="BI16" s="93">
        <v>9728.89</v>
      </c>
      <c r="BJ16" s="93">
        <v>0.89787099999999997</v>
      </c>
      <c r="BK16" s="93">
        <v>7930.73</v>
      </c>
      <c r="BL16" s="93">
        <v>137.43</v>
      </c>
      <c r="BM16" s="92">
        <v>9040.7199999999993</v>
      </c>
      <c r="BN16" s="92">
        <v>1.0745800000000001</v>
      </c>
      <c r="BO16" s="92">
        <v>5952.25</v>
      </c>
      <c r="BP16" s="92">
        <v>127.14700000000001</v>
      </c>
      <c r="BQ16" s="93">
        <v>9135.2199999999993</v>
      </c>
      <c r="BR16" s="93">
        <v>1.6208400000000001</v>
      </c>
      <c r="BS16" s="93">
        <v>6850.53</v>
      </c>
      <c r="BT16" s="93">
        <v>185.714</v>
      </c>
      <c r="BU16" s="94"/>
      <c r="BV16" s="94"/>
      <c r="BW16" s="94"/>
      <c r="BX16" s="94"/>
    </row>
    <row r="17" spans="2:76">
      <c r="B17" s="2">
        <f>AD22/13*O17</f>
        <v>16436.024148720651</v>
      </c>
      <c r="D17" s="91">
        <v>122</v>
      </c>
      <c r="E17" s="22">
        <f t="shared" si="5"/>
        <v>0.99999999999999989</v>
      </c>
      <c r="F17" s="11">
        <f t="shared" si="0"/>
        <v>0.15222311455063153</v>
      </c>
      <c r="G17" s="91">
        <v>0.20849999999999999</v>
      </c>
      <c r="H17" s="91">
        <v>8.9999999999999998E-4</v>
      </c>
      <c r="I17" s="2">
        <v>1408.0129999999999</v>
      </c>
      <c r="J17" s="91">
        <v>3.0000000000000001E-3</v>
      </c>
      <c r="K17" s="2">
        <f>O17+B17+C17</f>
        <v>1318958.9241487205</v>
      </c>
      <c r="L17" s="11">
        <f t="shared" si="4"/>
        <v>1397.4686230287964</v>
      </c>
      <c r="M17" s="101">
        <f>K17/G17/O$4</f>
        <v>0.43777621802522848</v>
      </c>
      <c r="N17" s="100">
        <f t="shared" si="1"/>
        <v>1.947178071131452E-3</v>
      </c>
      <c r="O17" s="91">
        <f t="shared" si="2"/>
        <v>1302522.8999999999</v>
      </c>
      <c r="Q17" s="92">
        <v>10240.1</v>
      </c>
      <c r="R17" s="92">
        <v>0.20072400000000001</v>
      </c>
      <c r="S17" s="92">
        <v>90712</v>
      </c>
      <c r="T17" s="92">
        <v>350.09100000000001</v>
      </c>
      <c r="U17" s="93">
        <v>10865.5</v>
      </c>
      <c r="V17" s="93">
        <v>0.205319</v>
      </c>
      <c r="W17" s="93">
        <v>89868.5</v>
      </c>
      <c r="X17" s="93">
        <v>353.709</v>
      </c>
      <c r="Y17" s="92">
        <v>10139.6</v>
      </c>
      <c r="Z17" s="92">
        <v>0.20083999999999999</v>
      </c>
      <c r="AA17" s="92">
        <v>105275</v>
      </c>
      <c r="AB17" s="92">
        <v>399.786</v>
      </c>
      <c r="AC17" s="93">
        <v>10322.4</v>
      </c>
      <c r="AD17" s="93">
        <v>0.194465</v>
      </c>
      <c r="AE17" s="93">
        <v>100087</v>
      </c>
      <c r="AF17" s="93">
        <v>369.89600000000002</v>
      </c>
      <c r="AG17" s="92">
        <v>10224.200000000001</v>
      </c>
      <c r="AH17" s="92">
        <v>0.17907999999999999</v>
      </c>
      <c r="AI17" s="92">
        <v>102678</v>
      </c>
      <c r="AJ17" s="92">
        <v>380.30700000000002</v>
      </c>
      <c r="AK17" s="93">
        <v>10172.700000000001</v>
      </c>
      <c r="AL17" s="93">
        <v>0.202208</v>
      </c>
      <c r="AM17" s="93">
        <v>89937.1</v>
      </c>
      <c r="AN17" s="93">
        <v>352.11200000000002</v>
      </c>
      <c r="AO17" s="92">
        <v>10045</v>
      </c>
      <c r="AP17" s="92">
        <v>0.17610400000000001</v>
      </c>
      <c r="AQ17" s="92">
        <v>93984.5</v>
      </c>
      <c r="AR17" s="92">
        <v>343.01900000000001</v>
      </c>
      <c r="AS17" s="93">
        <v>14828</v>
      </c>
      <c r="AT17" s="93">
        <v>0.325789</v>
      </c>
      <c r="AU17" s="93">
        <v>93924.1</v>
      </c>
      <c r="AV17" s="93">
        <v>460.70400000000001</v>
      </c>
      <c r="AW17" s="92">
        <v>9906.86</v>
      </c>
      <c r="AX17" s="92">
        <v>0.18746499999999999</v>
      </c>
      <c r="AY17" s="92">
        <v>90027.8</v>
      </c>
      <c r="AZ17" s="92">
        <v>348.15100000000001</v>
      </c>
      <c r="BA17" s="93">
        <v>9621.56</v>
      </c>
      <c r="BB17" s="93">
        <v>0.17221800000000001</v>
      </c>
      <c r="BC17" s="93">
        <v>94138.6</v>
      </c>
      <c r="BD17" s="93">
        <v>349.48599999999999</v>
      </c>
      <c r="BE17" s="92">
        <v>9880.32</v>
      </c>
      <c r="BF17" s="92">
        <v>0.293854</v>
      </c>
      <c r="BG17" s="92">
        <v>92530.1</v>
      </c>
      <c r="BH17" s="92">
        <v>379.84199999999998</v>
      </c>
      <c r="BI17" s="93">
        <v>10541.6</v>
      </c>
      <c r="BJ17" s="93">
        <v>0.19783700000000001</v>
      </c>
      <c r="BK17" s="93">
        <v>100830</v>
      </c>
      <c r="BL17" s="93">
        <v>389.28500000000003</v>
      </c>
      <c r="BM17" s="92">
        <v>9795.5499999999993</v>
      </c>
      <c r="BN17" s="92">
        <v>0.236627</v>
      </c>
      <c r="BO17" s="92">
        <v>76909.8</v>
      </c>
      <c r="BP17" s="92">
        <v>338.46600000000001</v>
      </c>
      <c r="BQ17" s="93">
        <v>9900.1299999999992</v>
      </c>
      <c r="BR17" s="93">
        <v>0.472717</v>
      </c>
      <c r="BS17" s="93">
        <v>81620.399999999994</v>
      </c>
      <c r="BT17" s="93">
        <v>395.392</v>
      </c>
      <c r="BU17" s="94"/>
      <c r="BV17" s="94"/>
      <c r="BW17" s="94"/>
      <c r="BX17" s="94"/>
    </row>
    <row r="18" spans="2:76">
      <c r="G18" s="91">
        <f>SUM(G6:G17)</f>
        <v>1.3696999999999999</v>
      </c>
      <c r="I18" s="2"/>
      <c r="L18" s="11"/>
      <c r="M18" s="11"/>
      <c r="Q18" s="92"/>
      <c r="R18" s="92"/>
      <c r="S18" s="92"/>
      <c r="T18" s="92"/>
      <c r="U18" s="93"/>
      <c r="V18" s="93"/>
      <c r="W18" s="93"/>
      <c r="X18" s="93"/>
      <c r="Y18" s="92"/>
      <c r="Z18" s="92"/>
      <c r="AA18" s="92"/>
      <c r="AB18" s="92"/>
      <c r="AC18" s="93"/>
      <c r="AD18" s="93"/>
      <c r="AE18" s="93"/>
      <c r="AF18" s="93"/>
      <c r="AG18" s="92"/>
      <c r="AH18" s="92"/>
      <c r="AI18" s="92"/>
      <c r="AJ18" s="92"/>
      <c r="AK18" s="93"/>
      <c r="AL18" s="93"/>
      <c r="AM18" s="93"/>
      <c r="AN18" s="93"/>
      <c r="AO18" s="92"/>
      <c r="AP18" s="92"/>
      <c r="AQ18" s="92"/>
      <c r="AR18" s="92"/>
      <c r="AS18" s="93"/>
      <c r="AT18" s="93"/>
      <c r="AU18" s="93"/>
      <c r="AV18" s="93"/>
      <c r="AW18" s="92"/>
      <c r="AX18" s="92"/>
      <c r="AY18" s="92"/>
      <c r="AZ18" s="92"/>
      <c r="BA18" s="93"/>
      <c r="BB18" s="93"/>
      <c r="BC18" s="93"/>
      <c r="BD18" s="93"/>
      <c r="BE18" s="92"/>
      <c r="BF18" s="92"/>
      <c r="BG18" s="92"/>
      <c r="BH18" s="92"/>
      <c r="BI18" s="93"/>
      <c r="BJ18" s="93"/>
      <c r="BK18" s="93"/>
      <c r="BL18" s="93"/>
      <c r="BM18" s="92"/>
      <c r="BN18" s="92"/>
      <c r="BO18" s="92"/>
      <c r="BP18" s="92"/>
      <c r="BQ18" s="93"/>
      <c r="BR18" s="93"/>
      <c r="BS18" s="93"/>
      <c r="BT18" s="93"/>
      <c r="BU18" s="94"/>
      <c r="BV18" s="94"/>
      <c r="BW18" s="94"/>
      <c r="BX18" s="94"/>
    </row>
    <row r="20" spans="2:76">
      <c r="I20" s="91" t="s">
        <v>168</v>
      </c>
      <c r="Q20" s="3">
        <v>5000000</v>
      </c>
      <c r="R20" s="2">
        <f>SQRT(Q20)</f>
        <v>2236.0679774997898</v>
      </c>
    </row>
    <row r="21" spans="2:76">
      <c r="E21" s="91" t="s">
        <v>167</v>
      </c>
      <c r="G21" s="91" t="s">
        <v>61</v>
      </c>
      <c r="I21" s="72" t="s">
        <v>84</v>
      </c>
      <c r="J21" s="72"/>
      <c r="K21" s="72"/>
      <c r="L21" s="72"/>
      <c r="M21" s="72"/>
      <c r="N21" s="72"/>
      <c r="O21" s="72"/>
      <c r="P21" s="72"/>
      <c r="Q21" s="91" t="s">
        <v>155</v>
      </c>
      <c r="R21" s="2"/>
      <c r="Z21" s="91" t="s">
        <v>156</v>
      </c>
      <c r="AD21" s="100" t="s">
        <v>161</v>
      </c>
      <c r="AE21" s="100"/>
    </row>
    <row r="22" spans="2:76">
      <c r="E22" s="1">
        <f>M6/AD22</f>
        <v>11.760319566920089</v>
      </c>
      <c r="F22" s="1">
        <f>E22*SQRT((N6/M6)^2+(AE22/AD22)^2)</f>
        <v>8.0570487467869975E-2</v>
      </c>
      <c r="G22" s="91">
        <v>0.28410000000000002</v>
      </c>
      <c r="H22" s="91">
        <v>1.2999999999999999E-3</v>
      </c>
      <c r="I22" s="72" t="s">
        <v>13</v>
      </c>
      <c r="J22" s="72">
        <v>122</v>
      </c>
      <c r="K22" s="72" t="s">
        <v>65</v>
      </c>
      <c r="L22" s="72">
        <v>297303</v>
      </c>
      <c r="M22" s="72" t="s">
        <v>66</v>
      </c>
      <c r="N22" s="72">
        <v>36459</v>
      </c>
      <c r="O22" s="72" t="s">
        <v>67</v>
      </c>
      <c r="P22" s="72">
        <v>22699</v>
      </c>
      <c r="Q22" s="91">
        <f>L22-(N22+P22)/2</f>
        <v>267724</v>
      </c>
      <c r="R22" s="2">
        <f>Q22/G22</f>
        <v>942358.32453361491</v>
      </c>
      <c r="T22" s="91">
        <f t="shared" ref="T22:T33" si="7">SUM(L36,L50,L64,L78,L92,L120,L134,L148,L162,L176,L190,L204,L218,L232)</f>
        <v>245395</v>
      </c>
      <c r="U22" s="2">
        <f>SQRT(T22)</f>
        <v>495.37359638963397</v>
      </c>
      <c r="V22" s="91">
        <f t="shared" ref="V22:V33" si="8">SUM(N36,N50,N64,N78,N92,N120,N134,N148,N162,N176,N190,N204,N218,N232)</f>
        <v>15827</v>
      </c>
      <c r="W22" s="2">
        <f>SQRT(V22)</f>
        <v>125.80540528928</v>
      </c>
      <c r="X22" s="91">
        <f t="shared" ref="X22:X33" si="9">SUM(P36,P50,P64,P78,P92,P120,P134,P148,P162,P176,P190,P204,P218,P232)</f>
        <v>8920</v>
      </c>
      <c r="Y22" s="2">
        <f>SQRT(X22)</f>
        <v>94.445751624940755</v>
      </c>
      <c r="Z22" s="91">
        <f>T22-(V22+X22)/2</f>
        <v>233021.5</v>
      </c>
      <c r="AA22" s="2">
        <f>SQRT(U22^2+(W22/2)^2+(Y22/2)^2)</f>
        <v>501.57925595064233</v>
      </c>
      <c r="AB22" s="3">
        <f t="shared" ref="AB22:AB33" si="10">Q$20*G22</f>
        <v>1420500</v>
      </c>
      <c r="AC22" s="69">
        <f t="shared" ref="AC22:AC33" si="11">AB22*SQRT((R$20/Q$20)^2+(H22/G22)^2)</f>
        <v>6530.9696102493072</v>
      </c>
      <c r="AD22" s="102">
        <f t="shared" ref="AD22:AD33" si="12">Z22/(Q$20*G22)</f>
        <v>0.16404188665962688</v>
      </c>
      <c r="AE22" s="103">
        <f t="shared" ref="AE22:AE33" si="13">AD22*SQRT((AC$22/AB$22)^2+(AA22/Z22)^2)</f>
        <v>8.3277235051160007E-4</v>
      </c>
    </row>
    <row r="23" spans="2:76">
      <c r="E23" s="1">
        <f t="shared" ref="E23:E33" si="14">M7/AD23</f>
        <v>10.161151737158018</v>
      </c>
      <c r="F23" s="1">
        <f t="shared" ref="F23:F33" si="15">E23*SQRT((N7/M7)^2+(AE23/AD23)^2)</f>
        <v>8.720573838868613E-2</v>
      </c>
      <c r="G23" s="91">
        <v>7.4999999999999997E-2</v>
      </c>
      <c r="H23" s="91">
        <v>4.0000000000000002E-4</v>
      </c>
      <c r="I23" s="72" t="s">
        <v>13</v>
      </c>
      <c r="J23" s="72">
        <v>245</v>
      </c>
      <c r="K23" s="72" t="s">
        <v>65</v>
      </c>
      <c r="L23" s="72">
        <v>76493</v>
      </c>
      <c r="M23" s="72" t="s">
        <v>66</v>
      </c>
      <c r="N23" s="72">
        <v>18049</v>
      </c>
      <c r="O23" s="72" t="s">
        <v>67</v>
      </c>
      <c r="P23" s="72">
        <v>14177</v>
      </c>
      <c r="Q23" s="91">
        <f t="shared" ref="Q23:Q33" si="16">L23-(N23+P23)/2</f>
        <v>60380</v>
      </c>
      <c r="R23" s="2">
        <f t="shared" ref="R23:R33" si="17">Q23/G23</f>
        <v>805066.66666666674</v>
      </c>
      <c r="T23" s="91">
        <f t="shared" si="7"/>
        <v>58959</v>
      </c>
      <c r="U23" s="2">
        <f t="shared" ref="U23:W33" si="18">SQRT(T23)</f>
        <v>242.81474419812318</v>
      </c>
      <c r="V23" s="91">
        <f t="shared" si="8"/>
        <v>7038</v>
      </c>
      <c r="W23" s="2">
        <f t="shared" si="18"/>
        <v>83.892788724657379</v>
      </c>
      <c r="X23" s="91">
        <f t="shared" si="9"/>
        <v>5893</v>
      </c>
      <c r="Y23" s="2">
        <f t="shared" ref="Y23:Y32" si="19">SQRT(X23)</f>
        <v>76.765877836445014</v>
      </c>
      <c r="Z23" s="91">
        <f t="shared" ref="Z23:Z33" si="20">T23-(V23+X23)/2</f>
        <v>52493.5</v>
      </c>
      <c r="AA23" s="2">
        <f t="shared" ref="AA23:AA33" si="21">SQRT(U23^2+(W23/2)^2+(Y23/2)^2)</f>
        <v>249.38273797518542</v>
      </c>
      <c r="AB23" s="3">
        <f t="shared" si="10"/>
        <v>375000</v>
      </c>
      <c r="AC23" s="69">
        <f t="shared" si="11"/>
        <v>2007.0189336426304</v>
      </c>
      <c r="AD23" s="102">
        <f t="shared" si="12"/>
        <v>0.13998266666666667</v>
      </c>
      <c r="AE23" s="103">
        <f t="shared" si="13"/>
        <v>9.2545297175245607E-4</v>
      </c>
    </row>
    <row r="24" spans="2:76">
      <c r="E24" s="1">
        <f t="shared" si="14"/>
        <v>10.295518272441006</v>
      </c>
      <c r="F24" s="1">
        <f t="shared" si="15"/>
        <v>7.2026658633965374E-2</v>
      </c>
      <c r="G24" s="91">
        <v>0.26579999999999998</v>
      </c>
      <c r="H24" s="91">
        <v>1.1999999999999999E-3</v>
      </c>
      <c r="I24" s="72" t="s">
        <v>13</v>
      </c>
      <c r="J24" s="72">
        <v>344</v>
      </c>
      <c r="K24" s="72" t="s">
        <v>65</v>
      </c>
      <c r="L24" s="72">
        <v>175401</v>
      </c>
      <c r="M24" s="72" t="s">
        <v>66</v>
      </c>
      <c r="N24" s="72">
        <v>9260</v>
      </c>
      <c r="O24" s="72" t="s">
        <v>67</v>
      </c>
      <c r="P24" s="72">
        <v>6879</v>
      </c>
      <c r="Q24" s="91">
        <f t="shared" si="16"/>
        <v>167331.5</v>
      </c>
      <c r="R24" s="2">
        <f t="shared" si="17"/>
        <v>629539.12716328073</v>
      </c>
      <c r="T24" s="91">
        <f t="shared" si="7"/>
        <v>149649</v>
      </c>
      <c r="U24" s="2">
        <f t="shared" si="18"/>
        <v>386.84493017228493</v>
      </c>
      <c r="V24" s="91">
        <f t="shared" si="8"/>
        <v>3565</v>
      </c>
      <c r="W24" s="2">
        <f t="shared" si="18"/>
        <v>59.70762095411272</v>
      </c>
      <c r="X24" s="91">
        <f t="shared" si="9"/>
        <v>2770</v>
      </c>
      <c r="Y24" s="2">
        <f t="shared" si="19"/>
        <v>52.630789467763066</v>
      </c>
      <c r="Z24" s="91">
        <f t="shared" si="20"/>
        <v>146481.5</v>
      </c>
      <c r="AA24" s="2">
        <f t="shared" si="21"/>
        <v>388.88655158027774</v>
      </c>
      <c r="AB24" s="3">
        <f t="shared" si="10"/>
        <v>1329000</v>
      </c>
      <c r="AC24" s="69">
        <f t="shared" si="11"/>
        <v>6029.3654890046264</v>
      </c>
      <c r="AD24" s="102">
        <f t="shared" si="12"/>
        <v>0.11021933784800601</v>
      </c>
      <c r="AE24" s="103">
        <f t="shared" si="13"/>
        <v>5.8516680229482923E-4</v>
      </c>
    </row>
    <row r="25" spans="2:76">
      <c r="E25" s="1">
        <f t="shared" si="14"/>
        <v>10.042803400732835</v>
      </c>
      <c r="F25" s="1">
        <f t="shared" si="15"/>
        <v>0.13359347061468158</v>
      </c>
      <c r="G25" s="91">
        <v>2.2370000000000001E-2</v>
      </c>
      <c r="H25" s="91">
        <v>1E-4</v>
      </c>
      <c r="I25" s="72" t="s">
        <v>13</v>
      </c>
      <c r="J25" s="72">
        <v>411</v>
      </c>
      <c r="K25" s="72" t="s">
        <v>65</v>
      </c>
      <c r="L25" s="72">
        <v>18375</v>
      </c>
      <c r="M25" s="72" t="s">
        <v>66</v>
      </c>
      <c r="N25" s="72">
        <v>6441</v>
      </c>
      <c r="O25" s="72" t="s">
        <v>67</v>
      </c>
      <c r="P25" s="72">
        <v>6129</v>
      </c>
      <c r="Q25" s="91">
        <f t="shared" si="16"/>
        <v>12090</v>
      </c>
      <c r="R25" s="2">
        <f t="shared" si="17"/>
        <v>540455.96781403664</v>
      </c>
      <c r="T25" s="91">
        <f t="shared" si="7"/>
        <v>13112</v>
      </c>
      <c r="U25" s="2">
        <f t="shared" si="18"/>
        <v>114.50764166639709</v>
      </c>
      <c r="V25" s="91">
        <f t="shared" si="8"/>
        <v>2486</v>
      </c>
      <c r="W25" s="2">
        <f t="shared" si="18"/>
        <v>49.859803449271638</v>
      </c>
      <c r="X25" s="91">
        <f t="shared" si="9"/>
        <v>2395</v>
      </c>
      <c r="Y25" s="2">
        <f t="shared" si="19"/>
        <v>48.938737212968626</v>
      </c>
      <c r="Z25" s="91">
        <f t="shared" si="20"/>
        <v>10671.5</v>
      </c>
      <c r="AA25" s="2">
        <f t="shared" si="21"/>
        <v>119.7173755141667</v>
      </c>
      <c r="AB25" s="3">
        <f t="shared" si="10"/>
        <v>111850</v>
      </c>
      <c r="AC25" s="69">
        <f t="shared" si="11"/>
        <v>502.4958552067867</v>
      </c>
      <c r="AD25" s="102">
        <f t="shared" si="12"/>
        <v>9.5409029950827007E-2</v>
      </c>
      <c r="AE25" s="103">
        <f t="shared" si="13"/>
        <v>1.1567391611549242E-3</v>
      </c>
    </row>
    <row r="26" spans="2:76">
      <c r="E26" s="1">
        <f t="shared" si="14"/>
        <v>10.678702385694184</v>
      </c>
      <c r="F26" s="1">
        <f t="shared" si="15"/>
        <v>0.12557126681256381</v>
      </c>
      <c r="G26" s="91">
        <v>3.125E-2</v>
      </c>
      <c r="H26" s="91">
        <v>1.3999999999999999E-4</v>
      </c>
      <c r="I26" s="72" t="s">
        <v>13</v>
      </c>
      <c r="J26" s="72">
        <v>444</v>
      </c>
      <c r="K26" s="72" t="s">
        <v>65</v>
      </c>
      <c r="L26" s="72">
        <v>22027</v>
      </c>
      <c r="M26" s="72" t="s">
        <v>66</v>
      </c>
      <c r="N26" s="72">
        <v>5992</v>
      </c>
      <c r="O26" s="72" t="s">
        <v>67</v>
      </c>
      <c r="P26" s="72">
        <v>6130</v>
      </c>
      <c r="Q26" s="91">
        <f t="shared" si="16"/>
        <v>15966</v>
      </c>
      <c r="R26" s="2">
        <f t="shared" si="17"/>
        <v>510912</v>
      </c>
      <c r="T26" s="91">
        <f t="shared" si="7"/>
        <v>16276</v>
      </c>
      <c r="U26" s="2">
        <f t="shared" si="18"/>
        <v>127.57742747053649</v>
      </c>
      <c r="V26" s="91">
        <f t="shared" si="8"/>
        <v>2409</v>
      </c>
      <c r="W26" s="2">
        <f t="shared" si="18"/>
        <v>49.081564767232109</v>
      </c>
      <c r="X26" s="91">
        <f t="shared" si="9"/>
        <v>2388</v>
      </c>
      <c r="Y26" s="2">
        <f t="shared" si="19"/>
        <v>48.867166891482462</v>
      </c>
      <c r="Z26" s="91">
        <f t="shared" si="20"/>
        <v>13877.5</v>
      </c>
      <c r="AA26" s="2">
        <f t="shared" si="21"/>
        <v>132.19398624748405</v>
      </c>
      <c r="AB26" s="3">
        <f t="shared" si="10"/>
        <v>156250</v>
      </c>
      <c r="AC26" s="69">
        <f t="shared" si="11"/>
        <v>703.47907751403659</v>
      </c>
      <c r="AD26" s="102">
        <f t="shared" si="12"/>
        <v>8.8816000000000006E-2</v>
      </c>
      <c r="AE26" s="103">
        <f t="shared" si="13"/>
        <v>9.3943183920994851E-4</v>
      </c>
    </row>
    <row r="27" spans="2:76">
      <c r="E27" s="1">
        <f t="shared" si="14"/>
        <v>10.470645320669799</v>
      </c>
      <c r="F27" s="1">
        <f t="shared" si="15"/>
        <v>8.8263895079394999E-2</v>
      </c>
      <c r="G27" s="91">
        <v>0.12959999999999999</v>
      </c>
      <c r="H27" s="91">
        <v>5.9999999999999995E-4</v>
      </c>
      <c r="I27" s="72" t="s">
        <v>13</v>
      </c>
      <c r="J27" s="72">
        <v>779</v>
      </c>
      <c r="K27" s="72" t="s">
        <v>65</v>
      </c>
      <c r="L27" s="72">
        <v>49925</v>
      </c>
      <c r="M27" s="72" t="s">
        <v>66</v>
      </c>
      <c r="N27" s="72">
        <v>4743</v>
      </c>
      <c r="O27" s="72" t="s">
        <v>67</v>
      </c>
      <c r="P27" s="72">
        <v>4443</v>
      </c>
      <c r="Q27" s="91">
        <f t="shared" si="16"/>
        <v>45332</v>
      </c>
      <c r="R27" s="2">
        <f t="shared" si="17"/>
        <v>349783.95061728399</v>
      </c>
      <c r="T27" s="91">
        <f t="shared" si="7"/>
        <v>41631</v>
      </c>
      <c r="U27" s="2">
        <f t="shared" si="18"/>
        <v>204.0367613936273</v>
      </c>
      <c r="V27" s="91">
        <f t="shared" si="8"/>
        <v>1835</v>
      </c>
      <c r="W27" s="2">
        <f t="shared" si="18"/>
        <v>42.836899981207793</v>
      </c>
      <c r="X27" s="91">
        <f t="shared" si="9"/>
        <v>1793</v>
      </c>
      <c r="Y27" s="2">
        <f t="shared" si="19"/>
        <v>42.343830719480259</v>
      </c>
      <c r="Z27" s="91">
        <f t="shared" si="20"/>
        <v>39817</v>
      </c>
      <c r="AA27" s="2">
        <f t="shared" si="21"/>
        <v>206.24742422634034</v>
      </c>
      <c r="AB27" s="3">
        <f t="shared" si="10"/>
        <v>648000</v>
      </c>
      <c r="AC27" s="69">
        <f t="shared" si="11"/>
        <v>3013.9642997222113</v>
      </c>
      <c r="AD27" s="102">
        <f t="shared" si="12"/>
        <v>6.1445987654320987E-2</v>
      </c>
      <c r="AE27" s="103">
        <f t="shared" si="13"/>
        <v>4.2557559250536143E-4</v>
      </c>
    </row>
    <row r="28" spans="2:76">
      <c r="E28" s="1">
        <f t="shared" si="14"/>
        <v>10.359973055323838</v>
      </c>
      <c r="F28" s="1">
        <f t="shared" si="15"/>
        <v>0.13104179214846762</v>
      </c>
      <c r="G28" s="91">
        <v>4.2410000000000003E-2</v>
      </c>
      <c r="H28" s="91">
        <v>2.3000000000000001E-4</v>
      </c>
      <c r="I28" s="72" t="s">
        <v>13</v>
      </c>
      <c r="J28" s="72">
        <v>867</v>
      </c>
      <c r="K28" s="72" t="s">
        <v>65</v>
      </c>
      <c r="L28" s="72">
        <v>17863</v>
      </c>
      <c r="M28" s="72" t="s">
        <v>66</v>
      </c>
      <c r="N28" s="72">
        <v>4085</v>
      </c>
      <c r="O28" s="72" t="s">
        <v>67</v>
      </c>
      <c r="P28" s="72">
        <v>4031</v>
      </c>
      <c r="Q28" s="91">
        <f t="shared" si="16"/>
        <v>13805</v>
      </c>
      <c r="R28" s="2">
        <f t="shared" si="17"/>
        <v>325512.85074274935</v>
      </c>
      <c r="T28" s="91">
        <f t="shared" si="7"/>
        <v>13675</v>
      </c>
      <c r="U28" s="2">
        <f t="shared" si="18"/>
        <v>116.940155635265</v>
      </c>
      <c r="V28" s="91">
        <f t="shared" si="8"/>
        <v>1660</v>
      </c>
      <c r="W28" s="2">
        <f t="shared" si="18"/>
        <v>40.743097574926722</v>
      </c>
      <c r="X28" s="91">
        <f t="shared" si="9"/>
        <v>1686</v>
      </c>
      <c r="Y28" s="2">
        <f t="shared" si="19"/>
        <v>41.060930335295616</v>
      </c>
      <c r="Z28" s="91">
        <f t="shared" si="20"/>
        <v>12002</v>
      </c>
      <c r="AA28" s="2">
        <f t="shared" si="21"/>
        <v>120.4636874746909</v>
      </c>
      <c r="AB28" s="3">
        <f t="shared" si="10"/>
        <v>212050.00000000003</v>
      </c>
      <c r="AC28" s="69">
        <f t="shared" si="11"/>
        <v>1153.9033930533353</v>
      </c>
      <c r="AD28" s="102">
        <f t="shared" si="12"/>
        <v>5.6599858523933025E-2</v>
      </c>
      <c r="AE28" s="103">
        <f t="shared" si="13"/>
        <v>6.2485617936670586E-4</v>
      </c>
    </row>
    <row r="29" spans="2:76">
      <c r="E29" s="1">
        <f t="shared" si="14"/>
        <v>10.504535819526131</v>
      </c>
      <c r="F29" s="1">
        <f t="shared" si="15"/>
        <v>8.5410267887258459E-2</v>
      </c>
      <c r="G29" s="91">
        <v>0.1462</v>
      </c>
      <c r="H29" s="91">
        <v>5.9999999999999995E-4</v>
      </c>
      <c r="I29" s="72" t="s">
        <v>13</v>
      </c>
      <c r="J29" s="72">
        <v>964</v>
      </c>
      <c r="K29" s="72" t="s">
        <v>65</v>
      </c>
      <c r="L29" s="72">
        <v>47299</v>
      </c>
      <c r="M29" s="72" t="s">
        <v>66</v>
      </c>
      <c r="N29" s="72">
        <v>2895</v>
      </c>
      <c r="O29" s="72" t="s">
        <v>67</v>
      </c>
      <c r="P29" s="72">
        <v>2661</v>
      </c>
      <c r="Q29" s="91">
        <f t="shared" si="16"/>
        <v>44521</v>
      </c>
      <c r="R29" s="2">
        <f t="shared" si="17"/>
        <v>304521.20383036934</v>
      </c>
      <c r="T29" s="91">
        <f t="shared" si="7"/>
        <v>40103</v>
      </c>
      <c r="U29" s="2">
        <f t="shared" si="18"/>
        <v>200.25733444745538</v>
      </c>
      <c r="V29" s="91">
        <f t="shared" si="8"/>
        <v>1132</v>
      </c>
      <c r="W29" s="2">
        <f t="shared" si="18"/>
        <v>33.645207682521445</v>
      </c>
      <c r="X29" s="91">
        <f t="shared" si="9"/>
        <v>1054</v>
      </c>
      <c r="Y29" s="2">
        <f t="shared" si="19"/>
        <v>32.465366161495851</v>
      </c>
      <c r="Z29" s="91">
        <f t="shared" si="20"/>
        <v>39010</v>
      </c>
      <c r="AA29" s="2">
        <f t="shared" si="21"/>
        <v>201.61721156686997</v>
      </c>
      <c r="AB29" s="3">
        <f t="shared" si="10"/>
        <v>731000</v>
      </c>
      <c r="AC29" s="69">
        <f t="shared" si="11"/>
        <v>3017.7594668893012</v>
      </c>
      <c r="AD29" s="102">
        <f t="shared" si="12"/>
        <v>5.3365253077975378E-2</v>
      </c>
      <c r="AE29" s="103">
        <f t="shared" si="13"/>
        <v>3.6914811724380925E-4</v>
      </c>
    </row>
    <row r="30" spans="2:76">
      <c r="E30" s="1">
        <f t="shared" si="14"/>
        <v>11.010178530955717</v>
      </c>
      <c r="F30" s="1">
        <f t="shared" si="15"/>
        <v>9.5658195155849141E-2</v>
      </c>
      <c r="G30" s="91">
        <v>0.13400000000000001</v>
      </c>
      <c r="H30" s="91">
        <v>5.9999999999999995E-4</v>
      </c>
      <c r="I30" s="72" t="s">
        <v>13</v>
      </c>
      <c r="J30" s="72">
        <v>1112</v>
      </c>
      <c r="K30" s="72" t="s">
        <v>65</v>
      </c>
      <c r="L30" s="72">
        <v>39400</v>
      </c>
      <c r="M30" s="72" t="s">
        <v>66</v>
      </c>
      <c r="N30" s="72">
        <v>2516</v>
      </c>
      <c r="O30" s="72" t="s">
        <v>67</v>
      </c>
      <c r="P30" s="72">
        <v>2614</v>
      </c>
      <c r="Q30" s="91">
        <f t="shared" si="16"/>
        <v>36835</v>
      </c>
      <c r="R30" s="2">
        <f t="shared" si="17"/>
        <v>274888.05970149254</v>
      </c>
      <c r="T30" s="91">
        <f t="shared" si="7"/>
        <v>33167</v>
      </c>
      <c r="U30" s="2">
        <f t="shared" si="18"/>
        <v>182.11809355470422</v>
      </c>
      <c r="V30" s="91">
        <f t="shared" si="8"/>
        <v>1044</v>
      </c>
      <c r="W30" s="2">
        <f t="shared" si="18"/>
        <v>32.310988842807021</v>
      </c>
      <c r="X30" s="91">
        <f t="shared" si="9"/>
        <v>1000</v>
      </c>
      <c r="Y30" s="2">
        <f t="shared" si="19"/>
        <v>31.622776601683793</v>
      </c>
      <c r="Z30" s="91">
        <f t="shared" si="20"/>
        <v>32145</v>
      </c>
      <c r="AA30" s="2">
        <f t="shared" si="21"/>
        <v>183.51566690612549</v>
      </c>
      <c r="AB30" s="3">
        <f t="shared" si="10"/>
        <v>670000</v>
      </c>
      <c r="AC30" s="69">
        <f t="shared" si="11"/>
        <v>3014.9262014185351</v>
      </c>
      <c r="AD30" s="102">
        <f t="shared" si="12"/>
        <v>4.7977611940298509E-2</v>
      </c>
      <c r="AE30" s="103">
        <f t="shared" si="13"/>
        <v>3.5168299020506136E-4</v>
      </c>
    </row>
    <row r="31" spans="2:76">
      <c r="E31" s="1">
        <f t="shared" si="14"/>
        <v>10.158737479147657</v>
      </c>
      <c r="F31" s="1">
        <f t="shared" si="15"/>
        <v>0.22821255579032998</v>
      </c>
      <c r="G31" s="91">
        <v>1.4149999999999999E-2</v>
      </c>
      <c r="H31" s="91">
        <v>9.0000000000000006E-5</v>
      </c>
      <c r="I31" s="72" t="s">
        <v>13</v>
      </c>
      <c r="J31" s="72">
        <v>1213</v>
      </c>
      <c r="K31" s="72" t="s">
        <v>65</v>
      </c>
      <c r="L31" s="72">
        <v>5447</v>
      </c>
      <c r="M31" s="72" t="s">
        <v>66</v>
      </c>
      <c r="N31" s="72">
        <v>1912</v>
      </c>
      <c r="O31" s="72" t="s">
        <v>67</v>
      </c>
      <c r="P31" s="72">
        <v>1603</v>
      </c>
      <c r="Q31" s="91">
        <f t="shared" si="16"/>
        <v>3689.5</v>
      </c>
      <c r="R31" s="2">
        <f t="shared" si="17"/>
        <v>260742.04946996467</v>
      </c>
      <c r="T31" s="91">
        <f t="shared" si="7"/>
        <v>3962</v>
      </c>
      <c r="U31" s="2">
        <f t="shared" si="18"/>
        <v>62.94441992742486</v>
      </c>
      <c r="V31" s="91">
        <f t="shared" si="8"/>
        <v>703</v>
      </c>
      <c r="W31" s="2">
        <f t="shared" si="18"/>
        <v>26.514147167125703</v>
      </c>
      <c r="X31" s="91">
        <f t="shared" si="9"/>
        <v>676</v>
      </c>
      <c r="Y31" s="2">
        <f t="shared" si="19"/>
        <v>26</v>
      </c>
      <c r="Z31" s="91">
        <f t="shared" si="20"/>
        <v>3272.5</v>
      </c>
      <c r="AA31" s="2">
        <f t="shared" si="21"/>
        <v>65.62583332804239</v>
      </c>
      <c r="AB31" s="3">
        <f t="shared" si="10"/>
        <v>70750</v>
      </c>
      <c r="AC31" s="69">
        <f t="shared" si="11"/>
        <v>451.11097581415595</v>
      </c>
      <c r="AD31" s="102">
        <f t="shared" si="12"/>
        <v>4.6254416961130744E-2</v>
      </c>
      <c r="AE31" s="103">
        <f t="shared" si="13"/>
        <v>9.5163957751756578E-4</v>
      </c>
    </row>
    <row r="32" spans="2:76">
      <c r="E32" s="1">
        <f t="shared" si="14"/>
        <v>9.8224657746385517</v>
      </c>
      <c r="F32" s="1">
        <f t="shared" si="15"/>
        <v>0.19075405021647288</v>
      </c>
      <c r="G32" s="91">
        <v>1.6320000000000001E-2</v>
      </c>
      <c r="H32" s="91">
        <v>9.0000000000000006E-5</v>
      </c>
      <c r="I32" s="72" t="s">
        <v>13</v>
      </c>
      <c r="J32" s="72">
        <v>1299</v>
      </c>
      <c r="K32" s="72" t="s">
        <v>65</v>
      </c>
      <c r="L32" s="72">
        <v>4569</v>
      </c>
      <c r="M32" s="72" t="s">
        <v>66</v>
      </c>
      <c r="N32" s="72">
        <v>622</v>
      </c>
      <c r="O32" s="72" t="s">
        <v>67</v>
      </c>
      <c r="P32" s="72">
        <v>353</v>
      </c>
      <c r="Q32" s="91">
        <f t="shared" si="16"/>
        <v>4081.5</v>
      </c>
      <c r="R32" s="2">
        <f t="shared" si="17"/>
        <v>250091.91176470587</v>
      </c>
      <c r="T32" s="91">
        <f t="shared" si="7"/>
        <v>3769</v>
      </c>
      <c r="U32" s="2">
        <f t="shared" si="18"/>
        <v>61.392181912683313</v>
      </c>
      <c r="V32" s="91">
        <f t="shared" si="8"/>
        <v>210</v>
      </c>
      <c r="W32" s="2">
        <f t="shared" si="18"/>
        <v>14.491376746189438</v>
      </c>
      <c r="X32" s="91">
        <f t="shared" si="9"/>
        <v>153</v>
      </c>
      <c r="Y32" s="2">
        <f t="shared" si="19"/>
        <v>12.369316876852981</v>
      </c>
      <c r="Z32" s="91">
        <f t="shared" si="20"/>
        <v>3587.5</v>
      </c>
      <c r="AA32" s="2">
        <f t="shared" si="21"/>
        <v>62.126886289270928</v>
      </c>
      <c r="AB32" s="3">
        <f t="shared" si="10"/>
        <v>81600</v>
      </c>
      <c r="AC32" s="69">
        <f t="shared" si="11"/>
        <v>451.47725524105863</v>
      </c>
      <c r="AD32" s="102">
        <f t="shared" si="12"/>
        <v>4.3964460784313729E-2</v>
      </c>
      <c r="AE32" s="103">
        <f t="shared" si="13"/>
        <v>7.8773428562151191E-4</v>
      </c>
    </row>
    <row r="33" spans="5:31">
      <c r="E33" s="1">
        <f t="shared" si="14"/>
        <v>10.718343505473308</v>
      </c>
      <c r="F33" s="1">
        <f t="shared" si="15"/>
        <v>8.6027370360659591E-2</v>
      </c>
      <c r="G33" s="91">
        <v>0.20849999999999999</v>
      </c>
      <c r="H33" s="91">
        <v>8.9999999999999998E-4</v>
      </c>
      <c r="I33" s="72" t="s">
        <v>13</v>
      </c>
      <c r="J33" s="72">
        <v>1408</v>
      </c>
      <c r="K33" s="72" t="s">
        <v>65</v>
      </c>
      <c r="L33" s="72">
        <v>48308</v>
      </c>
      <c r="M33" s="72" t="s">
        <v>66</v>
      </c>
      <c r="N33" s="72">
        <v>122</v>
      </c>
      <c r="O33" s="72" t="s">
        <v>67</v>
      </c>
      <c r="P33" s="72">
        <v>254</v>
      </c>
      <c r="Q33" s="91">
        <f t="shared" si="16"/>
        <v>48120</v>
      </c>
      <c r="R33" s="2">
        <f t="shared" si="17"/>
        <v>230791.36690647484</v>
      </c>
      <c r="T33" s="91">
        <f t="shared" si="7"/>
        <v>42594</v>
      </c>
      <c r="U33" s="2">
        <f t="shared" si="18"/>
        <v>206.38313884617608</v>
      </c>
      <c r="V33" s="91">
        <f t="shared" si="8"/>
        <v>29</v>
      </c>
      <c r="W33" s="2">
        <f t="shared" si="18"/>
        <v>5.3851648071345037</v>
      </c>
      <c r="X33" s="91">
        <f t="shared" si="9"/>
        <v>0</v>
      </c>
      <c r="Y33" s="2">
        <f>SQRT(X33)</f>
        <v>0</v>
      </c>
      <c r="Z33" s="91">
        <f t="shared" si="20"/>
        <v>42579.5</v>
      </c>
      <c r="AA33" s="2">
        <f t="shared" si="21"/>
        <v>206.40070251818426</v>
      </c>
      <c r="AB33" s="3">
        <f t="shared" si="10"/>
        <v>1042500</v>
      </c>
      <c r="AC33" s="69">
        <f t="shared" si="11"/>
        <v>4524.0867863028452</v>
      </c>
      <c r="AD33" s="102">
        <f t="shared" si="12"/>
        <v>4.0843645083932852E-2</v>
      </c>
      <c r="AE33" s="103">
        <f t="shared" si="13"/>
        <v>2.728768562615433E-4</v>
      </c>
    </row>
    <row r="35" spans="5:31">
      <c r="I35" s="91" t="s">
        <v>68</v>
      </c>
    </row>
    <row r="36" spans="5:31">
      <c r="I36" s="91" t="s">
        <v>13</v>
      </c>
      <c r="J36" s="91">
        <v>122</v>
      </c>
      <c r="K36" s="91" t="s">
        <v>65</v>
      </c>
      <c r="L36" s="91">
        <v>22229</v>
      </c>
      <c r="M36" s="91" t="s">
        <v>66</v>
      </c>
      <c r="N36" s="91">
        <v>1276</v>
      </c>
      <c r="O36" s="91" t="s">
        <v>67</v>
      </c>
      <c r="P36" s="91">
        <v>745</v>
      </c>
    </row>
    <row r="37" spans="5:31">
      <c r="I37" s="91" t="s">
        <v>13</v>
      </c>
      <c r="J37" s="91">
        <v>245</v>
      </c>
      <c r="K37" s="91" t="s">
        <v>65</v>
      </c>
      <c r="L37" s="91">
        <v>5243</v>
      </c>
      <c r="M37" s="91" t="s">
        <v>66</v>
      </c>
      <c r="N37" s="91">
        <v>577</v>
      </c>
      <c r="O37" s="91" t="s">
        <v>67</v>
      </c>
      <c r="P37" s="91">
        <v>479</v>
      </c>
    </row>
    <row r="38" spans="5:31">
      <c r="I38" s="91" t="s">
        <v>13</v>
      </c>
      <c r="J38" s="91">
        <v>344</v>
      </c>
      <c r="K38" s="91" t="s">
        <v>65</v>
      </c>
      <c r="L38" s="91">
        <v>13113</v>
      </c>
      <c r="M38" s="91" t="s">
        <v>66</v>
      </c>
      <c r="N38" s="91">
        <v>275</v>
      </c>
      <c r="O38" s="91" t="s">
        <v>67</v>
      </c>
      <c r="P38" s="91">
        <v>209</v>
      </c>
    </row>
    <row r="39" spans="5:31">
      <c r="I39" s="91" t="s">
        <v>13</v>
      </c>
      <c r="J39" s="91">
        <v>411</v>
      </c>
      <c r="K39" s="91" t="s">
        <v>65</v>
      </c>
      <c r="L39" s="91">
        <v>1135</v>
      </c>
      <c r="M39" s="91" t="s">
        <v>66</v>
      </c>
      <c r="N39" s="91">
        <v>174</v>
      </c>
      <c r="O39" s="91" t="s">
        <v>67</v>
      </c>
      <c r="P39" s="91">
        <v>198</v>
      </c>
    </row>
    <row r="40" spans="5:31">
      <c r="I40" s="91" t="s">
        <v>13</v>
      </c>
      <c r="J40" s="91">
        <v>444</v>
      </c>
      <c r="K40" s="91" t="s">
        <v>65</v>
      </c>
      <c r="L40" s="91">
        <v>1414</v>
      </c>
      <c r="M40" s="91" t="s">
        <v>66</v>
      </c>
      <c r="N40" s="91">
        <v>185</v>
      </c>
      <c r="O40" s="91" t="s">
        <v>67</v>
      </c>
      <c r="P40" s="91">
        <v>208</v>
      </c>
    </row>
    <row r="41" spans="5:31">
      <c r="I41" s="91" t="s">
        <v>13</v>
      </c>
      <c r="J41" s="91">
        <v>779</v>
      </c>
      <c r="K41" s="91" t="s">
        <v>65</v>
      </c>
      <c r="L41" s="91">
        <v>3665</v>
      </c>
      <c r="M41" s="91" t="s">
        <v>66</v>
      </c>
      <c r="N41" s="91">
        <v>152</v>
      </c>
      <c r="O41" s="91" t="s">
        <v>67</v>
      </c>
      <c r="P41" s="91">
        <v>160</v>
      </c>
    </row>
    <row r="42" spans="5:31">
      <c r="I42" s="91" t="s">
        <v>13</v>
      </c>
      <c r="J42" s="91">
        <v>867</v>
      </c>
      <c r="K42" s="91" t="s">
        <v>65</v>
      </c>
      <c r="L42" s="91">
        <v>1192</v>
      </c>
      <c r="M42" s="91" t="s">
        <v>66</v>
      </c>
      <c r="N42" s="91">
        <v>121</v>
      </c>
      <c r="O42" s="91" t="s">
        <v>67</v>
      </c>
      <c r="P42" s="91">
        <v>133</v>
      </c>
    </row>
    <row r="43" spans="5:31">
      <c r="I43" s="91" t="s">
        <v>13</v>
      </c>
      <c r="J43" s="91">
        <v>964</v>
      </c>
      <c r="K43" s="91" t="s">
        <v>65</v>
      </c>
      <c r="L43" s="91">
        <v>3386</v>
      </c>
      <c r="M43" s="91" t="s">
        <v>66</v>
      </c>
      <c r="N43" s="91">
        <v>94</v>
      </c>
      <c r="O43" s="91" t="s">
        <v>67</v>
      </c>
      <c r="P43" s="91">
        <v>99</v>
      </c>
    </row>
    <row r="44" spans="5:31">
      <c r="I44" s="91" t="s">
        <v>13</v>
      </c>
      <c r="J44" s="91">
        <v>1112</v>
      </c>
      <c r="K44" s="91" t="s">
        <v>65</v>
      </c>
      <c r="L44" s="91">
        <v>2840</v>
      </c>
      <c r="M44" s="91" t="s">
        <v>66</v>
      </c>
      <c r="N44" s="91">
        <v>83</v>
      </c>
      <c r="O44" s="91" t="s">
        <v>67</v>
      </c>
      <c r="P44" s="91">
        <v>87</v>
      </c>
    </row>
    <row r="45" spans="5:31">
      <c r="I45" s="91" t="s">
        <v>13</v>
      </c>
      <c r="J45" s="91">
        <v>1213</v>
      </c>
      <c r="K45" s="91" t="s">
        <v>65</v>
      </c>
      <c r="L45" s="91">
        <v>367</v>
      </c>
      <c r="M45" s="91" t="s">
        <v>66</v>
      </c>
      <c r="N45" s="91">
        <v>64</v>
      </c>
      <c r="O45" s="91" t="s">
        <v>67</v>
      </c>
      <c r="P45" s="91">
        <v>61</v>
      </c>
    </row>
    <row r="46" spans="5:31">
      <c r="I46" s="91" t="s">
        <v>13</v>
      </c>
      <c r="J46" s="91">
        <v>1299</v>
      </c>
      <c r="K46" s="91" t="s">
        <v>65</v>
      </c>
      <c r="L46" s="91">
        <v>308</v>
      </c>
      <c r="M46" s="91" t="s">
        <v>66</v>
      </c>
      <c r="N46" s="91">
        <v>20</v>
      </c>
      <c r="O46" s="91" t="s">
        <v>67</v>
      </c>
      <c r="P46" s="91">
        <v>13</v>
      </c>
    </row>
    <row r="47" spans="5:31">
      <c r="I47" s="91" t="s">
        <v>13</v>
      </c>
      <c r="J47" s="91">
        <v>1408</v>
      </c>
      <c r="K47" s="91" t="s">
        <v>65</v>
      </c>
      <c r="L47" s="91">
        <v>3649</v>
      </c>
      <c r="M47" s="91" t="s">
        <v>66</v>
      </c>
      <c r="N47" s="91">
        <v>4</v>
      </c>
      <c r="O47" s="91" t="s">
        <v>67</v>
      </c>
      <c r="P47" s="91">
        <v>0</v>
      </c>
    </row>
    <row r="49" spans="9:16">
      <c r="I49" s="91" t="s">
        <v>69</v>
      </c>
    </row>
    <row r="50" spans="9:16">
      <c r="I50" s="91" t="s">
        <v>13</v>
      </c>
      <c r="J50" s="91">
        <v>122</v>
      </c>
      <c r="K50" s="91" t="s">
        <v>65</v>
      </c>
      <c r="L50" s="91">
        <v>22067</v>
      </c>
      <c r="M50" s="91" t="s">
        <v>66</v>
      </c>
      <c r="N50" s="91">
        <v>1251</v>
      </c>
      <c r="O50" s="91" t="s">
        <v>67</v>
      </c>
      <c r="P50" s="91">
        <v>757</v>
      </c>
    </row>
    <row r="51" spans="9:16">
      <c r="I51" s="91" t="s">
        <v>13</v>
      </c>
      <c r="J51" s="91">
        <v>245</v>
      </c>
      <c r="K51" s="91" t="s">
        <v>65</v>
      </c>
      <c r="L51" s="91">
        <v>5205</v>
      </c>
      <c r="M51" s="91" t="s">
        <v>66</v>
      </c>
      <c r="N51" s="91">
        <v>552</v>
      </c>
      <c r="O51" s="91" t="s">
        <v>67</v>
      </c>
      <c r="P51" s="91">
        <v>491</v>
      </c>
    </row>
    <row r="52" spans="9:16">
      <c r="I52" s="91" t="s">
        <v>13</v>
      </c>
      <c r="J52" s="91">
        <v>344</v>
      </c>
      <c r="K52" s="91" t="s">
        <v>65</v>
      </c>
      <c r="L52" s="91">
        <v>13118</v>
      </c>
      <c r="M52" s="91" t="s">
        <v>66</v>
      </c>
      <c r="N52" s="91">
        <v>291</v>
      </c>
      <c r="O52" s="91" t="s">
        <v>67</v>
      </c>
      <c r="P52" s="91">
        <v>209</v>
      </c>
    </row>
    <row r="53" spans="9:16">
      <c r="I53" s="91" t="s">
        <v>13</v>
      </c>
      <c r="J53" s="91">
        <v>411</v>
      </c>
      <c r="K53" s="91" t="s">
        <v>65</v>
      </c>
      <c r="L53" s="91">
        <v>1116</v>
      </c>
      <c r="M53" s="91" t="s">
        <v>66</v>
      </c>
      <c r="N53" s="91">
        <v>204</v>
      </c>
      <c r="O53" s="91" t="s">
        <v>67</v>
      </c>
      <c r="P53" s="91">
        <v>208</v>
      </c>
    </row>
    <row r="54" spans="9:16">
      <c r="I54" s="91" t="s">
        <v>13</v>
      </c>
      <c r="J54" s="91">
        <v>444</v>
      </c>
      <c r="K54" s="91" t="s">
        <v>65</v>
      </c>
      <c r="L54" s="91">
        <v>1408</v>
      </c>
      <c r="M54" s="91" t="s">
        <v>66</v>
      </c>
      <c r="N54" s="91">
        <v>193</v>
      </c>
      <c r="O54" s="91" t="s">
        <v>67</v>
      </c>
      <c r="P54" s="91">
        <v>193</v>
      </c>
    </row>
    <row r="55" spans="9:16">
      <c r="I55" s="91" t="s">
        <v>13</v>
      </c>
      <c r="J55" s="91">
        <v>779</v>
      </c>
      <c r="K55" s="91" t="s">
        <v>65</v>
      </c>
      <c r="L55" s="91">
        <v>3608</v>
      </c>
      <c r="M55" s="91" t="s">
        <v>66</v>
      </c>
      <c r="N55" s="91">
        <v>157</v>
      </c>
      <c r="O55" s="91" t="s">
        <v>67</v>
      </c>
      <c r="P55" s="91">
        <v>165</v>
      </c>
    </row>
    <row r="56" spans="9:16">
      <c r="I56" s="91" t="s">
        <v>13</v>
      </c>
      <c r="J56" s="91">
        <v>867</v>
      </c>
      <c r="K56" s="91" t="s">
        <v>65</v>
      </c>
      <c r="L56" s="91">
        <v>1179</v>
      </c>
      <c r="M56" s="91" t="s">
        <v>66</v>
      </c>
      <c r="N56" s="91">
        <v>166</v>
      </c>
      <c r="O56" s="91" t="s">
        <v>67</v>
      </c>
      <c r="P56" s="91">
        <v>147</v>
      </c>
    </row>
    <row r="57" spans="9:16">
      <c r="I57" s="91" t="s">
        <v>13</v>
      </c>
      <c r="J57" s="91">
        <v>964</v>
      </c>
      <c r="K57" s="91" t="s">
        <v>65</v>
      </c>
      <c r="L57" s="91">
        <v>3566</v>
      </c>
      <c r="M57" s="91" t="s">
        <v>66</v>
      </c>
      <c r="N57" s="91">
        <v>81</v>
      </c>
      <c r="O57" s="91" t="s">
        <v>67</v>
      </c>
      <c r="P57" s="91">
        <v>82</v>
      </c>
    </row>
    <row r="58" spans="9:16">
      <c r="I58" s="91" t="s">
        <v>13</v>
      </c>
      <c r="J58" s="91">
        <v>1112</v>
      </c>
      <c r="K58" s="91" t="s">
        <v>65</v>
      </c>
      <c r="L58" s="91">
        <v>2871</v>
      </c>
      <c r="M58" s="91" t="s">
        <v>66</v>
      </c>
      <c r="N58" s="91">
        <v>100</v>
      </c>
      <c r="O58" s="91" t="s">
        <v>67</v>
      </c>
      <c r="P58" s="91">
        <v>92</v>
      </c>
    </row>
    <row r="59" spans="9:16">
      <c r="I59" s="91" t="s">
        <v>13</v>
      </c>
      <c r="J59" s="91">
        <v>1213</v>
      </c>
      <c r="K59" s="91" t="s">
        <v>65</v>
      </c>
      <c r="L59" s="91">
        <v>366</v>
      </c>
      <c r="M59" s="91" t="s">
        <v>66</v>
      </c>
      <c r="N59" s="91">
        <v>72</v>
      </c>
      <c r="O59" s="91" t="s">
        <v>67</v>
      </c>
      <c r="P59" s="91">
        <v>60</v>
      </c>
    </row>
    <row r="60" spans="9:16">
      <c r="I60" s="91" t="s">
        <v>13</v>
      </c>
      <c r="J60" s="91">
        <v>1299</v>
      </c>
      <c r="K60" s="91" t="s">
        <v>65</v>
      </c>
      <c r="L60" s="91">
        <v>313</v>
      </c>
      <c r="M60" s="91" t="s">
        <v>66</v>
      </c>
      <c r="N60" s="91">
        <v>20</v>
      </c>
      <c r="O60" s="91" t="s">
        <v>67</v>
      </c>
      <c r="P60" s="91">
        <v>14</v>
      </c>
    </row>
    <row r="61" spans="9:16">
      <c r="I61" s="91" t="s">
        <v>13</v>
      </c>
      <c r="J61" s="91">
        <v>1408</v>
      </c>
      <c r="K61" s="91" t="s">
        <v>65</v>
      </c>
      <c r="L61" s="91">
        <v>3599</v>
      </c>
      <c r="M61" s="91" t="s">
        <v>66</v>
      </c>
      <c r="N61" s="91">
        <v>3</v>
      </c>
      <c r="O61" s="91" t="s">
        <v>67</v>
      </c>
      <c r="P61" s="91">
        <v>0</v>
      </c>
    </row>
    <row r="63" spans="9:16">
      <c r="I63" s="91" t="s">
        <v>70</v>
      </c>
    </row>
    <row r="64" spans="9:16">
      <c r="I64" s="91" t="s">
        <v>13</v>
      </c>
      <c r="J64" s="91">
        <v>122</v>
      </c>
      <c r="K64" s="91" t="s">
        <v>65</v>
      </c>
      <c r="L64" s="91">
        <v>21650</v>
      </c>
      <c r="M64" s="91" t="s">
        <v>66</v>
      </c>
      <c r="N64" s="91">
        <v>1248</v>
      </c>
      <c r="O64" s="91" t="s">
        <v>67</v>
      </c>
      <c r="P64" s="91">
        <v>751</v>
      </c>
    </row>
    <row r="65" spans="9:16">
      <c r="I65" s="91" t="s">
        <v>13</v>
      </c>
      <c r="J65" s="91">
        <v>245</v>
      </c>
      <c r="K65" s="91" t="s">
        <v>65</v>
      </c>
      <c r="L65" s="91">
        <v>5098</v>
      </c>
      <c r="M65" s="91" t="s">
        <v>66</v>
      </c>
      <c r="N65" s="91">
        <v>600</v>
      </c>
      <c r="O65" s="91" t="s">
        <v>67</v>
      </c>
      <c r="P65" s="91">
        <v>475</v>
      </c>
    </row>
    <row r="66" spans="9:16">
      <c r="I66" s="91" t="s">
        <v>13</v>
      </c>
      <c r="J66" s="91">
        <v>344</v>
      </c>
      <c r="K66" s="91" t="s">
        <v>65</v>
      </c>
      <c r="L66" s="91">
        <v>13166</v>
      </c>
      <c r="M66" s="91" t="s">
        <v>66</v>
      </c>
      <c r="N66" s="91">
        <v>295</v>
      </c>
      <c r="O66" s="91" t="s">
        <v>67</v>
      </c>
      <c r="P66" s="91">
        <v>252</v>
      </c>
    </row>
    <row r="67" spans="9:16">
      <c r="I67" s="91" t="s">
        <v>13</v>
      </c>
      <c r="J67" s="91">
        <v>411</v>
      </c>
      <c r="K67" s="91" t="s">
        <v>65</v>
      </c>
      <c r="L67" s="91">
        <v>1142</v>
      </c>
      <c r="M67" s="91" t="s">
        <v>66</v>
      </c>
      <c r="N67" s="91">
        <v>203</v>
      </c>
      <c r="O67" s="91" t="s">
        <v>67</v>
      </c>
      <c r="P67" s="91">
        <v>181</v>
      </c>
    </row>
    <row r="68" spans="9:16">
      <c r="I68" s="91" t="s">
        <v>13</v>
      </c>
      <c r="J68" s="91">
        <v>444</v>
      </c>
      <c r="K68" s="91" t="s">
        <v>65</v>
      </c>
      <c r="L68" s="91">
        <v>1428</v>
      </c>
      <c r="M68" s="91" t="s">
        <v>66</v>
      </c>
      <c r="N68" s="91">
        <v>192</v>
      </c>
      <c r="O68" s="91" t="s">
        <v>67</v>
      </c>
      <c r="P68" s="91">
        <v>194</v>
      </c>
    </row>
    <row r="69" spans="9:16">
      <c r="I69" s="91" t="s">
        <v>13</v>
      </c>
      <c r="J69" s="91">
        <v>779</v>
      </c>
      <c r="K69" s="91" t="s">
        <v>65</v>
      </c>
      <c r="L69" s="91">
        <v>3609</v>
      </c>
      <c r="M69" s="91" t="s">
        <v>66</v>
      </c>
      <c r="N69" s="91">
        <v>164</v>
      </c>
      <c r="O69" s="91" t="s">
        <v>67</v>
      </c>
      <c r="P69" s="91">
        <v>158</v>
      </c>
    </row>
    <row r="70" spans="9:16">
      <c r="I70" s="91" t="s">
        <v>13</v>
      </c>
      <c r="J70" s="91">
        <v>867</v>
      </c>
      <c r="K70" s="91" t="s">
        <v>65</v>
      </c>
      <c r="L70" s="91">
        <v>1200</v>
      </c>
      <c r="M70" s="91" t="s">
        <v>66</v>
      </c>
      <c r="N70" s="91">
        <v>148</v>
      </c>
      <c r="O70" s="91" t="s">
        <v>67</v>
      </c>
      <c r="P70" s="91">
        <v>125</v>
      </c>
    </row>
    <row r="71" spans="9:16">
      <c r="I71" s="91" t="s">
        <v>13</v>
      </c>
      <c r="J71" s="91">
        <v>964</v>
      </c>
      <c r="K71" s="91" t="s">
        <v>65</v>
      </c>
      <c r="L71" s="91">
        <v>3428</v>
      </c>
      <c r="M71" s="91" t="s">
        <v>66</v>
      </c>
      <c r="N71" s="91">
        <v>84</v>
      </c>
      <c r="O71" s="91" t="s">
        <v>67</v>
      </c>
      <c r="P71" s="91">
        <v>105</v>
      </c>
    </row>
    <row r="72" spans="9:16">
      <c r="I72" s="91" t="s">
        <v>13</v>
      </c>
      <c r="J72" s="91">
        <v>1112</v>
      </c>
      <c r="K72" s="91" t="s">
        <v>65</v>
      </c>
      <c r="L72" s="91">
        <v>2904</v>
      </c>
      <c r="M72" s="91" t="s">
        <v>66</v>
      </c>
      <c r="N72" s="91">
        <v>98</v>
      </c>
      <c r="O72" s="91" t="s">
        <v>67</v>
      </c>
      <c r="P72" s="91">
        <v>77</v>
      </c>
    </row>
    <row r="73" spans="9:16">
      <c r="I73" s="91" t="s">
        <v>13</v>
      </c>
      <c r="J73" s="91">
        <v>1213</v>
      </c>
      <c r="K73" s="91" t="s">
        <v>65</v>
      </c>
      <c r="L73" s="91">
        <v>329</v>
      </c>
      <c r="M73" s="91" t="s">
        <v>66</v>
      </c>
      <c r="N73" s="91">
        <v>71</v>
      </c>
      <c r="O73" s="91" t="s">
        <v>67</v>
      </c>
      <c r="P73" s="91">
        <v>47</v>
      </c>
    </row>
    <row r="74" spans="9:16">
      <c r="I74" s="91" t="s">
        <v>13</v>
      </c>
      <c r="J74" s="91">
        <v>1299</v>
      </c>
      <c r="K74" s="91" t="s">
        <v>65</v>
      </c>
      <c r="L74" s="91">
        <v>334</v>
      </c>
      <c r="M74" s="91" t="s">
        <v>66</v>
      </c>
      <c r="N74" s="91">
        <v>19</v>
      </c>
      <c r="O74" s="91" t="s">
        <v>67</v>
      </c>
      <c r="P74" s="91">
        <v>21</v>
      </c>
    </row>
    <row r="75" spans="9:16">
      <c r="I75" s="91" t="s">
        <v>13</v>
      </c>
      <c r="J75" s="91">
        <v>1408</v>
      </c>
      <c r="K75" s="91" t="s">
        <v>65</v>
      </c>
      <c r="L75" s="91">
        <v>3813</v>
      </c>
      <c r="M75" s="91" t="s">
        <v>66</v>
      </c>
      <c r="N75" s="91">
        <v>4</v>
      </c>
      <c r="O75" s="91" t="s">
        <v>67</v>
      </c>
      <c r="P75" s="91">
        <v>0</v>
      </c>
    </row>
    <row r="77" spans="9:16">
      <c r="I77" s="91" t="s">
        <v>71</v>
      </c>
    </row>
    <row r="78" spans="9:16">
      <c r="I78" s="91" t="s">
        <v>13</v>
      </c>
      <c r="J78" s="91">
        <v>122</v>
      </c>
      <c r="K78" s="91" t="s">
        <v>65</v>
      </c>
      <c r="L78" s="91">
        <v>21700</v>
      </c>
      <c r="M78" s="91" t="s">
        <v>66</v>
      </c>
      <c r="N78" s="91">
        <v>1267</v>
      </c>
      <c r="O78" s="91" t="s">
        <v>67</v>
      </c>
      <c r="P78" s="91">
        <v>725</v>
      </c>
    </row>
    <row r="79" spans="9:16">
      <c r="I79" s="91" t="s">
        <v>13</v>
      </c>
      <c r="J79" s="91">
        <v>245</v>
      </c>
      <c r="K79" s="91" t="s">
        <v>65</v>
      </c>
      <c r="L79" s="91">
        <v>5095</v>
      </c>
      <c r="M79" s="91" t="s">
        <v>66</v>
      </c>
      <c r="N79" s="91">
        <v>589</v>
      </c>
      <c r="O79" s="91" t="s">
        <v>67</v>
      </c>
      <c r="P79" s="91">
        <v>410</v>
      </c>
    </row>
    <row r="80" spans="9:16">
      <c r="I80" s="91" t="s">
        <v>13</v>
      </c>
      <c r="J80" s="91">
        <v>344</v>
      </c>
      <c r="K80" s="91" t="s">
        <v>65</v>
      </c>
      <c r="L80" s="91">
        <v>13134</v>
      </c>
      <c r="M80" s="91" t="s">
        <v>66</v>
      </c>
      <c r="N80" s="91">
        <v>277</v>
      </c>
      <c r="O80" s="91" t="s">
        <v>67</v>
      </c>
      <c r="P80" s="91">
        <v>245</v>
      </c>
    </row>
    <row r="81" spans="9:16">
      <c r="I81" s="91" t="s">
        <v>13</v>
      </c>
      <c r="J81" s="91">
        <v>411</v>
      </c>
      <c r="K81" s="91" t="s">
        <v>65</v>
      </c>
      <c r="L81" s="91">
        <v>1165</v>
      </c>
      <c r="M81" s="91" t="s">
        <v>66</v>
      </c>
      <c r="N81" s="91">
        <v>208</v>
      </c>
      <c r="O81" s="91" t="s">
        <v>67</v>
      </c>
      <c r="P81" s="91">
        <v>189</v>
      </c>
    </row>
    <row r="82" spans="9:16">
      <c r="I82" s="91" t="s">
        <v>13</v>
      </c>
      <c r="J82" s="91">
        <v>444</v>
      </c>
      <c r="K82" s="91" t="s">
        <v>65</v>
      </c>
      <c r="L82" s="91">
        <v>1398</v>
      </c>
      <c r="M82" s="91" t="s">
        <v>66</v>
      </c>
      <c r="N82" s="91">
        <v>201</v>
      </c>
      <c r="O82" s="91" t="s">
        <v>67</v>
      </c>
      <c r="P82" s="91">
        <v>182</v>
      </c>
    </row>
    <row r="83" spans="9:16">
      <c r="I83" s="91" t="s">
        <v>13</v>
      </c>
      <c r="J83" s="91">
        <v>779</v>
      </c>
      <c r="K83" s="91" t="s">
        <v>65</v>
      </c>
      <c r="L83" s="91">
        <v>3670</v>
      </c>
      <c r="M83" s="91" t="s">
        <v>66</v>
      </c>
      <c r="N83" s="91">
        <v>176</v>
      </c>
      <c r="O83" s="91" t="s">
        <v>67</v>
      </c>
      <c r="P83" s="91">
        <v>165</v>
      </c>
    </row>
    <row r="84" spans="9:16">
      <c r="I84" s="91" t="s">
        <v>13</v>
      </c>
      <c r="J84" s="91">
        <v>867</v>
      </c>
      <c r="K84" s="91" t="s">
        <v>65</v>
      </c>
      <c r="L84" s="91">
        <v>1205</v>
      </c>
      <c r="M84" s="91" t="s">
        <v>66</v>
      </c>
      <c r="N84" s="91">
        <v>143</v>
      </c>
      <c r="O84" s="91" t="s">
        <v>67</v>
      </c>
      <c r="P84" s="91">
        <v>142</v>
      </c>
    </row>
    <row r="85" spans="9:16">
      <c r="I85" s="91" t="s">
        <v>13</v>
      </c>
      <c r="J85" s="91">
        <v>964</v>
      </c>
      <c r="K85" s="91" t="s">
        <v>65</v>
      </c>
      <c r="L85" s="91">
        <v>3559</v>
      </c>
      <c r="M85" s="91" t="s">
        <v>66</v>
      </c>
      <c r="N85" s="91">
        <v>103</v>
      </c>
      <c r="O85" s="91" t="s">
        <v>67</v>
      </c>
      <c r="P85" s="91">
        <v>95</v>
      </c>
    </row>
    <row r="86" spans="9:16">
      <c r="I86" s="91" t="s">
        <v>13</v>
      </c>
      <c r="J86" s="91">
        <v>1112</v>
      </c>
      <c r="K86" s="91" t="s">
        <v>65</v>
      </c>
      <c r="L86" s="91">
        <v>2830</v>
      </c>
      <c r="M86" s="91" t="s">
        <v>66</v>
      </c>
      <c r="N86" s="91">
        <v>98</v>
      </c>
      <c r="O86" s="91" t="s">
        <v>67</v>
      </c>
      <c r="P86" s="91">
        <v>88</v>
      </c>
    </row>
    <row r="87" spans="9:16">
      <c r="I87" s="91" t="s">
        <v>13</v>
      </c>
      <c r="J87" s="91">
        <v>1213</v>
      </c>
      <c r="K87" s="91" t="s">
        <v>65</v>
      </c>
      <c r="L87" s="91">
        <v>345</v>
      </c>
      <c r="M87" s="91" t="s">
        <v>66</v>
      </c>
      <c r="N87" s="91">
        <v>51</v>
      </c>
      <c r="O87" s="91" t="s">
        <v>67</v>
      </c>
      <c r="P87" s="91">
        <v>63</v>
      </c>
    </row>
    <row r="88" spans="9:16">
      <c r="I88" s="91" t="s">
        <v>13</v>
      </c>
      <c r="J88" s="91">
        <v>1299</v>
      </c>
      <c r="K88" s="91" t="s">
        <v>65</v>
      </c>
      <c r="L88" s="91">
        <v>326</v>
      </c>
      <c r="M88" s="91" t="s">
        <v>66</v>
      </c>
      <c r="N88" s="91">
        <v>20</v>
      </c>
      <c r="O88" s="91" t="s">
        <v>67</v>
      </c>
      <c r="P88" s="91">
        <v>17</v>
      </c>
    </row>
    <row r="89" spans="9:16">
      <c r="I89" s="91" t="s">
        <v>13</v>
      </c>
      <c r="J89" s="91">
        <v>1408</v>
      </c>
      <c r="K89" s="91" t="s">
        <v>65</v>
      </c>
      <c r="L89" s="91">
        <v>3701</v>
      </c>
      <c r="M89" s="91" t="s">
        <v>66</v>
      </c>
      <c r="N89" s="91">
        <v>2</v>
      </c>
      <c r="O89" s="91" t="s">
        <v>67</v>
      </c>
      <c r="P89" s="91">
        <v>0</v>
      </c>
    </row>
    <row r="91" spans="9:16">
      <c r="I91" s="91" t="s">
        <v>72</v>
      </c>
    </row>
    <row r="92" spans="9:16">
      <c r="I92" s="91" t="s">
        <v>13</v>
      </c>
      <c r="J92" s="91">
        <v>122</v>
      </c>
      <c r="K92" s="91" t="s">
        <v>65</v>
      </c>
      <c r="L92" s="91">
        <v>22218</v>
      </c>
      <c r="M92" s="91" t="s">
        <v>66</v>
      </c>
      <c r="N92" s="91">
        <v>1343</v>
      </c>
      <c r="O92" s="91" t="s">
        <v>67</v>
      </c>
      <c r="P92" s="91">
        <v>776</v>
      </c>
    </row>
    <row r="93" spans="9:16">
      <c r="I93" s="91" t="s">
        <v>13</v>
      </c>
      <c r="J93" s="91">
        <v>245</v>
      </c>
      <c r="K93" s="91" t="s">
        <v>65</v>
      </c>
      <c r="L93" s="91">
        <v>4967</v>
      </c>
      <c r="M93" s="91" t="s">
        <v>66</v>
      </c>
      <c r="N93" s="91">
        <v>542</v>
      </c>
      <c r="O93" s="91" t="s">
        <v>67</v>
      </c>
      <c r="P93" s="91">
        <v>487</v>
      </c>
    </row>
    <row r="94" spans="9:16">
      <c r="I94" s="91" t="s">
        <v>13</v>
      </c>
      <c r="J94" s="91">
        <v>344</v>
      </c>
      <c r="K94" s="91" t="s">
        <v>65</v>
      </c>
      <c r="L94" s="91">
        <v>13138</v>
      </c>
      <c r="M94" s="91" t="s">
        <v>66</v>
      </c>
      <c r="N94" s="91">
        <v>283</v>
      </c>
      <c r="O94" s="91" t="s">
        <v>67</v>
      </c>
      <c r="P94" s="91">
        <v>200</v>
      </c>
    </row>
    <row r="95" spans="9:16">
      <c r="I95" s="91" t="s">
        <v>13</v>
      </c>
      <c r="J95" s="91">
        <v>411</v>
      </c>
      <c r="K95" s="91" t="s">
        <v>65</v>
      </c>
      <c r="L95" s="91">
        <v>1155</v>
      </c>
      <c r="M95" s="91" t="s">
        <v>66</v>
      </c>
      <c r="N95" s="91">
        <v>207</v>
      </c>
      <c r="O95" s="91" t="s">
        <v>67</v>
      </c>
      <c r="P95" s="91">
        <v>207</v>
      </c>
    </row>
    <row r="96" spans="9:16">
      <c r="I96" s="91" t="s">
        <v>13</v>
      </c>
      <c r="J96" s="91">
        <v>444</v>
      </c>
      <c r="K96" s="91" t="s">
        <v>65</v>
      </c>
      <c r="L96" s="91">
        <v>1465</v>
      </c>
      <c r="M96" s="91" t="s">
        <v>66</v>
      </c>
      <c r="N96" s="91">
        <v>199</v>
      </c>
      <c r="O96" s="91" t="s">
        <v>67</v>
      </c>
      <c r="P96" s="91">
        <v>208</v>
      </c>
    </row>
    <row r="97" spans="9:16">
      <c r="I97" s="91" t="s">
        <v>13</v>
      </c>
      <c r="J97" s="91">
        <v>779</v>
      </c>
      <c r="K97" s="91" t="s">
        <v>65</v>
      </c>
      <c r="L97" s="91">
        <v>3668</v>
      </c>
      <c r="M97" s="91" t="s">
        <v>66</v>
      </c>
      <c r="N97" s="91">
        <v>143</v>
      </c>
      <c r="O97" s="91" t="s">
        <v>67</v>
      </c>
      <c r="P97" s="91">
        <v>143</v>
      </c>
    </row>
    <row r="98" spans="9:16">
      <c r="I98" s="91" t="s">
        <v>13</v>
      </c>
      <c r="J98" s="91">
        <v>867</v>
      </c>
      <c r="K98" s="91" t="s">
        <v>65</v>
      </c>
      <c r="L98" s="91">
        <v>1183</v>
      </c>
      <c r="M98" s="91" t="s">
        <v>66</v>
      </c>
      <c r="N98" s="91">
        <v>167</v>
      </c>
      <c r="O98" s="91" t="s">
        <v>67</v>
      </c>
      <c r="P98" s="91">
        <v>163</v>
      </c>
    </row>
    <row r="99" spans="9:16">
      <c r="I99" s="91" t="s">
        <v>13</v>
      </c>
      <c r="J99" s="91">
        <v>964</v>
      </c>
      <c r="K99" s="91" t="s">
        <v>65</v>
      </c>
      <c r="L99" s="91">
        <v>3494</v>
      </c>
      <c r="M99" s="91" t="s">
        <v>66</v>
      </c>
      <c r="N99" s="91">
        <v>96</v>
      </c>
      <c r="O99" s="91" t="s">
        <v>67</v>
      </c>
      <c r="P99" s="91">
        <v>92</v>
      </c>
    </row>
    <row r="100" spans="9:16">
      <c r="I100" s="91" t="s">
        <v>13</v>
      </c>
      <c r="J100" s="91">
        <v>1112</v>
      </c>
      <c r="K100" s="91" t="s">
        <v>65</v>
      </c>
      <c r="L100" s="91">
        <v>2900</v>
      </c>
      <c r="M100" s="91" t="s">
        <v>66</v>
      </c>
      <c r="N100" s="91">
        <v>91</v>
      </c>
      <c r="O100" s="91" t="s">
        <v>67</v>
      </c>
      <c r="P100" s="91">
        <v>91</v>
      </c>
    </row>
    <row r="101" spans="9:16">
      <c r="I101" s="91" t="s">
        <v>13</v>
      </c>
      <c r="J101" s="91">
        <v>1213</v>
      </c>
      <c r="K101" s="91" t="s">
        <v>65</v>
      </c>
      <c r="L101" s="91">
        <v>347</v>
      </c>
      <c r="M101" s="91" t="s">
        <v>66</v>
      </c>
      <c r="N101" s="91">
        <v>64</v>
      </c>
      <c r="O101" s="91" t="s">
        <v>67</v>
      </c>
      <c r="P101" s="91">
        <v>56</v>
      </c>
    </row>
    <row r="102" spans="9:16">
      <c r="I102" s="91" t="s">
        <v>13</v>
      </c>
      <c r="J102" s="91">
        <v>1299</v>
      </c>
      <c r="K102" s="91" t="s">
        <v>65</v>
      </c>
      <c r="L102" s="91">
        <v>353</v>
      </c>
      <c r="M102" s="91" t="s">
        <v>66</v>
      </c>
      <c r="N102" s="91">
        <v>20</v>
      </c>
      <c r="O102" s="91" t="s">
        <v>67</v>
      </c>
      <c r="P102" s="91">
        <v>8</v>
      </c>
    </row>
    <row r="103" spans="9:16">
      <c r="I103" s="91" t="s">
        <v>13</v>
      </c>
      <c r="J103" s="91">
        <v>1408</v>
      </c>
      <c r="K103" s="91" t="s">
        <v>65</v>
      </c>
      <c r="L103" s="91">
        <v>3698</v>
      </c>
      <c r="M103" s="91" t="s">
        <v>66</v>
      </c>
      <c r="N103" s="91">
        <v>1</v>
      </c>
      <c r="O103" s="91" t="s">
        <v>67</v>
      </c>
      <c r="P103" s="91">
        <v>0</v>
      </c>
    </row>
    <row r="105" spans="9:16">
      <c r="I105" s="57" t="s">
        <v>73</v>
      </c>
      <c r="J105" s="57"/>
      <c r="K105" s="57"/>
      <c r="L105" s="57"/>
      <c r="M105" s="57"/>
      <c r="N105" s="57"/>
      <c r="O105" s="57"/>
      <c r="P105" s="57"/>
    </row>
    <row r="106" spans="9:16">
      <c r="I106" s="57" t="s">
        <v>13</v>
      </c>
      <c r="J106" s="57">
        <v>122</v>
      </c>
      <c r="K106" s="57" t="s">
        <v>65</v>
      </c>
      <c r="L106" s="57">
        <v>21680</v>
      </c>
      <c r="M106" s="57" t="s">
        <v>66</v>
      </c>
      <c r="N106" s="57">
        <v>1406</v>
      </c>
      <c r="O106" s="57" t="s">
        <v>67</v>
      </c>
      <c r="P106" s="57">
        <v>776</v>
      </c>
    </row>
    <row r="107" spans="9:16">
      <c r="I107" s="57" t="s">
        <v>13</v>
      </c>
      <c r="J107" s="57">
        <v>245</v>
      </c>
      <c r="K107" s="57" t="s">
        <v>65</v>
      </c>
      <c r="L107" s="57">
        <v>5218</v>
      </c>
      <c r="M107" s="57" t="s">
        <v>66</v>
      </c>
      <c r="N107" s="57">
        <v>565</v>
      </c>
      <c r="O107" s="57" t="s">
        <v>67</v>
      </c>
      <c r="P107" s="57">
        <v>483</v>
      </c>
    </row>
    <row r="108" spans="9:16">
      <c r="I108" s="57" t="s">
        <v>13</v>
      </c>
      <c r="J108" s="57">
        <v>344</v>
      </c>
      <c r="K108" s="57" t="s">
        <v>65</v>
      </c>
      <c r="L108" s="57">
        <v>13031</v>
      </c>
      <c r="M108" s="57" t="s">
        <v>66</v>
      </c>
      <c r="N108" s="57">
        <v>295</v>
      </c>
      <c r="O108" s="57" t="s">
        <v>67</v>
      </c>
      <c r="P108" s="57">
        <v>223</v>
      </c>
    </row>
    <row r="109" spans="9:16">
      <c r="I109" s="57" t="s">
        <v>13</v>
      </c>
      <c r="J109" s="57">
        <v>411</v>
      </c>
      <c r="K109" s="57" t="s">
        <v>65</v>
      </c>
      <c r="L109" s="57">
        <v>1198</v>
      </c>
      <c r="M109" s="57" t="s">
        <v>66</v>
      </c>
      <c r="N109" s="57">
        <v>209</v>
      </c>
      <c r="O109" s="57" t="s">
        <v>67</v>
      </c>
      <c r="P109" s="57">
        <v>221</v>
      </c>
    </row>
    <row r="110" spans="9:16">
      <c r="I110" s="57" t="s">
        <v>13</v>
      </c>
      <c r="J110" s="57">
        <v>444</v>
      </c>
      <c r="K110" s="57" t="s">
        <v>65</v>
      </c>
      <c r="L110" s="57">
        <v>1421</v>
      </c>
      <c r="M110" s="57" t="s">
        <v>66</v>
      </c>
      <c r="N110" s="57">
        <v>184</v>
      </c>
      <c r="O110" s="57" t="s">
        <v>67</v>
      </c>
      <c r="P110" s="57">
        <v>204</v>
      </c>
    </row>
    <row r="111" spans="9:16">
      <c r="I111" s="57" t="s">
        <v>13</v>
      </c>
      <c r="J111" s="57">
        <v>779</v>
      </c>
      <c r="K111" s="57" t="s">
        <v>65</v>
      </c>
      <c r="L111" s="57">
        <v>3458</v>
      </c>
      <c r="M111" s="57" t="s">
        <v>66</v>
      </c>
      <c r="N111" s="57">
        <v>159</v>
      </c>
      <c r="O111" s="57" t="s">
        <v>67</v>
      </c>
      <c r="P111" s="57">
        <v>142</v>
      </c>
    </row>
    <row r="112" spans="9:16">
      <c r="I112" s="57" t="s">
        <v>13</v>
      </c>
      <c r="J112" s="57">
        <v>867</v>
      </c>
      <c r="K112" s="57" t="s">
        <v>65</v>
      </c>
      <c r="L112" s="57">
        <v>1119</v>
      </c>
      <c r="M112" s="57" t="s">
        <v>66</v>
      </c>
      <c r="N112" s="57">
        <v>124</v>
      </c>
      <c r="O112" s="57" t="s">
        <v>67</v>
      </c>
      <c r="P112" s="57">
        <v>154</v>
      </c>
    </row>
    <row r="113" spans="9:16">
      <c r="I113" s="57" t="s">
        <v>13</v>
      </c>
      <c r="J113" s="57">
        <v>964</v>
      </c>
      <c r="K113" s="57" t="s">
        <v>65</v>
      </c>
      <c r="L113" s="57">
        <v>3453</v>
      </c>
      <c r="M113" s="57" t="s">
        <v>66</v>
      </c>
      <c r="N113" s="57">
        <v>91</v>
      </c>
      <c r="O113" s="57" t="s">
        <v>67</v>
      </c>
      <c r="P113" s="57">
        <v>88</v>
      </c>
    </row>
    <row r="114" spans="9:16">
      <c r="I114" s="57" t="s">
        <v>13</v>
      </c>
      <c r="J114" s="57">
        <v>1112</v>
      </c>
      <c r="K114" s="57" t="s">
        <v>65</v>
      </c>
      <c r="L114" s="57">
        <v>2942</v>
      </c>
      <c r="M114" s="57" t="s">
        <v>66</v>
      </c>
      <c r="N114" s="57">
        <v>86</v>
      </c>
      <c r="O114" s="57" t="s">
        <v>67</v>
      </c>
      <c r="P114" s="57">
        <v>82</v>
      </c>
    </row>
    <row r="115" spans="9:16">
      <c r="I115" s="57" t="s">
        <v>13</v>
      </c>
      <c r="J115" s="57">
        <v>1213</v>
      </c>
      <c r="K115" s="57" t="s">
        <v>65</v>
      </c>
      <c r="L115" s="57">
        <v>347</v>
      </c>
      <c r="M115" s="57" t="s">
        <v>66</v>
      </c>
      <c r="N115" s="57">
        <v>61</v>
      </c>
      <c r="O115" s="57" t="s">
        <v>67</v>
      </c>
      <c r="P115" s="57">
        <v>41</v>
      </c>
    </row>
    <row r="116" spans="9:16">
      <c r="I116" s="57" t="s">
        <v>13</v>
      </c>
      <c r="J116" s="57">
        <v>1299</v>
      </c>
      <c r="K116" s="57" t="s">
        <v>65</v>
      </c>
      <c r="L116" s="57">
        <v>324</v>
      </c>
      <c r="M116" s="57" t="s">
        <v>66</v>
      </c>
      <c r="N116" s="57">
        <v>20</v>
      </c>
      <c r="O116" s="57" t="s">
        <v>67</v>
      </c>
      <c r="P116" s="57">
        <v>16</v>
      </c>
    </row>
    <row r="117" spans="9:16">
      <c r="I117" s="57" t="s">
        <v>13</v>
      </c>
      <c r="J117" s="57">
        <v>1408</v>
      </c>
      <c r="K117" s="57" t="s">
        <v>65</v>
      </c>
      <c r="L117" s="57">
        <v>3716</v>
      </c>
      <c r="M117" s="57" t="s">
        <v>66</v>
      </c>
      <c r="N117" s="57">
        <v>3</v>
      </c>
      <c r="O117" s="57" t="s">
        <v>67</v>
      </c>
      <c r="P117" s="57">
        <v>0</v>
      </c>
    </row>
    <row r="119" spans="9:16">
      <c r="I119" s="91" t="s">
        <v>74</v>
      </c>
    </row>
    <row r="120" spans="9:16">
      <c r="I120" s="91" t="s">
        <v>13</v>
      </c>
      <c r="J120" s="91">
        <v>122</v>
      </c>
      <c r="K120" s="91" t="s">
        <v>65</v>
      </c>
      <c r="L120" s="91">
        <v>21808</v>
      </c>
      <c r="M120" s="91" t="s">
        <v>66</v>
      </c>
      <c r="N120" s="91">
        <v>1355</v>
      </c>
      <c r="O120" s="91" t="s">
        <v>67</v>
      </c>
      <c r="P120" s="91">
        <v>723</v>
      </c>
    </row>
    <row r="121" spans="9:16">
      <c r="I121" s="91" t="s">
        <v>13</v>
      </c>
      <c r="J121" s="91">
        <v>245</v>
      </c>
      <c r="K121" s="91" t="s">
        <v>65</v>
      </c>
      <c r="L121" s="91">
        <v>5205</v>
      </c>
      <c r="M121" s="91" t="s">
        <v>66</v>
      </c>
      <c r="N121" s="91">
        <v>542</v>
      </c>
      <c r="O121" s="91" t="s">
        <v>67</v>
      </c>
      <c r="P121" s="91">
        <v>457</v>
      </c>
    </row>
    <row r="122" spans="9:16">
      <c r="I122" s="91" t="s">
        <v>13</v>
      </c>
      <c r="J122" s="91">
        <v>344</v>
      </c>
      <c r="K122" s="91" t="s">
        <v>65</v>
      </c>
      <c r="L122" s="91">
        <v>13071</v>
      </c>
      <c r="M122" s="91" t="s">
        <v>66</v>
      </c>
      <c r="N122" s="91">
        <v>315</v>
      </c>
      <c r="O122" s="91" t="s">
        <v>67</v>
      </c>
      <c r="P122" s="91">
        <v>261</v>
      </c>
    </row>
    <row r="123" spans="9:16">
      <c r="I123" s="91" t="s">
        <v>13</v>
      </c>
      <c r="J123" s="91">
        <v>411</v>
      </c>
      <c r="K123" s="91" t="s">
        <v>65</v>
      </c>
      <c r="L123" s="91">
        <v>1135</v>
      </c>
      <c r="M123" s="91" t="s">
        <v>66</v>
      </c>
      <c r="N123" s="91">
        <v>175</v>
      </c>
      <c r="O123" s="91" t="s">
        <v>67</v>
      </c>
      <c r="P123" s="91">
        <v>188</v>
      </c>
    </row>
    <row r="124" spans="9:16">
      <c r="I124" s="91" t="s">
        <v>13</v>
      </c>
      <c r="J124" s="91">
        <v>444</v>
      </c>
      <c r="K124" s="91" t="s">
        <v>65</v>
      </c>
      <c r="L124" s="91">
        <v>1386</v>
      </c>
      <c r="M124" s="91" t="s">
        <v>66</v>
      </c>
      <c r="N124" s="91">
        <v>177</v>
      </c>
      <c r="O124" s="91" t="s">
        <v>67</v>
      </c>
      <c r="P124" s="91">
        <v>187</v>
      </c>
    </row>
    <row r="125" spans="9:16">
      <c r="I125" s="91" t="s">
        <v>13</v>
      </c>
      <c r="J125" s="91">
        <v>779</v>
      </c>
      <c r="K125" s="91" t="s">
        <v>65</v>
      </c>
      <c r="L125" s="91">
        <v>3646</v>
      </c>
      <c r="M125" s="91" t="s">
        <v>66</v>
      </c>
      <c r="N125" s="91">
        <v>159</v>
      </c>
      <c r="O125" s="91" t="s">
        <v>67</v>
      </c>
      <c r="P125" s="91">
        <v>142</v>
      </c>
    </row>
    <row r="126" spans="9:16">
      <c r="I126" s="91" t="s">
        <v>13</v>
      </c>
      <c r="J126" s="91">
        <v>867</v>
      </c>
      <c r="K126" s="91" t="s">
        <v>65</v>
      </c>
      <c r="L126" s="91">
        <v>1110</v>
      </c>
      <c r="M126" s="91" t="s">
        <v>66</v>
      </c>
      <c r="N126" s="91">
        <v>124</v>
      </c>
      <c r="O126" s="91" t="s">
        <v>67</v>
      </c>
      <c r="P126" s="91">
        <v>157</v>
      </c>
    </row>
    <row r="127" spans="9:16">
      <c r="I127" s="91" t="s">
        <v>13</v>
      </c>
      <c r="J127" s="91">
        <v>964</v>
      </c>
      <c r="K127" s="91" t="s">
        <v>65</v>
      </c>
      <c r="L127" s="91">
        <v>3563</v>
      </c>
      <c r="M127" s="91" t="s">
        <v>66</v>
      </c>
      <c r="N127" s="91">
        <v>100</v>
      </c>
      <c r="O127" s="91" t="s">
        <v>67</v>
      </c>
      <c r="P127" s="91">
        <v>81</v>
      </c>
    </row>
    <row r="128" spans="9:16">
      <c r="I128" s="91" t="s">
        <v>13</v>
      </c>
      <c r="J128" s="91">
        <v>1112</v>
      </c>
      <c r="K128" s="91" t="s">
        <v>65</v>
      </c>
      <c r="L128" s="91">
        <v>2957</v>
      </c>
      <c r="M128" s="91" t="s">
        <v>66</v>
      </c>
      <c r="N128" s="91">
        <v>73</v>
      </c>
      <c r="O128" s="91" t="s">
        <v>67</v>
      </c>
      <c r="P128" s="91">
        <v>83</v>
      </c>
    </row>
    <row r="129" spans="9:16">
      <c r="I129" s="91" t="s">
        <v>13</v>
      </c>
      <c r="J129" s="91">
        <v>1213</v>
      </c>
      <c r="K129" s="91" t="s">
        <v>65</v>
      </c>
      <c r="L129" s="91">
        <v>337</v>
      </c>
      <c r="M129" s="91" t="s">
        <v>66</v>
      </c>
      <c r="N129" s="91">
        <v>60</v>
      </c>
      <c r="O129" s="91" t="s">
        <v>67</v>
      </c>
      <c r="P129" s="91">
        <v>59</v>
      </c>
    </row>
    <row r="130" spans="9:16">
      <c r="I130" s="91" t="s">
        <v>13</v>
      </c>
      <c r="J130" s="91">
        <v>1299</v>
      </c>
      <c r="K130" s="91" t="s">
        <v>65</v>
      </c>
      <c r="L130" s="91">
        <v>311</v>
      </c>
      <c r="M130" s="91" t="s">
        <v>66</v>
      </c>
      <c r="N130" s="91">
        <v>12</v>
      </c>
      <c r="O130" s="91" t="s">
        <v>67</v>
      </c>
      <c r="P130" s="91">
        <v>15</v>
      </c>
    </row>
    <row r="131" spans="9:16">
      <c r="I131" s="91" t="s">
        <v>13</v>
      </c>
      <c r="J131" s="91">
        <v>1408</v>
      </c>
      <c r="K131" s="91" t="s">
        <v>65</v>
      </c>
      <c r="L131" s="91">
        <v>3653</v>
      </c>
      <c r="M131" s="91" t="s">
        <v>66</v>
      </c>
      <c r="N131" s="91">
        <v>1</v>
      </c>
      <c r="O131" s="91" t="s">
        <v>67</v>
      </c>
      <c r="P131" s="91">
        <v>0</v>
      </c>
    </row>
    <row r="133" spans="9:16">
      <c r="I133" s="91" t="s">
        <v>75</v>
      </c>
    </row>
    <row r="134" spans="9:16">
      <c r="I134" s="91" t="s">
        <v>13</v>
      </c>
      <c r="J134" s="91">
        <v>122</v>
      </c>
      <c r="K134" s="91" t="s">
        <v>65</v>
      </c>
      <c r="L134" s="91">
        <v>21797</v>
      </c>
      <c r="M134" s="91" t="s">
        <v>66</v>
      </c>
      <c r="N134" s="91">
        <v>1327</v>
      </c>
      <c r="O134" s="91" t="s">
        <v>67</v>
      </c>
      <c r="P134" s="91">
        <v>752</v>
      </c>
    </row>
    <row r="135" spans="9:16">
      <c r="I135" s="91" t="s">
        <v>13</v>
      </c>
      <c r="J135" s="91">
        <v>245</v>
      </c>
      <c r="K135" s="91" t="s">
        <v>65</v>
      </c>
      <c r="L135" s="91">
        <v>5097</v>
      </c>
      <c r="M135" s="91" t="s">
        <v>66</v>
      </c>
      <c r="N135" s="91">
        <v>568</v>
      </c>
      <c r="O135" s="91" t="s">
        <v>67</v>
      </c>
      <c r="P135" s="91">
        <v>472</v>
      </c>
    </row>
    <row r="136" spans="9:16">
      <c r="I136" s="91" t="s">
        <v>13</v>
      </c>
      <c r="J136" s="91">
        <v>344</v>
      </c>
      <c r="K136" s="91" t="s">
        <v>65</v>
      </c>
      <c r="L136" s="91">
        <v>13159</v>
      </c>
      <c r="M136" s="91" t="s">
        <v>66</v>
      </c>
      <c r="N136" s="91">
        <v>255</v>
      </c>
      <c r="O136" s="91" t="s">
        <v>67</v>
      </c>
      <c r="P136" s="91">
        <v>224</v>
      </c>
    </row>
    <row r="137" spans="9:16">
      <c r="I137" s="91" t="s">
        <v>13</v>
      </c>
      <c r="J137" s="91">
        <v>411</v>
      </c>
      <c r="K137" s="91" t="s">
        <v>65</v>
      </c>
      <c r="L137" s="91">
        <v>1105</v>
      </c>
      <c r="M137" s="91" t="s">
        <v>66</v>
      </c>
      <c r="N137" s="91">
        <v>193</v>
      </c>
      <c r="O137" s="91" t="s">
        <v>67</v>
      </c>
      <c r="P137" s="91">
        <v>193</v>
      </c>
    </row>
    <row r="138" spans="9:16">
      <c r="I138" s="91" t="s">
        <v>13</v>
      </c>
      <c r="J138" s="91">
        <v>444</v>
      </c>
      <c r="K138" s="91" t="s">
        <v>65</v>
      </c>
      <c r="L138" s="91">
        <v>1429</v>
      </c>
      <c r="M138" s="91" t="s">
        <v>66</v>
      </c>
      <c r="N138" s="91">
        <v>194</v>
      </c>
      <c r="O138" s="91" t="s">
        <v>67</v>
      </c>
      <c r="P138" s="91">
        <v>212</v>
      </c>
    </row>
    <row r="139" spans="9:16">
      <c r="I139" s="91" t="s">
        <v>13</v>
      </c>
      <c r="J139" s="91">
        <v>779</v>
      </c>
      <c r="K139" s="91" t="s">
        <v>65</v>
      </c>
      <c r="L139" s="91">
        <v>3619</v>
      </c>
      <c r="M139" s="91" t="s">
        <v>66</v>
      </c>
      <c r="N139" s="91">
        <v>172</v>
      </c>
      <c r="O139" s="91" t="s">
        <v>67</v>
      </c>
      <c r="P139" s="91">
        <v>154</v>
      </c>
    </row>
    <row r="140" spans="9:16">
      <c r="I140" s="91" t="s">
        <v>13</v>
      </c>
      <c r="J140" s="91">
        <v>867</v>
      </c>
      <c r="K140" s="91" t="s">
        <v>65</v>
      </c>
      <c r="L140" s="91">
        <v>1220</v>
      </c>
      <c r="M140" s="91" t="s">
        <v>66</v>
      </c>
      <c r="N140" s="91">
        <v>145</v>
      </c>
      <c r="O140" s="91" t="s">
        <v>67</v>
      </c>
      <c r="P140" s="91">
        <v>139</v>
      </c>
    </row>
    <row r="141" spans="9:16">
      <c r="I141" s="91" t="s">
        <v>13</v>
      </c>
      <c r="J141" s="91">
        <v>964</v>
      </c>
      <c r="K141" s="91" t="s">
        <v>65</v>
      </c>
      <c r="L141" s="91">
        <v>3535</v>
      </c>
      <c r="M141" s="91" t="s">
        <v>66</v>
      </c>
      <c r="N141" s="91">
        <v>91</v>
      </c>
      <c r="O141" s="91" t="s">
        <v>67</v>
      </c>
      <c r="P141" s="91">
        <v>80</v>
      </c>
    </row>
    <row r="142" spans="9:16">
      <c r="I142" s="91" t="s">
        <v>13</v>
      </c>
      <c r="J142" s="91">
        <v>1112</v>
      </c>
      <c r="K142" s="91" t="s">
        <v>65</v>
      </c>
      <c r="L142" s="91">
        <v>2926</v>
      </c>
      <c r="M142" s="91" t="s">
        <v>66</v>
      </c>
      <c r="N142" s="91">
        <v>74</v>
      </c>
      <c r="O142" s="91" t="s">
        <v>67</v>
      </c>
      <c r="P142" s="91">
        <v>78</v>
      </c>
    </row>
    <row r="143" spans="9:16">
      <c r="I143" s="91" t="s">
        <v>13</v>
      </c>
      <c r="J143" s="91">
        <v>1213</v>
      </c>
      <c r="K143" s="91" t="s">
        <v>65</v>
      </c>
      <c r="L143" s="91">
        <v>357</v>
      </c>
      <c r="M143" s="91" t="s">
        <v>66</v>
      </c>
      <c r="N143" s="91">
        <v>57</v>
      </c>
      <c r="O143" s="91" t="s">
        <v>67</v>
      </c>
      <c r="P143" s="91">
        <v>49</v>
      </c>
    </row>
    <row r="144" spans="9:16">
      <c r="I144" s="91" t="s">
        <v>13</v>
      </c>
      <c r="J144" s="91">
        <v>1299</v>
      </c>
      <c r="K144" s="91" t="s">
        <v>65</v>
      </c>
      <c r="L144" s="91">
        <v>340</v>
      </c>
      <c r="M144" s="91" t="s">
        <v>66</v>
      </c>
      <c r="N144" s="91">
        <v>13</v>
      </c>
      <c r="O144" s="91" t="s">
        <v>67</v>
      </c>
      <c r="P144" s="91">
        <v>7</v>
      </c>
    </row>
    <row r="145" spans="9:16">
      <c r="I145" s="91" t="s">
        <v>13</v>
      </c>
      <c r="J145" s="91">
        <v>1408</v>
      </c>
      <c r="K145" s="91" t="s">
        <v>65</v>
      </c>
      <c r="L145" s="91">
        <v>3669</v>
      </c>
      <c r="M145" s="91" t="s">
        <v>66</v>
      </c>
      <c r="N145" s="91">
        <v>0</v>
      </c>
      <c r="O145" s="91" t="s">
        <v>67</v>
      </c>
      <c r="P145" s="91">
        <v>0</v>
      </c>
    </row>
    <row r="147" spans="9:16">
      <c r="I147" s="91" t="s">
        <v>76</v>
      </c>
    </row>
    <row r="148" spans="9:16">
      <c r="I148" s="91" t="s">
        <v>13</v>
      </c>
      <c r="J148" s="91">
        <v>122</v>
      </c>
      <c r="K148" s="91" t="s">
        <v>65</v>
      </c>
      <c r="L148" s="91">
        <v>13219</v>
      </c>
      <c r="M148" s="91" t="s">
        <v>66</v>
      </c>
      <c r="N148" s="91">
        <v>931</v>
      </c>
      <c r="O148" s="91" t="s">
        <v>67</v>
      </c>
      <c r="P148" s="91">
        <v>550</v>
      </c>
    </row>
    <row r="149" spans="9:16">
      <c r="I149" s="91" t="s">
        <v>13</v>
      </c>
      <c r="J149" s="91">
        <v>245</v>
      </c>
      <c r="K149" s="91" t="s">
        <v>65</v>
      </c>
      <c r="L149" s="91">
        <v>3247</v>
      </c>
      <c r="M149" s="91" t="s">
        <v>66</v>
      </c>
      <c r="N149" s="91">
        <v>458</v>
      </c>
      <c r="O149" s="91" t="s">
        <v>67</v>
      </c>
      <c r="P149" s="91">
        <v>338</v>
      </c>
    </row>
    <row r="150" spans="9:16">
      <c r="I150" s="91" t="s">
        <v>13</v>
      </c>
      <c r="J150" s="91">
        <v>344</v>
      </c>
      <c r="K150" s="91" t="s">
        <v>65</v>
      </c>
      <c r="L150" s="91">
        <v>8339</v>
      </c>
      <c r="M150" s="91" t="s">
        <v>66</v>
      </c>
      <c r="N150" s="91">
        <v>224</v>
      </c>
      <c r="O150" s="91" t="s">
        <v>67</v>
      </c>
      <c r="P150" s="91">
        <v>174</v>
      </c>
    </row>
    <row r="151" spans="9:16">
      <c r="I151" s="91" t="s">
        <v>13</v>
      </c>
      <c r="J151" s="91">
        <v>411</v>
      </c>
      <c r="K151" s="91" t="s">
        <v>65</v>
      </c>
      <c r="L151" s="91">
        <v>701</v>
      </c>
      <c r="M151" s="91" t="s">
        <v>66</v>
      </c>
      <c r="N151" s="91">
        <v>185</v>
      </c>
      <c r="O151" s="91" t="s">
        <v>67</v>
      </c>
      <c r="P151" s="91">
        <v>137</v>
      </c>
    </row>
    <row r="152" spans="9:16">
      <c r="I152" s="91" t="s">
        <v>13</v>
      </c>
      <c r="J152" s="91">
        <v>444</v>
      </c>
      <c r="K152" s="91" t="s">
        <v>65</v>
      </c>
      <c r="L152" s="91">
        <v>924</v>
      </c>
      <c r="M152" s="91" t="s">
        <v>66</v>
      </c>
      <c r="N152" s="91">
        <v>151</v>
      </c>
      <c r="O152" s="91" t="s">
        <v>67</v>
      </c>
      <c r="P152" s="91">
        <v>141</v>
      </c>
    </row>
    <row r="153" spans="9:16">
      <c r="I153" s="91" t="s">
        <v>13</v>
      </c>
      <c r="J153" s="91">
        <v>779</v>
      </c>
      <c r="K153" s="91" t="s">
        <v>65</v>
      </c>
      <c r="L153" s="91">
        <v>2322</v>
      </c>
      <c r="M153" s="91" t="s">
        <v>66</v>
      </c>
      <c r="N153" s="91">
        <v>113</v>
      </c>
      <c r="O153" s="91" t="s">
        <v>67</v>
      </c>
      <c r="P153" s="91">
        <v>104</v>
      </c>
    </row>
    <row r="154" spans="9:16">
      <c r="I154" s="91" t="s">
        <v>13</v>
      </c>
      <c r="J154" s="91">
        <v>867</v>
      </c>
      <c r="K154" s="91" t="s">
        <v>65</v>
      </c>
      <c r="L154" s="91">
        <v>798</v>
      </c>
      <c r="M154" s="91" t="s">
        <v>66</v>
      </c>
      <c r="N154" s="91">
        <v>94</v>
      </c>
      <c r="O154" s="91" t="s">
        <v>67</v>
      </c>
      <c r="P154" s="91">
        <v>94</v>
      </c>
    </row>
    <row r="155" spans="9:16">
      <c r="I155" s="91" t="s">
        <v>13</v>
      </c>
      <c r="J155" s="91">
        <v>964</v>
      </c>
      <c r="K155" s="91" t="s">
        <v>65</v>
      </c>
      <c r="L155" s="91">
        <v>2232</v>
      </c>
      <c r="M155" s="91" t="s">
        <v>66</v>
      </c>
      <c r="N155" s="91">
        <v>72</v>
      </c>
      <c r="O155" s="91" t="s">
        <v>67</v>
      </c>
      <c r="P155" s="91">
        <v>62</v>
      </c>
    </row>
    <row r="156" spans="9:16">
      <c r="I156" s="91" t="s">
        <v>13</v>
      </c>
      <c r="J156" s="91">
        <v>1112</v>
      </c>
      <c r="K156" s="91" t="s">
        <v>65</v>
      </c>
      <c r="L156" s="91">
        <v>1873</v>
      </c>
      <c r="M156" s="91" t="s">
        <v>66</v>
      </c>
      <c r="N156" s="91">
        <v>60</v>
      </c>
      <c r="O156" s="91" t="s">
        <v>67</v>
      </c>
      <c r="P156" s="91">
        <v>50</v>
      </c>
    </row>
    <row r="157" spans="9:16">
      <c r="I157" s="91" t="s">
        <v>13</v>
      </c>
      <c r="J157" s="91">
        <v>1213</v>
      </c>
      <c r="K157" s="91" t="s">
        <v>65</v>
      </c>
      <c r="L157" s="91">
        <v>207</v>
      </c>
      <c r="M157" s="91" t="s">
        <v>66</v>
      </c>
      <c r="N157" s="91">
        <v>39</v>
      </c>
      <c r="O157" s="91" t="s">
        <v>67</v>
      </c>
      <c r="P157" s="91">
        <v>37</v>
      </c>
    </row>
    <row r="158" spans="9:16">
      <c r="I158" s="91" t="s">
        <v>13</v>
      </c>
      <c r="J158" s="91">
        <v>1299</v>
      </c>
      <c r="K158" s="91" t="s">
        <v>65</v>
      </c>
      <c r="L158" s="91">
        <v>215</v>
      </c>
      <c r="M158" s="91" t="s">
        <v>66</v>
      </c>
      <c r="N158" s="91">
        <v>13</v>
      </c>
      <c r="O158" s="91" t="s">
        <v>67</v>
      </c>
      <c r="P158" s="91">
        <v>6</v>
      </c>
    </row>
    <row r="159" spans="9:16">
      <c r="I159" s="91" t="s">
        <v>13</v>
      </c>
      <c r="J159" s="91">
        <v>1408</v>
      </c>
      <c r="K159" s="91" t="s">
        <v>65</v>
      </c>
      <c r="L159" s="91">
        <v>2401</v>
      </c>
      <c r="M159" s="91" t="s">
        <v>66</v>
      </c>
      <c r="N159" s="91">
        <v>2</v>
      </c>
      <c r="O159" s="91" t="s">
        <v>67</v>
      </c>
      <c r="P159" s="91">
        <v>0</v>
      </c>
    </row>
    <row r="161" spans="9:16">
      <c r="I161" s="91" t="s">
        <v>77</v>
      </c>
    </row>
    <row r="162" spans="9:16">
      <c r="I162" s="91" t="s">
        <v>13</v>
      </c>
      <c r="J162" s="91">
        <v>122</v>
      </c>
      <c r="K162" s="91" t="s">
        <v>65</v>
      </c>
      <c r="L162" s="91">
        <v>13066</v>
      </c>
      <c r="M162" s="91" t="s">
        <v>66</v>
      </c>
      <c r="N162" s="91">
        <v>953</v>
      </c>
      <c r="O162" s="91" t="s">
        <v>67</v>
      </c>
      <c r="P162" s="91">
        <v>552</v>
      </c>
    </row>
    <row r="163" spans="9:16">
      <c r="I163" s="91" t="s">
        <v>13</v>
      </c>
      <c r="J163" s="91">
        <v>245</v>
      </c>
      <c r="K163" s="91" t="s">
        <v>65</v>
      </c>
      <c r="L163" s="91">
        <v>3355</v>
      </c>
      <c r="M163" s="91" t="s">
        <v>66</v>
      </c>
      <c r="N163" s="91">
        <v>430</v>
      </c>
      <c r="O163" s="91" t="s">
        <v>67</v>
      </c>
      <c r="P163" s="91">
        <v>368</v>
      </c>
    </row>
    <row r="164" spans="9:16">
      <c r="I164" s="91" t="s">
        <v>13</v>
      </c>
      <c r="J164" s="91">
        <v>344</v>
      </c>
      <c r="K164" s="91" t="s">
        <v>65</v>
      </c>
      <c r="L164" s="91">
        <v>8123</v>
      </c>
      <c r="M164" s="91" t="s">
        <v>66</v>
      </c>
      <c r="N164" s="91">
        <v>202</v>
      </c>
      <c r="O164" s="91" t="s">
        <v>67</v>
      </c>
      <c r="P164" s="91">
        <v>157</v>
      </c>
    </row>
    <row r="165" spans="9:16">
      <c r="I165" s="91" t="s">
        <v>13</v>
      </c>
      <c r="J165" s="91">
        <v>411</v>
      </c>
      <c r="K165" s="91" t="s">
        <v>65</v>
      </c>
      <c r="L165" s="91">
        <v>734</v>
      </c>
      <c r="M165" s="91" t="s">
        <v>66</v>
      </c>
      <c r="N165" s="91">
        <v>145</v>
      </c>
      <c r="O165" s="91" t="s">
        <v>67</v>
      </c>
      <c r="P165" s="91">
        <v>155</v>
      </c>
    </row>
    <row r="166" spans="9:16">
      <c r="I166" s="91" t="s">
        <v>13</v>
      </c>
      <c r="J166" s="91">
        <v>444</v>
      </c>
      <c r="K166" s="91" t="s">
        <v>65</v>
      </c>
      <c r="L166" s="91">
        <v>923</v>
      </c>
      <c r="M166" s="91" t="s">
        <v>66</v>
      </c>
      <c r="N166" s="91">
        <v>148</v>
      </c>
      <c r="O166" s="91" t="s">
        <v>67</v>
      </c>
      <c r="P166" s="91">
        <v>143</v>
      </c>
    </row>
    <row r="167" spans="9:16">
      <c r="I167" s="91" t="s">
        <v>13</v>
      </c>
      <c r="J167" s="91">
        <v>779</v>
      </c>
      <c r="K167" s="91" t="s">
        <v>65</v>
      </c>
      <c r="L167" s="91">
        <v>2338</v>
      </c>
      <c r="M167" s="91" t="s">
        <v>66</v>
      </c>
      <c r="N167" s="91">
        <v>87</v>
      </c>
      <c r="O167" s="91" t="s">
        <v>67</v>
      </c>
      <c r="P167" s="91">
        <v>91</v>
      </c>
    </row>
    <row r="168" spans="9:16">
      <c r="I168" s="91" t="s">
        <v>13</v>
      </c>
      <c r="J168" s="91">
        <v>867</v>
      </c>
      <c r="K168" s="91" t="s">
        <v>65</v>
      </c>
      <c r="L168" s="91">
        <v>769</v>
      </c>
      <c r="M168" s="91" t="s">
        <v>66</v>
      </c>
      <c r="N168" s="91">
        <v>103</v>
      </c>
      <c r="O168" s="91" t="s">
        <v>67</v>
      </c>
      <c r="P168" s="91">
        <v>89</v>
      </c>
    </row>
    <row r="169" spans="9:16">
      <c r="I169" s="91" t="s">
        <v>13</v>
      </c>
      <c r="J169" s="91">
        <v>964</v>
      </c>
      <c r="K169" s="91" t="s">
        <v>65</v>
      </c>
      <c r="L169" s="91">
        <v>2232</v>
      </c>
      <c r="M169" s="91" t="s">
        <v>66</v>
      </c>
      <c r="N169" s="91">
        <v>66</v>
      </c>
      <c r="O169" s="91" t="s">
        <v>67</v>
      </c>
      <c r="P169" s="91">
        <v>54</v>
      </c>
    </row>
    <row r="170" spans="9:16">
      <c r="I170" s="91" t="s">
        <v>13</v>
      </c>
      <c r="J170" s="91">
        <v>1112</v>
      </c>
      <c r="K170" s="91" t="s">
        <v>65</v>
      </c>
      <c r="L170" s="91">
        <v>1867</v>
      </c>
      <c r="M170" s="91" t="s">
        <v>66</v>
      </c>
      <c r="N170" s="91">
        <v>57</v>
      </c>
      <c r="O170" s="91" t="s">
        <v>67</v>
      </c>
      <c r="P170" s="91">
        <v>54</v>
      </c>
    </row>
    <row r="171" spans="9:16">
      <c r="I171" s="91" t="s">
        <v>13</v>
      </c>
      <c r="J171" s="91">
        <v>1213</v>
      </c>
      <c r="K171" s="91" t="s">
        <v>65</v>
      </c>
      <c r="L171" s="91">
        <v>208</v>
      </c>
      <c r="M171" s="91" t="s">
        <v>66</v>
      </c>
      <c r="N171" s="91">
        <v>37</v>
      </c>
      <c r="O171" s="91" t="s">
        <v>67</v>
      </c>
      <c r="P171" s="91">
        <v>39</v>
      </c>
    </row>
    <row r="172" spans="9:16">
      <c r="I172" s="91" t="s">
        <v>13</v>
      </c>
      <c r="J172" s="91">
        <v>1299</v>
      </c>
      <c r="K172" s="91" t="s">
        <v>65</v>
      </c>
      <c r="L172" s="91">
        <v>204</v>
      </c>
      <c r="M172" s="91" t="s">
        <v>66</v>
      </c>
      <c r="N172" s="91">
        <v>13</v>
      </c>
      <c r="O172" s="91" t="s">
        <v>67</v>
      </c>
      <c r="P172" s="91">
        <v>8</v>
      </c>
    </row>
    <row r="173" spans="9:16">
      <c r="I173" s="91" t="s">
        <v>13</v>
      </c>
      <c r="J173" s="91">
        <v>1408</v>
      </c>
      <c r="K173" s="91" t="s">
        <v>65</v>
      </c>
      <c r="L173" s="91">
        <v>2409</v>
      </c>
      <c r="M173" s="91" t="s">
        <v>66</v>
      </c>
      <c r="N173" s="91">
        <v>1</v>
      </c>
      <c r="O173" s="91" t="s">
        <v>67</v>
      </c>
      <c r="P173" s="91">
        <v>0</v>
      </c>
    </row>
    <row r="175" spans="9:16">
      <c r="I175" s="91" t="s">
        <v>78</v>
      </c>
    </row>
    <row r="176" spans="9:16">
      <c r="I176" s="91" t="s">
        <v>13</v>
      </c>
      <c r="J176" s="91">
        <v>122</v>
      </c>
      <c r="K176" s="91" t="s">
        <v>65</v>
      </c>
      <c r="L176" s="91">
        <v>13018</v>
      </c>
      <c r="M176" s="91" t="s">
        <v>66</v>
      </c>
      <c r="N176" s="91">
        <v>939</v>
      </c>
      <c r="O176" s="91" t="s">
        <v>67</v>
      </c>
      <c r="P176" s="91">
        <v>476</v>
      </c>
    </row>
    <row r="177" spans="9:16">
      <c r="I177" s="91" t="s">
        <v>13</v>
      </c>
      <c r="J177" s="91">
        <v>245</v>
      </c>
      <c r="K177" s="91" t="s">
        <v>65</v>
      </c>
      <c r="L177" s="91">
        <v>3341</v>
      </c>
      <c r="M177" s="91" t="s">
        <v>66</v>
      </c>
      <c r="N177" s="91">
        <v>455</v>
      </c>
      <c r="O177" s="91" t="s">
        <v>67</v>
      </c>
      <c r="P177" s="91">
        <v>387</v>
      </c>
    </row>
    <row r="178" spans="9:16">
      <c r="I178" s="91" t="s">
        <v>13</v>
      </c>
      <c r="J178" s="91">
        <v>344</v>
      </c>
      <c r="K178" s="91" t="s">
        <v>65</v>
      </c>
      <c r="L178" s="91">
        <v>8257</v>
      </c>
      <c r="M178" s="91" t="s">
        <v>66</v>
      </c>
      <c r="N178" s="91">
        <v>210</v>
      </c>
      <c r="O178" s="91" t="s">
        <v>67</v>
      </c>
      <c r="P178" s="91">
        <v>138</v>
      </c>
    </row>
    <row r="179" spans="9:16">
      <c r="I179" s="91" t="s">
        <v>13</v>
      </c>
      <c r="J179" s="91">
        <v>411</v>
      </c>
      <c r="K179" s="91" t="s">
        <v>65</v>
      </c>
      <c r="L179" s="91">
        <v>730</v>
      </c>
      <c r="M179" s="91" t="s">
        <v>66</v>
      </c>
      <c r="N179" s="91">
        <v>161</v>
      </c>
      <c r="O179" s="91" t="s">
        <v>67</v>
      </c>
      <c r="P179" s="91">
        <v>149</v>
      </c>
    </row>
    <row r="180" spans="9:16">
      <c r="I180" s="91" t="s">
        <v>13</v>
      </c>
      <c r="J180" s="91">
        <v>444</v>
      </c>
      <c r="K180" s="91" t="s">
        <v>65</v>
      </c>
      <c r="L180" s="91">
        <v>909</v>
      </c>
      <c r="M180" s="91" t="s">
        <v>66</v>
      </c>
      <c r="N180" s="91">
        <v>158</v>
      </c>
      <c r="O180" s="91" t="s">
        <v>67</v>
      </c>
      <c r="P180" s="91">
        <v>162</v>
      </c>
    </row>
    <row r="181" spans="9:16">
      <c r="I181" s="91" t="s">
        <v>13</v>
      </c>
      <c r="J181" s="91">
        <v>779</v>
      </c>
      <c r="K181" s="91" t="s">
        <v>65</v>
      </c>
      <c r="L181" s="91">
        <v>2313</v>
      </c>
      <c r="M181" s="91" t="s">
        <v>66</v>
      </c>
      <c r="N181" s="91">
        <v>120</v>
      </c>
      <c r="O181" s="91" t="s">
        <v>67</v>
      </c>
      <c r="P181" s="91">
        <v>111</v>
      </c>
    </row>
    <row r="182" spans="9:16">
      <c r="I182" s="91" t="s">
        <v>13</v>
      </c>
      <c r="J182" s="91">
        <v>867</v>
      </c>
      <c r="K182" s="91" t="s">
        <v>65</v>
      </c>
      <c r="L182" s="91">
        <v>754</v>
      </c>
      <c r="M182" s="91" t="s">
        <v>66</v>
      </c>
      <c r="N182" s="91">
        <v>101</v>
      </c>
      <c r="O182" s="91" t="s">
        <v>67</v>
      </c>
      <c r="P182" s="91">
        <v>98</v>
      </c>
    </row>
    <row r="183" spans="9:16">
      <c r="I183" s="91" t="s">
        <v>13</v>
      </c>
      <c r="J183" s="91">
        <v>964</v>
      </c>
      <c r="K183" s="91" t="s">
        <v>65</v>
      </c>
      <c r="L183" s="91">
        <v>2196</v>
      </c>
      <c r="M183" s="91" t="s">
        <v>66</v>
      </c>
      <c r="N183" s="91">
        <v>63</v>
      </c>
      <c r="O183" s="91" t="s">
        <v>67</v>
      </c>
      <c r="P183" s="91">
        <v>51</v>
      </c>
    </row>
    <row r="184" spans="9:16">
      <c r="I184" s="91" t="s">
        <v>13</v>
      </c>
      <c r="J184" s="91">
        <v>1112</v>
      </c>
      <c r="K184" s="91" t="s">
        <v>65</v>
      </c>
      <c r="L184" s="91">
        <v>1843</v>
      </c>
      <c r="M184" s="91" t="s">
        <v>66</v>
      </c>
      <c r="N184" s="91">
        <v>73</v>
      </c>
      <c r="O184" s="91" t="s">
        <v>67</v>
      </c>
      <c r="P184" s="91">
        <v>57</v>
      </c>
    </row>
    <row r="185" spans="9:16">
      <c r="I185" s="91" t="s">
        <v>13</v>
      </c>
      <c r="J185" s="91">
        <v>1213</v>
      </c>
      <c r="K185" s="91" t="s">
        <v>65</v>
      </c>
      <c r="L185" s="91">
        <v>206</v>
      </c>
      <c r="M185" s="91" t="s">
        <v>66</v>
      </c>
      <c r="N185" s="91">
        <v>31</v>
      </c>
      <c r="O185" s="91" t="s">
        <v>67</v>
      </c>
      <c r="P185" s="91">
        <v>37</v>
      </c>
    </row>
    <row r="186" spans="9:16">
      <c r="I186" s="91" t="s">
        <v>13</v>
      </c>
      <c r="J186" s="91">
        <v>1299</v>
      </c>
      <c r="K186" s="91" t="s">
        <v>65</v>
      </c>
      <c r="L186" s="91">
        <v>215</v>
      </c>
      <c r="M186" s="91" t="s">
        <v>66</v>
      </c>
      <c r="N186" s="91">
        <v>14</v>
      </c>
      <c r="O186" s="91" t="s">
        <v>67</v>
      </c>
      <c r="P186" s="91">
        <v>6</v>
      </c>
    </row>
    <row r="187" spans="9:16">
      <c r="I187" s="91" t="s">
        <v>13</v>
      </c>
      <c r="J187" s="91">
        <v>1408</v>
      </c>
      <c r="K187" s="91" t="s">
        <v>65</v>
      </c>
      <c r="L187" s="91">
        <v>2490</v>
      </c>
      <c r="M187" s="91" t="s">
        <v>66</v>
      </c>
      <c r="N187" s="91">
        <v>5</v>
      </c>
      <c r="O187" s="91" t="s">
        <v>67</v>
      </c>
      <c r="P187" s="91">
        <v>0</v>
      </c>
    </row>
    <row r="189" spans="9:16">
      <c r="I189" s="91" t="s">
        <v>79</v>
      </c>
    </row>
    <row r="190" spans="9:16">
      <c r="I190" s="91" t="s">
        <v>13</v>
      </c>
      <c r="J190" s="91">
        <v>122</v>
      </c>
      <c r="K190" s="91" t="s">
        <v>65</v>
      </c>
      <c r="L190" s="91">
        <v>12977</v>
      </c>
      <c r="M190" s="91" t="s">
        <v>66</v>
      </c>
      <c r="N190" s="91">
        <v>1028</v>
      </c>
      <c r="O190" s="91" t="s">
        <v>67</v>
      </c>
      <c r="P190" s="91">
        <v>516</v>
      </c>
    </row>
    <row r="191" spans="9:16">
      <c r="I191" s="91" t="s">
        <v>13</v>
      </c>
      <c r="J191" s="91">
        <v>245</v>
      </c>
      <c r="K191" s="91" t="s">
        <v>65</v>
      </c>
      <c r="L191" s="91">
        <v>3280</v>
      </c>
      <c r="M191" s="91" t="s">
        <v>66</v>
      </c>
      <c r="N191" s="91">
        <v>418</v>
      </c>
      <c r="O191" s="91" t="s">
        <v>67</v>
      </c>
      <c r="P191" s="91">
        <v>377</v>
      </c>
    </row>
    <row r="192" spans="9:16">
      <c r="I192" s="91" t="s">
        <v>13</v>
      </c>
      <c r="J192" s="91">
        <v>344</v>
      </c>
      <c r="K192" s="91" t="s">
        <v>65</v>
      </c>
      <c r="L192" s="91">
        <v>8322</v>
      </c>
      <c r="M192" s="91" t="s">
        <v>66</v>
      </c>
      <c r="N192" s="91">
        <v>254</v>
      </c>
      <c r="O192" s="91" t="s">
        <v>67</v>
      </c>
      <c r="P192" s="91">
        <v>184</v>
      </c>
    </row>
    <row r="193" spans="9:16">
      <c r="I193" s="91" t="s">
        <v>13</v>
      </c>
      <c r="J193" s="91">
        <v>411</v>
      </c>
      <c r="K193" s="91" t="s">
        <v>65</v>
      </c>
      <c r="L193" s="91">
        <v>740</v>
      </c>
      <c r="M193" s="91" t="s">
        <v>66</v>
      </c>
      <c r="N193" s="91">
        <v>159</v>
      </c>
      <c r="O193" s="91" t="s">
        <v>67</v>
      </c>
      <c r="P193" s="91">
        <v>154</v>
      </c>
    </row>
    <row r="194" spans="9:16">
      <c r="I194" s="91" t="s">
        <v>13</v>
      </c>
      <c r="J194" s="91">
        <v>444</v>
      </c>
      <c r="K194" s="91" t="s">
        <v>65</v>
      </c>
      <c r="L194" s="91">
        <v>878</v>
      </c>
      <c r="M194" s="91" t="s">
        <v>66</v>
      </c>
      <c r="N194" s="91">
        <v>168</v>
      </c>
      <c r="O194" s="91" t="s">
        <v>67</v>
      </c>
      <c r="P194" s="91">
        <v>143</v>
      </c>
    </row>
    <row r="195" spans="9:16">
      <c r="I195" s="91" t="s">
        <v>13</v>
      </c>
      <c r="J195" s="91">
        <v>779</v>
      </c>
      <c r="K195" s="91" t="s">
        <v>65</v>
      </c>
      <c r="L195" s="91">
        <v>2294</v>
      </c>
      <c r="M195" s="91" t="s">
        <v>66</v>
      </c>
      <c r="N195" s="91">
        <v>91</v>
      </c>
      <c r="O195" s="91" t="s">
        <v>67</v>
      </c>
      <c r="P195" s="91">
        <v>102</v>
      </c>
    </row>
    <row r="196" spans="9:16">
      <c r="I196" s="91" t="s">
        <v>13</v>
      </c>
      <c r="J196" s="91">
        <v>867</v>
      </c>
      <c r="K196" s="91" t="s">
        <v>65</v>
      </c>
      <c r="L196" s="91">
        <v>768</v>
      </c>
      <c r="M196" s="91" t="s">
        <v>66</v>
      </c>
      <c r="N196" s="91">
        <v>83</v>
      </c>
      <c r="O196" s="91" t="s">
        <v>67</v>
      </c>
      <c r="P196" s="91">
        <v>96</v>
      </c>
    </row>
    <row r="197" spans="9:16">
      <c r="I197" s="91" t="s">
        <v>13</v>
      </c>
      <c r="J197" s="91">
        <v>964</v>
      </c>
      <c r="K197" s="91" t="s">
        <v>65</v>
      </c>
      <c r="L197" s="91">
        <v>2291</v>
      </c>
      <c r="M197" s="91" t="s">
        <v>66</v>
      </c>
      <c r="N197" s="91">
        <v>62</v>
      </c>
      <c r="O197" s="91" t="s">
        <v>67</v>
      </c>
      <c r="P197" s="91">
        <v>79</v>
      </c>
    </row>
    <row r="198" spans="9:16">
      <c r="I198" s="91" t="s">
        <v>13</v>
      </c>
      <c r="J198" s="91">
        <v>1112</v>
      </c>
      <c r="K198" s="91" t="s">
        <v>65</v>
      </c>
      <c r="L198" s="91">
        <v>1820</v>
      </c>
      <c r="M198" s="91" t="s">
        <v>66</v>
      </c>
      <c r="N198" s="91">
        <v>61</v>
      </c>
      <c r="O198" s="91" t="s">
        <v>67</v>
      </c>
      <c r="P198" s="91">
        <v>53</v>
      </c>
    </row>
    <row r="199" spans="9:16">
      <c r="I199" s="91" t="s">
        <v>13</v>
      </c>
      <c r="J199" s="91">
        <v>1213</v>
      </c>
      <c r="K199" s="91" t="s">
        <v>65</v>
      </c>
      <c r="L199" s="91">
        <v>258</v>
      </c>
      <c r="M199" s="91" t="s">
        <v>66</v>
      </c>
      <c r="N199" s="91">
        <v>47</v>
      </c>
      <c r="O199" s="91" t="s">
        <v>67</v>
      </c>
      <c r="P199" s="91">
        <v>50</v>
      </c>
    </row>
    <row r="200" spans="9:16">
      <c r="I200" s="91" t="s">
        <v>13</v>
      </c>
      <c r="J200" s="91">
        <v>1299</v>
      </c>
      <c r="K200" s="91" t="s">
        <v>65</v>
      </c>
      <c r="L200" s="91">
        <v>207</v>
      </c>
      <c r="M200" s="91" t="s">
        <v>66</v>
      </c>
      <c r="N200" s="91">
        <v>9</v>
      </c>
      <c r="O200" s="91" t="s">
        <v>67</v>
      </c>
      <c r="P200" s="91">
        <v>10</v>
      </c>
    </row>
    <row r="201" spans="9:16">
      <c r="I201" s="91" t="s">
        <v>13</v>
      </c>
      <c r="J201" s="91">
        <v>1408</v>
      </c>
      <c r="K201" s="91" t="s">
        <v>65</v>
      </c>
      <c r="L201" s="91">
        <v>2319</v>
      </c>
      <c r="M201" s="91" t="s">
        <v>66</v>
      </c>
      <c r="N201" s="91">
        <v>0</v>
      </c>
      <c r="O201" s="91" t="s">
        <v>67</v>
      </c>
      <c r="P201" s="91">
        <v>0</v>
      </c>
    </row>
    <row r="203" spans="9:16">
      <c r="I203" s="91" t="s">
        <v>80</v>
      </c>
    </row>
    <row r="204" spans="9:16">
      <c r="I204" s="91" t="s">
        <v>13</v>
      </c>
      <c r="J204" s="91">
        <v>122</v>
      </c>
      <c r="K204" s="91" t="s">
        <v>65</v>
      </c>
      <c r="L204" s="91">
        <v>13189</v>
      </c>
      <c r="M204" s="91" t="s">
        <v>66</v>
      </c>
      <c r="N204" s="91">
        <v>982</v>
      </c>
      <c r="O204" s="91" t="s">
        <v>67</v>
      </c>
      <c r="P204" s="91">
        <v>523</v>
      </c>
    </row>
    <row r="205" spans="9:16">
      <c r="I205" s="91" t="s">
        <v>13</v>
      </c>
      <c r="J205" s="91">
        <v>245</v>
      </c>
      <c r="K205" s="91" t="s">
        <v>65</v>
      </c>
      <c r="L205" s="91">
        <v>3271</v>
      </c>
      <c r="M205" s="91" t="s">
        <v>66</v>
      </c>
      <c r="N205" s="91">
        <v>432</v>
      </c>
      <c r="O205" s="91" t="s">
        <v>67</v>
      </c>
      <c r="P205" s="91">
        <v>386</v>
      </c>
    </row>
    <row r="206" spans="9:16">
      <c r="I206" s="91" t="s">
        <v>13</v>
      </c>
      <c r="J206" s="91">
        <v>344</v>
      </c>
      <c r="K206" s="91" t="s">
        <v>65</v>
      </c>
      <c r="L206" s="91">
        <v>8236</v>
      </c>
      <c r="M206" s="91" t="s">
        <v>66</v>
      </c>
      <c r="N206" s="91">
        <v>229</v>
      </c>
      <c r="O206" s="91" t="s">
        <v>67</v>
      </c>
      <c r="P206" s="91">
        <v>192</v>
      </c>
    </row>
    <row r="207" spans="9:16">
      <c r="I207" s="91" t="s">
        <v>13</v>
      </c>
      <c r="J207" s="91">
        <v>411</v>
      </c>
      <c r="K207" s="91" t="s">
        <v>65</v>
      </c>
      <c r="L207" s="91">
        <v>743</v>
      </c>
      <c r="M207" s="91" t="s">
        <v>66</v>
      </c>
      <c r="N207" s="91">
        <v>169</v>
      </c>
      <c r="O207" s="91" t="s">
        <v>67</v>
      </c>
      <c r="P207" s="91">
        <v>141</v>
      </c>
    </row>
    <row r="208" spans="9:16">
      <c r="I208" s="91" t="s">
        <v>13</v>
      </c>
      <c r="J208" s="91">
        <v>444</v>
      </c>
      <c r="K208" s="91" t="s">
        <v>65</v>
      </c>
      <c r="L208" s="91">
        <v>900</v>
      </c>
      <c r="M208" s="91" t="s">
        <v>66</v>
      </c>
      <c r="N208" s="91">
        <v>151</v>
      </c>
      <c r="O208" s="91" t="s">
        <v>67</v>
      </c>
      <c r="P208" s="91">
        <v>150</v>
      </c>
    </row>
    <row r="209" spans="9:16">
      <c r="I209" s="91" t="s">
        <v>13</v>
      </c>
      <c r="J209" s="91">
        <v>779</v>
      </c>
      <c r="K209" s="91" t="s">
        <v>65</v>
      </c>
      <c r="L209" s="91">
        <v>2329</v>
      </c>
      <c r="M209" s="91" t="s">
        <v>66</v>
      </c>
      <c r="N209" s="91">
        <v>105</v>
      </c>
      <c r="O209" s="91" t="s">
        <v>67</v>
      </c>
      <c r="P209" s="91">
        <v>102</v>
      </c>
    </row>
    <row r="210" spans="9:16">
      <c r="I210" s="91" t="s">
        <v>13</v>
      </c>
      <c r="J210" s="91">
        <v>867</v>
      </c>
      <c r="K210" s="91" t="s">
        <v>65</v>
      </c>
      <c r="L210" s="91">
        <v>746</v>
      </c>
      <c r="M210" s="91" t="s">
        <v>66</v>
      </c>
      <c r="N210" s="91">
        <v>97</v>
      </c>
      <c r="O210" s="91" t="s">
        <v>67</v>
      </c>
      <c r="P210" s="91">
        <v>111</v>
      </c>
    </row>
    <row r="211" spans="9:16">
      <c r="I211" s="91" t="s">
        <v>13</v>
      </c>
      <c r="J211" s="91">
        <v>964</v>
      </c>
      <c r="K211" s="91" t="s">
        <v>65</v>
      </c>
      <c r="L211" s="91">
        <v>2216</v>
      </c>
      <c r="M211" s="91" t="s">
        <v>66</v>
      </c>
      <c r="N211" s="91">
        <v>76</v>
      </c>
      <c r="O211" s="91" t="s">
        <v>67</v>
      </c>
      <c r="P211" s="91">
        <v>65</v>
      </c>
    </row>
    <row r="212" spans="9:16">
      <c r="I212" s="91" t="s">
        <v>13</v>
      </c>
      <c r="J212" s="91">
        <v>1112</v>
      </c>
      <c r="K212" s="91" t="s">
        <v>65</v>
      </c>
      <c r="L212" s="91">
        <v>1846</v>
      </c>
      <c r="M212" s="91" t="s">
        <v>66</v>
      </c>
      <c r="N212" s="91">
        <v>62</v>
      </c>
      <c r="O212" s="91" t="s">
        <v>67</v>
      </c>
      <c r="P212" s="91">
        <v>64</v>
      </c>
    </row>
    <row r="213" spans="9:16">
      <c r="I213" s="91" t="s">
        <v>13</v>
      </c>
      <c r="J213" s="91">
        <v>1213</v>
      </c>
      <c r="K213" s="91" t="s">
        <v>65</v>
      </c>
      <c r="L213" s="91">
        <v>217</v>
      </c>
      <c r="M213" s="91" t="s">
        <v>66</v>
      </c>
      <c r="N213" s="91">
        <v>34</v>
      </c>
      <c r="O213" s="91" t="s">
        <v>67</v>
      </c>
      <c r="P213" s="91">
        <v>42</v>
      </c>
    </row>
    <row r="214" spans="9:16">
      <c r="I214" s="91" t="s">
        <v>13</v>
      </c>
      <c r="J214" s="91">
        <v>1299</v>
      </c>
      <c r="K214" s="91" t="s">
        <v>65</v>
      </c>
      <c r="L214" s="91">
        <v>219</v>
      </c>
      <c r="M214" s="91" t="s">
        <v>66</v>
      </c>
      <c r="N214" s="91">
        <v>8</v>
      </c>
      <c r="O214" s="91" t="s">
        <v>67</v>
      </c>
      <c r="P214" s="91">
        <v>15</v>
      </c>
    </row>
    <row r="215" spans="9:16">
      <c r="I215" s="91" t="s">
        <v>13</v>
      </c>
      <c r="J215" s="91">
        <v>1408</v>
      </c>
      <c r="K215" s="91" t="s">
        <v>65</v>
      </c>
      <c r="L215" s="91">
        <v>2329</v>
      </c>
      <c r="M215" s="91" t="s">
        <v>66</v>
      </c>
      <c r="N215" s="91">
        <v>3</v>
      </c>
      <c r="O215" s="91" t="s">
        <v>67</v>
      </c>
      <c r="P215" s="91">
        <v>0</v>
      </c>
    </row>
    <row r="217" spans="9:16">
      <c r="I217" s="91" t="s">
        <v>81</v>
      </c>
    </row>
    <row r="218" spans="9:16">
      <c r="I218" s="91" t="s">
        <v>13</v>
      </c>
      <c r="J218" s="91">
        <v>122</v>
      </c>
      <c r="K218" s="91" t="s">
        <v>65</v>
      </c>
      <c r="L218" s="91">
        <v>13157</v>
      </c>
      <c r="M218" s="91" t="s">
        <v>66</v>
      </c>
      <c r="N218" s="91">
        <v>932</v>
      </c>
      <c r="O218" s="91" t="s">
        <v>67</v>
      </c>
      <c r="P218" s="91">
        <v>573</v>
      </c>
    </row>
    <row r="219" spans="9:16">
      <c r="I219" s="91" t="s">
        <v>13</v>
      </c>
      <c r="J219" s="91">
        <v>245</v>
      </c>
      <c r="K219" s="91" t="s">
        <v>65</v>
      </c>
      <c r="L219" s="91">
        <v>3252</v>
      </c>
      <c r="M219" s="91" t="s">
        <v>66</v>
      </c>
      <c r="N219" s="91">
        <v>438</v>
      </c>
      <c r="O219" s="91" t="s">
        <v>67</v>
      </c>
      <c r="P219" s="91">
        <v>392</v>
      </c>
    </row>
    <row r="220" spans="9:16">
      <c r="I220" s="91" t="s">
        <v>13</v>
      </c>
      <c r="J220" s="91">
        <v>344</v>
      </c>
      <c r="K220" s="91" t="s">
        <v>65</v>
      </c>
      <c r="L220" s="91">
        <v>8374</v>
      </c>
      <c r="M220" s="91" t="s">
        <v>66</v>
      </c>
      <c r="N220" s="91">
        <v>221</v>
      </c>
      <c r="O220" s="91" t="s">
        <v>67</v>
      </c>
      <c r="P220" s="91">
        <v>160</v>
      </c>
    </row>
    <row r="221" spans="9:16">
      <c r="I221" s="91" t="s">
        <v>13</v>
      </c>
      <c r="J221" s="91">
        <v>411</v>
      </c>
      <c r="K221" s="91" t="s">
        <v>65</v>
      </c>
      <c r="L221" s="91">
        <v>765</v>
      </c>
      <c r="M221" s="91" t="s">
        <v>66</v>
      </c>
      <c r="N221" s="91">
        <v>158</v>
      </c>
      <c r="O221" s="91" t="s">
        <v>67</v>
      </c>
      <c r="P221" s="91">
        <v>142</v>
      </c>
    </row>
    <row r="222" spans="9:16">
      <c r="I222" s="91" t="s">
        <v>13</v>
      </c>
      <c r="J222" s="91">
        <v>444</v>
      </c>
      <c r="K222" s="91" t="s">
        <v>65</v>
      </c>
      <c r="L222" s="91">
        <v>925</v>
      </c>
      <c r="M222" s="91" t="s">
        <v>66</v>
      </c>
      <c r="N222" s="91">
        <v>139</v>
      </c>
      <c r="O222" s="91" t="s">
        <v>67</v>
      </c>
      <c r="P222" s="91">
        <v>131</v>
      </c>
    </row>
    <row r="223" spans="9:16">
      <c r="I223" s="91" t="s">
        <v>13</v>
      </c>
      <c r="J223" s="91">
        <v>779</v>
      </c>
      <c r="K223" s="91" t="s">
        <v>65</v>
      </c>
      <c r="L223" s="91">
        <v>2302</v>
      </c>
      <c r="M223" s="91" t="s">
        <v>66</v>
      </c>
      <c r="N223" s="91">
        <v>93</v>
      </c>
      <c r="O223" s="91" t="s">
        <v>67</v>
      </c>
      <c r="P223" s="91">
        <v>106</v>
      </c>
    </row>
    <row r="224" spans="9:16">
      <c r="I224" s="91" t="s">
        <v>13</v>
      </c>
      <c r="J224" s="91">
        <v>867</v>
      </c>
      <c r="K224" s="91" t="s">
        <v>65</v>
      </c>
      <c r="L224" s="91">
        <v>780</v>
      </c>
      <c r="M224" s="91" t="s">
        <v>66</v>
      </c>
      <c r="N224" s="91">
        <v>93</v>
      </c>
      <c r="O224" s="91" t="s">
        <v>67</v>
      </c>
      <c r="P224" s="91">
        <v>95</v>
      </c>
    </row>
    <row r="225" spans="9:16">
      <c r="I225" s="91" t="s">
        <v>13</v>
      </c>
      <c r="J225" s="91">
        <v>964</v>
      </c>
      <c r="K225" s="91" t="s">
        <v>65</v>
      </c>
      <c r="L225" s="91">
        <v>2267</v>
      </c>
      <c r="M225" s="91" t="s">
        <v>66</v>
      </c>
      <c r="N225" s="91">
        <v>73</v>
      </c>
      <c r="O225" s="91" t="s">
        <v>67</v>
      </c>
      <c r="P225" s="91">
        <v>61</v>
      </c>
    </row>
    <row r="226" spans="9:16">
      <c r="I226" s="91" t="s">
        <v>13</v>
      </c>
      <c r="J226" s="91">
        <v>1112</v>
      </c>
      <c r="K226" s="91" t="s">
        <v>65</v>
      </c>
      <c r="L226" s="91">
        <v>1859</v>
      </c>
      <c r="M226" s="91" t="s">
        <v>66</v>
      </c>
      <c r="N226" s="91">
        <v>60</v>
      </c>
      <c r="O226" s="91" t="s">
        <v>67</v>
      </c>
      <c r="P226" s="91">
        <v>51</v>
      </c>
    </row>
    <row r="227" spans="9:16">
      <c r="I227" s="91" t="s">
        <v>13</v>
      </c>
      <c r="J227" s="91">
        <v>1213</v>
      </c>
      <c r="K227" s="91" t="s">
        <v>65</v>
      </c>
      <c r="L227" s="91">
        <v>205</v>
      </c>
      <c r="M227" s="91" t="s">
        <v>66</v>
      </c>
      <c r="N227" s="91">
        <v>31</v>
      </c>
      <c r="O227" s="91" t="s">
        <v>67</v>
      </c>
      <c r="P227" s="91">
        <v>43</v>
      </c>
    </row>
    <row r="228" spans="9:16">
      <c r="I228" s="91" t="s">
        <v>13</v>
      </c>
      <c r="J228" s="91">
        <v>1299</v>
      </c>
      <c r="K228" s="91" t="s">
        <v>65</v>
      </c>
      <c r="L228" s="91">
        <v>199</v>
      </c>
      <c r="M228" s="91" t="s">
        <v>66</v>
      </c>
      <c r="N228" s="91">
        <v>12</v>
      </c>
      <c r="O228" s="91" t="s">
        <v>67</v>
      </c>
      <c r="P228" s="91">
        <v>4</v>
      </c>
    </row>
    <row r="229" spans="9:16">
      <c r="I229" s="91" t="s">
        <v>13</v>
      </c>
      <c r="J229" s="91">
        <v>1408</v>
      </c>
      <c r="K229" s="91" t="s">
        <v>65</v>
      </c>
      <c r="L229" s="91">
        <v>2440</v>
      </c>
      <c r="M229" s="91" t="s">
        <v>66</v>
      </c>
      <c r="N229" s="91">
        <v>0</v>
      </c>
      <c r="O229" s="91" t="s">
        <v>67</v>
      </c>
      <c r="P229" s="91">
        <v>0</v>
      </c>
    </row>
    <row r="231" spans="9:16">
      <c r="I231" s="91" t="s">
        <v>82</v>
      </c>
    </row>
    <row r="232" spans="9:16">
      <c r="I232" s="91" t="s">
        <v>13</v>
      </c>
      <c r="J232" s="91">
        <v>122</v>
      </c>
      <c r="K232" s="91" t="s">
        <v>65</v>
      </c>
      <c r="L232" s="91">
        <v>13300</v>
      </c>
      <c r="M232" s="91" t="s">
        <v>66</v>
      </c>
      <c r="N232" s="91">
        <v>995</v>
      </c>
      <c r="O232" s="91" t="s">
        <v>67</v>
      </c>
      <c r="P232" s="91">
        <v>501</v>
      </c>
    </row>
    <row r="233" spans="9:16">
      <c r="I233" s="91" t="s">
        <v>13</v>
      </c>
      <c r="J233" s="91">
        <v>245</v>
      </c>
      <c r="K233" s="91" t="s">
        <v>65</v>
      </c>
      <c r="L233" s="91">
        <v>3303</v>
      </c>
      <c r="M233" s="91" t="s">
        <v>66</v>
      </c>
      <c r="N233" s="91">
        <v>437</v>
      </c>
      <c r="O233" s="91" t="s">
        <v>67</v>
      </c>
      <c r="P233" s="91">
        <v>374</v>
      </c>
    </row>
    <row r="234" spans="9:16">
      <c r="I234" s="91" t="s">
        <v>13</v>
      </c>
      <c r="J234" s="91">
        <v>344</v>
      </c>
      <c r="K234" s="91" t="s">
        <v>65</v>
      </c>
      <c r="L234" s="91">
        <v>8099</v>
      </c>
      <c r="M234" s="91" t="s">
        <v>66</v>
      </c>
      <c r="N234" s="91">
        <v>234</v>
      </c>
      <c r="O234" s="91" t="s">
        <v>67</v>
      </c>
      <c r="P234" s="91">
        <v>165</v>
      </c>
    </row>
    <row r="235" spans="9:16">
      <c r="I235" s="91" t="s">
        <v>13</v>
      </c>
      <c r="J235" s="91">
        <v>411</v>
      </c>
      <c r="K235" s="91" t="s">
        <v>65</v>
      </c>
      <c r="L235" s="91">
        <v>746</v>
      </c>
      <c r="M235" s="91" t="s">
        <v>66</v>
      </c>
      <c r="N235" s="91">
        <v>145</v>
      </c>
      <c r="O235" s="91" t="s">
        <v>67</v>
      </c>
      <c r="P235" s="91">
        <v>153</v>
      </c>
    </row>
    <row r="236" spans="9:16">
      <c r="I236" s="91" t="s">
        <v>13</v>
      </c>
      <c r="J236" s="91">
        <v>444</v>
      </c>
      <c r="K236" s="91" t="s">
        <v>65</v>
      </c>
      <c r="L236" s="91">
        <v>889</v>
      </c>
      <c r="M236" s="91" t="s">
        <v>66</v>
      </c>
      <c r="N236" s="91">
        <v>153</v>
      </c>
      <c r="O236" s="91" t="s">
        <v>67</v>
      </c>
      <c r="P236" s="91">
        <v>134</v>
      </c>
    </row>
    <row r="237" spans="9:16">
      <c r="I237" s="91" t="s">
        <v>13</v>
      </c>
      <c r="J237" s="91">
        <v>779</v>
      </c>
      <c r="K237" s="91" t="s">
        <v>65</v>
      </c>
      <c r="L237" s="91">
        <v>2248</v>
      </c>
      <c r="M237" s="91" t="s">
        <v>66</v>
      </c>
      <c r="N237" s="91">
        <v>103</v>
      </c>
      <c r="O237" s="91" t="s">
        <v>67</v>
      </c>
      <c r="P237" s="91">
        <v>90</v>
      </c>
    </row>
    <row r="238" spans="9:16">
      <c r="I238" s="91" t="s">
        <v>13</v>
      </c>
      <c r="J238" s="91">
        <v>867</v>
      </c>
      <c r="K238" s="91" t="s">
        <v>65</v>
      </c>
      <c r="L238" s="91">
        <v>771</v>
      </c>
      <c r="M238" s="91" t="s">
        <v>66</v>
      </c>
      <c r="N238" s="91">
        <v>75</v>
      </c>
      <c r="O238" s="91" t="s">
        <v>67</v>
      </c>
      <c r="P238" s="91">
        <v>97</v>
      </c>
    </row>
    <row r="239" spans="9:16">
      <c r="I239" s="91" t="s">
        <v>13</v>
      </c>
      <c r="J239" s="91">
        <v>964</v>
      </c>
      <c r="K239" s="91" t="s">
        <v>65</v>
      </c>
      <c r="L239" s="91">
        <v>2138</v>
      </c>
      <c r="M239" s="91" t="s">
        <v>66</v>
      </c>
      <c r="N239" s="91">
        <v>71</v>
      </c>
      <c r="O239" s="91" t="s">
        <v>67</v>
      </c>
      <c r="P239" s="91">
        <v>48</v>
      </c>
    </row>
    <row r="240" spans="9:16">
      <c r="I240" s="91" t="s">
        <v>13</v>
      </c>
      <c r="J240" s="91">
        <v>1112</v>
      </c>
      <c r="K240" s="91" t="s">
        <v>65</v>
      </c>
      <c r="L240" s="91">
        <v>1831</v>
      </c>
      <c r="M240" s="91" t="s">
        <v>66</v>
      </c>
      <c r="N240" s="91">
        <v>54</v>
      </c>
      <c r="O240" s="91" t="s">
        <v>67</v>
      </c>
      <c r="P240" s="91">
        <v>75</v>
      </c>
    </row>
    <row r="241" spans="1:16">
      <c r="I241" s="91" t="s">
        <v>13</v>
      </c>
      <c r="J241" s="91">
        <v>1213</v>
      </c>
      <c r="K241" s="91" t="s">
        <v>65</v>
      </c>
      <c r="L241" s="91">
        <v>213</v>
      </c>
      <c r="M241" s="91" t="s">
        <v>66</v>
      </c>
      <c r="N241" s="91">
        <v>45</v>
      </c>
      <c r="O241" s="91" t="s">
        <v>67</v>
      </c>
      <c r="P241" s="91">
        <v>33</v>
      </c>
    </row>
    <row r="242" spans="1:16">
      <c r="I242" s="91" t="s">
        <v>13</v>
      </c>
      <c r="J242" s="91">
        <v>1299</v>
      </c>
      <c r="K242" s="91" t="s">
        <v>65</v>
      </c>
      <c r="L242" s="91">
        <v>225</v>
      </c>
      <c r="M242" s="91" t="s">
        <v>66</v>
      </c>
      <c r="N242" s="91">
        <v>17</v>
      </c>
      <c r="O242" s="91" t="s">
        <v>67</v>
      </c>
      <c r="P242" s="91">
        <v>9</v>
      </c>
    </row>
    <row r="243" spans="1:16">
      <c r="I243" s="91" t="s">
        <v>13</v>
      </c>
      <c r="J243" s="91">
        <v>1408</v>
      </c>
      <c r="K243" s="91" t="s">
        <v>65</v>
      </c>
      <c r="L243" s="91">
        <v>2424</v>
      </c>
      <c r="M243" s="91" t="s">
        <v>66</v>
      </c>
      <c r="N243" s="91">
        <v>3</v>
      </c>
      <c r="O243" s="91" t="s">
        <v>67</v>
      </c>
      <c r="P243" s="91">
        <v>0</v>
      </c>
    </row>
    <row r="245" spans="1:16">
      <c r="I245" s="57" t="s">
        <v>83</v>
      </c>
      <c r="J245" s="57"/>
      <c r="K245" s="57"/>
      <c r="L245" s="57"/>
      <c r="M245" s="57"/>
      <c r="N245" s="57"/>
      <c r="O245" s="57"/>
      <c r="P245" s="57"/>
    </row>
    <row r="246" spans="1:16">
      <c r="A246" s="110" t="s">
        <v>176</v>
      </c>
      <c r="B246" s="108"/>
      <c r="C246" s="108"/>
      <c r="D246" s="108"/>
      <c r="I246" s="57" t="s">
        <v>13</v>
      </c>
      <c r="J246" s="57">
        <v>122</v>
      </c>
      <c r="K246" s="57" t="s">
        <v>65</v>
      </c>
      <c r="L246" s="57">
        <v>12962</v>
      </c>
      <c r="M246" s="57" t="s">
        <v>66</v>
      </c>
      <c r="N246" s="57">
        <v>916</v>
      </c>
      <c r="O246" s="57" t="s">
        <v>67</v>
      </c>
      <c r="P246" s="57">
        <v>568</v>
      </c>
    </row>
    <row r="247" spans="1:16">
      <c r="A247" s="72" t="s">
        <v>13</v>
      </c>
      <c r="B247" s="72">
        <v>245</v>
      </c>
      <c r="C247" s="72" t="s">
        <v>170</v>
      </c>
      <c r="D247" s="72">
        <v>2.7933599999999999E-2</v>
      </c>
      <c r="I247" s="57" t="s">
        <v>13</v>
      </c>
      <c r="J247" s="57">
        <v>245</v>
      </c>
      <c r="K247" s="57" t="s">
        <v>65</v>
      </c>
      <c r="L247" s="57">
        <v>3325</v>
      </c>
      <c r="M247" s="57" t="s">
        <v>66</v>
      </c>
      <c r="N247" s="57">
        <v>413</v>
      </c>
      <c r="O247" s="57" t="s">
        <v>67</v>
      </c>
      <c r="P247" s="57">
        <v>377</v>
      </c>
    </row>
    <row r="248" spans="1:16">
      <c r="A248" s="72" t="s">
        <v>13</v>
      </c>
      <c r="B248" s="72">
        <v>344</v>
      </c>
      <c r="C248" s="72" t="s">
        <v>170</v>
      </c>
      <c r="D248" s="72">
        <v>1.5085899999999999E-2</v>
      </c>
      <c r="I248" s="57" t="s">
        <v>13</v>
      </c>
      <c r="J248" s="57">
        <v>344</v>
      </c>
      <c r="K248" s="57" t="s">
        <v>65</v>
      </c>
      <c r="L248" s="57">
        <v>8409</v>
      </c>
      <c r="M248" s="57" t="s">
        <v>66</v>
      </c>
      <c r="N248" s="57">
        <v>231</v>
      </c>
      <c r="O248" s="57" t="s">
        <v>67</v>
      </c>
      <c r="P248" s="57">
        <v>171</v>
      </c>
    </row>
    <row r="249" spans="1:16">
      <c r="A249" s="72" t="s">
        <v>13</v>
      </c>
      <c r="B249" s="72">
        <v>411</v>
      </c>
      <c r="C249" s="72" t="s">
        <v>170</v>
      </c>
      <c r="D249" s="72">
        <v>3.9260299999999998E-2</v>
      </c>
      <c r="I249" s="57" t="s">
        <v>13</v>
      </c>
      <c r="J249" s="57">
        <v>411</v>
      </c>
      <c r="K249" s="57" t="s">
        <v>65</v>
      </c>
      <c r="L249" s="57">
        <v>758</v>
      </c>
      <c r="M249" s="57" t="s">
        <v>66</v>
      </c>
      <c r="N249" s="57">
        <v>135</v>
      </c>
      <c r="O249" s="57" t="s">
        <v>67</v>
      </c>
      <c r="P249" s="57">
        <v>167</v>
      </c>
    </row>
    <row r="250" spans="1:16">
      <c r="A250" s="72" t="s">
        <v>13</v>
      </c>
      <c r="B250" s="72">
        <v>444</v>
      </c>
      <c r="C250" s="72" t="s">
        <v>170</v>
      </c>
      <c r="D250" s="72">
        <v>-2.15727E-2</v>
      </c>
      <c r="I250" s="57" t="s">
        <v>13</v>
      </c>
      <c r="J250" s="57">
        <v>444</v>
      </c>
      <c r="K250" s="57" t="s">
        <v>65</v>
      </c>
      <c r="L250" s="57">
        <v>1001</v>
      </c>
      <c r="M250" s="57" t="s">
        <v>66</v>
      </c>
      <c r="N250" s="57">
        <v>130</v>
      </c>
      <c r="O250" s="57" t="s">
        <v>67</v>
      </c>
      <c r="P250" s="57">
        <v>138</v>
      </c>
    </row>
    <row r="251" spans="1:16">
      <c r="A251" s="72" t="s">
        <v>13</v>
      </c>
      <c r="B251" s="72">
        <v>779</v>
      </c>
      <c r="C251" s="72" t="s">
        <v>170</v>
      </c>
      <c r="D251" s="72">
        <v>-1.6649600000000001E-3</v>
      </c>
      <c r="I251" s="57" t="s">
        <v>13</v>
      </c>
      <c r="J251" s="57">
        <v>779</v>
      </c>
      <c r="K251" s="57" t="s">
        <v>65</v>
      </c>
      <c r="L251" s="57">
        <v>2336</v>
      </c>
      <c r="M251" s="57" t="s">
        <v>66</v>
      </c>
      <c r="N251" s="57">
        <v>130</v>
      </c>
      <c r="O251" s="57" t="s">
        <v>67</v>
      </c>
      <c r="P251" s="57">
        <v>123</v>
      </c>
    </row>
    <row r="252" spans="1:16">
      <c r="A252" s="72" t="s">
        <v>13</v>
      </c>
      <c r="B252" s="72">
        <v>867</v>
      </c>
      <c r="C252" s="72" t="s">
        <v>170</v>
      </c>
      <c r="D252" s="72">
        <v>8.9155399999999996E-3</v>
      </c>
      <c r="I252" s="57" t="s">
        <v>13</v>
      </c>
      <c r="J252" s="57">
        <v>867</v>
      </c>
      <c r="K252" s="57" t="s">
        <v>65</v>
      </c>
      <c r="L252" s="57">
        <v>747</v>
      </c>
      <c r="M252" s="57" t="s">
        <v>66</v>
      </c>
      <c r="N252" s="57">
        <v>93</v>
      </c>
      <c r="O252" s="57" t="s">
        <v>67</v>
      </c>
      <c r="P252" s="57">
        <v>84</v>
      </c>
    </row>
    <row r="253" spans="1:16">
      <c r="A253" s="72" t="s">
        <v>13</v>
      </c>
      <c r="B253" s="72">
        <v>964</v>
      </c>
      <c r="C253" s="72" t="s">
        <v>170</v>
      </c>
      <c r="D253" s="72">
        <v>-4.9079800000000002E-3</v>
      </c>
      <c r="I253" s="57" t="s">
        <v>13</v>
      </c>
      <c r="J253" s="57">
        <v>964</v>
      </c>
      <c r="K253" s="57" t="s">
        <v>65</v>
      </c>
      <c r="L253" s="57">
        <v>2258</v>
      </c>
      <c r="M253" s="57" t="s">
        <v>66</v>
      </c>
      <c r="N253" s="57">
        <v>48</v>
      </c>
      <c r="O253" s="57" t="s">
        <v>67</v>
      </c>
      <c r="P253" s="57">
        <v>65</v>
      </c>
    </row>
    <row r="254" spans="1:16">
      <c r="A254" s="72" t="s">
        <v>13</v>
      </c>
      <c r="B254" s="72">
        <v>1112</v>
      </c>
      <c r="C254" s="72" t="s">
        <v>170</v>
      </c>
      <c r="D254" s="72">
        <v>-5.32855E-2</v>
      </c>
      <c r="I254" s="57" t="s">
        <v>13</v>
      </c>
      <c r="J254" s="57">
        <v>1112</v>
      </c>
      <c r="K254" s="57" t="s">
        <v>65</v>
      </c>
      <c r="L254" s="57">
        <v>1922</v>
      </c>
      <c r="M254" s="57" t="s">
        <v>66</v>
      </c>
      <c r="N254" s="57">
        <v>53</v>
      </c>
      <c r="O254" s="57" t="s">
        <v>67</v>
      </c>
      <c r="P254" s="57">
        <v>72</v>
      </c>
    </row>
    <row r="255" spans="1:16">
      <c r="A255" s="72" t="s">
        <v>13</v>
      </c>
      <c r="B255" s="72">
        <v>1213</v>
      </c>
      <c r="C255" s="72" t="s">
        <v>170</v>
      </c>
      <c r="D255" s="72">
        <v>2.8172800000000001E-2</v>
      </c>
      <c r="I255" s="57" t="s">
        <v>13</v>
      </c>
      <c r="J255" s="57">
        <v>1213</v>
      </c>
      <c r="K255" s="57" t="s">
        <v>65</v>
      </c>
      <c r="L255" s="57">
        <v>211</v>
      </c>
      <c r="M255" s="57" t="s">
        <v>66</v>
      </c>
      <c r="N255" s="57">
        <v>40</v>
      </c>
      <c r="O255" s="57" t="s">
        <v>67</v>
      </c>
      <c r="P255" s="57">
        <v>37</v>
      </c>
    </row>
    <row r="256" spans="1:16">
      <c r="A256" s="72" t="s">
        <v>13</v>
      </c>
      <c r="B256" s="72">
        <v>1299</v>
      </c>
      <c r="C256" s="72" t="s">
        <v>170</v>
      </c>
      <c r="D256" s="72">
        <v>6.0335199999999999E-2</v>
      </c>
      <c r="I256" s="57" t="s">
        <v>13</v>
      </c>
      <c r="J256" s="57">
        <v>1299</v>
      </c>
      <c r="K256" s="57" t="s">
        <v>65</v>
      </c>
      <c r="L256" s="57">
        <v>216</v>
      </c>
      <c r="M256" s="57" t="s">
        <v>66</v>
      </c>
      <c r="N256" s="57">
        <v>14</v>
      </c>
      <c r="O256" s="57" t="s">
        <v>67</v>
      </c>
      <c r="P256" s="57">
        <v>14</v>
      </c>
    </row>
    <row r="257" spans="1:43">
      <c r="A257" s="72" t="s">
        <v>13</v>
      </c>
      <c r="B257" s="72">
        <v>1408</v>
      </c>
      <c r="C257" s="72" t="s">
        <v>170</v>
      </c>
      <c r="D257" s="72">
        <v>-2.5361100000000001E-2</v>
      </c>
      <c r="I257" s="57" t="s">
        <v>13</v>
      </c>
      <c r="J257" s="57">
        <v>1408</v>
      </c>
      <c r="K257" s="57" t="s">
        <v>65</v>
      </c>
      <c r="L257" s="57">
        <v>2284</v>
      </c>
      <c r="M257" s="57" t="s">
        <v>66</v>
      </c>
      <c r="N257" s="57">
        <v>2</v>
      </c>
      <c r="O257" s="57" t="s">
        <v>67</v>
      </c>
      <c r="P257" s="57">
        <v>0</v>
      </c>
    </row>
    <row r="258" spans="1:43">
      <c r="A258" s="108"/>
      <c r="B258" s="108"/>
      <c r="C258" s="108" t="s">
        <v>172</v>
      </c>
      <c r="D258" s="11">
        <f>AVERAGE(C261:C271)</f>
        <v>6.6282818181818163E-3</v>
      </c>
    </row>
    <row r="259" spans="1:43">
      <c r="A259" s="108"/>
      <c r="B259" s="109">
        <f>SQRT(SUMSQ(C261:C271)/COUNTA(C261:C271))</f>
        <v>3.1676694995853454E-2</v>
      </c>
      <c r="C259" s="108" t="s">
        <v>171</v>
      </c>
      <c r="D259" s="108">
        <f>COUNT(C261:C271)</f>
        <v>11</v>
      </c>
    </row>
    <row r="260" spans="1:43">
      <c r="A260" s="108"/>
      <c r="B260" s="108"/>
      <c r="C260" s="11"/>
      <c r="D260" s="22"/>
      <c r="E260" s="91">
        <v>1</v>
      </c>
      <c r="F260" s="91" t="s">
        <v>85</v>
      </c>
      <c r="G260" s="91">
        <v>122</v>
      </c>
      <c r="H260" s="91" t="s">
        <v>97</v>
      </c>
      <c r="I260" s="91" t="s">
        <v>98</v>
      </c>
      <c r="J260" s="91">
        <v>2.9999999999999997E-4</v>
      </c>
      <c r="K260" s="91" t="s">
        <v>97</v>
      </c>
      <c r="L260" s="91" t="s">
        <v>110</v>
      </c>
      <c r="M260" s="95">
        <f t="shared" ref="M260:M271" si="22">AD22</f>
        <v>0.16404188665962688</v>
      </c>
      <c r="N260" s="91" t="s">
        <v>97</v>
      </c>
      <c r="O260" s="91" t="s">
        <v>122</v>
      </c>
      <c r="P260" s="95">
        <f t="shared" ref="P260:P271" si="23">AE22</f>
        <v>8.3277235051160007E-4</v>
      </c>
      <c r="Q260" s="91" t="s">
        <v>97</v>
      </c>
      <c r="S260" s="91" t="s">
        <v>85</v>
      </c>
      <c r="T260" s="91">
        <v>122</v>
      </c>
      <c r="U260" s="91" t="s">
        <v>97</v>
      </c>
      <c r="V260" s="91" t="s">
        <v>98</v>
      </c>
      <c r="W260" s="91">
        <v>2.9999999999999997E-4</v>
      </c>
      <c r="X260" s="91" t="s">
        <v>97</v>
      </c>
      <c r="Y260" s="91" t="s">
        <v>110</v>
      </c>
      <c r="Z260" s="95">
        <f t="shared" ref="Z260:Z271" si="24">M6</f>
        <v>1.9291850094776974</v>
      </c>
      <c r="AA260" s="91" t="s">
        <v>97</v>
      </c>
      <c r="AB260" s="91" t="s">
        <v>122</v>
      </c>
      <c r="AC260" s="95">
        <f t="shared" ref="AC260:AC271" si="25">N6</f>
        <v>8.8753260749834841E-3</v>
      </c>
      <c r="AD260" s="91" t="s">
        <v>97</v>
      </c>
      <c r="AF260" s="91" t="s">
        <v>85</v>
      </c>
      <c r="AG260" s="91">
        <v>122</v>
      </c>
      <c r="AH260" s="91" t="s">
        <v>97</v>
      </c>
      <c r="AI260" s="91" t="s">
        <v>98</v>
      </c>
      <c r="AJ260" s="91">
        <v>2.9999999999999997E-4</v>
      </c>
      <c r="AK260" s="91" t="s">
        <v>97</v>
      </c>
      <c r="AL260" s="91" t="s">
        <v>110</v>
      </c>
      <c r="AM260" s="95">
        <f>E22</f>
        <v>11.760319566920089</v>
      </c>
      <c r="AN260" s="91" t="s">
        <v>97</v>
      </c>
      <c r="AO260" s="91" t="s">
        <v>122</v>
      </c>
      <c r="AP260" s="95">
        <f>F22</f>
        <v>8.0570487467869975E-2</v>
      </c>
      <c r="AQ260" s="91" t="s">
        <v>97</v>
      </c>
    </row>
    <row r="261" spans="1:43">
      <c r="A261" s="108"/>
      <c r="B261" s="108" t="s">
        <v>170</v>
      </c>
      <c r="C261" s="11">
        <f>D247</f>
        <v>2.7933599999999999E-2</v>
      </c>
      <c r="D261" s="22">
        <f>(C261-D$258)^2</f>
        <v>4.539165828285124E-4</v>
      </c>
      <c r="E261" s="91">
        <v>1</v>
      </c>
      <c r="F261" s="91" t="s">
        <v>86</v>
      </c>
      <c r="G261" s="91">
        <v>245</v>
      </c>
      <c r="H261" s="91" t="s">
        <v>97</v>
      </c>
      <c r="I261" s="91" t="s">
        <v>99</v>
      </c>
      <c r="J261" s="91">
        <v>8.0000000000000004E-4</v>
      </c>
      <c r="K261" s="91" t="s">
        <v>97</v>
      </c>
      <c r="L261" s="91" t="s">
        <v>111</v>
      </c>
      <c r="M261" s="95">
        <f t="shared" si="22"/>
        <v>0.13998266666666667</v>
      </c>
      <c r="N261" s="91" t="s">
        <v>97</v>
      </c>
      <c r="O261" s="91" t="s">
        <v>123</v>
      </c>
      <c r="P261" s="95">
        <f t="shared" si="23"/>
        <v>9.2545297175245607E-4</v>
      </c>
      <c r="Q261" s="91" t="s">
        <v>97</v>
      </c>
      <c r="S261" s="91" t="s">
        <v>86</v>
      </c>
      <c r="T261" s="91">
        <v>245</v>
      </c>
      <c r="U261" s="91" t="s">
        <v>97</v>
      </c>
      <c r="V261" s="91" t="s">
        <v>99</v>
      </c>
      <c r="W261" s="91">
        <v>8.0000000000000004E-4</v>
      </c>
      <c r="X261" s="91" t="s">
        <v>97</v>
      </c>
      <c r="Y261" s="91" t="s">
        <v>111</v>
      </c>
      <c r="Z261" s="95">
        <f t="shared" si="24"/>
        <v>1.4223851165720118</v>
      </c>
      <c r="AA261" s="91" t="s">
        <v>97</v>
      </c>
      <c r="AB261" s="91" t="s">
        <v>123</v>
      </c>
      <c r="AC261" s="95">
        <f t="shared" si="25"/>
        <v>7.7838936331462326E-3</v>
      </c>
      <c r="AD261" s="91" t="s">
        <v>97</v>
      </c>
      <c r="AF261" s="108" t="s">
        <v>85</v>
      </c>
      <c r="AG261" s="91">
        <v>245</v>
      </c>
      <c r="AH261" s="91" t="s">
        <v>97</v>
      </c>
      <c r="AI261" s="108" t="s">
        <v>98</v>
      </c>
      <c r="AJ261" s="91">
        <v>8.0000000000000004E-4</v>
      </c>
      <c r="AK261" s="91" t="s">
        <v>97</v>
      </c>
      <c r="AL261" s="108" t="s">
        <v>110</v>
      </c>
      <c r="AM261" s="95">
        <f t="shared" ref="AM261:AM271" si="26">E23</f>
        <v>10.161151737158018</v>
      </c>
      <c r="AN261" s="91" t="s">
        <v>97</v>
      </c>
      <c r="AO261" s="108" t="s">
        <v>122</v>
      </c>
      <c r="AP261" s="95">
        <f t="shared" ref="AP261:AP271" si="27">F23</f>
        <v>8.720573838868613E-2</v>
      </c>
      <c r="AQ261" s="91" t="s">
        <v>97</v>
      </c>
    </row>
    <row r="262" spans="1:43">
      <c r="A262" s="108"/>
      <c r="B262" s="108" t="s">
        <v>170</v>
      </c>
      <c r="C262" s="11">
        <f t="shared" ref="C262:C270" si="28">D248</f>
        <v>1.5085899999999999E-2</v>
      </c>
      <c r="D262" s="22">
        <f t="shared" ref="D262:D271" si="29">(C262-D$258)^2</f>
        <v>7.1531305309421492E-5</v>
      </c>
      <c r="E262" s="91">
        <v>1</v>
      </c>
      <c r="F262" s="91" t="s">
        <v>87</v>
      </c>
      <c r="G262" s="91">
        <v>344</v>
      </c>
      <c r="H262" s="91" t="s">
        <v>97</v>
      </c>
      <c r="I262" s="91" t="s">
        <v>100</v>
      </c>
      <c r="J262" s="91">
        <v>1.1999999999999999E-3</v>
      </c>
      <c r="K262" s="91" t="s">
        <v>97</v>
      </c>
      <c r="L262" s="91" t="s">
        <v>112</v>
      </c>
      <c r="M262" s="95">
        <f t="shared" si="22"/>
        <v>0.11021933784800601</v>
      </c>
      <c r="N262" s="91" t="s">
        <v>97</v>
      </c>
      <c r="O262" s="91" t="s">
        <v>124</v>
      </c>
      <c r="P262" s="95">
        <f t="shared" si="23"/>
        <v>5.8516680229482923E-4</v>
      </c>
      <c r="Q262" s="91" t="s">
        <v>97</v>
      </c>
      <c r="S262" s="91" t="s">
        <v>87</v>
      </c>
      <c r="T262" s="91">
        <v>344</v>
      </c>
      <c r="U262" s="91" t="s">
        <v>97</v>
      </c>
      <c r="V262" s="91" t="s">
        <v>100</v>
      </c>
      <c r="W262" s="91">
        <v>1.1999999999999999E-3</v>
      </c>
      <c r="X262" s="91" t="s">
        <v>97</v>
      </c>
      <c r="Y262" s="91" t="s">
        <v>112</v>
      </c>
      <c r="Z262" s="95">
        <f t="shared" si="24"/>
        <v>1.1347652067904945</v>
      </c>
      <c r="AA262" s="91" t="s">
        <v>97</v>
      </c>
      <c r="AB262" s="91" t="s">
        <v>124</v>
      </c>
      <c r="AC262" s="95">
        <f t="shared" si="25"/>
        <v>5.1698832564188672E-3</v>
      </c>
      <c r="AD262" s="91" t="s">
        <v>97</v>
      </c>
      <c r="AF262" s="108" t="s">
        <v>86</v>
      </c>
      <c r="AG262" s="91">
        <v>344</v>
      </c>
      <c r="AH262" s="91" t="s">
        <v>97</v>
      </c>
      <c r="AI262" s="108" t="s">
        <v>99</v>
      </c>
      <c r="AJ262" s="91">
        <v>1.1999999999999999E-3</v>
      </c>
      <c r="AK262" s="91" t="s">
        <v>97</v>
      </c>
      <c r="AL262" s="108" t="s">
        <v>111</v>
      </c>
      <c r="AM262" s="95">
        <f t="shared" si="26"/>
        <v>10.295518272441006</v>
      </c>
      <c r="AN262" s="91" t="s">
        <v>97</v>
      </c>
      <c r="AO262" s="108" t="s">
        <v>123</v>
      </c>
      <c r="AP262" s="95">
        <f t="shared" si="27"/>
        <v>7.2026658633965374E-2</v>
      </c>
      <c r="AQ262" s="91" t="s">
        <v>97</v>
      </c>
    </row>
    <row r="263" spans="1:43">
      <c r="A263" s="108"/>
      <c r="B263" s="108" t="s">
        <v>170</v>
      </c>
      <c r="C263" s="11">
        <f t="shared" si="28"/>
        <v>3.9260299999999998E-2</v>
      </c>
      <c r="D263" s="22">
        <f t="shared" si="29"/>
        <v>1.0648486106185125E-3</v>
      </c>
      <c r="E263" s="91">
        <v>1</v>
      </c>
      <c r="F263" s="91" t="s">
        <v>88</v>
      </c>
      <c r="G263" s="91">
        <v>411</v>
      </c>
      <c r="H263" s="91" t="s">
        <v>97</v>
      </c>
      <c r="I263" s="91" t="s">
        <v>101</v>
      </c>
      <c r="J263" s="91">
        <v>1.1999999999999999E-3</v>
      </c>
      <c r="K263" s="91" t="s">
        <v>97</v>
      </c>
      <c r="L263" s="91" t="s">
        <v>113</v>
      </c>
      <c r="M263" s="95">
        <f t="shared" si="22"/>
        <v>9.5409029950827007E-2</v>
      </c>
      <c r="N263" s="91" t="s">
        <v>97</v>
      </c>
      <c r="O263" s="91" t="s">
        <v>125</v>
      </c>
      <c r="P263" s="95">
        <f t="shared" si="23"/>
        <v>1.1567391611549242E-3</v>
      </c>
      <c r="Q263" s="91" t="s">
        <v>97</v>
      </c>
      <c r="S263" s="91" t="s">
        <v>88</v>
      </c>
      <c r="T263" s="91">
        <v>411</v>
      </c>
      <c r="U263" s="91" t="s">
        <v>97</v>
      </c>
      <c r="V263" s="91" t="s">
        <v>101</v>
      </c>
      <c r="W263" s="91">
        <v>1.1999999999999999E-3</v>
      </c>
      <c r="X263" s="91" t="s">
        <v>97</v>
      </c>
      <c r="Y263" s="91" t="s">
        <v>113</v>
      </c>
      <c r="Z263" s="95">
        <f t="shared" si="24"/>
        <v>0.95817413045078625</v>
      </c>
      <c r="AA263" s="91" t="s">
        <v>97</v>
      </c>
      <c r="AB263" s="91" t="s">
        <v>125</v>
      </c>
      <c r="AC263" s="95">
        <f t="shared" si="25"/>
        <v>5.2448694356606431E-3</v>
      </c>
      <c r="AD263" s="91" t="s">
        <v>97</v>
      </c>
      <c r="AF263" s="108" t="s">
        <v>87</v>
      </c>
      <c r="AG263" s="91">
        <v>411</v>
      </c>
      <c r="AH263" s="91" t="s">
        <v>97</v>
      </c>
      <c r="AI263" s="108" t="s">
        <v>100</v>
      </c>
      <c r="AJ263" s="91">
        <v>1.1999999999999999E-3</v>
      </c>
      <c r="AK263" s="91" t="s">
        <v>97</v>
      </c>
      <c r="AL263" s="108" t="s">
        <v>112</v>
      </c>
      <c r="AM263" s="95">
        <f t="shared" si="26"/>
        <v>10.042803400732835</v>
      </c>
      <c r="AN263" s="91" t="s">
        <v>97</v>
      </c>
      <c r="AO263" s="108" t="s">
        <v>124</v>
      </c>
      <c r="AP263" s="95">
        <f t="shared" si="27"/>
        <v>0.13359347061468158</v>
      </c>
      <c r="AQ263" s="91" t="s">
        <v>97</v>
      </c>
    </row>
    <row r="264" spans="1:43">
      <c r="A264" s="108"/>
      <c r="B264" s="108" t="s">
        <v>170</v>
      </c>
      <c r="C264" s="11">
        <f t="shared" si="28"/>
        <v>-2.15727E-2</v>
      </c>
      <c r="D264" s="22">
        <f t="shared" si="29"/>
        <v>7.9529537550942142E-4</v>
      </c>
      <c r="E264" s="91">
        <v>1</v>
      </c>
      <c r="F264" s="91" t="s">
        <v>89</v>
      </c>
      <c r="G264" s="91">
        <v>444</v>
      </c>
      <c r="H264" s="91" t="s">
        <v>97</v>
      </c>
      <c r="I264" s="91" t="s">
        <v>102</v>
      </c>
      <c r="J264" s="91">
        <v>3.0000000000000001E-3</v>
      </c>
      <c r="K264" s="91" t="s">
        <v>97</v>
      </c>
      <c r="L264" s="91" t="s">
        <v>114</v>
      </c>
      <c r="M264" s="95">
        <f t="shared" si="22"/>
        <v>8.8816000000000006E-2</v>
      </c>
      <c r="N264" s="91" t="s">
        <v>97</v>
      </c>
      <c r="O264" s="91" t="s">
        <v>126</v>
      </c>
      <c r="P264" s="95">
        <f t="shared" si="23"/>
        <v>9.3943183920994851E-4</v>
      </c>
      <c r="Q264" s="91" t="s">
        <v>97</v>
      </c>
      <c r="S264" s="91" t="s">
        <v>89</v>
      </c>
      <c r="T264" s="91">
        <v>444</v>
      </c>
      <c r="U264" s="91" t="s">
        <v>97</v>
      </c>
      <c r="V264" s="91" t="s">
        <v>102</v>
      </c>
      <c r="W264" s="91">
        <v>3.0000000000000001E-3</v>
      </c>
      <c r="X264" s="91" t="s">
        <v>97</v>
      </c>
      <c r="Y264" s="91" t="s">
        <v>114</v>
      </c>
      <c r="Z264" s="95">
        <f t="shared" si="24"/>
        <v>0.94843963108781471</v>
      </c>
      <c r="AA264" s="91" t="s">
        <v>97</v>
      </c>
      <c r="AB264" s="91" t="s">
        <v>126</v>
      </c>
      <c r="AC264" s="95">
        <f t="shared" si="25"/>
        <v>4.8728100540826862E-3</v>
      </c>
      <c r="AD264" s="91" t="s">
        <v>97</v>
      </c>
      <c r="AF264" s="108" t="s">
        <v>88</v>
      </c>
      <c r="AG264" s="91">
        <v>444</v>
      </c>
      <c r="AH264" s="91" t="s">
        <v>97</v>
      </c>
      <c r="AI264" s="108" t="s">
        <v>101</v>
      </c>
      <c r="AJ264" s="91">
        <v>3.0000000000000001E-3</v>
      </c>
      <c r="AK264" s="91" t="s">
        <v>97</v>
      </c>
      <c r="AL264" s="108" t="s">
        <v>113</v>
      </c>
      <c r="AM264" s="95">
        <f t="shared" si="26"/>
        <v>10.678702385694184</v>
      </c>
      <c r="AN264" s="91" t="s">
        <v>97</v>
      </c>
      <c r="AO264" s="108" t="s">
        <v>125</v>
      </c>
      <c r="AP264" s="95">
        <f t="shared" si="27"/>
        <v>0.12557126681256381</v>
      </c>
      <c r="AQ264" s="91" t="s">
        <v>97</v>
      </c>
    </row>
    <row r="265" spans="1:43">
      <c r="A265" s="108"/>
      <c r="B265" s="108" t="s">
        <v>170</v>
      </c>
      <c r="C265" s="11">
        <f t="shared" si="28"/>
        <v>-1.6649600000000001E-3</v>
      </c>
      <c r="D265" s="22">
        <f t="shared" si="29"/>
        <v>6.8777859854839656E-5</v>
      </c>
      <c r="E265" s="91">
        <v>1</v>
      </c>
      <c r="F265" s="91" t="s">
        <v>90</v>
      </c>
      <c r="G265" s="91">
        <v>779</v>
      </c>
      <c r="H265" s="91" t="s">
        <v>97</v>
      </c>
      <c r="I265" s="91" t="s">
        <v>103</v>
      </c>
      <c r="J265" s="91">
        <v>2.3999999999999998E-3</v>
      </c>
      <c r="K265" s="91" t="s">
        <v>97</v>
      </c>
      <c r="L265" s="91" t="s">
        <v>115</v>
      </c>
      <c r="M265" s="95">
        <f t="shared" si="22"/>
        <v>6.1445987654320987E-2</v>
      </c>
      <c r="N265" s="91" t="s">
        <v>97</v>
      </c>
      <c r="O265" s="91" t="s">
        <v>127</v>
      </c>
      <c r="P265" s="95">
        <f t="shared" si="23"/>
        <v>4.2557559250536143E-4</v>
      </c>
      <c r="Q265" s="91" t="s">
        <v>97</v>
      </c>
      <c r="S265" s="91" t="s">
        <v>90</v>
      </c>
      <c r="T265" s="91">
        <v>779</v>
      </c>
      <c r="U265" s="91" t="s">
        <v>97</v>
      </c>
      <c r="V265" s="91" t="s">
        <v>103</v>
      </c>
      <c r="W265" s="91">
        <v>2.3999999999999998E-3</v>
      </c>
      <c r="X265" s="91" t="s">
        <v>97</v>
      </c>
      <c r="Y265" s="91" t="s">
        <v>115</v>
      </c>
      <c r="Z265" s="95">
        <f t="shared" si="24"/>
        <v>0.64337914310665034</v>
      </c>
      <c r="AA265" s="91" t="s">
        <v>97</v>
      </c>
      <c r="AB265" s="91" t="s">
        <v>127</v>
      </c>
      <c r="AC265" s="95">
        <f t="shared" si="25"/>
        <v>3.0915289148643298E-3</v>
      </c>
      <c r="AD265" s="91" t="s">
        <v>97</v>
      </c>
      <c r="AF265" s="108" t="s">
        <v>89</v>
      </c>
      <c r="AG265" s="91">
        <v>779</v>
      </c>
      <c r="AH265" s="91" t="s">
        <v>97</v>
      </c>
      <c r="AI265" s="108" t="s">
        <v>102</v>
      </c>
      <c r="AJ265" s="91">
        <v>2.3999999999999998E-3</v>
      </c>
      <c r="AK265" s="91" t="s">
        <v>97</v>
      </c>
      <c r="AL265" s="108" t="s">
        <v>114</v>
      </c>
      <c r="AM265" s="95">
        <f t="shared" si="26"/>
        <v>10.470645320669799</v>
      </c>
      <c r="AN265" s="91" t="s">
        <v>97</v>
      </c>
      <c r="AO265" s="108" t="s">
        <v>126</v>
      </c>
      <c r="AP265" s="95">
        <f t="shared" si="27"/>
        <v>8.8263895079394999E-2</v>
      </c>
      <c r="AQ265" s="91" t="s">
        <v>97</v>
      </c>
    </row>
    <row r="266" spans="1:43">
      <c r="A266" s="108"/>
      <c r="B266" s="108" t="s">
        <v>170</v>
      </c>
      <c r="C266" s="11">
        <f t="shared" si="28"/>
        <v>8.9155399999999996E-3</v>
      </c>
      <c r="D266" s="22">
        <f t="shared" si="29"/>
        <v>5.2315499902942212E-6</v>
      </c>
      <c r="E266" s="91">
        <v>1</v>
      </c>
      <c r="F266" s="91" t="s">
        <v>91</v>
      </c>
      <c r="G266" s="91">
        <v>867</v>
      </c>
      <c r="H266" s="91" t="s">
        <v>97</v>
      </c>
      <c r="I266" s="91" t="s">
        <v>104</v>
      </c>
      <c r="J266" s="91">
        <v>3.0000000000000001E-3</v>
      </c>
      <c r="K266" s="91" t="s">
        <v>97</v>
      </c>
      <c r="L266" s="91" t="s">
        <v>116</v>
      </c>
      <c r="M266" s="95">
        <f t="shared" si="22"/>
        <v>5.6599858523933025E-2</v>
      </c>
      <c r="N266" s="91" t="s">
        <v>97</v>
      </c>
      <c r="O266" s="91" t="s">
        <v>128</v>
      </c>
      <c r="P266" s="95">
        <f t="shared" si="23"/>
        <v>6.2485617936670586E-4</v>
      </c>
      <c r="Q266" s="91" t="s">
        <v>97</v>
      </c>
      <c r="S266" s="91" t="s">
        <v>91</v>
      </c>
      <c r="T266" s="91">
        <v>867</v>
      </c>
      <c r="U266" s="91" t="s">
        <v>97</v>
      </c>
      <c r="V266" s="91" t="s">
        <v>104</v>
      </c>
      <c r="W266" s="91">
        <v>3.0000000000000001E-3</v>
      </c>
      <c r="X266" s="91" t="s">
        <v>97</v>
      </c>
      <c r="Y266" s="91" t="s">
        <v>116</v>
      </c>
      <c r="Z266" s="95">
        <f t="shared" si="24"/>
        <v>0.58637300924308744</v>
      </c>
      <c r="AA266" s="91" t="s">
        <v>97</v>
      </c>
      <c r="AB266" s="91" t="s">
        <v>128</v>
      </c>
      <c r="AC266" s="95">
        <f t="shared" si="25"/>
        <v>3.6200811164268003E-3</v>
      </c>
      <c r="AD266" s="91" t="s">
        <v>97</v>
      </c>
      <c r="AF266" s="108" t="s">
        <v>90</v>
      </c>
      <c r="AG266" s="91">
        <v>867</v>
      </c>
      <c r="AH266" s="91" t="s">
        <v>97</v>
      </c>
      <c r="AI266" s="108" t="s">
        <v>103</v>
      </c>
      <c r="AJ266" s="91">
        <v>3.0000000000000001E-3</v>
      </c>
      <c r="AK266" s="91" t="s">
        <v>97</v>
      </c>
      <c r="AL266" s="108" t="s">
        <v>115</v>
      </c>
      <c r="AM266" s="95">
        <f t="shared" si="26"/>
        <v>10.359973055323838</v>
      </c>
      <c r="AN266" s="91" t="s">
        <v>97</v>
      </c>
      <c r="AO266" s="108" t="s">
        <v>127</v>
      </c>
      <c r="AP266" s="95">
        <f t="shared" si="27"/>
        <v>0.13104179214846762</v>
      </c>
      <c r="AQ266" s="91" t="s">
        <v>97</v>
      </c>
    </row>
    <row r="267" spans="1:43">
      <c r="A267" s="108"/>
      <c r="B267" s="108" t="s">
        <v>170</v>
      </c>
      <c r="C267" s="11">
        <f t="shared" si="28"/>
        <v>-4.9079800000000002E-3</v>
      </c>
      <c r="D267" s="22">
        <f t="shared" si="29"/>
        <v>1.3308533673763963E-4</v>
      </c>
      <c r="E267" s="91">
        <v>1</v>
      </c>
      <c r="F267" s="91" t="s">
        <v>92</v>
      </c>
      <c r="G267" s="91">
        <v>964</v>
      </c>
      <c r="H267" s="91" t="s">
        <v>97</v>
      </c>
      <c r="I267" s="91" t="s">
        <v>105</v>
      </c>
      <c r="J267" s="91">
        <v>1.7999999999999999E-2</v>
      </c>
      <c r="K267" s="91" t="s">
        <v>97</v>
      </c>
      <c r="L267" s="91" t="s">
        <v>117</v>
      </c>
      <c r="M267" s="95">
        <f t="shared" si="22"/>
        <v>5.3365253077975378E-2</v>
      </c>
      <c r="N267" s="91" t="s">
        <v>97</v>
      </c>
      <c r="O267" s="91" t="s">
        <v>129</v>
      </c>
      <c r="P267" s="95">
        <f t="shared" si="23"/>
        <v>3.6914811724380925E-4</v>
      </c>
      <c r="Q267" s="91" t="s">
        <v>97</v>
      </c>
      <c r="S267" s="91" t="s">
        <v>92</v>
      </c>
      <c r="T267" s="91">
        <v>964</v>
      </c>
      <c r="U267" s="91" t="s">
        <v>97</v>
      </c>
      <c r="V267" s="91" t="s">
        <v>105</v>
      </c>
      <c r="W267" s="91">
        <v>1.7999999999999999E-2</v>
      </c>
      <c r="X267" s="91" t="s">
        <v>97</v>
      </c>
      <c r="Y267" s="91" t="s">
        <v>117</v>
      </c>
      <c r="Z267" s="95">
        <f t="shared" si="24"/>
        <v>0.5605772124756695</v>
      </c>
      <c r="AA267" s="91" t="s">
        <v>97</v>
      </c>
      <c r="AB267" s="91" t="s">
        <v>129</v>
      </c>
      <c r="AC267" s="95">
        <f t="shared" si="25"/>
        <v>2.3954196191590389E-3</v>
      </c>
      <c r="AD267" s="91" t="s">
        <v>97</v>
      </c>
      <c r="AF267" s="108" t="s">
        <v>91</v>
      </c>
      <c r="AG267" s="91">
        <v>964</v>
      </c>
      <c r="AH267" s="91" t="s">
        <v>97</v>
      </c>
      <c r="AI267" s="108" t="s">
        <v>104</v>
      </c>
      <c r="AJ267" s="91">
        <v>1.7999999999999999E-2</v>
      </c>
      <c r="AK267" s="91" t="s">
        <v>97</v>
      </c>
      <c r="AL267" s="108" t="s">
        <v>116</v>
      </c>
      <c r="AM267" s="95">
        <f t="shared" si="26"/>
        <v>10.504535819526131</v>
      </c>
      <c r="AN267" s="91" t="s">
        <v>97</v>
      </c>
      <c r="AO267" s="108" t="s">
        <v>128</v>
      </c>
      <c r="AP267" s="95">
        <f t="shared" si="27"/>
        <v>8.5410267887258459E-2</v>
      </c>
      <c r="AQ267" s="91" t="s">
        <v>97</v>
      </c>
    </row>
    <row r="268" spans="1:43">
      <c r="A268" s="108"/>
      <c r="B268" s="108" t="s">
        <v>170</v>
      </c>
      <c r="C268" s="11">
        <f t="shared" si="28"/>
        <v>-5.32855E-2</v>
      </c>
      <c r="D268" s="22">
        <f t="shared" si="29"/>
        <v>3.5896612517566937E-3</v>
      </c>
      <c r="E268" s="91">
        <v>1</v>
      </c>
      <c r="F268" s="91" t="s">
        <v>93</v>
      </c>
      <c r="G268" s="91">
        <v>1112</v>
      </c>
      <c r="H268" s="91" t="s">
        <v>97</v>
      </c>
      <c r="I268" s="91" t="s">
        <v>106</v>
      </c>
      <c r="J268" s="91">
        <v>3.0000000000000001E-3</v>
      </c>
      <c r="K268" s="91" t="s">
        <v>97</v>
      </c>
      <c r="L268" s="91" t="s">
        <v>118</v>
      </c>
      <c r="M268" s="95">
        <f t="shared" si="22"/>
        <v>4.7977611940298509E-2</v>
      </c>
      <c r="N268" s="91" t="s">
        <v>97</v>
      </c>
      <c r="O268" s="91" t="s">
        <v>130</v>
      </c>
      <c r="P268" s="95">
        <f t="shared" si="23"/>
        <v>3.5168299020506136E-4</v>
      </c>
      <c r="Q268" s="91" t="s">
        <v>97</v>
      </c>
      <c r="S268" s="91" t="s">
        <v>93</v>
      </c>
      <c r="T268" s="91">
        <v>1112</v>
      </c>
      <c r="U268" s="91" t="s">
        <v>97</v>
      </c>
      <c r="V268" s="91" t="s">
        <v>106</v>
      </c>
      <c r="W268" s="91">
        <v>3.0000000000000001E-3</v>
      </c>
      <c r="X268" s="91" t="s">
        <v>97</v>
      </c>
      <c r="Y268" s="91" t="s">
        <v>118</v>
      </c>
      <c r="Z268" s="95">
        <f t="shared" si="24"/>
        <v>0.52824207295159931</v>
      </c>
      <c r="AA268" s="91" t="s">
        <v>97</v>
      </c>
      <c r="AB268" s="91" t="s">
        <v>130</v>
      </c>
      <c r="AC268" s="95">
        <f t="shared" si="25"/>
        <v>2.4637303260037833E-3</v>
      </c>
      <c r="AD268" s="91" t="s">
        <v>97</v>
      </c>
      <c r="AF268" s="108" t="s">
        <v>92</v>
      </c>
      <c r="AG268" s="91">
        <v>1112</v>
      </c>
      <c r="AH268" s="91" t="s">
        <v>97</v>
      </c>
      <c r="AI268" s="108" t="s">
        <v>105</v>
      </c>
      <c r="AJ268" s="91">
        <v>3.0000000000000001E-3</v>
      </c>
      <c r="AK268" s="91" t="s">
        <v>97</v>
      </c>
      <c r="AL268" s="108" t="s">
        <v>117</v>
      </c>
      <c r="AM268" s="95">
        <f t="shared" si="26"/>
        <v>11.010178530955717</v>
      </c>
      <c r="AN268" s="91" t="s">
        <v>97</v>
      </c>
      <c r="AO268" s="108" t="s">
        <v>129</v>
      </c>
      <c r="AP268" s="95">
        <f t="shared" si="27"/>
        <v>9.5658195155849141E-2</v>
      </c>
      <c r="AQ268" s="91" t="s">
        <v>97</v>
      </c>
    </row>
    <row r="269" spans="1:43">
      <c r="A269" s="108"/>
      <c r="B269" s="108" t="s">
        <v>170</v>
      </c>
      <c r="C269" s="11">
        <f t="shared" si="28"/>
        <v>2.8172800000000001E-2</v>
      </c>
      <c r="D269" s="22">
        <f t="shared" si="29"/>
        <v>4.6416626368669429E-4</v>
      </c>
      <c r="E269" s="91">
        <v>1</v>
      </c>
      <c r="F269" s="91" t="s">
        <v>94</v>
      </c>
      <c r="G269" s="91">
        <v>1213</v>
      </c>
      <c r="H269" s="91" t="s">
        <v>97</v>
      </c>
      <c r="I269" s="91" t="s">
        <v>107</v>
      </c>
      <c r="J269" s="91">
        <v>1.1000000000000001E-3</v>
      </c>
      <c r="K269" s="91" t="s">
        <v>97</v>
      </c>
      <c r="L269" s="91" t="s">
        <v>119</v>
      </c>
      <c r="M269" s="95">
        <f t="shared" si="22"/>
        <v>4.6254416961130744E-2</v>
      </c>
      <c r="N269" s="91" t="s">
        <v>97</v>
      </c>
      <c r="O269" s="91" t="s">
        <v>131</v>
      </c>
      <c r="P269" s="95">
        <f t="shared" si="23"/>
        <v>9.5163957751756578E-4</v>
      </c>
      <c r="Q269" s="91" t="s">
        <v>97</v>
      </c>
      <c r="S269" s="91" t="s">
        <v>94</v>
      </c>
      <c r="T269" s="91">
        <v>1213</v>
      </c>
      <c r="U269" s="91" t="s">
        <v>97</v>
      </c>
      <c r="V269" s="91" t="s">
        <v>107</v>
      </c>
      <c r="W269" s="91">
        <v>1.1000000000000001E-3</v>
      </c>
      <c r="X269" s="91" t="s">
        <v>97</v>
      </c>
      <c r="Y269" s="91" t="s">
        <v>119</v>
      </c>
      <c r="Z269" s="95">
        <f t="shared" si="24"/>
        <v>0.46988647915916198</v>
      </c>
      <c r="AA269" s="91" t="s">
        <v>97</v>
      </c>
      <c r="AB269" s="91" t="s">
        <v>131</v>
      </c>
      <c r="AC269" s="95">
        <f t="shared" si="25"/>
        <v>4.2386333834145973E-3</v>
      </c>
      <c r="AD269" s="91" t="s">
        <v>97</v>
      </c>
      <c r="AF269" s="108" t="s">
        <v>93</v>
      </c>
      <c r="AG269" s="91">
        <v>1213</v>
      </c>
      <c r="AH269" s="91" t="s">
        <v>97</v>
      </c>
      <c r="AI269" s="108" t="s">
        <v>106</v>
      </c>
      <c r="AJ269" s="91">
        <v>1.1000000000000001E-3</v>
      </c>
      <c r="AK269" s="91" t="s">
        <v>97</v>
      </c>
      <c r="AL269" s="108" t="s">
        <v>118</v>
      </c>
      <c r="AM269" s="95">
        <f t="shared" si="26"/>
        <v>10.158737479147657</v>
      </c>
      <c r="AN269" s="91" t="s">
        <v>97</v>
      </c>
      <c r="AO269" s="108" t="s">
        <v>130</v>
      </c>
      <c r="AP269" s="95">
        <f t="shared" si="27"/>
        <v>0.22821255579032998</v>
      </c>
      <c r="AQ269" s="91" t="s">
        <v>97</v>
      </c>
    </row>
    <row r="270" spans="1:43">
      <c r="A270" s="108"/>
      <c r="B270" s="108" t="s">
        <v>170</v>
      </c>
      <c r="C270" s="11">
        <f t="shared" si="28"/>
        <v>6.0335199999999999E-2</v>
      </c>
      <c r="D270" s="22">
        <f t="shared" si="29"/>
        <v>2.8844330605885126E-3</v>
      </c>
      <c r="E270" s="91">
        <v>1</v>
      </c>
      <c r="F270" s="91" t="s">
        <v>95</v>
      </c>
      <c r="G270" s="91">
        <v>1299</v>
      </c>
      <c r="H270" s="91" t="s">
        <v>97</v>
      </c>
      <c r="I270" s="91" t="s">
        <v>108</v>
      </c>
      <c r="J270" s="91">
        <v>8.0000000000000002E-3</v>
      </c>
      <c r="K270" s="91" t="s">
        <v>97</v>
      </c>
      <c r="L270" s="91" t="s">
        <v>120</v>
      </c>
      <c r="M270" s="95">
        <f t="shared" si="22"/>
        <v>4.3964460784313729E-2</v>
      </c>
      <c r="N270" s="91" t="s">
        <v>97</v>
      </c>
      <c r="O270" s="91" t="s">
        <v>132</v>
      </c>
      <c r="P270" s="95">
        <f t="shared" si="23"/>
        <v>7.8773428562151191E-4</v>
      </c>
      <c r="Q270" s="91" t="s">
        <v>97</v>
      </c>
      <c r="S270" s="91" t="s">
        <v>95</v>
      </c>
      <c r="T270" s="91">
        <v>1299</v>
      </c>
      <c r="U270" s="91" t="s">
        <v>97</v>
      </c>
      <c r="V270" s="91" t="s">
        <v>108</v>
      </c>
      <c r="W270" s="91">
        <v>8.0000000000000002E-3</v>
      </c>
      <c r="X270" s="91" t="s">
        <v>97</v>
      </c>
      <c r="Y270" s="91" t="s">
        <v>120</v>
      </c>
      <c r="Z270" s="95">
        <f t="shared" si="24"/>
        <v>0.43183941135436038</v>
      </c>
      <c r="AA270" s="91" t="s">
        <v>97</v>
      </c>
      <c r="AB270" s="91" t="s">
        <v>132</v>
      </c>
      <c r="AC270" s="95">
        <f t="shared" si="25"/>
        <v>3.2346388771444558E-3</v>
      </c>
      <c r="AD270" s="91" t="s">
        <v>97</v>
      </c>
      <c r="AF270" s="108" t="s">
        <v>94</v>
      </c>
      <c r="AG270" s="91">
        <v>1299</v>
      </c>
      <c r="AH270" s="91" t="s">
        <v>97</v>
      </c>
      <c r="AI270" s="108" t="s">
        <v>107</v>
      </c>
      <c r="AJ270" s="91">
        <v>8.0000000000000002E-3</v>
      </c>
      <c r="AK270" s="91" t="s">
        <v>97</v>
      </c>
      <c r="AL270" s="108" t="s">
        <v>119</v>
      </c>
      <c r="AM270" s="95">
        <f t="shared" si="26"/>
        <v>9.8224657746385517</v>
      </c>
      <c r="AN270" s="91" t="s">
        <v>97</v>
      </c>
      <c r="AO270" s="108" t="s">
        <v>131</v>
      </c>
      <c r="AP270" s="95">
        <f t="shared" si="27"/>
        <v>0.19075405021647288</v>
      </c>
      <c r="AQ270" s="91" t="s">
        <v>97</v>
      </c>
    </row>
    <row r="271" spans="1:43">
      <c r="A271" s="108"/>
      <c r="B271" s="108" t="s">
        <v>170</v>
      </c>
      <c r="C271" s="11">
        <f>D257</f>
        <v>-2.5361100000000001E-2</v>
      </c>
      <c r="D271" s="22">
        <f t="shared" si="29"/>
        <v>1.0233205491094214E-3</v>
      </c>
      <c r="E271" s="91">
        <v>1</v>
      </c>
      <c r="F271" s="91" t="s">
        <v>96</v>
      </c>
      <c r="G271" s="91">
        <v>1408</v>
      </c>
      <c r="H271" s="91" t="s">
        <v>97</v>
      </c>
      <c r="I271" s="91" t="s">
        <v>109</v>
      </c>
      <c r="J271" s="91">
        <v>3.0000000000000001E-3</v>
      </c>
      <c r="K271" s="91" t="s">
        <v>97</v>
      </c>
      <c r="L271" s="91" t="s">
        <v>121</v>
      </c>
      <c r="M271" s="95">
        <f t="shared" si="22"/>
        <v>4.0843645083932852E-2</v>
      </c>
      <c r="N271" s="91" t="s">
        <v>97</v>
      </c>
      <c r="O271" s="91" t="s">
        <v>133</v>
      </c>
      <c r="P271" s="95">
        <f t="shared" si="23"/>
        <v>2.728768562615433E-4</v>
      </c>
      <c r="Q271" s="91" t="s">
        <v>97</v>
      </c>
      <c r="S271" s="91" t="s">
        <v>96</v>
      </c>
      <c r="T271" s="91">
        <v>1408</v>
      </c>
      <c r="U271" s="91" t="s">
        <v>97</v>
      </c>
      <c r="V271" s="91" t="s">
        <v>109</v>
      </c>
      <c r="W271" s="91">
        <v>3.0000000000000001E-3</v>
      </c>
      <c r="X271" s="91" t="s">
        <v>97</v>
      </c>
      <c r="Y271" s="91" t="s">
        <v>121</v>
      </c>
      <c r="Z271" s="95">
        <f t="shared" si="24"/>
        <v>0.43777621802522848</v>
      </c>
      <c r="AA271" s="91" t="s">
        <v>97</v>
      </c>
      <c r="AB271" s="91" t="s">
        <v>133</v>
      </c>
      <c r="AC271" s="95">
        <f t="shared" si="25"/>
        <v>1.947178071131452E-3</v>
      </c>
      <c r="AD271" s="91" t="s">
        <v>97</v>
      </c>
      <c r="AF271" s="108" t="s">
        <v>95</v>
      </c>
      <c r="AG271" s="91">
        <v>1408</v>
      </c>
      <c r="AH271" s="91" t="s">
        <v>97</v>
      </c>
      <c r="AI271" s="108" t="s">
        <v>108</v>
      </c>
      <c r="AJ271" s="91">
        <v>3.0000000000000001E-3</v>
      </c>
      <c r="AK271" s="91" t="s">
        <v>97</v>
      </c>
      <c r="AL271" s="108" t="s">
        <v>120</v>
      </c>
      <c r="AM271" s="95">
        <f t="shared" si="26"/>
        <v>10.718343505473308</v>
      </c>
      <c r="AN271" s="91" t="s">
        <v>97</v>
      </c>
      <c r="AO271" s="108" t="s">
        <v>132</v>
      </c>
      <c r="AP271" s="95">
        <f t="shared" si="27"/>
        <v>8.6027370360659591E-2</v>
      </c>
      <c r="AQ271" s="91" t="s">
        <v>97</v>
      </c>
    </row>
    <row r="272" spans="1:43">
      <c r="A272" s="108"/>
      <c r="B272" s="108"/>
      <c r="C272" s="108"/>
      <c r="D272" s="108"/>
      <c r="AF272" s="108" t="s">
        <v>96</v>
      </c>
      <c r="AI272" s="108" t="s">
        <v>109</v>
      </c>
      <c r="AL272" s="108" t="s">
        <v>121</v>
      </c>
      <c r="AO272" s="108" t="s">
        <v>133</v>
      </c>
    </row>
    <row r="273" spans="1:37">
      <c r="A273" s="108"/>
      <c r="B273" s="108"/>
      <c r="C273" s="75" t="s">
        <v>173</v>
      </c>
      <c r="D273" s="83">
        <f>SQRT((1/D259)*SUM(D261:D271))</f>
        <v>3.0975456187102193E-2</v>
      </c>
      <c r="G273" s="91" t="s">
        <v>163</v>
      </c>
      <c r="T273" s="91" t="s">
        <v>166</v>
      </c>
      <c r="AG273" s="91" t="s">
        <v>166</v>
      </c>
    </row>
    <row r="274" spans="1:37">
      <c r="A274" s="108"/>
      <c r="B274" s="108"/>
      <c r="C274" s="108"/>
      <c r="D274" s="11"/>
      <c r="H274" s="29" t="str">
        <f t="shared" ref="H274:H285" si="30">F260&amp;G260&amp;H260</f>
        <v>energy[0][0]=122;</v>
      </c>
      <c r="I274" s="29" t="str">
        <f t="shared" ref="I274:I285" si="31">I260&amp;J260&amp;K260</f>
        <v>energyerr[0][0]=0.0003;</v>
      </c>
      <c r="J274" s="29" t="str">
        <f t="shared" ref="J274:J285" si="32">L260&amp;TEXT(ROUND(M260,4),"0.0000")&amp;N260</f>
        <v>eff[0][0]=0.1640;</v>
      </c>
      <c r="K274" s="29" t="str">
        <f t="shared" ref="K274:K285" si="33">O260&amp;TEXT(ROUND(P260,4),"0.0000")&amp;Q260</f>
        <v>efferr[0][0]=0.0008;</v>
      </c>
      <c r="U274" s="29" t="str">
        <f t="shared" ref="U274:U285" si="34">S260&amp;T260&amp;U260</f>
        <v>energy[0][0]=122;</v>
      </c>
      <c r="V274" s="29" t="str">
        <f t="shared" ref="V274:V285" si="35">V260&amp;W260&amp;X260</f>
        <v>energyerr[0][0]=0.0003;</v>
      </c>
      <c r="W274" s="29" t="str">
        <f t="shared" ref="W274:W285" si="36">Y260&amp;TEXT(ROUND(Z260,4),"0.0000")&amp;AA260</f>
        <v>eff[0][0]=1.9292;</v>
      </c>
      <c r="X274" s="29" t="str">
        <f t="shared" ref="X274:X285" si="37">AB260&amp;TEXT(ROUND(AC260,4),"0.0000")&amp;AD260</f>
        <v>efferr[0][0]=0.0089;</v>
      </c>
      <c r="AH274" s="26" t="str">
        <f t="shared" ref="AH274:AH285" si="38">AF260&amp;AG260&amp;AH260</f>
        <v>energy[0][0]=122;</v>
      </c>
      <c r="AI274" s="26" t="str">
        <f t="shared" ref="AI274:AI285" si="39">AI260&amp;AJ260&amp;AK260</f>
        <v>energyerr[0][0]=0.0003;</v>
      </c>
      <c r="AJ274" s="26" t="str">
        <f t="shared" ref="AJ274:AJ285" si="40">AL260&amp;TEXT(ROUND(AM260,4),"0.0000")&amp;AN260</f>
        <v>eff[0][0]=11.7603;</v>
      </c>
      <c r="AK274" s="26" t="str">
        <f t="shared" ref="AK274:AK285" si="41">AO260&amp;TEXT(ROUND(AP260,4),"0.0000")&amp;AQ260</f>
        <v>efferr[0][0]=0.0806;</v>
      </c>
    </row>
    <row r="275" spans="1:37">
      <c r="H275" s="29" t="str">
        <f t="shared" si="30"/>
        <v>energy[0][1]=245;</v>
      </c>
      <c r="I275" s="29" t="str">
        <f t="shared" si="31"/>
        <v>energyerr[0][1]=0.0008;</v>
      </c>
      <c r="J275" s="29" t="str">
        <f t="shared" si="32"/>
        <v>eff[0][1]=0.1400;</v>
      </c>
      <c r="K275" s="29" t="str">
        <f t="shared" si="33"/>
        <v>efferr[0][1]=0.0009;</v>
      </c>
      <c r="U275" s="29" t="str">
        <f t="shared" si="34"/>
        <v>energy[0][1]=245;</v>
      </c>
      <c r="V275" s="29" t="str">
        <f t="shared" si="35"/>
        <v>energyerr[0][1]=0.0008;</v>
      </c>
      <c r="W275" s="29" t="str">
        <f t="shared" si="36"/>
        <v>eff[0][1]=1.4224;</v>
      </c>
      <c r="X275" s="29" t="str">
        <f t="shared" si="37"/>
        <v>efferr[0][1]=0.0078;</v>
      </c>
      <c r="AH275" s="26" t="str">
        <f t="shared" si="38"/>
        <v>energy[0][0]=245;</v>
      </c>
      <c r="AI275" s="26" t="str">
        <f t="shared" si="39"/>
        <v>energyerr[0][0]=0.0008;</v>
      </c>
      <c r="AJ275" s="26" t="str">
        <f t="shared" si="40"/>
        <v>eff[0][0]=10.1612;</v>
      </c>
      <c r="AK275" s="26" t="str">
        <f t="shared" si="41"/>
        <v>efferr[0][0]=0.0872;</v>
      </c>
    </row>
    <row r="276" spans="1:37">
      <c r="H276" s="29" t="str">
        <f t="shared" si="30"/>
        <v>energy[0][2]=344;</v>
      </c>
      <c r="I276" s="29" t="str">
        <f t="shared" si="31"/>
        <v>energyerr[0][2]=0.0012;</v>
      </c>
      <c r="J276" s="29" t="str">
        <f t="shared" si="32"/>
        <v>eff[0][2]=0.1102;</v>
      </c>
      <c r="K276" s="29" t="str">
        <f t="shared" si="33"/>
        <v>efferr[0][2]=0.0006;</v>
      </c>
      <c r="U276" s="29" t="str">
        <f t="shared" si="34"/>
        <v>energy[0][2]=344;</v>
      </c>
      <c r="V276" s="29" t="str">
        <f t="shared" si="35"/>
        <v>energyerr[0][2]=0.0012;</v>
      </c>
      <c r="W276" s="29" t="str">
        <f t="shared" si="36"/>
        <v>eff[0][2]=1.1348;</v>
      </c>
      <c r="X276" s="29" t="str">
        <f t="shared" si="37"/>
        <v>efferr[0][2]=0.0052;</v>
      </c>
      <c r="AH276" s="26" t="str">
        <f t="shared" si="38"/>
        <v>energy[0][1]=344;</v>
      </c>
      <c r="AI276" s="26" t="str">
        <f t="shared" si="39"/>
        <v>energyerr[0][1]=0.0012;</v>
      </c>
      <c r="AJ276" s="26" t="str">
        <f t="shared" si="40"/>
        <v>eff[0][1]=10.2955;</v>
      </c>
      <c r="AK276" s="26" t="str">
        <f t="shared" si="41"/>
        <v>efferr[0][1]=0.0720;</v>
      </c>
    </row>
    <row r="277" spans="1:37">
      <c r="H277" s="29" t="str">
        <f t="shared" si="30"/>
        <v>energy[0][3]=411;</v>
      </c>
      <c r="I277" s="29" t="str">
        <f t="shared" si="31"/>
        <v>energyerr[0][3]=0.0012;</v>
      </c>
      <c r="J277" s="29" t="str">
        <f t="shared" si="32"/>
        <v>eff[0][3]=0.0954;</v>
      </c>
      <c r="K277" s="29" t="str">
        <f t="shared" si="33"/>
        <v>efferr[0][3]=0.0012;</v>
      </c>
      <c r="U277" s="29" t="str">
        <f t="shared" si="34"/>
        <v>energy[0][3]=411;</v>
      </c>
      <c r="V277" s="29" t="str">
        <f t="shared" si="35"/>
        <v>energyerr[0][3]=0.0012;</v>
      </c>
      <c r="W277" s="29" t="str">
        <f t="shared" si="36"/>
        <v>eff[0][3]=0.9582;</v>
      </c>
      <c r="X277" s="29" t="str">
        <f t="shared" si="37"/>
        <v>efferr[0][3]=0.0052;</v>
      </c>
      <c r="AH277" s="26" t="str">
        <f t="shared" si="38"/>
        <v>energy[0][2]=411;</v>
      </c>
      <c r="AI277" s="26" t="str">
        <f t="shared" si="39"/>
        <v>energyerr[0][2]=0.0012;</v>
      </c>
      <c r="AJ277" s="26" t="str">
        <f t="shared" si="40"/>
        <v>eff[0][2]=10.0428;</v>
      </c>
      <c r="AK277" s="26" t="str">
        <f t="shared" si="41"/>
        <v>efferr[0][2]=0.1336;</v>
      </c>
    </row>
    <row r="278" spans="1:37">
      <c r="H278" s="29" t="str">
        <f t="shared" si="30"/>
        <v>energy[0][4]=444;</v>
      </c>
      <c r="I278" s="29" t="str">
        <f t="shared" si="31"/>
        <v>energyerr[0][4]=0.003;</v>
      </c>
      <c r="J278" s="29" t="str">
        <f t="shared" si="32"/>
        <v>eff[0][4]=0.0888;</v>
      </c>
      <c r="K278" s="29" t="str">
        <f t="shared" si="33"/>
        <v>efferr[0][4]=0.0009;</v>
      </c>
      <c r="U278" s="29" t="str">
        <f t="shared" si="34"/>
        <v>energy[0][4]=444;</v>
      </c>
      <c r="V278" s="29" t="str">
        <f t="shared" si="35"/>
        <v>energyerr[0][4]=0.003;</v>
      </c>
      <c r="W278" s="29" t="str">
        <f t="shared" si="36"/>
        <v>eff[0][4]=0.9484;</v>
      </c>
      <c r="X278" s="29" t="str">
        <f t="shared" si="37"/>
        <v>efferr[0][4]=0.0049;</v>
      </c>
      <c r="AH278" s="26" t="str">
        <f t="shared" si="38"/>
        <v>energy[0][3]=444;</v>
      </c>
      <c r="AI278" s="26" t="str">
        <f t="shared" si="39"/>
        <v>energyerr[0][3]=0.003;</v>
      </c>
      <c r="AJ278" s="26" t="str">
        <f t="shared" si="40"/>
        <v>eff[0][3]=10.6787;</v>
      </c>
      <c r="AK278" s="26" t="str">
        <f t="shared" si="41"/>
        <v>efferr[0][3]=0.1256;</v>
      </c>
    </row>
    <row r="279" spans="1:37">
      <c r="H279" s="29" t="str">
        <f t="shared" si="30"/>
        <v>energy[0][5]=779;</v>
      </c>
      <c r="I279" s="29" t="str">
        <f t="shared" si="31"/>
        <v>energyerr[0][5]=0.0024;</v>
      </c>
      <c r="J279" s="29" t="str">
        <f t="shared" si="32"/>
        <v>eff[0][5]=0.0614;</v>
      </c>
      <c r="K279" s="29" t="str">
        <f t="shared" si="33"/>
        <v>efferr[0][5]=0.0004;</v>
      </c>
      <c r="U279" s="29" t="str">
        <f t="shared" si="34"/>
        <v>energy[0][5]=779;</v>
      </c>
      <c r="V279" s="29" t="str">
        <f t="shared" si="35"/>
        <v>energyerr[0][5]=0.0024;</v>
      </c>
      <c r="W279" s="29" t="str">
        <f t="shared" si="36"/>
        <v>eff[0][5]=0.6434;</v>
      </c>
      <c r="X279" s="29" t="str">
        <f t="shared" si="37"/>
        <v>efferr[0][5]=0.0031;</v>
      </c>
      <c r="AH279" s="26" t="str">
        <f t="shared" si="38"/>
        <v>energy[0][4]=779;</v>
      </c>
      <c r="AI279" s="26" t="str">
        <f t="shared" si="39"/>
        <v>energyerr[0][4]=0.0024;</v>
      </c>
      <c r="AJ279" s="26" t="str">
        <f t="shared" si="40"/>
        <v>eff[0][4]=10.4706;</v>
      </c>
      <c r="AK279" s="26" t="str">
        <f t="shared" si="41"/>
        <v>efferr[0][4]=0.0883;</v>
      </c>
    </row>
    <row r="280" spans="1:37">
      <c r="H280" s="29" t="str">
        <f t="shared" si="30"/>
        <v>energy[0][6]=867;</v>
      </c>
      <c r="I280" s="29" t="str">
        <f t="shared" si="31"/>
        <v>energyerr[0][6]=0.003;</v>
      </c>
      <c r="J280" s="29" t="str">
        <f t="shared" si="32"/>
        <v>eff[0][6]=0.0566;</v>
      </c>
      <c r="K280" s="29" t="str">
        <f t="shared" si="33"/>
        <v>efferr[0][6]=0.0006;</v>
      </c>
      <c r="U280" s="29" t="str">
        <f t="shared" si="34"/>
        <v>energy[0][6]=867;</v>
      </c>
      <c r="V280" s="29" t="str">
        <f t="shared" si="35"/>
        <v>energyerr[0][6]=0.003;</v>
      </c>
      <c r="W280" s="29" t="str">
        <f t="shared" si="36"/>
        <v>eff[0][6]=0.5864;</v>
      </c>
      <c r="X280" s="29" t="str">
        <f t="shared" si="37"/>
        <v>efferr[0][6]=0.0036;</v>
      </c>
      <c r="AH280" s="26" t="str">
        <f t="shared" si="38"/>
        <v>energy[0][5]=867;</v>
      </c>
      <c r="AI280" s="26" t="str">
        <f t="shared" si="39"/>
        <v>energyerr[0][5]=0.003;</v>
      </c>
      <c r="AJ280" s="26" t="str">
        <f t="shared" si="40"/>
        <v>eff[0][5]=10.3600;</v>
      </c>
      <c r="AK280" s="26" t="str">
        <f t="shared" si="41"/>
        <v>efferr[0][5]=0.1310;</v>
      </c>
    </row>
    <row r="281" spans="1:37">
      <c r="H281" s="29" t="str">
        <f t="shared" si="30"/>
        <v>energy[0][7]=964;</v>
      </c>
      <c r="I281" s="29" t="str">
        <f t="shared" si="31"/>
        <v>energyerr[0][7]=0.018;</v>
      </c>
      <c r="J281" s="29" t="str">
        <f t="shared" si="32"/>
        <v>eff[0][7]=0.0534;</v>
      </c>
      <c r="K281" s="29" t="str">
        <f t="shared" si="33"/>
        <v>efferr[0][7]=0.0004;</v>
      </c>
      <c r="U281" s="29" t="str">
        <f t="shared" si="34"/>
        <v>energy[0][7]=964;</v>
      </c>
      <c r="V281" s="29" t="str">
        <f t="shared" si="35"/>
        <v>energyerr[0][7]=0.018;</v>
      </c>
      <c r="W281" s="29" t="str">
        <f t="shared" si="36"/>
        <v>eff[0][7]=0.5606;</v>
      </c>
      <c r="X281" s="29" t="str">
        <f t="shared" si="37"/>
        <v>efferr[0][7]=0.0024;</v>
      </c>
      <c r="AH281" s="26" t="str">
        <f t="shared" si="38"/>
        <v>energy[0][6]=964;</v>
      </c>
      <c r="AI281" s="26" t="str">
        <f t="shared" si="39"/>
        <v>energyerr[0][6]=0.018;</v>
      </c>
      <c r="AJ281" s="26" t="str">
        <f t="shared" si="40"/>
        <v>eff[0][6]=10.5045;</v>
      </c>
      <c r="AK281" s="26" t="str">
        <f t="shared" si="41"/>
        <v>efferr[0][6]=0.0854;</v>
      </c>
    </row>
    <row r="282" spans="1:37">
      <c r="H282" s="29" t="str">
        <f t="shared" si="30"/>
        <v>energy[0][8]=1112;</v>
      </c>
      <c r="I282" s="29" t="str">
        <f t="shared" si="31"/>
        <v>energyerr[0][8]=0.003;</v>
      </c>
      <c r="J282" s="29" t="str">
        <f t="shared" si="32"/>
        <v>eff[0][8]=0.0480;</v>
      </c>
      <c r="K282" s="29" t="str">
        <f t="shared" si="33"/>
        <v>efferr[0][8]=0.0004;</v>
      </c>
      <c r="U282" s="29" t="str">
        <f t="shared" si="34"/>
        <v>energy[0][8]=1112;</v>
      </c>
      <c r="V282" s="29" t="str">
        <f t="shared" si="35"/>
        <v>energyerr[0][8]=0.003;</v>
      </c>
      <c r="W282" s="29" t="str">
        <f t="shared" si="36"/>
        <v>eff[0][8]=0.5282;</v>
      </c>
      <c r="X282" s="29" t="str">
        <f t="shared" si="37"/>
        <v>efferr[0][8]=0.0025;</v>
      </c>
      <c r="AH282" s="26" t="str">
        <f t="shared" si="38"/>
        <v>energy[0][7]=1112;</v>
      </c>
      <c r="AI282" s="26" t="str">
        <f t="shared" si="39"/>
        <v>energyerr[0][7]=0.003;</v>
      </c>
      <c r="AJ282" s="26" t="str">
        <f t="shared" si="40"/>
        <v>eff[0][7]=11.0102;</v>
      </c>
      <c r="AK282" s="26" t="str">
        <f t="shared" si="41"/>
        <v>efferr[0][7]=0.0957;</v>
      </c>
    </row>
    <row r="283" spans="1:37">
      <c r="H283" s="29" t="str">
        <f t="shared" si="30"/>
        <v>energy[0][9]=1213;</v>
      </c>
      <c r="I283" s="29" t="str">
        <f t="shared" si="31"/>
        <v>energyerr[0][9]=0.0011;</v>
      </c>
      <c r="J283" s="29" t="str">
        <f t="shared" si="32"/>
        <v>eff[0][9]=0.0463;</v>
      </c>
      <c r="K283" s="29" t="str">
        <f t="shared" si="33"/>
        <v>efferr[0][9]=0.0010;</v>
      </c>
      <c r="U283" s="29" t="str">
        <f t="shared" si="34"/>
        <v>energy[0][9]=1213;</v>
      </c>
      <c r="V283" s="29" t="str">
        <f t="shared" si="35"/>
        <v>energyerr[0][9]=0.0011;</v>
      </c>
      <c r="W283" s="29" t="str">
        <f t="shared" si="36"/>
        <v>eff[0][9]=0.4699;</v>
      </c>
      <c r="X283" s="29" t="str">
        <f t="shared" si="37"/>
        <v>efferr[0][9]=0.0042;</v>
      </c>
      <c r="AH283" s="26" t="str">
        <f t="shared" si="38"/>
        <v>energy[0][8]=1213;</v>
      </c>
      <c r="AI283" s="26" t="str">
        <f t="shared" si="39"/>
        <v>energyerr[0][8]=0.0011;</v>
      </c>
      <c r="AJ283" s="26" t="str">
        <f t="shared" si="40"/>
        <v>eff[0][8]=10.1587;</v>
      </c>
      <c r="AK283" s="26" t="str">
        <f t="shared" si="41"/>
        <v>efferr[0][8]=0.2282;</v>
      </c>
    </row>
    <row r="284" spans="1:37">
      <c r="H284" s="29" t="str">
        <f t="shared" si="30"/>
        <v>energy[0][10]=1299;</v>
      </c>
      <c r="I284" s="29" t="str">
        <f t="shared" si="31"/>
        <v>energyerr[0][10]=0.008;</v>
      </c>
      <c r="J284" s="29" t="str">
        <f t="shared" si="32"/>
        <v>eff[0][10]=0.0440;</v>
      </c>
      <c r="K284" s="29" t="str">
        <f t="shared" si="33"/>
        <v>efferr[0][10]=0.0008;</v>
      </c>
      <c r="U284" s="29" t="str">
        <f t="shared" si="34"/>
        <v>energy[0][10]=1299;</v>
      </c>
      <c r="V284" s="29" t="str">
        <f t="shared" si="35"/>
        <v>energyerr[0][10]=0.008;</v>
      </c>
      <c r="W284" s="29" t="str">
        <f t="shared" si="36"/>
        <v>eff[0][10]=0.4318;</v>
      </c>
      <c r="X284" s="29" t="str">
        <f t="shared" si="37"/>
        <v>efferr[0][10]=0.0032;</v>
      </c>
      <c r="AH284" s="26" t="str">
        <f t="shared" si="38"/>
        <v>energy[0][9]=1299;</v>
      </c>
      <c r="AI284" s="26" t="str">
        <f t="shared" si="39"/>
        <v>energyerr[0][9]=0.008;</v>
      </c>
      <c r="AJ284" s="26" t="str">
        <f t="shared" si="40"/>
        <v>eff[0][9]=9.8225;</v>
      </c>
      <c r="AK284" s="26" t="str">
        <f t="shared" si="41"/>
        <v>efferr[0][9]=0.1908;</v>
      </c>
    </row>
    <row r="285" spans="1:37">
      <c r="H285" s="29" t="str">
        <f t="shared" si="30"/>
        <v>energy[0][11]=1408;</v>
      </c>
      <c r="I285" s="29" t="str">
        <f t="shared" si="31"/>
        <v>energyerr[0][11]=0.003;</v>
      </c>
      <c r="J285" s="29" t="str">
        <f t="shared" si="32"/>
        <v>eff[0][11]=0.0408;</v>
      </c>
      <c r="K285" s="29" t="str">
        <f t="shared" si="33"/>
        <v>efferr[0][11]=0.0003;</v>
      </c>
      <c r="U285" s="29" t="str">
        <f t="shared" si="34"/>
        <v>energy[0][11]=1408;</v>
      </c>
      <c r="V285" s="29" t="str">
        <f t="shared" si="35"/>
        <v>energyerr[0][11]=0.003;</v>
      </c>
      <c r="W285" s="29" t="str">
        <f t="shared" si="36"/>
        <v>eff[0][11]=0.4378;</v>
      </c>
      <c r="X285" s="29" t="str">
        <f t="shared" si="37"/>
        <v>efferr[0][11]=0.0019;</v>
      </c>
      <c r="AH285" s="26" t="str">
        <f t="shared" si="38"/>
        <v>energy[0][10]=1408;</v>
      </c>
      <c r="AI285" s="26" t="str">
        <f t="shared" si="39"/>
        <v>energyerr[0][10]=0.003;</v>
      </c>
      <c r="AJ285" s="26" t="str">
        <f t="shared" si="40"/>
        <v>eff[0][10]=10.7183;</v>
      </c>
      <c r="AK285" s="26" t="str">
        <f t="shared" si="41"/>
        <v>efferr[0][10]=0.0860;</v>
      </c>
    </row>
    <row r="287" spans="1:37">
      <c r="G287" s="91" t="s">
        <v>162</v>
      </c>
      <c r="J287" s="91" t="s">
        <v>165</v>
      </c>
    </row>
    <row r="288" spans="1:37">
      <c r="G288" s="72" t="s">
        <v>7</v>
      </c>
      <c r="H288" s="72" t="s">
        <v>134</v>
      </c>
      <c r="I288" s="72"/>
      <c r="J288" s="72"/>
      <c r="K288" s="72"/>
      <c r="L288" s="72"/>
    </row>
    <row r="289" spans="7:12">
      <c r="G289" s="72" t="s">
        <v>135</v>
      </c>
      <c r="H289" s="72">
        <v>4.8474857999999997E-4</v>
      </c>
      <c r="I289" s="72" t="s">
        <v>4</v>
      </c>
      <c r="J289" s="98">
        <v>2.4690414999999999E-7</v>
      </c>
      <c r="K289" s="72"/>
      <c r="L289" s="72"/>
    </row>
    <row r="290" spans="7:12">
      <c r="G290" s="72" t="s">
        <v>136</v>
      </c>
      <c r="H290" s="72">
        <v>-1.1833849E-2</v>
      </c>
      <c r="I290" s="72" t="s">
        <v>4</v>
      </c>
      <c r="J290" s="98">
        <v>1.9785985000000001E-6</v>
      </c>
      <c r="K290" s="72"/>
      <c r="L290" s="72"/>
    </row>
    <row r="291" spans="7:12">
      <c r="G291" s="72" t="s">
        <v>137</v>
      </c>
      <c r="H291" s="72">
        <v>0.11890120999999999</v>
      </c>
      <c r="I291" s="72" t="s">
        <v>4</v>
      </c>
      <c r="J291" s="98">
        <v>1.412506E-5</v>
      </c>
      <c r="K291" s="72"/>
      <c r="L291" s="72"/>
    </row>
    <row r="292" spans="7:12">
      <c r="G292" s="72" t="s">
        <v>138</v>
      </c>
      <c r="H292" s="72">
        <v>-0.61311338000000004</v>
      </c>
      <c r="I292" s="72" t="s">
        <v>4</v>
      </c>
      <c r="J292" s="98">
        <v>9.4004611000000001E-5</v>
      </c>
      <c r="K292" s="72"/>
      <c r="L292" s="72"/>
    </row>
    <row r="293" spans="7:12">
      <c r="G293" s="72" t="s">
        <v>139</v>
      </c>
      <c r="H293" s="72">
        <v>1.32925</v>
      </c>
      <c r="I293" s="72" t="s">
        <v>4</v>
      </c>
      <c r="J293" s="98">
        <v>6.0178751000000003E-4</v>
      </c>
      <c r="K293" s="72"/>
      <c r="L293" s="72"/>
    </row>
    <row r="294" spans="7:12">
      <c r="G294" s="72" t="s">
        <v>8</v>
      </c>
      <c r="H294" s="72">
        <v>0.91864583</v>
      </c>
      <c r="I294" s="72" t="s">
        <v>4</v>
      </c>
      <c r="J294" s="98">
        <v>3.6358290000000001E-3</v>
      </c>
      <c r="K294" s="72"/>
      <c r="L294" s="72"/>
    </row>
    <row r="295" spans="7:12">
      <c r="G295" s="72" t="s">
        <v>9</v>
      </c>
      <c r="H295" s="72">
        <v>-7.9256219999999997</v>
      </c>
      <c r="I295" s="72" t="s">
        <v>4</v>
      </c>
      <c r="J295" s="98">
        <v>1.6675161000000001E-2</v>
      </c>
      <c r="K295" s="72"/>
      <c r="L295" s="72"/>
    </row>
    <row r="296" spans="7:12">
      <c r="G296" s="72" t="s">
        <v>10</v>
      </c>
      <c r="H296" s="72">
        <v>102.98195</v>
      </c>
      <c r="I296" s="72" t="s">
        <v>11</v>
      </c>
      <c r="J296" s="72">
        <v>5</v>
      </c>
      <c r="K296" s="72" t="s">
        <v>12</v>
      </c>
      <c r="L296" s="99">
        <v>1.2425217999999999E-20</v>
      </c>
    </row>
    <row r="298" spans="7:12">
      <c r="G298" s="91" t="s">
        <v>140</v>
      </c>
      <c r="H298" s="91">
        <f>H289</f>
        <v>4.8474857999999997E-4</v>
      </c>
      <c r="I298" s="91" t="s">
        <v>97</v>
      </c>
      <c r="J298" s="91" t="s">
        <v>153</v>
      </c>
      <c r="K298" s="96">
        <f>J289</f>
        <v>2.4690414999999999E-7</v>
      </c>
      <c r="L298" s="91" t="s">
        <v>97</v>
      </c>
    </row>
    <row r="299" spans="7:12">
      <c r="G299" s="91" t="s">
        <v>141</v>
      </c>
      <c r="H299" s="91">
        <f t="shared" ref="H299:H304" si="42">H290</f>
        <v>-1.1833849E-2</v>
      </c>
      <c r="I299" s="91" t="s">
        <v>97</v>
      </c>
      <c r="J299" s="91" t="s">
        <v>147</v>
      </c>
      <c r="K299" s="96">
        <f t="shared" ref="K299:K304" si="43">J290</f>
        <v>1.9785985000000001E-6</v>
      </c>
      <c r="L299" s="91" t="s">
        <v>97</v>
      </c>
    </row>
    <row r="300" spans="7:12">
      <c r="G300" s="91" t="s">
        <v>142</v>
      </c>
      <c r="H300" s="91">
        <f t="shared" si="42"/>
        <v>0.11890120999999999</v>
      </c>
      <c r="I300" s="91" t="s">
        <v>97</v>
      </c>
      <c r="J300" s="91" t="s">
        <v>148</v>
      </c>
      <c r="K300" s="96">
        <f t="shared" si="43"/>
        <v>1.412506E-5</v>
      </c>
      <c r="L300" s="91" t="s">
        <v>97</v>
      </c>
    </row>
    <row r="301" spans="7:12">
      <c r="G301" s="91" t="s">
        <v>143</v>
      </c>
      <c r="H301" s="91">
        <f t="shared" si="42"/>
        <v>-0.61311338000000004</v>
      </c>
      <c r="I301" s="91" t="s">
        <v>97</v>
      </c>
      <c r="J301" s="91" t="s">
        <v>149</v>
      </c>
      <c r="K301" s="96">
        <f t="shared" si="43"/>
        <v>9.4004611000000001E-5</v>
      </c>
      <c r="L301" s="91" t="s">
        <v>97</v>
      </c>
    </row>
    <row r="302" spans="7:12">
      <c r="G302" s="91" t="s">
        <v>144</v>
      </c>
      <c r="H302" s="91">
        <f t="shared" si="42"/>
        <v>1.32925</v>
      </c>
      <c r="I302" s="91" t="s">
        <v>97</v>
      </c>
      <c r="J302" s="91" t="s">
        <v>150</v>
      </c>
      <c r="K302" s="96">
        <f t="shared" si="43"/>
        <v>6.0178751000000003E-4</v>
      </c>
      <c r="L302" s="91" t="s">
        <v>97</v>
      </c>
    </row>
    <row r="303" spans="7:12">
      <c r="G303" s="91" t="s">
        <v>145</v>
      </c>
      <c r="H303" s="91">
        <f t="shared" si="42"/>
        <v>0.91864583</v>
      </c>
      <c r="I303" s="91" t="s">
        <v>97</v>
      </c>
      <c r="J303" s="91" t="s">
        <v>151</v>
      </c>
      <c r="K303" s="96">
        <f t="shared" si="43"/>
        <v>3.6358290000000001E-3</v>
      </c>
      <c r="L303" s="91" t="s">
        <v>97</v>
      </c>
    </row>
    <row r="304" spans="7:12">
      <c r="G304" s="91" t="s">
        <v>146</v>
      </c>
      <c r="H304" s="91">
        <f t="shared" si="42"/>
        <v>-7.9256219999999997</v>
      </c>
      <c r="I304" s="91" t="s">
        <v>97</v>
      </c>
      <c r="J304" s="91" t="s">
        <v>152</v>
      </c>
      <c r="K304" s="96">
        <f t="shared" si="43"/>
        <v>1.6675161000000001E-2</v>
      </c>
      <c r="L304" s="91" t="s">
        <v>97</v>
      </c>
    </row>
    <row r="306" spans="7:9">
      <c r="G306" s="91" t="s">
        <v>164</v>
      </c>
    </row>
    <row r="307" spans="7:9">
      <c r="H307" s="29" t="str">
        <f>G298&amp;TEXT(ROUND(H298,8),"0.00000000")&amp;I298</f>
        <v>par[0][6]=0.00048475;</v>
      </c>
      <c r="I307" s="29" t="str">
        <f t="shared" ref="I307:I313" si="44">J298&amp;TEXT(ROUND(K298,8),"0.00000000")&amp;L298</f>
        <v>parerr[0][6]=0.00000025;</v>
      </c>
    </row>
    <row r="308" spans="7:9">
      <c r="H308" s="29" t="str">
        <f t="shared" ref="H308:H313" si="45">G299&amp;TEXT(ROUND(H299,8),"0.00000000")&amp;I299</f>
        <v>par[0][5]=-0.01183385;</v>
      </c>
      <c r="I308" s="29" t="str">
        <f t="shared" si="44"/>
        <v>parerr[0][5]=0.00000198;</v>
      </c>
    </row>
    <row r="309" spans="7:9">
      <c r="H309" s="29" t="str">
        <f t="shared" si="45"/>
        <v>par[0][4]=0.11890121;</v>
      </c>
      <c r="I309" s="29" t="str">
        <f t="shared" si="44"/>
        <v>parerr[0][4]=0.00001413;</v>
      </c>
    </row>
    <row r="310" spans="7:9">
      <c r="H310" s="29" t="str">
        <f t="shared" si="45"/>
        <v>par[0][3]=-0.61311338;</v>
      </c>
      <c r="I310" s="29" t="str">
        <f t="shared" si="44"/>
        <v>parerr[0][3]=0.00009400;</v>
      </c>
    </row>
    <row r="311" spans="7:9">
      <c r="H311" s="29" t="str">
        <f t="shared" si="45"/>
        <v>par[0][2]=1.32925000;</v>
      </c>
      <c r="I311" s="29" t="str">
        <f t="shared" si="44"/>
        <v>parerr[0][2]=0.00060179;</v>
      </c>
    </row>
    <row r="312" spans="7:9">
      <c r="H312" s="29" t="str">
        <f t="shared" si="45"/>
        <v>par[0][1]=0.91864583;</v>
      </c>
      <c r="I312" s="29" t="str">
        <f t="shared" si="44"/>
        <v>parerr[0][1]=0.00363583;</v>
      </c>
    </row>
    <row r="313" spans="7:9">
      <c r="H313" s="29" t="str">
        <f t="shared" si="45"/>
        <v>par[0][0]=-7.92562200;</v>
      </c>
      <c r="I313" s="29" t="str">
        <f t="shared" si="44"/>
        <v>parerr[0][0]=0.01667516;</v>
      </c>
    </row>
  </sheetData>
  <mergeCells count="15">
    <mergeCell ref="AK4:AN4"/>
    <mergeCell ref="Q4:T4"/>
    <mergeCell ref="U4:X4"/>
    <mergeCell ref="Y4:AB4"/>
    <mergeCell ref="AC4:AF4"/>
    <mergeCell ref="AG4:AJ4"/>
    <mergeCell ref="BM4:BP4"/>
    <mergeCell ref="BQ4:BT4"/>
    <mergeCell ref="BU4:BX4"/>
    <mergeCell ref="AO4:AR4"/>
    <mergeCell ref="AS4:AV4"/>
    <mergeCell ref="AW4:AZ4"/>
    <mergeCell ref="BA4:BD4"/>
    <mergeCell ref="BE4:BH4"/>
    <mergeCell ref="BI4:BL4"/>
  </mergeCells>
  <phoneticPr fontId="1" type="noConversion"/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48817-4187-4C8D-8A01-10C909DFAE5E}">
  <dimension ref="A2:CB313"/>
  <sheetViews>
    <sheetView workbookViewId="0"/>
  </sheetViews>
  <sheetFormatPr defaultColWidth="9" defaultRowHeight="13.2"/>
  <cols>
    <col min="1" max="4" width="9" style="91"/>
    <col min="5" max="5" width="7.88671875" style="68" bestFit="1" customWidth="1"/>
    <col min="6" max="6" width="12.6640625" style="68" bestFit="1" customWidth="1"/>
    <col min="7" max="7" width="9.88671875" style="68" customWidth="1"/>
    <col min="8" max="8" width="8.77734375" style="68" customWidth="1"/>
    <col min="9" max="9" width="9.77734375" style="68" customWidth="1"/>
    <col min="10" max="11" width="8.21875" style="68" customWidth="1"/>
    <col min="12" max="12" width="9.44140625" style="68" bestFit="1" customWidth="1"/>
    <col min="13" max="13" width="8.33203125" style="68" bestFit="1" customWidth="1"/>
    <col min="14" max="14" width="6" style="68" customWidth="1"/>
    <col min="15" max="15" width="10.33203125" style="68" customWidth="1"/>
    <col min="16" max="16" width="7.77734375" style="68" customWidth="1"/>
    <col min="17" max="17" width="7.33203125" style="68" bestFit="1" customWidth="1"/>
    <col min="18" max="18" width="8.21875" style="68" bestFit="1" customWidth="1"/>
    <col min="19" max="19" width="10.21875" style="68" customWidth="1"/>
    <col min="20" max="20" width="7.88671875" style="68" bestFit="1" customWidth="1"/>
    <col min="21" max="21" width="6.33203125" style="68" customWidth="1"/>
    <col min="22" max="22" width="7" style="68" customWidth="1"/>
    <col min="23" max="23" width="7.6640625" style="68" customWidth="1"/>
    <col min="24" max="24" width="5.109375" style="68" customWidth="1"/>
    <col min="25" max="25" width="7" style="68" customWidth="1"/>
    <col min="26" max="26" width="8.77734375" style="68" bestFit="1" customWidth="1"/>
    <col min="27" max="27" width="7.88671875" style="68" bestFit="1" customWidth="1"/>
    <col min="28" max="28" width="7.33203125" style="68" bestFit="1" customWidth="1"/>
    <col min="29" max="29" width="6.77734375" style="68" bestFit="1" customWidth="1"/>
    <col min="30" max="30" width="8.21875" style="68" bestFit="1" customWidth="1"/>
    <col min="31" max="33" width="6.77734375" style="68" bestFit="1" customWidth="1"/>
    <col min="34" max="34" width="8.21875" style="68" bestFit="1" customWidth="1"/>
    <col min="35" max="37" width="6.77734375" style="68" bestFit="1" customWidth="1"/>
    <col min="38" max="38" width="8.21875" style="68" bestFit="1" customWidth="1"/>
    <col min="39" max="41" width="6.77734375" style="68" bestFit="1" customWidth="1"/>
    <col min="42" max="42" width="8.21875" style="68" bestFit="1" customWidth="1"/>
    <col min="43" max="45" width="6.77734375" style="68" bestFit="1" customWidth="1"/>
    <col min="46" max="46" width="8.21875" style="68" bestFit="1" customWidth="1"/>
    <col min="47" max="49" width="6.77734375" style="68" bestFit="1" customWidth="1"/>
    <col min="50" max="50" width="8.21875" style="68" bestFit="1" customWidth="1"/>
    <col min="51" max="53" width="6.77734375" style="68" bestFit="1" customWidth="1"/>
    <col min="54" max="54" width="8.21875" style="68" bestFit="1" customWidth="1"/>
    <col min="55" max="57" width="6.77734375" style="68" bestFit="1" customWidth="1"/>
    <col min="58" max="58" width="8.21875" style="68" bestFit="1" customWidth="1"/>
    <col min="59" max="61" width="6.77734375" style="68" bestFit="1" customWidth="1"/>
    <col min="62" max="62" width="8.21875" style="68" bestFit="1" customWidth="1"/>
    <col min="63" max="65" width="6.77734375" style="68" bestFit="1" customWidth="1"/>
    <col min="66" max="66" width="8.21875" style="68" bestFit="1" customWidth="1"/>
    <col min="67" max="69" width="6.77734375" style="68" bestFit="1" customWidth="1"/>
    <col min="70" max="70" width="7.44140625" style="68" bestFit="1" customWidth="1"/>
    <col min="71" max="76" width="6.77734375" style="68" bestFit="1" customWidth="1"/>
    <col min="77" max="80" width="9" style="15"/>
    <col min="81" max="16384" width="9" style="68"/>
  </cols>
  <sheetData>
    <row r="2" spans="2:76">
      <c r="L2" s="68" t="s">
        <v>62</v>
      </c>
      <c r="M2" s="68">
        <f>1.088*37000</f>
        <v>40256</v>
      </c>
      <c r="N2" s="68" t="s">
        <v>63</v>
      </c>
    </row>
    <row r="3" spans="2:76">
      <c r="L3" s="11"/>
      <c r="M3" s="11"/>
      <c r="Q3" s="5"/>
      <c r="R3" s="5"/>
      <c r="S3" s="5"/>
      <c r="T3" s="5"/>
      <c r="U3" s="4"/>
      <c r="V3" s="4"/>
      <c r="W3" s="4"/>
      <c r="X3" s="4"/>
      <c r="Y3" s="5"/>
      <c r="Z3" s="5"/>
      <c r="AA3" s="5"/>
      <c r="AB3" s="5"/>
      <c r="AC3" s="4"/>
      <c r="AD3" s="4"/>
      <c r="AE3" s="4"/>
      <c r="AF3" s="4"/>
      <c r="AG3" s="5"/>
      <c r="AH3" s="5"/>
      <c r="AI3" s="5"/>
      <c r="AJ3" s="5"/>
      <c r="AK3" s="4"/>
      <c r="AL3" s="4"/>
      <c r="AM3" s="4"/>
      <c r="AN3" s="4"/>
      <c r="AO3" s="5"/>
      <c r="AP3" s="5"/>
      <c r="AQ3" s="5"/>
      <c r="AR3" s="5"/>
      <c r="AS3" s="4"/>
      <c r="AT3" s="4"/>
      <c r="AU3" s="4"/>
      <c r="AV3" s="4"/>
      <c r="AW3" s="5"/>
      <c r="AX3" s="5"/>
      <c r="AY3" s="5"/>
      <c r="AZ3" s="5"/>
      <c r="BA3" s="4"/>
      <c r="BB3" s="4"/>
      <c r="BC3" s="4"/>
      <c r="BD3" s="4"/>
      <c r="BE3" s="5"/>
      <c r="BF3" s="5"/>
      <c r="BG3" s="5"/>
      <c r="BH3" s="5"/>
      <c r="BI3" s="4"/>
      <c r="BJ3" s="4"/>
      <c r="BK3" s="4"/>
      <c r="BL3" s="4"/>
      <c r="BM3" s="5"/>
      <c r="BN3" s="5"/>
      <c r="BO3" s="5"/>
      <c r="BP3" s="5"/>
      <c r="BQ3" s="4"/>
      <c r="BR3" s="4"/>
      <c r="BS3" s="4"/>
      <c r="BT3" s="4"/>
      <c r="BU3" s="71"/>
      <c r="BV3" s="71"/>
      <c r="BW3" s="71"/>
      <c r="BX3" s="71"/>
    </row>
    <row r="4" spans="2:76">
      <c r="I4" s="100" t="s">
        <v>41</v>
      </c>
      <c r="J4" s="68" t="s">
        <v>42</v>
      </c>
      <c r="L4" s="11" t="s">
        <v>64</v>
      </c>
      <c r="M4" s="11">
        <f>3589570000000/10000000000</f>
        <v>358.95699999999999</v>
      </c>
      <c r="N4" s="68" t="s">
        <v>22</v>
      </c>
      <c r="O4" s="68">
        <f>$M$2*M4</f>
        <v>14450172.992000001</v>
      </c>
      <c r="Q4" s="412" t="s">
        <v>45</v>
      </c>
      <c r="R4" s="412"/>
      <c r="S4" s="412"/>
      <c r="T4" s="412"/>
      <c r="U4" s="413" t="s">
        <v>46</v>
      </c>
      <c r="V4" s="413"/>
      <c r="W4" s="413"/>
      <c r="X4" s="413"/>
      <c r="Y4" s="412" t="s">
        <v>47</v>
      </c>
      <c r="Z4" s="412"/>
      <c r="AA4" s="412"/>
      <c r="AB4" s="412"/>
      <c r="AC4" s="413" t="s">
        <v>48</v>
      </c>
      <c r="AD4" s="413"/>
      <c r="AE4" s="413"/>
      <c r="AF4" s="413"/>
      <c r="AG4" s="412" t="s">
        <v>49</v>
      </c>
      <c r="AH4" s="412"/>
      <c r="AI4" s="412"/>
      <c r="AJ4" s="412"/>
      <c r="AK4" s="413" t="s">
        <v>50</v>
      </c>
      <c r="AL4" s="413"/>
      <c r="AM4" s="413"/>
      <c r="AN4" s="413"/>
      <c r="AO4" s="412" t="s">
        <v>51</v>
      </c>
      <c r="AP4" s="412"/>
      <c r="AQ4" s="412"/>
      <c r="AR4" s="412"/>
      <c r="AS4" s="413" t="s">
        <v>52</v>
      </c>
      <c r="AT4" s="413"/>
      <c r="AU4" s="413"/>
      <c r="AV4" s="413"/>
      <c r="AW4" s="412" t="s">
        <v>53</v>
      </c>
      <c r="AX4" s="412"/>
      <c r="AY4" s="412"/>
      <c r="AZ4" s="412"/>
      <c r="BA4" s="413" t="s">
        <v>54</v>
      </c>
      <c r="BB4" s="413"/>
      <c r="BC4" s="413"/>
      <c r="BD4" s="413"/>
      <c r="BE4" s="412" t="s">
        <v>55</v>
      </c>
      <c r="BF4" s="412"/>
      <c r="BG4" s="412"/>
      <c r="BH4" s="412"/>
      <c r="BI4" s="413" t="s">
        <v>56</v>
      </c>
      <c r="BJ4" s="413"/>
      <c r="BK4" s="413"/>
      <c r="BL4" s="413"/>
      <c r="BM4" s="412" t="s">
        <v>57</v>
      </c>
      <c r="BN4" s="412"/>
      <c r="BO4" s="412"/>
      <c r="BP4" s="412"/>
      <c r="BQ4" s="413" t="s">
        <v>58</v>
      </c>
      <c r="BR4" s="413"/>
      <c r="BS4" s="413"/>
      <c r="BT4" s="413"/>
      <c r="BU4" s="414" t="s">
        <v>60</v>
      </c>
      <c r="BV4" s="414"/>
      <c r="BW4" s="414"/>
      <c r="BX4" s="414"/>
    </row>
    <row r="5" spans="2:76">
      <c r="B5" s="91" t="s">
        <v>154</v>
      </c>
      <c r="C5" s="91" t="s">
        <v>154</v>
      </c>
      <c r="D5" s="91" t="s">
        <v>159</v>
      </c>
      <c r="E5" s="68" t="s">
        <v>158</v>
      </c>
      <c r="G5" s="68" t="s">
        <v>61</v>
      </c>
      <c r="I5" s="68" t="s">
        <v>40</v>
      </c>
      <c r="K5" s="91" t="s">
        <v>156</v>
      </c>
      <c r="L5" s="11"/>
      <c r="M5" s="101" t="s">
        <v>160</v>
      </c>
      <c r="N5" s="100"/>
      <c r="O5" s="68" t="s">
        <v>157</v>
      </c>
      <c r="Q5" s="5" t="s">
        <v>43</v>
      </c>
      <c r="R5" s="5"/>
      <c r="S5" s="5" t="s">
        <v>44</v>
      </c>
      <c r="T5" s="5"/>
      <c r="U5" s="4" t="s">
        <v>43</v>
      </c>
      <c r="V5" s="4"/>
      <c r="W5" s="4" t="s">
        <v>44</v>
      </c>
      <c r="X5" s="4"/>
      <c r="Y5" s="5"/>
      <c r="Z5" s="5"/>
      <c r="AA5" s="5"/>
      <c r="AB5" s="5"/>
      <c r="AC5" s="4"/>
      <c r="AD5" s="4"/>
      <c r="AE5" s="4"/>
      <c r="AF5" s="4"/>
      <c r="AG5" s="5"/>
      <c r="AH5" s="5"/>
      <c r="AI5" s="5"/>
      <c r="AJ5" s="5"/>
      <c r="AK5" s="4"/>
      <c r="AL5" s="4"/>
      <c r="AM5" s="4"/>
      <c r="AN5" s="4"/>
      <c r="AO5" s="5"/>
      <c r="AP5" s="5"/>
      <c r="AQ5" s="5"/>
      <c r="AR5" s="5"/>
      <c r="AS5" s="4" t="s">
        <v>43</v>
      </c>
      <c r="AT5" s="4">
        <v>8</v>
      </c>
      <c r="AU5" s="4" t="s">
        <v>44</v>
      </c>
      <c r="AV5" s="4"/>
      <c r="AW5" s="5"/>
      <c r="AX5" s="5"/>
      <c r="AY5" s="5"/>
      <c r="AZ5" s="5"/>
      <c r="BA5" s="4"/>
      <c r="BB5" s="4"/>
      <c r="BC5" s="4"/>
      <c r="BD5" s="4"/>
      <c r="BE5" s="5"/>
      <c r="BF5" s="5"/>
      <c r="BG5" s="5"/>
      <c r="BH5" s="5"/>
      <c r="BI5" s="4"/>
      <c r="BJ5" s="4"/>
      <c r="BK5" s="4"/>
      <c r="BL5" s="4"/>
      <c r="BM5" s="5"/>
      <c r="BN5" s="5"/>
      <c r="BO5" s="5"/>
      <c r="BP5" s="5"/>
      <c r="BQ5" s="4"/>
      <c r="BR5" s="4"/>
      <c r="BS5" s="4"/>
      <c r="BT5" s="4"/>
      <c r="BU5" s="71"/>
      <c r="BV5" s="71"/>
      <c r="BW5" s="71"/>
      <c r="BX5" s="71"/>
    </row>
    <row r="6" spans="2:76">
      <c r="B6" s="2">
        <f>SUM(B7,B10,B12,B13,B14,B15,B17)</f>
        <v>70271.368692340184</v>
      </c>
      <c r="C6" s="69"/>
      <c r="E6" s="23">
        <f>F6</f>
        <v>0.20741768270424182</v>
      </c>
      <c r="F6" s="11">
        <f t="shared" ref="F6:F17" si="0">G6/G$18</f>
        <v>0.20741768270424182</v>
      </c>
      <c r="G6" s="68">
        <v>0.28410000000000002</v>
      </c>
      <c r="H6" s="68">
        <v>1.2999999999999999E-3</v>
      </c>
      <c r="I6" s="2">
        <v>121.7817</v>
      </c>
      <c r="J6" s="68">
        <v>2.9999999999999997E-4</v>
      </c>
      <c r="K6" s="2">
        <f>O6+B6+C6</f>
        <v>7916213.3686923403</v>
      </c>
      <c r="L6" s="11">
        <f>SQRT(SUMSQ(T6,X6,AB6,AF6,AJ6,AN6,AR6,AV6,AZ6,BD6,BH6,BL6,BP6,BT6))</f>
        <v>3735.6165317826717</v>
      </c>
      <c r="M6" s="101">
        <f>K6/G6/O$4</f>
        <v>1.928293828695508</v>
      </c>
      <c r="N6" s="100">
        <f t="shared" ref="N6:N17" si="1">M6*SQRT((H6/G6)^2+(L6/O6)^2)</f>
        <v>8.8712261467781377E-3</v>
      </c>
      <c r="O6" s="68">
        <f t="shared" ref="O6:O17" si="2">SUM(S6,W6,AA6,AE6,AI6,AM6,AQ6,AU6,AY6,BC6,BG6,BK6,BO6,BS6)</f>
        <v>7845942</v>
      </c>
      <c r="Q6" s="5">
        <v>894.54700000000003</v>
      </c>
      <c r="R6" s="5">
        <v>6.8001099999999995E-2</v>
      </c>
      <c r="S6" s="5">
        <v>534655</v>
      </c>
      <c r="T6" s="5">
        <v>1030.79</v>
      </c>
      <c r="U6" s="4">
        <v>935.87300000000005</v>
      </c>
      <c r="V6" s="4">
        <v>6.23335E-2</v>
      </c>
      <c r="W6" s="4">
        <v>568802</v>
      </c>
      <c r="X6" s="4">
        <v>906.28300000000002</v>
      </c>
      <c r="Y6" s="5">
        <v>874.82500000000005</v>
      </c>
      <c r="Z6" s="5">
        <v>8.1231999999999999E-2</v>
      </c>
      <c r="AA6" s="5">
        <v>577340</v>
      </c>
      <c r="AB6" s="5">
        <v>1227.42</v>
      </c>
      <c r="AC6" s="4">
        <v>891.37199999999996</v>
      </c>
      <c r="AD6" s="4">
        <v>6.2257399999999997E-2</v>
      </c>
      <c r="AE6" s="4">
        <v>625186</v>
      </c>
      <c r="AF6" s="4">
        <v>982.33799999999997</v>
      </c>
      <c r="AG6" s="5">
        <v>878.77300000000002</v>
      </c>
      <c r="AH6" s="5">
        <v>6.4714499999999994E-2</v>
      </c>
      <c r="AI6" s="5">
        <v>575419</v>
      </c>
      <c r="AJ6" s="5">
        <v>1056.02</v>
      </c>
      <c r="AK6" s="4">
        <v>879.43899999999996</v>
      </c>
      <c r="AL6" s="4">
        <v>6.4577700000000002E-2</v>
      </c>
      <c r="AM6" s="4">
        <v>538702</v>
      </c>
      <c r="AN6" s="4">
        <v>922.65</v>
      </c>
      <c r="AO6" s="5">
        <v>865.59500000000003</v>
      </c>
      <c r="AP6" s="5">
        <v>5.6338800000000001E-2</v>
      </c>
      <c r="AQ6" s="5">
        <v>548358</v>
      </c>
      <c r="AR6" s="5">
        <v>905.33699999999999</v>
      </c>
      <c r="AS6" s="4">
        <v>1278.3699999999999</v>
      </c>
      <c r="AT6" s="4">
        <v>7.9957100000000003E-2</v>
      </c>
      <c r="AU6" s="4">
        <v>572267</v>
      </c>
      <c r="AV6" s="4">
        <v>949.63400000000001</v>
      </c>
      <c r="AW6" s="5">
        <v>851.572</v>
      </c>
      <c r="AX6" s="5">
        <v>5.7776599999999997E-2</v>
      </c>
      <c r="AY6" s="5">
        <v>534529</v>
      </c>
      <c r="AZ6" s="5">
        <v>1012.84</v>
      </c>
      <c r="BA6" s="4">
        <v>823.70699999999999</v>
      </c>
      <c r="BB6" s="4">
        <v>5.1642E-2</v>
      </c>
      <c r="BC6" s="4">
        <v>565850</v>
      </c>
      <c r="BD6" s="4">
        <v>911.95100000000002</v>
      </c>
      <c r="BE6" s="5">
        <v>850.13900000000001</v>
      </c>
      <c r="BF6" s="5">
        <v>0.12712999999999999</v>
      </c>
      <c r="BG6" s="5">
        <v>584730</v>
      </c>
      <c r="BH6" s="5">
        <v>1073.0999999999999</v>
      </c>
      <c r="BI6" s="4">
        <v>905.60400000000004</v>
      </c>
      <c r="BJ6" s="4">
        <v>6.2685900000000003E-2</v>
      </c>
      <c r="BK6" s="4">
        <v>600781</v>
      </c>
      <c r="BL6" s="4">
        <v>982.86500000000001</v>
      </c>
      <c r="BM6" s="5">
        <v>842.97900000000004</v>
      </c>
      <c r="BN6" s="5">
        <v>8.1197400000000003E-2</v>
      </c>
      <c r="BO6" s="5">
        <v>532377</v>
      </c>
      <c r="BP6" s="5">
        <v>919.23800000000006</v>
      </c>
      <c r="BQ6" s="4">
        <v>849.76700000000005</v>
      </c>
      <c r="BR6" s="4">
        <v>0.20930799999999999</v>
      </c>
      <c r="BS6" s="4">
        <v>486946</v>
      </c>
      <c r="BT6" s="4">
        <v>1044.72</v>
      </c>
      <c r="BU6" s="71"/>
      <c r="BV6" s="71"/>
      <c r="BW6" s="71"/>
      <c r="BX6" s="71"/>
    </row>
    <row r="7" spans="2:76">
      <c r="B7" s="2">
        <f>AD22/13*O7</f>
        <v>18148.787330354968</v>
      </c>
      <c r="C7" s="2">
        <f>C10+C12+C15</f>
        <v>9059.1241096543599</v>
      </c>
      <c r="D7" s="91">
        <v>122</v>
      </c>
      <c r="E7" s="22">
        <f>E6+F7</f>
        <v>0.26217419872964887</v>
      </c>
      <c r="F7" s="11">
        <f t="shared" si="0"/>
        <v>5.4756516025407022E-2</v>
      </c>
      <c r="G7" s="68">
        <v>7.4999999999999997E-2</v>
      </c>
      <c r="H7" s="68">
        <v>4.0000000000000002E-4</v>
      </c>
      <c r="I7" s="2">
        <v>244.69739999999999</v>
      </c>
      <c r="J7" s="68">
        <v>8.0000000000000004E-4</v>
      </c>
      <c r="K7" s="2">
        <f t="shared" ref="K7:K16" si="3">O7+B7+C7</f>
        <v>1540344.3114400096</v>
      </c>
      <c r="L7" s="11">
        <f t="shared" ref="L7:L17" si="4">SQRT(SUMSQ(T7,X7,AB7,AF7,AJ7,AN7,AR7,AV7,AZ7,BD7,BH7,BL7,BP7,BT7))</f>
        <v>1855.0421032553411</v>
      </c>
      <c r="M7" s="101">
        <f>K7/G7/O$4</f>
        <v>1.4212926145523521</v>
      </c>
      <c r="N7" s="100">
        <f t="shared" si="1"/>
        <v>7.7779149995005686E-3</v>
      </c>
      <c r="O7" s="68">
        <f t="shared" si="2"/>
        <v>1513136.4000000001</v>
      </c>
      <c r="Q7" s="5">
        <v>1778.18</v>
      </c>
      <c r="R7" s="5">
        <v>0.15009500000000001</v>
      </c>
      <c r="S7" s="5">
        <v>106029</v>
      </c>
      <c r="T7" s="5">
        <v>442.20299999999997</v>
      </c>
      <c r="U7" s="4">
        <v>1887.09</v>
      </c>
      <c r="V7" s="4">
        <v>0.18476000000000001</v>
      </c>
      <c r="W7" s="4">
        <v>106196</v>
      </c>
      <c r="X7" s="4">
        <v>447.95299999999997</v>
      </c>
      <c r="Y7" s="5">
        <v>1758.76</v>
      </c>
      <c r="Z7" s="5">
        <v>0.17321</v>
      </c>
      <c r="AA7" s="5">
        <v>116572</v>
      </c>
      <c r="AB7" s="5">
        <v>517.95600000000002</v>
      </c>
      <c r="AC7" s="4">
        <v>1791.38</v>
      </c>
      <c r="AD7" s="4">
        <v>0.17709</v>
      </c>
      <c r="AE7" s="4">
        <v>119441</v>
      </c>
      <c r="AF7" s="4">
        <v>502.71199999999999</v>
      </c>
      <c r="AG7" s="5">
        <v>1773.86</v>
      </c>
      <c r="AH7" s="5">
        <v>0.166994</v>
      </c>
      <c r="AI7" s="5">
        <v>116487</v>
      </c>
      <c r="AJ7" s="5">
        <v>510.476</v>
      </c>
      <c r="AK7" s="4">
        <v>1765.8</v>
      </c>
      <c r="AL7" s="4">
        <v>0.18329699999999999</v>
      </c>
      <c r="AM7" s="4">
        <v>103517</v>
      </c>
      <c r="AN7" s="4">
        <v>462.71800000000002</v>
      </c>
      <c r="AO7" s="5">
        <v>1745.46</v>
      </c>
      <c r="AP7" s="5">
        <v>0.16275300000000001</v>
      </c>
      <c r="AQ7" s="5">
        <v>105417</v>
      </c>
      <c r="AR7" s="5">
        <v>458.76</v>
      </c>
      <c r="AS7" s="4">
        <v>2573.46</v>
      </c>
      <c r="AT7" s="4">
        <v>0.25742700000000002</v>
      </c>
      <c r="AU7" s="4">
        <v>108298</v>
      </c>
      <c r="AV7" s="4">
        <v>538.81100000000004</v>
      </c>
      <c r="AW7" s="5">
        <v>1719.24</v>
      </c>
      <c r="AX7" s="5">
        <v>0.14754700000000001</v>
      </c>
      <c r="AY7" s="5">
        <v>104567</v>
      </c>
      <c r="AZ7" s="5">
        <v>471.80700000000002</v>
      </c>
      <c r="BA7" s="4">
        <v>1663.57</v>
      </c>
      <c r="BB7" s="4">
        <v>0.14715500000000001</v>
      </c>
      <c r="BC7" s="4">
        <v>109315</v>
      </c>
      <c r="BD7" s="4">
        <v>459.03</v>
      </c>
      <c r="BE7" s="5">
        <v>1710.11</v>
      </c>
      <c r="BF7" s="5">
        <v>0.33549299999999999</v>
      </c>
      <c r="BG7" s="5">
        <v>111911</v>
      </c>
      <c r="BH7" s="5">
        <v>570.36400000000003</v>
      </c>
      <c r="BI7" s="4">
        <v>1828.88</v>
      </c>
      <c r="BJ7" s="4">
        <v>0.182611</v>
      </c>
      <c r="BK7" s="4">
        <v>114513</v>
      </c>
      <c r="BL7" s="4">
        <v>496.935</v>
      </c>
      <c r="BM7" s="5">
        <v>1698.39</v>
      </c>
      <c r="BN7" s="5">
        <v>0.23702100000000001</v>
      </c>
      <c r="BO7" s="5">
        <v>97401.600000000006</v>
      </c>
      <c r="BP7" s="5">
        <v>465.13</v>
      </c>
      <c r="BQ7" s="4">
        <v>1714.34</v>
      </c>
      <c r="BR7" s="4">
        <v>0.74027799999999999</v>
      </c>
      <c r="BS7" s="4">
        <v>93471.8</v>
      </c>
      <c r="BT7" s="4">
        <v>571.48099999999999</v>
      </c>
      <c r="BU7" s="71"/>
      <c r="BV7" s="71"/>
      <c r="BW7" s="71"/>
      <c r="BX7" s="71"/>
    </row>
    <row r="8" spans="2:76">
      <c r="B8" s="2">
        <f>C9+C11+C16</f>
        <v>13330.612970532498</v>
      </c>
      <c r="C8" s="69"/>
      <c r="E8" s="22">
        <f t="shared" ref="E8:E17" si="5">E7+F8</f>
        <v>0.45623129152369135</v>
      </c>
      <c r="F8" s="11">
        <f t="shared" si="0"/>
        <v>0.19405709279404249</v>
      </c>
      <c r="G8" s="68">
        <v>0.26579999999999998</v>
      </c>
      <c r="H8" s="68">
        <v>1.1999999999999999E-3</v>
      </c>
      <c r="I8" s="2">
        <v>344.27850000000001</v>
      </c>
      <c r="J8" s="68">
        <v>1.1999999999999999E-3</v>
      </c>
      <c r="K8" s="2">
        <f t="shared" si="3"/>
        <v>4358210.6129705328</v>
      </c>
      <c r="L8" s="11">
        <f t="shared" si="4"/>
        <v>2657.1601785560465</v>
      </c>
      <c r="M8" s="101">
        <f t="shared" ref="M8:M16" si="6">K8/G8/O$4</f>
        <v>1.1346977429560852</v>
      </c>
      <c r="N8" s="100">
        <f t="shared" si="1"/>
        <v>5.1695758975521698E-3</v>
      </c>
      <c r="O8" s="68">
        <f t="shared" si="2"/>
        <v>4344880</v>
      </c>
      <c r="Q8" s="5">
        <v>2503.0500000000002</v>
      </c>
      <c r="R8" s="5">
        <v>7.0571700000000001E-2</v>
      </c>
      <c r="S8" s="5">
        <v>306605</v>
      </c>
      <c r="T8" s="5">
        <v>633.09</v>
      </c>
      <c r="U8" s="4">
        <v>2654.92</v>
      </c>
      <c r="V8" s="4">
        <v>8.3309099999999997E-2</v>
      </c>
      <c r="W8" s="4">
        <v>310201</v>
      </c>
      <c r="X8" s="4">
        <v>647.23599999999999</v>
      </c>
      <c r="Y8" s="5">
        <v>2478.94</v>
      </c>
      <c r="Z8" s="5">
        <v>8.5010000000000002E-2</v>
      </c>
      <c r="AA8" s="5">
        <v>335469</v>
      </c>
      <c r="AB8" s="5">
        <v>717.25800000000004</v>
      </c>
      <c r="AC8" s="4">
        <v>2519.7199999999998</v>
      </c>
      <c r="AD8" s="4">
        <v>8.5811799999999994E-2</v>
      </c>
      <c r="AE8" s="4">
        <v>343873</v>
      </c>
      <c r="AF8" s="4">
        <v>694.38</v>
      </c>
      <c r="AG8" s="5">
        <v>2499.67</v>
      </c>
      <c r="AH8" s="5">
        <v>8.7233400000000003E-2</v>
      </c>
      <c r="AI8" s="5">
        <v>323586</v>
      </c>
      <c r="AJ8" s="5">
        <v>763.76700000000005</v>
      </c>
      <c r="AK8" s="4">
        <v>2486.65</v>
      </c>
      <c r="AL8" s="4">
        <v>8.3316699999999994E-2</v>
      </c>
      <c r="AM8" s="4">
        <v>301456</v>
      </c>
      <c r="AN8" s="4">
        <v>646.42700000000002</v>
      </c>
      <c r="AO8" s="5">
        <v>2454.9299999999998</v>
      </c>
      <c r="AP8" s="5">
        <v>7.9803700000000005E-2</v>
      </c>
      <c r="AQ8" s="5">
        <v>301248</v>
      </c>
      <c r="AR8" s="5">
        <v>673.221</v>
      </c>
      <c r="AS8" s="4">
        <v>3621.13</v>
      </c>
      <c r="AT8" s="4">
        <v>0.117842</v>
      </c>
      <c r="AU8" s="4">
        <v>312580</v>
      </c>
      <c r="AV8" s="4">
        <v>726.54100000000005</v>
      </c>
      <c r="AW8" s="5">
        <v>2414.79</v>
      </c>
      <c r="AX8" s="5">
        <v>0.10438500000000001</v>
      </c>
      <c r="AY8" s="5">
        <v>284936</v>
      </c>
      <c r="AZ8" s="5">
        <v>944.51400000000001</v>
      </c>
      <c r="BA8" s="4">
        <v>2347.84</v>
      </c>
      <c r="BB8" s="4">
        <v>6.9902900000000004E-2</v>
      </c>
      <c r="BC8" s="4">
        <v>314128</v>
      </c>
      <c r="BD8" s="4">
        <v>648.15700000000004</v>
      </c>
      <c r="BE8" s="5">
        <v>2405.98</v>
      </c>
      <c r="BF8" s="5">
        <v>0.14510500000000001</v>
      </c>
      <c r="BG8" s="5">
        <v>321427</v>
      </c>
      <c r="BH8" s="5">
        <v>738.81500000000005</v>
      </c>
      <c r="BI8" s="4">
        <v>2568.2600000000002</v>
      </c>
      <c r="BJ8" s="4">
        <v>7.9102400000000003E-2</v>
      </c>
      <c r="BK8" s="4">
        <v>340399</v>
      </c>
      <c r="BL8" s="4">
        <v>703.65700000000004</v>
      </c>
      <c r="BM8" s="5">
        <v>2385.48</v>
      </c>
      <c r="BN8" s="5">
        <v>0.108732</v>
      </c>
      <c r="BO8" s="5">
        <v>277278</v>
      </c>
      <c r="BP8" s="5">
        <v>632.83799999999997</v>
      </c>
      <c r="BQ8" s="4">
        <v>2411.67</v>
      </c>
      <c r="BR8" s="4">
        <v>0.25542300000000001</v>
      </c>
      <c r="BS8" s="4">
        <v>271694</v>
      </c>
      <c r="BT8" s="4">
        <v>712.87099999999998</v>
      </c>
      <c r="BU8" s="71"/>
      <c r="BV8" s="71"/>
      <c r="BW8" s="71"/>
      <c r="BX8" s="71"/>
    </row>
    <row r="9" spans="2:76">
      <c r="C9" s="2">
        <f>AD24/13*O9</f>
        <v>2554.29200606008</v>
      </c>
      <c r="D9" s="91">
        <v>344</v>
      </c>
      <c r="E9" s="22">
        <f t="shared" si="5"/>
        <v>0.47256333503686943</v>
      </c>
      <c r="F9" s="11">
        <f t="shared" si="0"/>
        <v>1.633204351317807E-2</v>
      </c>
      <c r="G9" s="68">
        <v>2.2370000000000001E-2</v>
      </c>
      <c r="H9" s="68">
        <v>1E-4</v>
      </c>
      <c r="I9" s="2">
        <v>411.11649999999997</v>
      </c>
      <c r="J9" s="68">
        <v>1.1999999999999999E-3</v>
      </c>
      <c r="K9" s="2">
        <f t="shared" si="3"/>
        <v>309680.49200606009</v>
      </c>
      <c r="L9" s="11">
        <f t="shared" si="4"/>
        <v>970.21404719680288</v>
      </c>
      <c r="M9" s="101">
        <f t="shared" si="6"/>
        <v>0.95802053426242695</v>
      </c>
      <c r="N9" s="100">
        <f t="shared" si="1"/>
        <v>5.2440286782991594E-3</v>
      </c>
      <c r="O9" s="68">
        <f t="shared" si="2"/>
        <v>307126.2</v>
      </c>
      <c r="Q9" s="5">
        <v>2988.63</v>
      </c>
      <c r="R9" s="5">
        <v>0.42810700000000002</v>
      </c>
      <c r="S9" s="5">
        <v>21477.599999999999</v>
      </c>
      <c r="T9" s="5">
        <v>233.18199999999999</v>
      </c>
      <c r="U9" s="4">
        <v>3170.5</v>
      </c>
      <c r="V9" s="4">
        <v>0.48981799999999998</v>
      </c>
      <c r="W9" s="4">
        <v>21546</v>
      </c>
      <c r="X9" s="4">
        <v>238.346</v>
      </c>
      <c r="Y9" s="5">
        <v>2961.05</v>
      </c>
      <c r="Z9" s="5">
        <v>0.45652500000000001</v>
      </c>
      <c r="AA9" s="5">
        <v>24468.9</v>
      </c>
      <c r="AB9" s="5">
        <v>280.654</v>
      </c>
      <c r="AC9" s="4">
        <v>3012.03</v>
      </c>
      <c r="AD9" s="4">
        <v>0.482989</v>
      </c>
      <c r="AE9" s="4">
        <v>23894.799999999999</v>
      </c>
      <c r="AF9" s="4">
        <v>255.797</v>
      </c>
      <c r="AG9" s="5">
        <v>2983.64</v>
      </c>
      <c r="AH9" s="5">
        <v>0.46076800000000001</v>
      </c>
      <c r="AI9" s="5">
        <v>23132.2</v>
      </c>
      <c r="AJ9" s="5">
        <v>272.24</v>
      </c>
      <c r="AK9" s="4">
        <v>2971.14</v>
      </c>
      <c r="AL9" s="4">
        <v>0.49153999999999998</v>
      </c>
      <c r="AM9" s="4">
        <v>21216.400000000001</v>
      </c>
      <c r="AN9" s="4">
        <v>245.798</v>
      </c>
      <c r="AO9" s="5">
        <v>2931.26</v>
      </c>
      <c r="AP9" s="5">
        <v>0.44841799999999998</v>
      </c>
      <c r="AQ9" s="5">
        <v>21221.9</v>
      </c>
      <c r="AR9" s="5">
        <v>239.78100000000001</v>
      </c>
      <c r="AS9" s="4">
        <v>4326.08</v>
      </c>
      <c r="AT9" s="4">
        <v>0.60217299999999996</v>
      </c>
      <c r="AU9" s="4">
        <v>23288.3</v>
      </c>
      <c r="AV9" s="4">
        <v>232.667</v>
      </c>
      <c r="AW9" s="5">
        <v>2885.82</v>
      </c>
      <c r="AX9" s="5">
        <v>0.40584100000000001</v>
      </c>
      <c r="AY9" s="5">
        <v>20860.8</v>
      </c>
      <c r="AZ9" s="5">
        <v>236.69200000000001</v>
      </c>
      <c r="BA9" s="4">
        <v>2803.8</v>
      </c>
      <c r="BB9" s="4">
        <v>0.41256799999999999</v>
      </c>
      <c r="BC9" s="4">
        <v>21610.9</v>
      </c>
      <c r="BD9" s="4">
        <v>242.69300000000001</v>
      </c>
      <c r="BE9" s="5">
        <v>2873.39</v>
      </c>
      <c r="BF9" s="5">
        <v>0.95468399999999998</v>
      </c>
      <c r="BG9" s="5">
        <v>22339.1</v>
      </c>
      <c r="BH9" s="5">
        <v>311.58999999999997</v>
      </c>
      <c r="BI9" s="4">
        <v>3070.17</v>
      </c>
      <c r="BJ9" s="4">
        <v>0.55123200000000006</v>
      </c>
      <c r="BK9" s="4">
        <v>23139.9</v>
      </c>
      <c r="BL9" s="4">
        <v>255.511</v>
      </c>
      <c r="BM9" s="5">
        <v>2850.41</v>
      </c>
      <c r="BN9" s="5">
        <v>0.63954500000000003</v>
      </c>
      <c r="BO9" s="5">
        <v>19721.7</v>
      </c>
      <c r="BP9" s="5">
        <v>254.667</v>
      </c>
      <c r="BQ9" s="4">
        <v>2880.55</v>
      </c>
      <c r="BR9" s="4">
        <v>2.1712799999999999</v>
      </c>
      <c r="BS9" s="4">
        <v>19207.7</v>
      </c>
      <c r="BT9" s="4">
        <v>312.44400000000002</v>
      </c>
      <c r="BU9" s="71"/>
      <c r="BV9" s="71"/>
      <c r="BW9" s="71"/>
      <c r="BX9" s="71"/>
    </row>
    <row r="10" spans="2:76">
      <c r="B10" s="2">
        <f>AD22/13*O10</f>
        <v>5019.5248462350746</v>
      </c>
      <c r="C10" s="2">
        <f>AD23/13*O10</f>
        <v>4390.4486399897442</v>
      </c>
      <c r="D10" s="97">
        <v>122245</v>
      </c>
      <c r="E10" s="22">
        <f t="shared" si="5"/>
        <v>0.49537855004745568</v>
      </c>
      <c r="F10" s="11">
        <f t="shared" si="0"/>
        <v>2.2815215010586261E-2</v>
      </c>
      <c r="G10" s="68">
        <v>3.125E-2</v>
      </c>
      <c r="H10" s="68">
        <v>1.3999999999999999E-4</v>
      </c>
      <c r="I10" s="2">
        <v>443.96499999999997</v>
      </c>
      <c r="J10" s="68">
        <v>3.0000000000000001E-3</v>
      </c>
      <c r="K10" s="2">
        <f t="shared" si="3"/>
        <v>427907.67348622484</v>
      </c>
      <c r="L10" s="11">
        <f t="shared" si="4"/>
        <v>1052.5602959284565</v>
      </c>
      <c r="M10" s="101">
        <f t="shared" si="6"/>
        <v>0.94760426460915237</v>
      </c>
      <c r="N10" s="100">
        <f t="shared" si="1"/>
        <v>4.8685181813660208E-3</v>
      </c>
      <c r="O10" s="68">
        <f t="shared" si="2"/>
        <v>418497.7</v>
      </c>
      <c r="Q10" s="5">
        <v>3227.4</v>
      </c>
      <c r="R10" s="5">
        <v>0.32994899999999999</v>
      </c>
      <c r="S10" s="5">
        <v>29446.2</v>
      </c>
      <c r="T10" s="5">
        <v>250.51300000000001</v>
      </c>
      <c r="U10" s="4">
        <v>3424.31</v>
      </c>
      <c r="V10" s="4">
        <v>0.37921700000000003</v>
      </c>
      <c r="W10" s="4">
        <v>29422.6</v>
      </c>
      <c r="X10" s="4">
        <v>256.96499999999997</v>
      </c>
      <c r="Y10" s="5">
        <v>3198.08</v>
      </c>
      <c r="Z10" s="5">
        <v>0.38926699999999997</v>
      </c>
      <c r="AA10" s="5">
        <v>32549.9</v>
      </c>
      <c r="AB10" s="5">
        <v>290.70600000000002</v>
      </c>
      <c r="AC10" s="4">
        <v>3253.84</v>
      </c>
      <c r="AD10" s="4">
        <v>0.40712300000000001</v>
      </c>
      <c r="AE10" s="4">
        <v>32495</v>
      </c>
      <c r="AF10" s="4">
        <v>277.28899999999999</v>
      </c>
      <c r="AG10" s="5">
        <v>3220.44</v>
      </c>
      <c r="AH10" s="5">
        <v>0.35680000000000001</v>
      </c>
      <c r="AI10" s="5">
        <v>32722.400000000001</v>
      </c>
      <c r="AJ10" s="5">
        <v>291.14499999999998</v>
      </c>
      <c r="AK10" s="4">
        <v>3208.69</v>
      </c>
      <c r="AL10" s="4">
        <v>0.39536100000000002</v>
      </c>
      <c r="AM10" s="4">
        <v>28894.7</v>
      </c>
      <c r="AN10" s="4">
        <v>260.82499999999999</v>
      </c>
      <c r="AO10" s="5">
        <v>3165.24</v>
      </c>
      <c r="AP10" s="5">
        <v>0.35450300000000001</v>
      </c>
      <c r="AQ10" s="5">
        <v>29281.4</v>
      </c>
      <c r="AR10" s="5">
        <v>256.41000000000003</v>
      </c>
      <c r="AS10" s="4">
        <v>4669.7700000000004</v>
      </c>
      <c r="AT10" s="4">
        <v>0.62709300000000001</v>
      </c>
      <c r="AU10" s="4">
        <v>29996.799999999999</v>
      </c>
      <c r="AV10" s="4">
        <v>336.36099999999999</v>
      </c>
      <c r="AW10" s="5">
        <v>3121.66</v>
      </c>
      <c r="AX10" s="5">
        <v>0.34499600000000002</v>
      </c>
      <c r="AY10" s="5">
        <v>28345.4</v>
      </c>
      <c r="AZ10" s="5">
        <v>252.678</v>
      </c>
      <c r="BA10" s="4">
        <v>3024.76</v>
      </c>
      <c r="BB10" s="4">
        <v>0.31263000000000002</v>
      </c>
      <c r="BC10" s="4">
        <v>30119.9</v>
      </c>
      <c r="BD10" s="4">
        <v>260.02300000000002</v>
      </c>
      <c r="BE10" s="5">
        <v>3104.56</v>
      </c>
      <c r="BF10" s="5">
        <v>0.76022000000000001</v>
      </c>
      <c r="BG10" s="5">
        <v>30263.3</v>
      </c>
      <c r="BH10" s="5">
        <v>322.13799999999998</v>
      </c>
      <c r="BI10" s="4">
        <v>3321.42</v>
      </c>
      <c r="BJ10" s="4">
        <v>0.39716099999999999</v>
      </c>
      <c r="BK10" s="4">
        <v>32383.9</v>
      </c>
      <c r="BL10" s="4">
        <v>283.54300000000001</v>
      </c>
      <c r="BM10" s="5">
        <v>3077.69</v>
      </c>
      <c r="BN10" s="5">
        <v>0.52587399999999995</v>
      </c>
      <c r="BO10" s="5">
        <v>26266.6</v>
      </c>
      <c r="BP10" s="5">
        <v>262.51100000000002</v>
      </c>
      <c r="BQ10" s="4">
        <v>3110.18</v>
      </c>
      <c r="BR10" s="4">
        <v>1.39205</v>
      </c>
      <c r="BS10" s="4">
        <v>26309.599999999999</v>
      </c>
      <c r="BT10" s="4">
        <v>318.55399999999997</v>
      </c>
      <c r="BU10" s="71"/>
      <c r="BV10" s="71"/>
      <c r="BW10" s="71"/>
      <c r="BX10" s="71"/>
    </row>
    <row r="11" spans="2:76">
      <c r="C11" s="2">
        <f>AD24/13*O11</f>
        <v>9936.4693749667185</v>
      </c>
      <c r="D11" s="91">
        <v>344</v>
      </c>
      <c r="E11" s="22">
        <f t="shared" si="5"/>
        <v>0.589997809739359</v>
      </c>
      <c r="F11" s="11">
        <f t="shared" si="0"/>
        <v>9.4619259691903337E-2</v>
      </c>
      <c r="G11" s="68">
        <v>0.12959999999999999</v>
      </c>
      <c r="H11" s="68">
        <v>5.9999999999999995E-4</v>
      </c>
      <c r="I11" s="2">
        <v>778.90449999999998</v>
      </c>
      <c r="J11" s="68">
        <v>2.3999999999999998E-3</v>
      </c>
      <c r="K11" s="2">
        <f t="shared" si="3"/>
        <v>1204690.2693749669</v>
      </c>
      <c r="L11" s="11">
        <f t="shared" si="4"/>
        <v>1537.444670913721</v>
      </c>
      <c r="M11" s="101">
        <f t="shared" si="6"/>
        <v>0.64327600884231295</v>
      </c>
      <c r="N11" s="100">
        <f t="shared" si="1"/>
        <v>3.0910333399553069E-3</v>
      </c>
      <c r="O11" s="68">
        <f t="shared" si="2"/>
        <v>1194753.8</v>
      </c>
      <c r="Q11" s="5">
        <v>5662.66</v>
      </c>
      <c r="R11" s="5">
        <v>0.185448</v>
      </c>
      <c r="S11" s="5">
        <v>84114.8</v>
      </c>
      <c r="T11" s="5">
        <v>361.39699999999999</v>
      </c>
      <c r="U11" s="4">
        <v>6007.88</v>
      </c>
      <c r="V11" s="4">
        <v>0.20496800000000001</v>
      </c>
      <c r="W11" s="4">
        <v>83062.600000000006</v>
      </c>
      <c r="X11" s="4">
        <v>367.38600000000002</v>
      </c>
      <c r="Y11" s="5">
        <v>5610.6</v>
      </c>
      <c r="Z11" s="5">
        <v>0.193853</v>
      </c>
      <c r="AA11" s="5">
        <v>95474.5</v>
      </c>
      <c r="AB11" s="5">
        <v>411.11099999999999</v>
      </c>
      <c r="AC11" s="4">
        <v>5711.53</v>
      </c>
      <c r="AD11" s="4">
        <v>0.20769599999999999</v>
      </c>
      <c r="AE11" s="4">
        <v>92301.5</v>
      </c>
      <c r="AF11" s="4">
        <v>391.589</v>
      </c>
      <c r="AG11" s="5">
        <v>5652.14</v>
      </c>
      <c r="AH11" s="5">
        <v>0.19112399999999999</v>
      </c>
      <c r="AI11" s="5">
        <v>93677.2</v>
      </c>
      <c r="AJ11" s="5">
        <v>414.53800000000001</v>
      </c>
      <c r="AK11" s="4">
        <v>5627.05</v>
      </c>
      <c r="AL11" s="4">
        <v>0.21495500000000001</v>
      </c>
      <c r="AM11" s="4">
        <v>81891</v>
      </c>
      <c r="AN11" s="4">
        <v>370.971</v>
      </c>
      <c r="AO11" s="5">
        <v>5563.49</v>
      </c>
      <c r="AP11" s="5">
        <v>0.18946199999999999</v>
      </c>
      <c r="AQ11" s="5">
        <v>83660.899999999994</v>
      </c>
      <c r="AR11" s="5">
        <v>370.55700000000002</v>
      </c>
      <c r="AS11" s="4">
        <v>8206.98</v>
      </c>
      <c r="AT11" s="4">
        <v>0.26860299999999998</v>
      </c>
      <c r="AU11" s="4">
        <v>87602.7</v>
      </c>
      <c r="AV11" s="4">
        <v>383.06099999999998</v>
      </c>
      <c r="AW11" s="5">
        <v>5487.42</v>
      </c>
      <c r="AX11" s="5">
        <v>0</v>
      </c>
      <c r="AY11" s="5">
        <v>79737.8</v>
      </c>
      <c r="AZ11" s="5">
        <v>595.91200000000003</v>
      </c>
      <c r="BA11" s="4">
        <v>5310.57</v>
      </c>
      <c r="BB11" s="4">
        <v>0.17219599999999999</v>
      </c>
      <c r="BC11" s="4">
        <v>86736</v>
      </c>
      <c r="BD11" s="4">
        <v>368.26799999999997</v>
      </c>
      <c r="BE11" s="5">
        <v>5475.3</v>
      </c>
      <c r="BF11" s="5">
        <v>0.42451299999999997</v>
      </c>
      <c r="BG11" s="5">
        <v>85465.8</v>
      </c>
      <c r="BH11" s="5">
        <v>429.81599999999997</v>
      </c>
      <c r="BI11" s="4">
        <v>5840.88</v>
      </c>
      <c r="BJ11" s="4">
        <v>0.182202</v>
      </c>
      <c r="BK11" s="4">
        <v>93792.2</v>
      </c>
      <c r="BL11" s="4">
        <v>365.40699999999998</v>
      </c>
      <c r="BM11" s="5">
        <v>5418.29</v>
      </c>
      <c r="BN11" s="5">
        <v>0.30481599999999998</v>
      </c>
      <c r="BO11" s="5">
        <v>72235.8</v>
      </c>
      <c r="BP11" s="5">
        <v>360.43900000000002</v>
      </c>
      <c r="BQ11" s="4">
        <v>5472.62</v>
      </c>
      <c r="BR11" s="4">
        <v>2.1200700000000001</v>
      </c>
      <c r="BS11" s="4">
        <v>75001</v>
      </c>
      <c r="BT11" s="4">
        <v>493.33499999999998</v>
      </c>
      <c r="BU11" s="71"/>
      <c r="BV11" s="71"/>
      <c r="BW11" s="71"/>
      <c r="BX11" s="71"/>
    </row>
    <row r="12" spans="2:76">
      <c r="B12" s="2">
        <f>AD22/13*O12</f>
        <v>4211.5808051336198</v>
      </c>
      <c r="C12" s="2">
        <f>AD23/13*O12</f>
        <v>3683.7608707076924</v>
      </c>
      <c r="D12" s="97">
        <v>122245</v>
      </c>
      <c r="E12" s="22">
        <f t="shared" si="5"/>
        <v>0.62096079433452578</v>
      </c>
      <c r="F12" s="11">
        <f t="shared" si="0"/>
        <v>3.0962984595166828E-2</v>
      </c>
      <c r="G12" s="68">
        <v>4.2410000000000003E-2</v>
      </c>
      <c r="H12" s="68">
        <v>2.3000000000000001E-4</v>
      </c>
      <c r="I12" s="2">
        <v>867.38</v>
      </c>
      <c r="J12" s="68">
        <v>3.0000000000000001E-3</v>
      </c>
      <c r="K12" s="2">
        <f t="shared" si="3"/>
        <v>359031.54167584126</v>
      </c>
      <c r="L12" s="11">
        <f t="shared" si="4"/>
        <v>1035.865497659807</v>
      </c>
      <c r="M12" s="101">
        <f t="shared" si="6"/>
        <v>0.58585654373504847</v>
      </c>
      <c r="N12" s="100">
        <f t="shared" si="1"/>
        <v>3.6168926220666127E-3</v>
      </c>
      <c r="O12" s="68">
        <f t="shared" si="2"/>
        <v>351136.19999999995</v>
      </c>
      <c r="Q12" s="5">
        <v>6307.49</v>
      </c>
      <c r="R12" s="5">
        <v>0.47842099999999999</v>
      </c>
      <c r="S12" s="5">
        <v>24777.9</v>
      </c>
      <c r="T12" s="5">
        <v>244.77</v>
      </c>
      <c r="U12" s="4">
        <v>6693.85</v>
      </c>
      <c r="V12" s="4">
        <v>0.58659399999999995</v>
      </c>
      <c r="W12" s="4">
        <v>23917.4</v>
      </c>
      <c r="X12" s="4">
        <v>242.18799999999999</v>
      </c>
      <c r="Y12" s="5">
        <v>6247.8</v>
      </c>
      <c r="Z12" s="5">
        <v>0.50934400000000002</v>
      </c>
      <c r="AA12" s="5">
        <v>27631.200000000001</v>
      </c>
      <c r="AB12" s="5">
        <v>287.25799999999998</v>
      </c>
      <c r="AC12" s="4">
        <v>6359.94</v>
      </c>
      <c r="AD12" s="4">
        <v>0.52013500000000001</v>
      </c>
      <c r="AE12" s="4">
        <v>27132.7</v>
      </c>
      <c r="AF12" s="4">
        <v>269.41000000000003</v>
      </c>
      <c r="AG12" s="5">
        <v>6294.74</v>
      </c>
      <c r="AH12" s="5">
        <v>0.46796100000000002</v>
      </c>
      <c r="AI12" s="5">
        <v>27811.4</v>
      </c>
      <c r="AJ12" s="5">
        <v>287.64999999999998</v>
      </c>
      <c r="AK12" s="4">
        <v>6263.81</v>
      </c>
      <c r="AL12" s="4">
        <v>0.50462899999999999</v>
      </c>
      <c r="AM12" s="4">
        <v>24594.6</v>
      </c>
      <c r="AN12" s="4">
        <v>253.559</v>
      </c>
      <c r="AO12" s="5">
        <v>6193.99</v>
      </c>
      <c r="AP12" s="5">
        <v>0.45141100000000001</v>
      </c>
      <c r="AQ12" s="5">
        <v>24811.3</v>
      </c>
      <c r="AR12" s="5">
        <v>255.441</v>
      </c>
      <c r="AS12" s="4">
        <v>9138.07</v>
      </c>
      <c r="AT12" s="4">
        <v>0.70431500000000002</v>
      </c>
      <c r="AU12" s="4">
        <v>25436.1</v>
      </c>
      <c r="AV12" s="4">
        <v>324.39800000000002</v>
      </c>
      <c r="AW12" s="5">
        <v>6108.96</v>
      </c>
      <c r="AX12" s="5">
        <v>0.44078499999999998</v>
      </c>
      <c r="AY12" s="5">
        <v>24050.799999999999</v>
      </c>
      <c r="AZ12" s="5">
        <v>246.60499999999999</v>
      </c>
      <c r="BA12" s="4">
        <v>5915.54</v>
      </c>
      <c r="BB12" s="4">
        <v>0.46400200000000003</v>
      </c>
      <c r="BC12" s="4">
        <v>25478.3</v>
      </c>
      <c r="BD12" s="4">
        <v>235.90899999999999</v>
      </c>
      <c r="BE12" s="5">
        <v>6098.41</v>
      </c>
      <c r="BF12" s="5">
        <v>0.91807000000000005</v>
      </c>
      <c r="BG12" s="5">
        <v>25206.5</v>
      </c>
      <c r="BH12" s="5">
        <v>311.834</v>
      </c>
      <c r="BI12" s="4">
        <v>6502.92</v>
      </c>
      <c r="BJ12" s="4">
        <v>0.51050799999999996</v>
      </c>
      <c r="BK12" s="4">
        <v>26987.3</v>
      </c>
      <c r="BL12" s="4">
        <v>276.334</v>
      </c>
      <c r="BM12" s="5">
        <v>6048.77</v>
      </c>
      <c r="BN12" s="5">
        <v>0.72358100000000003</v>
      </c>
      <c r="BO12" s="5">
        <v>21069.9</v>
      </c>
      <c r="BP12" s="5">
        <v>253.76900000000001</v>
      </c>
      <c r="BQ12" s="4">
        <v>6108.33</v>
      </c>
      <c r="BR12" s="4">
        <v>1.4615899999999999</v>
      </c>
      <c r="BS12" s="4">
        <v>22230.799999999999</v>
      </c>
      <c r="BT12" s="4">
        <v>356.88299999999998</v>
      </c>
      <c r="BU12" s="71"/>
      <c r="BV12" s="71"/>
      <c r="BW12" s="71"/>
      <c r="BX12" s="71"/>
    </row>
    <row r="13" spans="2:76">
      <c r="B13" s="2">
        <f>AD22/13*O13</f>
        <v>14027.474509950447</v>
      </c>
      <c r="D13" s="91">
        <v>122</v>
      </c>
      <c r="E13" s="22">
        <f t="shared" si="5"/>
        <v>0.72769949624005248</v>
      </c>
      <c r="F13" s="11">
        <f t="shared" si="0"/>
        <v>0.10673870190552676</v>
      </c>
      <c r="G13" s="68">
        <v>0.1462</v>
      </c>
      <c r="H13" s="68">
        <v>5.9999999999999995E-4</v>
      </c>
      <c r="I13" s="2">
        <v>964.072</v>
      </c>
      <c r="J13" s="68">
        <v>1.7999999999999999E-2</v>
      </c>
      <c r="K13" s="2">
        <f t="shared" si="3"/>
        <v>1183553.6745099502</v>
      </c>
      <c r="L13" s="11">
        <f t="shared" si="4"/>
        <v>1392.2266460429494</v>
      </c>
      <c r="M13" s="101">
        <f t="shared" si="6"/>
        <v>0.56023151934519755</v>
      </c>
      <c r="N13" s="100">
        <f t="shared" si="1"/>
        <v>2.3939424272780415E-3</v>
      </c>
      <c r="O13" s="68">
        <f t="shared" si="2"/>
        <v>1169526.1999999997</v>
      </c>
      <c r="Q13" s="5">
        <v>7011.46</v>
      </c>
      <c r="R13" s="5">
        <v>0.19157199999999999</v>
      </c>
      <c r="S13" s="5">
        <v>82022</v>
      </c>
      <c r="T13" s="5">
        <v>349.31200000000001</v>
      </c>
      <c r="U13" s="4">
        <v>7439.61</v>
      </c>
      <c r="V13" s="4">
        <v>0.21937999999999999</v>
      </c>
      <c r="W13" s="4">
        <v>81259.5</v>
      </c>
      <c r="X13" s="4">
        <v>359.34199999999998</v>
      </c>
      <c r="Y13" s="5">
        <v>6942.62</v>
      </c>
      <c r="Z13" s="5">
        <v>0.21092900000000001</v>
      </c>
      <c r="AA13" s="5">
        <v>93289.8</v>
      </c>
      <c r="AB13" s="5">
        <v>406.56799999999998</v>
      </c>
      <c r="AC13" s="4">
        <v>7067.96</v>
      </c>
      <c r="AD13" s="4">
        <v>0.20738999999999999</v>
      </c>
      <c r="AE13" s="4">
        <v>89578.9</v>
      </c>
      <c r="AF13" s="4">
        <v>374.15</v>
      </c>
      <c r="AG13" s="5">
        <v>6999.37</v>
      </c>
      <c r="AH13" s="5">
        <v>0.19667000000000001</v>
      </c>
      <c r="AI13" s="5">
        <v>91211</v>
      </c>
      <c r="AJ13" s="5">
        <v>396.06599999999997</v>
      </c>
      <c r="AK13" s="4">
        <v>6964.42</v>
      </c>
      <c r="AL13" s="4">
        <v>0.20918100000000001</v>
      </c>
      <c r="AM13" s="4">
        <v>80218.100000000006</v>
      </c>
      <c r="AN13" s="4">
        <v>354.01</v>
      </c>
      <c r="AO13" s="5">
        <v>6882.76</v>
      </c>
      <c r="AP13" s="5">
        <v>0.18971399999999999</v>
      </c>
      <c r="AQ13" s="5">
        <v>82388</v>
      </c>
      <c r="AR13" s="5">
        <v>359.48399999999998</v>
      </c>
      <c r="AS13" s="4">
        <v>10153.6</v>
      </c>
      <c r="AT13" s="4">
        <v>0.28021299999999999</v>
      </c>
      <c r="AU13" s="4">
        <v>85916.7</v>
      </c>
      <c r="AV13" s="4">
        <v>349.69900000000001</v>
      </c>
      <c r="AW13" s="5">
        <v>6787.94</v>
      </c>
      <c r="AX13" s="5">
        <v>0.18419199999999999</v>
      </c>
      <c r="AY13" s="5">
        <v>81114.7</v>
      </c>
      <c r="AZ13" s="5">
        <v>353.76799999999997</v>
      </c>
      <c r="BA13" s="4">
        <v>6589.72</v>
      </c>
      <c r="BB13" s="4">
        <v>0.18324499999999999</v>
      </c>
      <c r="BC13" s="4">
        <v>84589.9</v>
      </c>
      <c r="BD13" s="4">
        <v>349.99400000000003</v>
      </c>
      <c r="BE13" s="5">
        <v>6774.42</v>
      </c>
      <c r="BF13" s="5">
        <v>0.34642699999999998</v>
      </c>
      <c r="BG13" s="5">
        <v>84220</v>
      </c>
      <c r="BH13" s="5">
        <v>397.82400000000001</v>
      </c>
      <c r="BI13" s="4">
        <v>7223.19</v>
      </c>
      <c r="BJ13" s="4">
        <v>0.214703</v>
      </c>
      <c r="BK13" s="4">
        <v>90674</v>
      </c>
      <c r="BL13" s="4">
        <v>397.08300000000003</v>
      </c>
      <c r="BM13" s="5">
        <v>6717.52</v>
      </c>
      <c r="BN13" s="5">
        <v>0.27063900000000002</v>
      </c>
      <c r="BO13" s="5">
        <v>69657.7</v>
      </c>
      <c r="BP13" s="5">
        <v>343.851</v>
      </c>
      <c r="BQ13" s="4">
        <v>6791.05</v>
      </c>
      <c r="BR13" s="4">
        <v>0.61491200000000001</v>
      </c>
      <c r="BS13" s="4">
        <v>73385.899999999994</v>
      </c>
      <c r="BT13" s="4">
        <v>407.84100000000001</v>
      </c>
      <c r="BU13" s="71"/>
      <c r="BV13" s="71"/>
      <c r="BW13" s="71"/>
      <c r="BX13" s="71"/>
    </row>
    <row r="14" spans="2:76">
      <c r="B14" s="2">
        <f>AD22/13*O14</f>
        <v>12115.308095036959</v>
      </c>
      <c r="D14" s="91">
        <v>122</v>
      </c>
      <c r="E14" s="22">
        <f t="shared" si="5"/>
        <v>0.82553113820544632</v>
      </c>
      <c r="F14" s="11">
        <f t="shared" si="0"/>
        <v>9.7831641965393887E-2</v>
      </c>
      <c r="G14" s="68">
        <v>0.13400000000000001</v>
      </c>
      <c r="H14" s="68">
        <v>5.9999999999999995E-4</v>
      </c>
      <c r="I14" s="2">
        <v>1112.076</v>
      </c>
      <c r="J14" s="68">
        <v>3.0000000000000001E-3</v>
      </c>
      <c r="K14" s="2">
        <f t="shared" si="3"/>
        <v>1022216.6080950369</v>
      </c>
      <c r="L14" s="11">
        <f t="shared" si="4"/>
        <v>1318.579403503255</v>
      </c>
      <c r="M14" s="101">
        <f t="shared" si="6"/>
        <v>0.52791632004587707</v>
      </c>
      <c r="N14" s="100">
        <f t="shared" si="1"/>
        <v>2.4622110087178135E-3</v>
      </c>
      <c r="O14" s="68">
        <f t="shared" si="2"/>
        <v>1010101.2999999999</v>
      </c>
      <c r="Q14" s="5">
        <v>8088.28</v>
      </c>
      <c r="R14" s="5">
        <v>0.245419</v>
      </c>
      <c r="S14" s="5">
        <v>70394.600000000006</v>
      </c>
      <c r="T14" s="5">
        <v>335.875</v>
      </c>
      <c r="U14" s="4">
        <v>8581.69</v>
      </c>
      <c r="V14" s="4">
        <v>0.239426</v>
      </c>
      <c r="W14" s="4">
        <v>69849.2</v>
      </c>
      <c r="X14" s="4">
        <v>340.185</v>
      </c>
      <c r="Y14" s="5">
        <v>8009.03</v>
      </c>
      <c r="Z14" s="5">
        <v>0.22382099999999999</v>
      </c>
      <c r="AA14" s="5">
        <v>81110.3</v>
      </c>
      <c r="AB14" s="5">
        <v>383.27</v>
      </c>
      <c r="AC14" s="4">
        <v>8153.41</v>
      </c>
      <c r="AD14" s="4">
        <v>0.22819</v>
      </c>
      <c r="AE14" s="4">
        <v>77904.399999999994</v>
      </c>
      <c r="AF14" s="4">
        <v>358.25700000000001</v>
      </c>
      <c r="AG14" s="5">
        <v>8073.52</v>
      </c>
      <c r="AH14" s="5">
        <v>0.218999</v>
      </c>
      <c r="AI14" s="5">
        <v>79454.7</v>
      </c>
      <c r="AJ14" s="5">
        <v>374.95299999999997</v>
      </c>
      <c r="AK14" s="4">
        <v>8034.5</v>
      </c>
      <c r="AL14" s="4">
        <v>0.25732699999999997</v>
      </c>
      <c r="AM14" s="4">
        <v>69971.100000000006</v>
      </c>
      <c r="AN14" s="4">
        <v>344.42500000000001</v>
      </c>
      <c r="AO14" s="5">
        <v>7936.73</v>
      </c>
      <c r="AP14" s="5">
        <v>0.23480100000000001</v>
      </c>
      <c r="AQ14" s="5">
        <v>71459.7</v>
      </c>
      <c r="AR14" s="5">
        <v>351.267</v>
      </c>
      <c r="AS14" s="4">
        <v>11710.9</v>
      </c>
      <c r="AT14" s="4">
        <v>0.32211499999999998</v>
      </c>
      <c r="AU14" s="4">
        <v>73705.3</v>
      </c>
      <c r="AV14" s="4">
        <v>335.33100000000002</v>
      </c>
      <c r="AW14" s="5">
        <v>7826.96</v>
      </c>
      <c r="AX14" s="5">
        <v>0.206345</v>
      </c>
      <c r="AY14" s="5">
        <v>70278.600000000006</v>
      </c>
      <c r="AZ14" s="5">
        <v>333.82299999999998</v>
      </c>
      <c r="BA14" s="4">
        <v>7603.49</v>
      </c>
      <c r="BB14" s="4">
        <v>0.21091799999999999</v>
      </c>
      <c r="BC14" s="4">
        <v>72755</v>
      </c>
      <c r="BD14" s="4">
        <v>336.81900000000002</v>
      </c>
      <c r="BE14" s="5">
        <v>7809.66</v>
      </c>
      <c r="BF14" s="5">
        <v>0.35710900000000001</v>
      </c>
      <c r="BG14" s="5">
        <v>71928.399999999994</v>
      </c>
      <c r="BH14" s="5">
        <v>383.44600000000003</v>
      </c>
      <c r="BI14" s="4">
        <v>8330.85</v>
      </c>
      <c r="BJ14" s="4">
        <v>0.22995299999999999</v>
      </c>
      <c r="BK14" s="4">
        <v>77650.2</v>
      </c>
      <c r="BL14" s="4">
        <v>368.48200000000003</v>
      </c>
      <c r="BM14" s="5">
        <v>7743.78</v>
      </c>
      <c r="BN14" s="5">
        <v>0.28344900000000001</v>
      </c>
      <c r="BO14" s="5">
        <v>60263.1</v>
      </c>
      <c r="BP14" s="5">
        <v>328.96100000000001</v>
      </c>
      <c r="BQ14" s="4">
        <v>7825.8</v>
      </c>
      <c r="BR14" s="4">
        <v>0.71113499999999996</v>
      </c>
      <c r="BS14" s="4">
        <v>63376.7</v>
      </c>
      <c r="BT14" s="4">
        <v>352.00299999999999</v>
      </c>
      <c r="BU14" s="71"/>
      <c r="BV14" s="71"/>
      <c r="BW14" s="71"/>
      <c r="BX14" s="71"/>
    </row>
    <row r="15" spans="2:76">
      <c r="B15" s="2">
        <f>AD22/13*O15</f>
        <v>1126.0360173340914</v>
      </c>
      <c r="C15" s="2">
        <f>AD23/13*O15</f>
        <v>984.91459895692321</v>
      </c>
      <c r="D15" s="97">
        <v>122245</v>
      </c>
      <c r="E15" s="22">
        <f t="shared" si="5"/>
        <v>0.83586186756223979</v>
      </c>
      <c r="F15" s="11">
        <f t="shared" si="0"/>
        <v>1.0330729356793458E-2</v>
      </c>
      <c r="G15" s="68">
        <v>1.4149999999999999E-2</v>
      </c>
      <c r="H15" s="68">
        <v>9.0000000000000006E-5</v>
      </c>
      <c r="I15" s="2">
        <v>1212.9480000000001</v>
      </c>
      <c r="J15" s="68">
        <v>1.1000000000000001E-3</v>
      </c>
      <c r="K15" s="2">
        <f t="shared" si="3"/>
        <v>95993.040616291008</v>
      </c>
      <c r="L15" s="11">
        <f t="shared" si="4"/>
        <v>600.51733281146846</v>
      </c>
      <c r="M15" s="101">
        <f t="shared" si="6"/>
        <v>0.46947261263503104</v>
      </c>
      <c r="N15" s="100">
        <f t="shared" si="1"/>
        <v>4.2349000807058272E-3</v>
      </c>
      <c r="O15" s="68">
        <f t="shared" si="2"/>
        <v>93882.09</v>
      </c>
      <c r="Q15" s="5">
        <v>8839.81</v>
      </c>
      <c r="R15" s="5">
        <v>1.0738000000000001</v>
      </c>
      <c r="S15" s="5">
        <v>6740.75</v>
      </c>
      <c r="T15" s="5">
        <v>134.786</v>
      </c>
      <c r="U15" s="4">
        <v>9361.4</v>
      </c>
      <c r="V15" s="4">
        <v>1.30074</v>
      </c>
      <c r="W15" s="4">
        <v>6508.08</v>
      </c>
      <c r="X15" s="4">
        <v>143.535</v>
      </c>
      <c r="Y15" s="5">
        <v>8735.16</v>
      </c>
      <c r="Z15" s="5">
        <v>1.1059300000000001</v>
      </c>
      <c r="AA15" s="5">
        <v>7581.52</v>
      </c>
      <c r="AB15" s="5">
        <v>177.672</v>
      </c>
      <c r="AC15" s="4">
        <v>8892.51</v>
      </c>
      <c r="AD15" s="4">
        <v>1.0928899999999999</v>
      </c>
      <c r="AE15" s="4">
        <v>7181.55</v>
      </c>
      <c r="AF15" s="4">
        <v>155.54400000000001</v>
      </c>
      <c r="AG15" s="5">
        <v>8807.7999999999993</v>
      </c>
      <c r="AH15" s="5">
        <v>1.1255500000000001</v>
      </c>
      <c r="AI15" s="5">
        <v>7451.31</v>
      </c>
      <c r="AJ15" s="5">
        <v>166.88300000000001</v>
      </c>
      <c r="AK15" s="4">
        <v>8763.0499999999993</v>
      </c>
      <c r="AL15" s="4">
        <v>1.23089</v>
      </c>
      <c r="AM15" s="4">
        <v>6591.71</v>
      </c>
      <c r="AN15" s="4">
        <v>148.57599999999999</v>
      </c>
      <c r="AO15" s="5">
        <v>8656.08</v>
      </c>
      <c r="AP15" s="5">
        <v>1.1699299999999999</v>
      </c>
      <c r="AQ15" s="5">
        <v>6809.23</v>
      </c>
      <c r="AR15" s="5">
        <v>149.05699999999999</v>
      </c>
      <c r="AS15" s="4">
        <v>12773.3</v>
      </c>
      <c r="AT15" s="4">
        <v>2.0440499999999999</v>
      </c>
      <c r="AU15" s="4">
        <v>6537.52</v>
      </c>
      <c r="AV15" s="4">
        <v>199.78200000000001</v>
      </c>
      <c r="AW15" s="5">
        <v>8536.5300000000007</v>
      </c>
      <c r="AX15" s="5">
        <v>1.00911</v>
      </c>
      <c r="AY15" s="5">
        <v>6711.73</v>
      </c>
      <c r="AZ15" s="5">
        <v>145.97800000000001</v>
      </c>
      <c r="BA15" s="4">
        <v>8290.41</v>
      </c>
      <c r="BB15" s="4">
        <v>0.94240000000000002</v>
      </c>
      <c r="BC15" s="4">
        <v>6987.77</v>
      </c>
      <c r="BD15" s="4">
        <v>148.59899999999999</v>
      </c>
      <c r="BE15" s="5">
        <v>8515.2900000000009</v>
      </c>
      <c r="BF15" s="5">
        <v>1.63619</v>
      </c>
      <c r="BG15" s="5">
        <v>6452.27</v>
      </c>
      <c r="BH15" s="5">
        <v>177.00700000000001</v>
      </c>
      <c r="BI15" s="4">
        <v>9086.33</v>
      </c>
      <c r="BJ15" s="4">
        <v>1.2529399999999999</v>
      </c>
      <c r="BK15" s="4">
        <v>6953.68</v>
      </c>
      <c r="BL15" s="4">
        <v>155.69800000000001</v>
      </c>
      <c r="BM15" s="5">
        <v>8444.4</v>
      </c>
      <c r="BN15" s="5">
        <v>1.8559399999999999</v>
      </c>
      <c r="BO15" s="5">
        <v>5547.66</v>
      </c>
      <c r="BP15" s="5">
        <v>143.553</v>
      </c>
      <c r="BQ15" s="4">
        <v>8532.2199999999993</v>
      </c>
      <c r="BR15" s="4">
        <v>2.77522</v>
      </c>
      <c r="BS15" s="4">
        <v>5827.31</v>
      </c>
      <c r="BT15" s="4">
        <v>185.64099999999999</v>
      </c>
      <c r="BU15" s="71"/>
      <c r="BV15" s="71"/>
      <c r="BW15" s="71"/>
      <c r="BX15" s="71"/>
    </row>
    <row r="16" spans="2:76">
      <c r="C16" s="2">
        <f>AD24/13*O16</f>
        <v>839.8515895057011</v>
      </c>
      <c r="D16" s="91">
        <v>344</v>
      </c>
      <c r="E16" s="22">
        <f t="shared" si="5"/>
        <v>0.84777688544936836</v>
      </c>
      <c r="F16" s="11">
        <f t="shared" si="0"/>
        <v>1.191501788712857E-2</v>
      </c>
      <c r="G16" s="68">
        <v>1.6320000000000001E-2</v>
      </c>
      <c r="H16" s="68">
        <v>9.0000000000000006E-5</v>
      </c>
      <c r="I16" s="2">
        <v>1299.1420000000001</v>
      </c>
      <c r="J16" s="68">
        <v>8.0000000000000002E-3</v>
      </c>
      <c r="K16" s="2">
        <f t="shared" si="3"/>
        <v>101822.99158950569</v>
      </c>
      <c r="L16" s="11">
        <f t="shared" si="4"/>
        <v>511.87324571420999</v>
      </c>
      <c r="M16" s="101">
        <f t="shared" si="6"/>
        <v>0.43177018710225484</v>
      </c>
      <c r="N16" s="100">
        <f t="shared" si="1"/>
        <v>3.2341203615777556E-3</v>
      </c>
      <c r="O16" s="68">
        <f t="shared" si="2"/>
        <v>100983.13999999998</v>
      </c>
      <c r="Q16" s="5">
        <v>9449.5499999999993</v>
      </c>
      <c r="R16" s="5">
        <v>1.11391</v>
      </c>
      <c r="S16" s="5">
        <v>6918.98</v>
      </c>
      <c r="T16" s="5">
        <v>119.158</v>
      </c>
      <c r="U16" s="4">
        <v>10025.9</v>
      </c>
      <c r="V16" s="4">
        <v>0.97218000000000004</v>
      </c>
      <c r="W16" s="4">
        <v>6605.51</v>
      </c>
      <c r="X16" s="4">
        <v>119.85599999999999</v>
      </c>
      <c r="Y16" s="5">
        <v>9355.9</v>
      </c>
      <c r="Z16" s="5">
        <v>0.88173699999999999</v>
      </c>
      <c r="AA16" s="5">
        <v>8205.32</v>
      </c>
      <c r="AB16" s="5">
        <v>141.29900000000001</v>
      </c>
      <c r="AC16" s="4">
        <v>9525.14</v>
      </c>
      <c r="AD16" s="4">
        <v>0.98877300000000001</v>
      </c>
      <c r="AE16" s="4">
        <v>7578.79</v>
      </c>
      <c r="AF16" s="4">
        <v>128.512</v>
      </c>
      <c r="AG16" s="5">
        <v>9434.5499999999993</v>
      </c>
      <c r="AH16" s="5">
        <v>0.89100699999999999</v>
      </c>
      <c r="AI16" s="5">
        <v>8048.28</v>
      </c>
      <c r="AJ16" s="5">
        <v>142.36000000000001</v>
      </c>
      <c r="AK16" s="4">
        <v>9386.9699999999993</v>
      </c>
      <c r="AL16" s="4">
        <v>1.0041800000000001</v>
      </c>
      <c r="AM16" s="4">
        <v>6916.84</v>
      </c>
      <c r="AN16" s="4">
        <v>124.755</v>
      </c>
      <c r="AO16" s="5">
        <v>9269.8799999999992</v>
      </c>
      <c r="AP16" s="5">
        <v>0.918215</v>
      </c>
      <c r="AQ16" s="5">
        <v>6870.73</v>
      </c>
      <c r="AR16" s="5">
        <v>118.578</v>
      </c>
      <c r="AS16" s="4">
        <v>13681</v>
      </c>
      <c r="AT16" s="4">
        <v>1.5377799999999999</v>
      </c>
      <c r="AU16" s="4">
        <v>7212.53</v>
      </c>
      <c r="AV16" s="4">
        <v>153.017</v>
      </c>
      <c r="AW16" s="5">
        <v>9143.09</v>
      </c>
      <c r="AX16" s="5">
        <v>0.86311199999999999</v>
      </c>
      <c r="AY16" s="5">
        <v>6898.39</v>
      </c>
      <c r="AZ16" s="5">
        <v>123.28700000000001</v>
      </c>
      <c r="BA16" s="4">
        <v>8880.26</v>
      </c>
      <c r="BB16" s="4">
        <v>0.84264399999999995</v>
      </c>
      <c r="BC16" s="4">
        <v>7140.89</v>
      </c>
      <c r="BD16" s="4">
        <v>121.35599999999999</v>
      </c>
      <c r="BE16" s="5">
        <v>9117.1299999999992</v>
      </c>
      <c r="BF16" s="5">
        <v>1.2044900000000001</v>
      </c>
      <c r="BG16" s="5">
        <v>7853.37</v>
      </c>
      <c r="BH16" s="5">
        <v>155.54499999999999</v>
      </c>
      <c r="BI16" s="4">
        <v>9728.89</v>
      </c>
      <c r="BJ16" s="4">
        <v>0.89787099999999997</v>
      </c>
      <c r="BK16" s="4">
        <v>7930.73</v>
      </c>
      <c r="BL16" s="4">
        <v>137.43</v>
      </c>
      <c r="BM16" s="5">
        <v>9040.7199999999993</v>
      </c>
      <c r="BN16" s="5">
        <v>1.0745800000000001</v>
      </c>
      <c r="BO16" s="5">
        <v>5952.25</v>
      </c>
      <c r="BP16" s="5">
        <v>127.14700000000001</v>
      </c>
      <c r="BQ16" s="4">
        <v>9135.2199999999993</v>
      </c>
      <c r="BR16" s="4">
        <v>1.6208400000000001</v>
      </c>
      <c r="BS16" s="4">
        <v>6850.53</v>
      </c>
      <c r="BT16" s="4">
        <v>185.714</v>
      </c>
      <c r="BU16" s="71"/>
      <c r="BV16" s="71"/>
      <c r="BW16" s="71"/>
      <c r="BX16" s="71"/>
    </row>
    <row r="17" spans="2:80">
      <c r="B17" s="2">
        <f>AD22/13*O17</f>
        <v>15622.65708829502</v>
      </c>
      <c r="D17" s="91">
        <v>122</v>
      </c>
      <c r="E17" s="22">
        <f t="shared" si="5"/>
        <v>0.99999999999999989</v>
      </c>
      <c r="F17" s="11">
        <f t="shared" si="0"/>
        <v>0.15222311455063153</v>
      </c>
      <c r="G17" s="68">
        <v>0.20849999999999999</v>
      </c>
      <c r="H17" s="68">
        <v>8.9999999999999998E-4</v>
      </c>
      <c r="I17" s="2">
        <v>1408.0129999999999</v>
      </c>
      <c r="J17" s="68">
        <v>3.0000000000000001E-3</v>
      </c>
      <c r="K17" s="2">
        <f>O17+B17+C17</f>
        <v>1318145.557088295</v>
      </c>
      <c r="L17" s="11">
        <f t="shared" si="4"/>
        <v>1397.4686230287964</v>
      </c>
      <c r="M17" s="101">
        <f>K17/G17/O$4</f>
        <v>0.43750625301793367</v>
      </c>
      <c r="N17" s="100">
        <f t="shared" si="1"/>
        <v>1.9459772979497827E-3</v>
      </c>
      <c r="O17" s="68">
        <f t="shared" si="2"/>
        <v>1302522.8999999999</v>
      </c>
      <c r="Q17" s="5">
        <v>10240.1</v>
      </c>
      <c r="R17" s="5">
        <v>0.20072400000000001</v>
      </c>
      <c r="S17" s="5">
        <v>90712</v>
      </c>
      <c r="T17" s="5">
        <v>350.09100000000001</v>
      </c>
      <c r="U17" s="4">
        <v>10865.5</v>
      </c>
      <c r="V17" s="4">
        <v>0.205319</v>
      </c>
      <c r="W17" s="4">
        <v>89868.5</v>
      </c>
      <c r="X17" s="4">
        <v>353.709</v>
      </c>
      <c r="Y17" s="5">
        <v>10139.6</v>
      </c>
      <c r="Z17" s="5">
        <v>0.20083999999999999</v>
      </c>
      <c r="AA17" s="5">
        <v>105275</v>
      </c>
      <c r="AB17" s="5">
        <v>399.786</v>
      </c>
      <c r="AC17" s="4">
        <v>10322.4</v>
      </c>
      <c r="AD17" s="4">
        <v>0.194465</v>
      </c>
      <c r="AE17" s="4">
        <v>100087</v>
      </c>
      <c r="AF17" s="4">
        <v>369.89600000000002</v>
      </c>
      <c r="AG17" s="5">
        <v>10224.200000000001</v>
      </c>
      <c r="AH17" s="5">
        <v>0.17907999999999999</v>
      </c>
      <c r="AI17" s="5">
        <v>102678</v>
      </c>
      <c r="AJ17" s="5">
        <v>380.30700000000002</v>
      </c>
      <c r="AK17" s="4">
        <v>10172.700000000001</v>
      </c>
      <c r="AL17" s="4">
        <v>0.202208</v>
      </c>
      <c r="AM17" s="4">
        <v>89937.1</v>
      </c>
      <c r="AN17" s="4">
        <v>352.11200000000002</v>
      </c>
      <c r="AO17" s="5">
        <v>10045</v>
      </c>
      <c r="AP17" s="5">
        <v>0.17610400000000001</v>
      </c>
      <c r="AQ17" s="5">
        <v>93984.5</v>
      </c>
      <c r="AR17" s="5">
        <v>343.01900000000001</v>
      </c>
      <c r="AS17" s="4">
        <v>14828</v>
      </c>
      <c r="AT17" s="4">
        <v>0.325789</v>
      </c>
      <c r="AU17" s="4">
        <v>93924.1</v>
      </c>
      <c r="AV17" s="4">
        <v>460.70400000000001</v>
      </c>
      <c r="AW17" s="5">
        <v>9906.86</v>
      </c>
      <c r="AX17" s="5">
        <v>0.18746499999999999</v>
      </c>
      <c r="AY17" s="5">
        <v>90027.8</v>
      </c>
      <c r="AZ17" s="5">
        <v>348.15100000000001</v>
      </c>
      <c r="BA17" s="4">
        <v>9621.56</v>
      </c>
      <c r="BB17" s="4">
        <v>0.17221800000000001</v>
      </c>
      <c r="BC17" s="4">
        <v>94138.6</v>
      </c>
      <c r="BD17" s="4">
        <v>349.48599999999999</v>
      </c>
      <c r="BE17" s="5">
        <v>9880.32</v>
      </c>
      <c r="BF17" s="5">
        <v>0.293854</v>
      </c>
      <c r="BG17" s="5">
        <v>92530.1</v>
      </c>
      <c r="BH17" s="5">
        <v>379.84199999999998</v>
      </c>
      <c r="BI17" s="4">
        <v>10541.6</v>
      </c>
      <c r="BJ17" s="4">
        <v>0.19783700000000001</v>
      </c>
      <c r="BK17" s="4">
        <v>100830</v>
      </c>
      <c r="BL17" s="4">
        <v>389.28500000000003</v>
      </c>
      <c r="BM17" s="5">
        <v>9795.5499999999993</v>
      </c>
      <c r="BN17" s="5">
        <v>0.236627</v>
      </c>
      <c r="BO17" s="5">
        <v>76909.8</v>
      </c>
      <c r="BP17" s="5">
        <v>338.46600000000001</v>
      </c>
      <c r="BQ17" s="4">
        <v>9900.1299999999992</v>
      </c>
      <c r="BR17" s="4">
        <v>0.472717</v>
      </c>
      <c r="BS17" s="4">
        <v>81620.399999999994</v>
      </c>
      <c r="BT17" s="4">
        <v>395.392</v>
      </c>
      <c r="BU17" s="71"/>
      <c r="BV17" s="71"/>
      <c r="BW17" s="71"/>
      <c r="BX17" s="71"/>
    </row>
    <row r="18" spans="2:80">
      <c r="G18" s="68">
        <f>SUM(G6:G17)</f>
        <v>1.3696999999999999</v>
      </c>
      <c r="I18" s="2"/>
      <c r="L18" s="11"/>
      <c r="M18" s="11"/>
      <c r="Q18" s="5"/>
      <c r="R18" s="5"/>
      <c r="S18" s="5"/>
      <c r="T18" s="5"/>
      <c r="U18" s="4"/>
      <c r="V18" s="4"/>
      <c r="W18" s="4"/>
      <c r="X18" s="4"/>
      <c r="Y18" s="5"/>
      <c r="Z18" s="5"/>
      <c r="AA18" s="5"/>
      <c r="AB18" s="5"/>
      <c r="AC18" s="4"/>
      <c r="AD18" s="4"/>
      <c r="AE18" s="4"/>
      <c r="AF18" s="4"/>
      <c r="AG18" s="5"/>
      <c r="AH18" s="5"/>
      <c r="AI18" s="5"/>
      <c r="AJ18" s="5"/>
      <c r="AK18" s="4"/>
      <c r="AL18" s="4"/>
      <c r="AM18" s="4"/>
      <c r="AN18" s="4"/>
      <c r="AO18" s="5"/>
      <c r="AP18" s="5"/>
      <c r="AQ18" s="5"/>
      <c r="AR18" s="5"/>
      <c r="AS18" s="4"/>
      <c r="AT18" s="4"/>
      <c r="AU18" s="4"/>
      <c r="AV18" s="4"/>
      <c r="AW18" s="5"/>
      <c r="AX18" s="5"/>
      <c r="AY18" s="5"/>
      <c r="AZ18" s="5"/>
      <c r="BA18" s="4"/>
      <c r="BB18" s="4"/>
      <c r="BC18" s="4"/>
      <c r="BD18" s="4"/>
      <c r="BE18" s="5"/>
      <c r="BF18" s="5"/>
      <c r="BG18" s="5"/>
      <c r="BH18" s="5"/>
      <c r="BI18" s="4"/>
      <c r="BJ18" s="4"/>
      <c r="BK18" s="4"/>
      <c r="BL18" s="4"/>
      <c r="BM18" s="5"/>
      <c r="BN18" s="5"/>
      <c r="BO18" s="5"/>
      <c r="BP18" s="5"/>
      <c r="BQ18" s="4"/>
      <c r="BR18" s="4"/>
      <c r="BS18" s="4"/>
      <c r="BT18" s="4"/>
      <c r="BU18" s="71"/>
      <c r="BV18" s="71"/>
      <c r="BW18" s="71"/>
      <c r="BX18" s="71"/>
    </row>
    <row r="20" spans="2:80">
      <c r="I20" s="91" t="s">
        <v>168</v>
      </c>
      <c r="Q20" s="3">
        <v>5000000</v>
      </c>
      <c r="R20" s="2">
        <f>SQRT(Q20)</f>
        <v>2236.0679774997898</v>
      </c>
    </row>
    <row r="21" spans="2:80" s="91" customFormat="1">
      <c r="E21" s="91" t="s">
        <v>167</v>
      </c>
      <c r="G21" s="68" t="s">
        <v>61</v>
      </c>
      <c r="H21" s="68"/>
      <c r="I21" s="72" t="s">
        <v>84</v>
      </c>
      <c r="J21" s="72"/>
      <c r="K21" s="72"/>
      <c r="L21" s="72"/>
      <c r="M21" s="72"/>
      <c r="N21" s="72"/>
      <c r="O21" s="72"/>
      <c r="P21" s="72"/>
      <c r="Q21" s="68" t="s">
        <v>155</v>
      </c>
      <c r="R21" s="2"/>
      <c r="S21" s="68"/>
      <c r="T21" s="68"/>
      <c r="U21" s="68"/>
      <c r="V21" s="68"/>
      <c r="W21" s="68"/>
      <c r="X21" s="68"/>
      <c r="Y21" s="68"/>
      <c r="Z21" s="68" t="s">
        <v>156</v>
      </c>
      <c r="AA21" s="68"/>
      <c r="AB21" s="68"/>
      <c r="AC21" s="68"/>
      <c r="AD21" s="100" t="s">
        <v>161</v>
      </c>
      <c r="AE21" s="100"/>
      <c r="BY21" s="15"/>
      <c r="BZ21" s="15"/>
      <c r="CA21" s="15"/>
      <c r="CB21" s="15"/>
    </row>
    <row r="22" spans="2:80" s="91" customFormat="1">
      <c r="E22" s="1">
        <f>M6/AD22</f>
        <v>12.366885112925953</v>
      </c>
      <c r="F22" s="1">
        <f>E22*SQRT((N6/M6)^2+(AE22/AD22)^2)</f>
        <v>8.4968573920371326E-2</v>
      </c>
      <c r="G22" s="68">
        <v>0.28410000000000002</v>
      </c>
      <c r="H22" s="68">
        <v>1.2999999999999999E-3</v>
      </c>
      <c r="I22" s="72" t="s">
        <v>13</v>
      </c>
      <c r="J22" s="72">
        <v>122</v>
      </c>
      <c r="K22" s="72" t="s">
        <v>65</v>
      </c>
      <c r="L22" s="72">
        <v>285617</v>
      </c>
      <c r="M22" s="72" t="s">
        <v>66</v>
      </c>
      <c r="N22" s="72">
        <v>37067</v>
      </c>
      <c r="O22" s="72" t="s">
        <v>67</v>
      </c>
      <c r="P22" s="72">
        <v>23060</v>
      </c>
      <c r="Q22" s="68">
        <f>L22-(N22+P22)/2</f>
        <v>255553.5</v>
      </c>
      <c r="R22" s="2">
        <f>Q22/G22</f>
        <v>899519.53537486796</v>
      </c>
      <c r="S22" s="68"/>
      <c r="T22" s="68">
        <f t="shared" ref="T22:T33" si="7">SUM(L36,L50,L64,L78,L92,L120,L134,L148,L162,L176,L190,L204,L218,L232)</f>
        <v>234161</v>
      </c>
      <c r="U22" s="2">
        <f>SQRT(T22)</f>
        <v>483.90184955215869</v>
      </c>
      <c r="V22" s="68">
        <f t="shared" ref="V22:V33" si="8">SUM(N36,N50,N64,N78,N92,N120,N134,N148,N162,N176,N190,N204,N218,N232)</f>
        <v>16347</v>
      </c>
      <c r="W22" s="2">
        <f>SQRT(V22)</f>
        <v>127.85538705897378</v>
      </c>
      <c r="X22" s="68">
        <f t="shared" ref="X22:X33" si="9">SUM(P36,P50,P64,P78,P92,P120,P134,P148,P162,P176,P190,P204,P218,P232)</f>
        <v>8995</v>
      </c>
      <c r="Y22" s="2">
        <f t="shared" ref="Y22:Y33" si="10">SQRT(X22)</f>
        <v>94.841973830156022</v>
      </c>
      <c r="Z22" s="68">
        <f>T22-(V22+X22)/2</f>
        <v>221490</v>
      </c>
      <c r="AA22" s="2">
        <f>SQRT(U22^2+(W22/2)^2+(Y22/2)^2)</f>
        <v>490.4044249392536</v>
      </c>
      <c r="AB22" s="3">
        <f t="shared" ref="AB22:AB33" si="11">Q$20*G22</f>
        <v>1420500</v>
      </c>
      <c r="AC22" s="69">
        <f t="shared" ref="AC22:AC33" si="12">AB22*SQRT((R$20/Q$20)^2+(H22/G22)^2)</f>
        <v>6530.9696102493072</v>
      </c>
      <c r="AD22" s="102">
        <f t="shared" ref="AD22:AD33" si="13">Z22/(Q$20*G22)</f>
        <v>0.15592397043294615</v>
      </c>
      <c r="AE22" s="103">
        <f t="shared" ref="AE22:AE33" si="14">AD22*SQRT((AC$22/AB$22)^2+(AA22/Z22)^2)</f>
        <v>7.9568206867688918E-4</v>
      </c>
      <c r="BY22" s="15"/>
      <c r="BZ22" s="15"/>
      <c r="CA22" s="15"/>
      <c r="CB22" s="15"/>
    </row>
    <row r="23" spans="2:80" s="91" customFormat="1">
      <c r="E23" s="1">
        <f t="shared" ref="E23:E33" si="15">M7/AD23</f>
        <v>10.421358148291219</v>
      </c>
      <c r="F23" s="1">
        <f t="shared" ref="F23:F33" si="16">E23*SQRT((N7/M7)^2+(AE23/AD23)^2)</f>
        <v>8.9863759134565735E-2</v>
      </c>
      <c r="G23" s="68">
        <v>7.4999999999999997E-2</v>
      </c>
      <c r="H23" s="68">
        <v>4.0000000000000002E-4</v>
      </c>
      <c r="I23" s="72" t="s">
        <v>13</v>
      </c>
      <c r="J23" s="72">
        <v>245</v>
      </c>
      <c r="K23" s="72" t="s">
        <v>65</v>
      </c>
      <c r="L23" s="72">
        <v>74806</v>
      </c>
      <c r="M23" s="72" t="s">
        <v>66</v>
      </c>
      <c r="N23" s="72">
        <v>18247</v>
      </c>
      <c r="O23" s="72" t="s">
        <v>67</v>
      </c>
      <c r="P23" s="72">
        <v>14312</v>
      </c>
      <c r="Q23" s="68">
        <f t="shared" ref="Q23:Q33" si="17">L23-(N23+P23)/2</f>
        <v>58526.5</v>
      </c>
      <c r="R23" s="2">
        <f t="shared" ref="R23:R33" si="18">Q23/G23</f>
        <v>780353.33333333337</v>
      </c>
      <c r="S23" s="68"/>
      <c r="T23" s="68">
        <f t="shared" si="7"/>
        <v>57627</v>
      </c>
      <c r="U23" s="2">
        <f t="shared" ref="U23:W33" si="19">SQRT(T23)</f>
        <v>240.05624340974762</v>
      </c>
      <c r="V23" s="68">
        <f t="shared" si="8"/>
        <v>7022</v>
      </c>
      <c r="W23" s="2">
        <f t="shared" si="19"/>
        <v>83.797374660546495</v>
      </c>
      <c r="X23" s="68">
        <f t="shared" si="9"/>
        <v>5945</v>
      </c>
      <c r="Y23" s="2">
        <f t="shared" si="10"/>
        <v>77.103826104804938</v>
      </c>
      <c r="Z23" s="68">
        <f t="shared" ref="Z23:Z33" si="20">T23-(V23+X23)/2</f>
        <v>51143.5</v>
      </c>
      <c r="AA23" s="2">
        <f t="shared" ref="AA23:AA33" si="21">SQRT(U23^2+(W23/2)^2+(Y23/2)^2)</f>
        <v>246.71592976538827</v>
      </c>
      <c r="AB23" s="3">
        <f t="shared" si="11"/>
        <v>375000</v>
      </c>
      <c r="AC23" s="69">
        <f t="shared" si="12"/>
        <v>2007.0189336426304</v>
      </c>
      <c r="AD23" s="102">
        <f t="shared" si="13"/>
        <v>0.13638266666666668</v>
      </c>
      <c r="AE23" s="103">
        <f t="shared" si="14"/>
        <v>9.0885876335421406E-4</v>
      </c>
      <c r="BY23" s="15"/>
      <c r="BZ23" s="15"/>
      <c r="CA23" s="15"/>
      <c r="CB23" s="15"/>
    </row>
    <row r="24" spans="2:80" s="91" customFormat="1">
      <c r="E24" s="1">
        <f t="shared" si="15"/>
        <v>10.495017349256463</v>
      </c>
      <c r="F24" s="1">
        <f t="shared" si="16"/>
        <v>7.3533595003381663E-2</v>
      </c>
      <c r="G24" s="68">
        <v>0.26579999999999998</v>
      </c>
      <c r="H24" s="68">
        <v>1.1999999999999999E-3</v>
      </c>
      <c r="I24" s="72" t="s">
        <v>13</v>
      </c>
      <c r="J24" s="72">
        <v>344</v>
      </c>
      <c r="K24" s="72" t="s">
        <v>65</v>
      </c>
      <c r="L24" s="72">
        <v>172415</v>
      </c>
      <c r="M24" s="72" t="s">
        <v>66</v>
      </c>
      <c r="N24" s="72">
        <v>9389</v>
      </c>
      <c r="O24" s="72" t="s">
        <v>67</v>
      </c>
      <c r="P24" s="72">
        <v>7035</v>
      </c>
      <c r="Q24" s="68">
        <f t="shared" si="17"/>
        <v>164203</v>
      </c>
      <c r="R24" s="2">
        <f t="shared" si="18"/>
        <v>617768.99924755457</v>
      </c>
      <c r="S24" s="68"/>
      <c r="T24" s="68">
        <f t="shared" si="7"/>
        <v>146953</v>
      </c>
      <c r="U24" s="2">
        <f t="shared" si="19"/>
        <v>383.34449259119401</v>
      </c>
      <c r="V24" s="68">
        <f t="shared" si="8"/>
        <v>3702</v>
      </c>
      <c r="W24" s="2">
        <f t="shared" si="19"/>
        <v>60.844062980705026</v>
      </c>
      <c r="X24" s="68">
        <f t="shared" si="9"/>
        <v>2827</v>
      </c>
      <c r="Y24" s="2">
        <f t="shared" si="10"/>
        <v>53.169540152233779</v>
      </c>
      <c r="Z24" s="68">
        <f t="shared" si="20"/>
        <v>143688.5</v>
      </c>
      <c r="AA24" s="2">
        <f t="shared" si="21"/>
        <v>385.46757321466094</v>
      </c>
      <c r="AB24" s="3">
        <f t="shared" si="11"/>
        <v>1329000</v>
      </c>
      <c r="AC24" s="69">
        <f t="shared" si="12"/>
        <v>6029.3654890046264</v>
      </c>
      <c r="AD24" s="102">
        <f t="shared" si="13"/>
        <v>0.10811775771256583</v>
      </c>
      <c r="AE24" s="103">
        <f t="shared" si="14"/>
        <v>5.7551872928510855E-4</v>
      </c>
      <c r="BY24" s="15"/>
      <c r="BZ24" s="15"/>
      <c r="CA24" s="15"/>
      <c r="CB24" s="15"/>
    </row>
    <row r="25" spans="2:80" s="91" customFormat="1">
      <c r="E25" s="1">
        <f t="shared" si="15"/>
        <v>10.128512383123253</v>
      </c>
      <c r="F25" s="1">
        <f t="shared" si="16"/>
        <v>0.13543435317564378</v>
      </c>
      <c r="G25" s="68">
        <v>2.2370000000000001E-2</v>
      </c>
      <c r="H25" s="68">
        <v>1E-4</v>
      </c>
      <c r="I25" s="72" t="s">
        <v>13</v>
      </c>
      <c r="J25" s="72">
        <v>411</v>
      </c>
      <c r="K25" s="72" t="s">
        <v>65</v>
      </c>
      <c r="L25" s="72">
        <v>18335</v>
      </c>
      <c r="M25" s="72" t="s">
        <v>66</v>
      </c>
      <c r="N25" s="72">
        <v>6272</v>
      </c>
      <c r="O25" s="72" t="s">
        <v>67</v>
      </c>
      <c r="P25" s="72">
        <v>6076</v>
      </c>
      <c r="Q25" s="68">
        <f t="shared" si="17"/>
        <v>12161</v>
      </c>
      <c r="R25" s="2">
        <f t="shared" si="18"/>
        <v>543629.86142154667</v>
      </c>
      <c r="S25" s="68"/>
      <c r="T25" s="68">
        <f t="shared" si="7"/>
        <v>13055</v>
      </c>
      <c r="U25" s="2">
        <f t="shared" si="19"/>
        <v>114.2584788976293</v>
      </c>
      <c r="V25" s="68">
        <f t="shared" si="8"/>
        <v>2498</v>
      </c>
      <c r="W25" s="2">
        <f t="shared" si="19"/>
        <v>49.979995998399197</v>
      </c>
      <c r="X25" s="68">
        <f t="shared" si="9"/>
        <v>2453</v>
      </c>
      <c r="Y25" s="2">
        <f t="shared" si="10"/>
        <v>49.527769988159172</v>
      </c>
      <c r="Z25" s="68">
        <f t="shared" si="20"/>
        <v>10579.5</v>
      </c>
      <c r="AA25" s="2">
        <f t="shared" si="21"/>
        <v>119.55228981495921</v>
      </c>
      <c r="AB25" s="3">
        <f t="shared" si="11"/>
        <v>111850</v>
      </c>
      <c r="AC25" s="69">
        <f t="shared" si="12"/>
        <v>502.4958552067867</v>
      </c>
      <c r="AD25" s="102">
        <f t="shared" si="13"/>
        <v>9.4586499776486366E-2</v>
      </c>
      <c r="AE25" s="103">
        <f t="shared" si="14"/>
        <v>1.1539430952280463E-3</v>
      </c>
      <c r="BY25" s="15"/>
      <c r="BZ25" s="15"/>
      <c r="CA25" s="15"/>
      <c r="CB25" s="15"/>
    </row>
    <row r="26" spans="2:80" s="91" customFormat="1">
      <c r="E26" s="1">
        <f t="shared" si="15"/>
        <v>10.665069966518768</v>
      </c>
      <c r="F26" s="1">
        <f t="shared" si="16"/>
        <v>0.12530479335963471</v>
      </c>
      <c r="G26" s="68">
        <v>3.125E-2</v>
      </c>
      <c r="H26" s="68">
        <v>1.3999999999999999E-4</v>
      </c>
      <c r="I26" s="72" t="s">
        <v>13</v>
      </c>
      <c r="J26" s="72">
        <v>444</v>
      </c>
      <c r="K26" s="72" t="s">
        <v>65</v>
      </c>
      <c r="L26" s="72">
        <v>21806</v>
      </c>
      <c r="M26" s="72" t="s">
        <v>66</v>
      </c>
      <c r="N26" s="72">
        <v>6012</v>
      </c>
      <c r="O26" s="72" t="s">
        <v>67</v>
      </c>
      <c r="P26" s="72">
        <v>6159</v>
      </c>
      <c r="Q26" s="68">
        <f t="shared" si="17"/>
        <v>15720.5</v>
      </c>
      <c r="R26" s="2">
        <f t="shared" si="18"/>
        <v>503056</v>
      </c>
      <c r="S26" s="68"/>
      <c r="T26" s="68">
        <f t="shared" si="7"/>
        <v>16257</v>
      </c>
      <c r="U26" s="2">
        <f t="shared" si="19"/>
        <v>127.50294114254777</v>
      </c>
      <c r="V26" s="68">
        <f t="shared" si="8"/>
        <v>2384</v>
      </c>
      <c r="W26" s="2">
        <f t="shared" si="19"/>
        <v>48.826222462934808</v>
      </c>
      <c r="X26" s="68">
        <f t="shared" si="9"/>
        <v>2364</v>
      </c>
      <c r="Y26" s="2">
        <f t="shared" si="10"/>
        <v>48.620983124572874</v>
      </c>
      <c r="Z26" s="68">
        <f t="shared" si="20"/>
        <v>13883</v>
      </c>
      <c r="AA26" s="2">
        <f t="shared" si="21"/>
        <v>132.07573584879245</v>
      </c>
      <c r="AB26" s="3">
        <f t="shared" si="11"/>
        <v>156250</v>
      </c>
      <c r="AC26" s="69">
        <f t="shared" si="12"/>
        <v>703.47907751403659</v>
      </c>
      <c r="AD26" s="102">
        <f t="shared" si="13"/>
        <v>8.8851200000000005E-2</v>
      </c>
      <c r="AE26" s="103">
        <f t="shared" si="14"/>
        <v>9.3882073788237254E-4</v>
      </c>
      <c r="BY26" s="15"/>
      <c r="BZ26" s="15"/>
      <c r="CA26" s="15"/>
      <c r="CB26" s="15"/>
    </row>
    <row r="27" spans="2:80" s="91" customFormat="1">
      <c r="E27" s="1">
        <f t="shared" si="15"/>
        <v>10.501539388812244</v>
      </c>
      <c r="F27" s="1">
        <f t="shared" si="16"/>
        <v>8.8556227756073927E-2</v>
      </c>
      <c r="G27" s="68">
        <v>0.12959999999999999</v>
      </c>
      <c r="H27" s="68">
        <v>5.9999999999999995E-4</v>
      </c>
      <c r="I27" s="72" t="s">
        <v>13</v>
      </c>
      <c r="J27" s="72">
        <v>779</v>
      </c>
      <c r="K27" s="72" t="s">
        <v>65</v>
      </c>
      <c r="L27" s="72">
        <v>49800</v>
      </c>
      <c r="M27" s="72" t="s">
        <v>66</v>
      </c>
      <c r="N27" s="72">
        <v>4881</v>
      </c>
      <c r="O27" s="72" t="s">
        <v>67</v>
      </c>
      <c r="P27" s="72">
        <v>4374</v>
      </c>
      <c r="Q27" s="68">
        <f t="shared" si="17"/>
        <v>45172.5</v>
      </c>
      <c r="R27" s="2">
        <f t="shared" si="18"/>
        <v>348553.24074074079</v>
      </c>
      <c r="S27" s="68"/>
      <c r="T27" s="68">
        <f t="shared" si="7"/>
        <v>41468</v>
      </c>
      <c r="U27" s="2">
        <f t="shared" si="19"/>
        <v>203.63693181738915</v>
      </c>
      <c r="V27" s="68">
        <f t="shared" si="8"/>
        <v>1827</v>
      </c>
      <c r="W27" s="2">
        <f t="shared" si="19"/>
        <v>42.743420546325019</v>
      </c>
      <c r="X27" s="68">
        <f t="shared" si="9"/>
        <v>1722</v>
      </c>
      <c r="Y27" s="2">
        <f t="shared" si="10"/>
        <v>41.496987842492857</v>
      </c>
      <c r="Z27" s="68">
        <f t="shared" si="20"/>
        <v>39693.5</v>
      </c>
      <c r="AA27" s="2">
        <f t="shared" si="21"/>
        <v>205.80391152745372</v>
      </c>
      <c r="AB27" s="3">
        <f t="shared" si="11"/>
        <v>648000</v>
      </c>
      <c r="AC27" s="69">
        <f t="shared" si="12"/>
        <v>3013.9642997222113</v>
      </c>
      <c r="AD27" s="102">
        <f t="shared" si="13"/>
        <v>6.1255401234567901E-2</v>
      </c>
      <c r="AE27" s="103">
        <f t="shared" si="14"/>
        <v>4.2448208380261291E-4</v>
      </c>
      <c r="BY27" s="15"/>
      <c r="BZ27" s="15"/>
      <c r="CA27" s="15"/>
      <c r="CB27" s="15"/>
    </row>
    <row r="28" spans="2:80" s="91" customFormat="1">
      <c r="E28" s="1">
        <f t="shared" si="15"/>
        <v>10.377652668867851</v>
      </c>
      <c r="F28" s="1">
        <f t="shared" si="16"/>
        <v>0.13126646893297939</v>
      </c>
      <c r="G28" s="68">
        <v>4.2410000000000003E-2</v>
      </c>
      <c r="H28" s="68">
        <v>2.3000000000000001E-4</v>
      </c>
      <c r="I28" s="72" t="s">
        <v>13</v>
      </c>
      <c r="J28" s="72">
        <v>867</v>
      </c>
      <c r="K28" s="72" t="s">
        <v>65</v>
      </c>
      <c r="L28" s="72">
        <v>17786</v>
      </c>
      <c r="M28" s="72" t="s">
        <v>66</v>
      </c>
      <c r="N28" s="72">
        <v>4013</v>
      </c>
      <c r="O28" s="72" t="s">
        <v>67</v>
      </c>
      <c r="P28" s="72">
        <v>4146</v>
      </c>
      <c r="Q28" s="68">
        <f t="shared" si="17"/>
        <v>13706.5</v>
      </c>
      <c r="R28" s="2">
        <f t="shared" si="18"/>
        <v>323190.28531006834</v>
      </c>
      <c r="S28" s="68"/>
      <c r="T28" s="68">
        <f t="shared" si="7"/>
        <v>13615</v>
      </c>
      <c r="U28" s="2">
        <f t="shared" si="19"/>
        <v>116.68333214302719</v>
      </c>
      <c r="V28" s="68">
        <f t="shared" si="8"/>
        <v>1597</v>
      </c>
      <c r="W28" s="2">
        <f t="shared" si="19"/>
        <v>39.962482405376171</v>
      </c>
      <c r="X28" s="68">
        <f t="shared" si="9"/>
        <v>1691</v>
      </c>
      <c r="Y28" s="2">
        <f t="shared" si="10"/>
        <v>41.121770389904178</v>
      </c>
      <c r="Z28" s="68">
        <f t="shared" si="20"/>
        <v>11971</v>
      </c>
      <c r="AA28" s="2">
        <f t="shared" si="21"/>
        <v>120.15406776301833</v>
      </c>
      <c r="AB28" s="3">
        <f t="shared" si="11"/>
        <v>212050.00000000003</v>
      </c>
      <c r="AC28" s="69">
        <f t="shared" si="12"/>
        <v>1153.9033930533353</v>
      </c>
      <c r="AD28" s="102">
        <f t="shared" si="13"/>
        <v>5.6453666588068843E-2</v>
      </c>
      <c r="AE28" s="103">
        <f t="shared" si="14"/>
        <v>6.2324878046658011E-4</v>
      </c>
      <c r="BY28" s="15"/>
      <c r="BZ28" s="15"/>
      <c r="CA28" s="15"/>
      <c r="CB28" s="15"/>
    </row>
    <row r="29" spans="2:80" s="91" customFormat="1">
      <c r="E29" s="1">
        <f t="shared" si="15"/>
        <v>10.578734017212513</v>
      </c>
      <c r="F29" s="1">
        <f t="shared" si="16"/>
        <v>8.6207326494087536E-2</v>
      </c>
      <c r="G29" s="68">
        <v>0.1462</v>
      </c>
      <c r="H29" s="68">
        <v>5.9999999999999995E-4</v>
      </c>
      <c r="I29" s="72" t="s">
        <v>13</v>
      </c>
      <c r="J29" s="72">
        <v>964</v>
      </c>
      <c r="K29" s="72" t="s">
        <v>65</v>
      </c>
      <c r="L29" s="72">
        <v>47010</v>
      </c>
      <c r="M29" s="72" t="s">
        <v>66</v>
      </c>
      <c r="N29" s="72">
        <v>2923</v>
      </c>
      <c r="O29" s="72" t="s">
        <v>67</v>
      </c>
      <c r="P29" s="72">
        <v>2748</v>
      </c>
      <c r="Q29" s="68">
        <f t="shared" si="17"/>
        <v>44174.5</v>
      </c>
      <c r="R29" s="2">
        <f t="shared" si="18"/>
        <v>302151.16279069771</v>
      </c>
      <c r="S29" s="68"/>
      <c r="T29" s="68">
        <f t="shared" si="7"/>
        <v>39890</v>
      </c>
      <c r="U29" s="2">
        <f t="shared" si="19"/>
        <v>199.7248106770914</v>
      </c>
      <c r="V29" s="68">
        <f t="shared" si="8"/>
        <v>1232</v>
      </c>
      <c r="W29" s="2">
        <f t="shared" si="19"/>
        <v>35.09985754956849</v>
      </c>
      <c r="X29" s="68">
        <f t="shared" si="9"/>
        <v>1123</v>
      </c>
      <c r="Y29" s="2">
        <f t="shared" si="10"/>
        <v>33.511192160232078</v>
      </c>
      <c r="Z29" s="68">
        <f t="shared" si="20"/>
        <v>38712.5</v>
      </c>
      <c r="AA29" s="2">
        <f t="shared" si="21"/>
        <v>201.19331499828715</v>
      </c>
      <c r="AB29" s="3">
        <f t="shared" si="11"/>
        <v>731000</v>
      </c>
      <c r="AC29" s="69">
        <f t="shared" si="12"/>
        <v>3017.7594668893012</v>
      </c>
      <c r="AD29" s="102">
        <f t="shared" si="13"/>
        <v>5.2958276333789328E-2</v>
      </c>
      <c r="AE29" s="103">
        <f t="shared" si="14"/>
        <v>3.6747259266512182E-4</v>
      </c>
      <c r="BY29" s="15"/>
      <c r="BZ29" s="15"/>
      <c r="CA29" s="15"/>
      <c r="CB29" s="15"/>
    </row>
    <row r="30" spans="2:80" s="91" customFormat="1">
      <c r="E30" s="1">
        <f t="shared" si="15"/>
        <v>10.745653616196915</v>
      </c>
      <c r="F30" s="1">
        <f t="shared" si="16"/>
        <v>9.287674465402479E-2</v>
      </c>
      <c r="G30" s="68">
        <v>0.13400000000000001</v>
      </c>
      <c r="H30" s="68">
        <v>5.9999999999999995E-4</v>
      </c>
      <c r="I30" s="72" t="s">
        <v>13</v>
      </c>
      <c r="J30" s="72">
        <v>1112</v>
      </c>
      <c r="K30" s="72" t="s">
        <v>65</v>
      </c>
      <c r="L30" s="72">
        <v>40067</v>
      </c>
      <c r="M30" s="72" t="s">
        <v>66</v>
      </c>
      <c r="N30" s="72">
        <v>2594</v>
      </c>
      <c r="O30" s="72" t="s">
        <v>67</v>
      </c>
      <c r="P30" s="72">
        <v>2596</v>
      </c>
      <c r="Q30" s="68">
        <f t="shared" si="17"/>
        <v>37472</v>
      </c>
      <c r="R30" s="2">
        <f t="shared" si="18"/>
        <v>279641.7910447761</v>
      </c>
      <c r="S30" s="68"/>
      <c r="T30" s="68">
        <f t="shared" si="7"/>
        <v>33951</v>
      </c>
      <c r="U30" s="2">
        <f t="shared" si="19"/>
        <v>184.25797133367121</v>
      </c>
      <c r="V30" s="68">
        <f t="shared" si="8"/>
        <v>1046</v>
      </c>
      <c r="W30" s="2">
        <f t="shared" si="19"/>
        <v>32.341923257592455</v>
      </c>
      <c r="X30" s="68">
        <f t="shared" si="9"/>
        <v>1024</v>
      </c>
      <c r="Y30" s="2">
        <f t="shared" si="10"/>
        <v>32</v>
      </c>
      <c r="Z30" s="68">
        <f t="shared" si="20"/>
        <v>32916</v>
      </c>
      <c r="AA30" s="2">
        <f t="shared" si="21"/>
        <v>185.65694169623714</v>
      </c>
      <c r="AB30" s="3">
        <f t="shared" si="11"/>
        <v>670000</v>
      </c>
      <c r="AC30" s="69">
        <f t="shared" si="12"/>
        <v>3014.9262014185351</v>
      </c>
      <c r="AD30" s="102">
        <f t="shared" si="13"/>
        <v>4.9128358208955225E-2</v>
      </c>
      <c r="AE30" s="103">
        <f t="shared" si="14"/>
        <v>3.5749684933033095E-4</v>
      </c>
      <c r="BY30" s="15"/>
      <c r="BZ30" s="15"/>
      <c r="CA30" s="15"/>
      <c r="CB30" s="15"/>
    </row>
    <row r="31" spans="2:80" s="91" customFormat="1">
      <c r="E31" s="1">
        <f t="shared" si="15"/>
        <v>10.507809979097894</v>
      </c>
      <c r="F31" s="1">
        <f t="shared" si="16"/>
        <v>0.24083301937745871</v>
      </c>
      <c r="G31" s="68">
        <v>1.4149999999999999E-2</v>
      </c>
      <c r="H31" s="68">
        <v>9.0000000000000006E-5</v>
      </c>
      <c r="I31" s="72" t="s">
        <v>13</v>
      </c>
      <c r="J31" s="72">
        <v>1213</v>
      </c>
      <c r="K31" s="72" t="s">
        <v>65</v>
      </c>
      <c r="L31" s="72">
        <v>5386</v>
      </c>
      <c r="M31" s="72" t="s">
        <v>66</v>
      </c>
      <c r="N31" s="72">
        <v>1876</v>
      </c>
      <c r="O31" s="72" t="s">
        <v>67</v>
      </c>
      <c r="P31" s="72">
        <v>1611</v>
      </c>
      <c r="Q31" s="68">
        <f t="shared" si="17"/>
        <v>3642.5</v>
      </c>
      <c r="R31" s="2">
        <f t="shared" si="18"/>
        <v>257420.49469964666</v>
      </c>
      <c r="S31" s="68"/>
      <c r="T31" s="68">
        <f t="shared" si="7"/>
        <v>3870</v>
      </c>
      <c r="U31" s="2">
        <f t="shared" si="19"/>
        <v>62.20932405998316</v>
      </c>
      <c r="V31" s="68">
        <f t="shared" si="8"/>
        <v>742</v>
      </c>
      <c r="W31" s="2">
        <f t="shared" si="19"/>
        <v>27.239676943752471</v>
      </c>
      <c r="X31" s="68">
        <f t="shared" si="9"/>
        <v>676</v>
      </c>
      <c r="Y31" s="2">
        <f t="shared" si="10"/>
        <v>26</v>
      </c>
      <c r="Z31" s="68">
        <f t="shared" si="20"/>
        <v>3161</v>
      </c>
      <c r="AA31" s="2">
        <f t="shared" si="21"/>
        <v>64.99615373235558</v>
      </c>
      <c r="AB31" s="3">
        <f t="shared" si="11"/>
        <v>70750</v>
      </c>
      <c r="AC31" s="69">
        <f t="shared" si="12"/>
        <v>451.11097581415595</v>
      </c>
      <c r="AD31" s="102">
        <f t="shared" si="13"/>
        <v>4.4678445229681979E-2</v>
      </c>
      <c r="AE31" s="103">
        <f t="shared" si="14"/>
        <v>9.4135905309196757E-4</v>
      </c>
      <c r="BY31" s="15"/>
      <c r="BZ31" s="15"/>
      <c r="CA31" s="15"/>
      <c r="CB31" s="15"/>
    </row>
    <row r="32" spans="2:80" s="91" customFormat="1">
      <c r="E32" s="1">
        <f t="shared" si="15"/>
        <v>9.8884219106213855</v>
      </c>
      <c r="F32" s="1">
        <f t="shared" si="16"/>
        <v>0.1929410317652886</v>
      </c>
      <c r="G32" s="68">
        <v>1.6320000000000001E-2</v>
      </c>
      <c r="H32" s="68">
        <v>9.0000000000000006E-5</v>
      </c>
      <c r="I32" s="72" t="s">
        <v>13</v>
      </c>
      <c r="J32" s="72">
        <v>1299</v>
      </c>
      <c r="K32" s="72" t="s">
        <v>65</v>
      </c>
      <c r="L32" s="72">
        <v>4570</v>
      </c>
      <c r="M32" s="72" t="s">
        <v>66</v>
      </c>
      <c r="N32" s="72">
        <v>564</v>
      </c>
      <c r="O32" s="72" t="s">
        <v>67</v>
      </c>
      <c r="P32" s="72">
        <v>330</v>
      </c>
      <c r="Q32" s="68">
        <f t="shared" si="17"/>
        <v>4123</v>
      </c>
      <c r="R32" s="2">
        <f t="shared" si="18"/>
        <v>252634.80392156861</v>
      </c>
      <c r="S32" s="68"/>
      <c r="T32" s="68">
        <f t="shared" si="7"/>
        <v>3756</v>
      </c>
      <c r="U32" s="2">
        <f t="shared" si="19"/>
        <v>61.286213784178251</v>
      </c>
      <c r="V32" s="68">
        <f t="shared" si="8"/>
        <v>206</v>
      </c>
      <c r="W32" s="2">
        <f t="shared" si="19"/>
        <v>14.352700094407323</v>
      </c>
      <c r="X32" s="68">
        <f t="shared" si="9"/>
        <v>180</v>
      </c>
      <c r="Y32" s="2">
        <f t="shared" si="10"/>
        <v>13.416407864998739</v>
      </c>
      <c r="Z32" s="68">
        <f t="shared" si="20"/>
        <v>3563</v>
      </c>
      <c r="AA32" s="2">
        <f t="shared" si="21"/>
        <v>62.068510534730898</v>
      </c>
      <c r="AB32" s="3">
        <f t="shared" si="11"/>
        <v>81600</v>
      </c>
      <c r="AC32" s="69">
        <f t="shared" si="12"/>
        <v>451.47725524105863</v>
      </c>
      <c r="AD32" s="102">
        <f t="shared" si="13"/>
        <v>4.3664215686274509E-2</v>
      </c>
      <c r="AE32" s="103">
        <f t="shared" si="14"/>
        <v>7.866894729063994E-4</v>
      </c>
      <c r="BY32" s="15"/>
      <c r="BZ32" s="15"/>
      <c r="CA32" s="15"/>
      <c r="CB32" s="15"/>
    </row>
    <row r="33" spans="5:80" s="91" customFormat="1">
      <c r="E33" s="1">
        <f t="shared" si="15"/>
        <v>10.603160925043202</v>
      </c>
      <c r="F33" s="1">
        <f t="shared" si="16"/>
        <v>8.4944277541679908E-2</v>
      </c>
      <c r="G33" s="68">
        <v>0.20849999999999999</v>
      </c>
      <c r="H33" s="68">
        <v>8.9999999999999998E-4</v>
      </c>
      <c r="I33" s="72" t="s">
        <v>13</v>
      </c>
      <c r="J33" s="72">
        <v>1408</v>
      </c>
      <c r="K33" s="72" t="s">
        <v>65</v>
      </c>
      <c r="L33" s="72">
        <v>48783</v>
      </c>
      <c r="M33" s="72" t="s">
        <v>66</v>
      </c>
      <c r="N33" s="72">
        <v>119</v>
      </c>
      <c r="O33" s="72" t="s">
        <v>67</v>
      </c>
      <c r="P33" s="72">
        <v>277</v>
      </c>
      <c r="Q33" s="68">
        <f t="shared" si="17"/>
        <v>48585</v>
      </c>
      <c r="R33" s="2">
        <f t="shared" si="18"/>
        <v>233021.58273381295</v>
      </c>
      <c r="S33" s="68"/>
      <c r="T33" s="68">
        <f t="shared" si="7"/>
        <v>43028</v>
      </c>
      <c r="U33" s="2">
        <f t="shared" si="19"/>
        <v>207.4319165413076</v>
      </c>
      <c r="V33" s="68">
        <f t="shared" si="8"/>
        <v>25</v>
      </c>
      <c r="W33" s="2">
        <f t="shared" si="19"/>
        <v>5</v>
      </c>
      <c r="X33" s="68">
        <f t="shared" si="9"/>
        <v>0</v>
      </c>
      <c r="Y33" s="2">
        <f t="shared" si="10"/>
        <v>0</v>
      </c>
      <c r="Z33" s="68">
        <f t="shared" si="20"/>
        <v>43015.5</v>
      </c>
      <c r="AA33" s="2">
        <f t="shared" si="21"/>
        <v>207.44698117832422</v>
      </c>
      <c r="AB33" s="3">
        <f t="shared" si="11"/>
        <v>1042500</v>
      </c>
      <c r="AC33" s="69">
        <f t="shared" si="12"/>
        <v>4524.0867863028452</v>
      </c>
      <c r="AD33" s="102">
        <f t="shared" si="13"/>
        <v>4.1261870503597121E-2</v>
      </c>
      <c r="AE33" s="103">
        <f t="shared" si="14"/>
        <v>2.7492918788223102E-4</v>
      </c>
      <c r="BY33" s="15"/>
      <c r="BZ33" s="15"/>
      <c r="CA33" s="15"/>
      <c r="CB33" s="15"/>
    </row>
    <row r="34" spans="5:80" s="91" customFormat="1">
      <c r="BY34" s="15"/>
      <c r="BZ34" s="15"/>
      <c r="CA34" s="15"/>
      <c r="CB34" s="15"/>
    </row>
    <row r="35" spans="5:80">
      <c r="I35" s="68" t="s">
        <v>68</v>
      </c>
    </row>
    <row r="36" spans="5:80">
      <c r="I36" s="68" t="s">
        <v>13</v>
      </c>
      <c r="J36" s="68">
        <v>122</v>
      </c>
      <c r="K36" s="68" t="s">
        <v>65</v>
      </c>
      <c r="L36" s="68">
        <v>16780</v>
      </c>
      <c r="M36" s="68" t="s">
        <v>66</v>
      </c>
      <c r="N36" s="68">
        <v>1151</v>
      </c>
      <c r="O36" s="68" t="s">
        <v>67</v>
      </c>
      <c r="P36" s="68">
        <v>641</v>
      </c>
    </row>
    <row r="37" spans="5:80">
      <c r="I37" s="68" t="s">
        <v>13</v>
      </c>
      <c r="J37" s="68">
        <v>245</v>
      </c>
      <c r="K37" s="68" t="s">
        <v>65</v>
      </c>
      <c r="L37" s="68">
        <v>4187</v>
      </c>
      <c r="M37" s="68" t="s">
        <v>66</v>
      </c>
      <c r="N37" s="68">
        <v>522</v>
      </c>
      <c r="O37" s="68" t="s">
        <v>67</v>
      </c>
      <c r="P37" s="68">
        <v>439</v>
      </c>
    </row>
    <row r="38" spans="5:80">
      <c r="I38" s="68" t="s">
        <v>13</v>
      </c>
      <c r="J38" s="68">
        <v>344</v>
      </c>
      <c r="K38" s="68" t="s">
        <v>65</v>
      </c>
      <c r="L38" s="68">
        <v>10752</v>
      </c>
      <c r="M38" s="68" t="s">
        <v>66</v>
      </c>
      <c r="N38" s="68">
        <v>269</v>
      </c>
      <c r="O38" s="68" t="s">
        <v>67</v>
      </c>
      <c r="P38" s="68">
        <v>203</v>
      </c>
    </row>
    <row r="39" spans="5:80">
      <c r="I39" s="68" t="s">
        <v>13</v>
      </c>
      <c r="J39" s="68">
        <v>411</v>
      </c>
      <c r="K39" s="68" t="s">
        <v>65</v>
      </c>
      <c r="L39" s="68">
        <v>897</v>
      </c>
      <c r="M39" s="68" t="s">
        <v>66</v>
      </c>
      <c r="N39" s="68">
        <v>165</v>
      </c>
      <c r="O39" s="68" t="s">
        <v>67</v>
      </c>
      <c r="P39" s="68">
        <v>188</v>
      </c>
    </row>
    <row r="40" spans="5:80">
      <c r="I40" s="68" t="s">
        <v>13</v>
      </c>
      <c r="J40" s="68">
        <v>444</v>
      </c>
      <c r="K40" s="68" t="s">
        <v>65</v>
      </c>
      <c r="L40" s="68">
        <v>1197</v>
      </c>
      <c r="M40" s="68" t="s">
        <v>66</v>
      </c>
      <c r="N40" s="68">
        <v>154</v>
      </c>
      <c r="O40" s="68" t="s">
        <v>67</v>
      </c>
      <c r="P40" s="68">
        <v>166</v>
      </c>
    </row>
    <row r="41" spans="5:80">
      <c r="I41" s="68" t="s">
        <v>13</v>
      </c>
      <c r="J41" s="68">
        <v>779</v>
      </c>
      <c r="K41" s="68" t="s">
        <v>65</v>
      </c>
      <c r="L41" s="68">
        <v>3017</v>
      </c>
      <c r="M41" s="68" t="s">
        <v>66</v>
      </c>
      <c r="N41" s="68">
        <v>119</v>
      </c>
      <c r="O41" s="68" t="s">
        <v>67</v>
      </c>
      <c r="P41" s="68">
        <v>136</v>
      </c>
    </row>
    <row r="42" spans="5:80">
      <c r="I42" s="68" t="s">
        <v>13</v>
      </c>
      <c r="J42" s="68">
        <v>867</v>
      </c>
      <c r="K42" s="68" t="s">
        <v>65</v>
      </c>
      <c r="L42" s="68">
        <v>984</v>
      </c>
      <c r="M42" s="68" t="s">
        <v>66</v>
      </c>
      <c r="N42" s="68">
        <v>103</v>
      </c>
      <c r="O42" s="68" t="s">
        <v>67</v>
      </c>
      <c r="P42" s="68">
        <v>116</v>
      </c>
    </row>
    <row r="43" spans="5:80">
      <c r="I43" s="68" t="s">
        <v>13</v>
      </c>
      <c r="J43" s="68">
        <v>964</v>
      </c>
      <c r="K43" s="68" t="s">
        <v>65</v>
      </c>
      <c r="L43" s="68">
        <v>2852</v>
      </c>
      <c r="M43" s="68" t="s">
        <v>66</v>
      </c>
      <c r="N43" s="68">
        <v>87</v>
      </c>
      <c r="O43" s="68" t="s">
        <v>67</v>
      </c>
      <c r="P43" s="68">
        <v>75</v>
      </c>
    </row>
    <row r="44" spans="5:80">
      <c r="I44" s="68" t="s">
        <v>13</v>
      </c>
      <c r="J44" s="68">
        <v>1112</v>
      </c>
      <c r="K44" s="68" t="s">
        <v>65</v>
      </c>
      <c r="L44" s="68">
        <v>2454</v>
      </c>
      <c r="M44" s="68" t="s">
        <v>66</v>
      </c>
      <c r="N44" s="68">
        <v>79</v>
      </c>
      <c r="O44" s="68" t="s">
        <v>67</v>
      </c>
      <c r="P44" s="68">
        <v>78</v>
      </c>
    </row>
    <row r="45" spans="5:80">
      <c r="I45" s="68" t="s">
        <v>13</v>
      </c>
      <c r="J45" s="68">
        <v>1213</v>
      </c>
      <c r="K45" s="68" t="s">
        <v>65</v>
      </c>
      <c r="L45" s="68">
        <v>285</v>
      </c>
      <c r="M45" s="68" t="s">
        <v>66</v>
      </c>
      <c r="N45" s="68">
        <v>55</v>
      </c>
      <c r="O45" s="68" t="s">
        <v>67</v>
      </c>
      <c r="P45" s="68">
        <v>43</v>
      </c>
    </row>
    <row r="46" spans="5:80">
      <c r="I46" s="68" t="s">
        <v>13</v>
      </c>
      <c r="J46" s="68">
        <v>1299</v>
      </c>
      <c r="K46" s="68" t="s">
        <v>65</v>
      </c>
      <c r="L46" s="68">
        <v>275</v>
      </c>
      <c r="M46" s="68" t="s">
        <v>66</v>
      </c>
      <c r="N46" s="68">
        <v>15</v>
      </c>
      <c r="O46" s="68" t="s">
        <v>67</v>
      </c>
      <c r="P46" s="68">
        <v>7</v>
      </c>
    </row>
    <row r="47" spans="5:80">
      <c r="I47" s="68" t="s">
        <v>13</v>
      </c>
      <c r="J47" s="68">
        <v>1408</v>
      </c>
      <c r="K47" s="68" t="s">
        <v>65</v>
      </c>
      <c r="L47" s="68">
        <v>2983</v>
      </c>
      <c r="M47" s="68" t="s">
        <v>66</v>
      </c>
      <c r="N47" s="68">
        <v>2</v>
      </c>
      <c r="O47" s="68" t="s">
        <v>67</v>
      </c>
      <c r="P47" s="68">
        <v>0</v>
      </c>
    </row>
    <row r="49" spans="9:16">
      <c r="I49" s="68" t="s">
        <v>69</v>
      </c>
    </row>
    <row r="50" spans="9:16">
      <c r="I50" s="68" t="s">
        <v>13</v>
      </c>
      <c r="J50" s="68">
        <v>122</v>
      </c>
      <c r="K50" s="68" t="s">
        <v>65</v>
      </c>
      <c r="L50" s="68">
        <v>16607</v>
      </c>
      <c r="M50" s="68" t="s">
        <v>66</v>
      </c>
      <c r="N50" s="68">
        <v>1146</v>
      </c>
      <c r="O50" s="68" t="s">
        <v>67</v>
      </c>
      <c r="P50" s="68">
        <v>640</v>
      </c>
    </row>
    <row r="51" spans="9:16">
      <c r="I51" s="68" t="s">
        <v>13</v>
      </c>
      <c r="J51" s="68">
        <v>245</v>
      </c>
      <c r="K51" s="68" t="s">
        <v>65</v>
      </c>
      <c r="L51" s="68">
        <v>4111</v>
      </c>
      <c r="M51" s="68" t="s">
        <v>66</v>
      </c>
      <c r="N51" s="68">
        <v>517</v>
      </c>
      <c r="O51" s="68" t="s">
        <v>67</v>
      </c>
      <c r="P51" s="68">
        <v>439</v>
      </c>
    </row>
    <row r="52" spans="9:16">
      <c r="I52" s="68" t="s">
        <v>13</v>
      </c>
      <c r="J52" s="68">
        <v>344</v>
      </c>
      <c r="K52" s="68" t="s">
        <v>65</v>
      </c>
      <c r="L52" s="68">
        <v>10520</v>
      </c>
      <c r="M52" s="68" t="s">
        <v>66</v>
      </c>
      <c r="N52" s="68">
        <v>250</v>
      </c>
      <c r="O52" s="68" t="s">
        <v>67</v>
      </c>
      <c r="P52" s="68">
        <v>210</v>
      </c>
    </row>
    <row r="53" spans="9:16">
      <c r="I53" s="68" t="s">
        <v>13</v>
      </c>
      <c r="J53" s="68">
        <v>411</v>
      </c>
      <c r="K53" s="68" t="s">
        <v>65</v>
      </c>
      <c r="L53" s="68">
        <v>931</v>
      </c>
      <c r="M53" s="68" t="s">
        <v>66</v>
      </c>
      <c r="N53" s="68">
        <v>208</v>
      </c>
      <c r="O53" s="68" t="s">
        <v>67</v>
      </c>
      <c r="P53" s="68">
        <v>165</v>
      </c>
    </row>
    <row r="54" spans="9:16">
      <c r="I54" s="68" t="s">
        <v>13</v>
      </c>
      <c r="J54" s="68">
        <v>444</v>
      </c>
      <c r="K54" s="68" t="s">
        <v>65</v>
      </c>
      <c r="L54" s="68">
        <v>1182</v>
      </c>
      <c r="M54" s="68" t="s">
        <v>66</v>
      </c>
      <c r="N54" s="68">
        <v>171</v>
      </c>
      <c r="O54" s="68" t="s">
        <v>67</v>
      </c>
      <c r="P54" s="68">
        <v>167</v>
      </c>
    </row>
    <row r="55" spans="9:16">
      <c r="I55" s="68" t="s">
        <v>13</v>
      </c>
      <c r="J55" s="68">
        <v>779</v>
      </c>
      <c r="K55" s="68" t="s">
        <v>65</v>
      </c>
      <c r="L55" s="68">
        <v>2962</v>
      </c>
      <c r="M55" s="68" t="s">
        <v>66</v>
      </c>
      <c r="N55" s="68">
        <v>131</v>
      </c>
      <c r="O55" s="68" t="s">
        <v>67</v>
      </c>
      <c r="P55" s="68">
        <v>115</v>
      </c>
    </row>
    <row r="56" spans="9:16">
      <c r="I56" s="68" t="s">
        <v>13</v>
      </c>
      <c r="J56" s="68">
        <v>867</v>
      </c>
      <c r="K56" s="68" t="s">
        <v>65</v>
      </c>
      <c r="L56" s="68">
        <v>936</v>
      </c>
      <c r="M56" s="68" t="s">
        <v>66</v>
      </c>
      <c r="N56" s="68">
        <v>116</v>
      </c>
      <c r="O56" s="68" t="s">
        <v>67</v>
      </c>
      <c r="P56" s="68">
        <v>126</v>
      </c>
    </row>
    <row r="57" spans="9:16">
      <c r="I57" s="68" t="s">
        <v>13</v>
      </c>
      <c r="J57" s="68">
        <v>964</v>
      </c>
      <c r="K57" s="68" t="s">
        <v>65</v>
      </c>
      <c r="L57" s="68">
        <v>2873</v>
      </c>
      <c r="M57" s="68" t="s">
        <v>66</v>
      </c>
      <c r="N57" s="68">
        <v>95</v>
      </c>
      <c r="O57" s="68" t="s">
        <v>67</v>
      </c>
      <c r="P57" s="68">
        <v>78</v>
      </c>
    </row>
    <row r="58" spans="9:16">
      <c r="I58" s="68" t="s">
        <v>13</v>
      </c>
      <c r="J58" s="68">
        <v>1112</v>
      </c>
      <c r="K58" s="68" t="s">
        <v>65</v>
      </c>
      <c r="L58" s="68">
        <v>2315</v>
      </c>
      <c r="M58" s="68" t="s">
        <v>66</v>
      </c>
      <c r="N58" s="68">
        <v>70</v>
      </c>
      <c r="O58" s="68" t="s">
        <v>67</v>
      </c>
      <c r="P58" s="68">
        <v>74</v>
      </c>
    </row>
    <row r="59" spans="9:16">
      <c r="I59" s="68" t="s">
        <v>13</v>
      </c>
      <c r="J59" s="68">
        <v>1213</v>
      </c>
      <c r="K59" s="68" t="s">
        <v>65</v>
      </c>
      <c r="L59" s="68">
        <v>256</v>
      </c>
      <c r="M59" s="68" t="s">
        <v>66</v>
      </c>
      <c r="N59" s="68">
        <v>47</v>
      </c>
      <c r="O59" s="68" t="s">
        <v>67</v>
      </c>
      <c r="P59" s="68">
        <v>45</v>
      </c>
    </row>
    <row r="60" spans="9:16">
      <c r="I60" s="68" t="s">
        <v>13</v>
      </c>
      <c r="J60" s="68">
        <v>1299</v>
      </c>
      <c r="K60" s="68" t="s">
        <v>65</v>
      </c>
      <c r="L60" s="68">
        <v>264</v>
      </c>
      <c r="M60" s="68" t="s">
        <v>66</v>
      </c>
      <c r="N60" s="68">
        <v>15</v>
      </c>
      <c r="O60" s="68" t="s">
        <v>67</v>
      </c>
      <c r="P60" s="68">
        <v>20</v>
      </c>
    </row>
    <row r="61" spans="9:16">
      <c r="I61" s="68" t="s">
        <v>13</v>
      </c>
      <c r="J61" s="68">
        <v>1408</v>
      </c>
      <c r="K61" s="68" t="s">
        <v>65</v>
      </c>
      <c r="L61" s="68">
        <v>3130</v>
      </c>
      <c r="M61" s="68" t="s">
        <v>66</v>
      </c>
      <c r="N61" s="68">
        <v>1</v>
      </c>
      <c r="O61" s="68" t="s">
        <v>67</v>
      </c>
      <c r="P61" s="68">
        <v>0</v>
      </c>
    </row>
    <row r="63" spans="9:16">
      <c r="I63" s="68" t="s">
        <v>70</v>
      </c>
    </row>
    <row r="64" spans="9:16">
      <c r="I64" s="68" t="s">
        <v>13</v>
      </c>
      <c r="J64" s="68">
        <v>122</v>
      </c>
      <c r="K64" s="68" t="s">
        <v>65</v>
      </c>
      <c r="L64" s="68">
        <v>16600</v>
      </c>
      <c r="M64" s="68" t="s">
        <v>66</v>
      </c>
      <c r="N64" s="68">
        <v>1172</v>
      </c>
      <c r="O64" s="68" t="s">
        <v>67</v>
      </c>
      <c r="P64" s="68">
        <v>619</v>
      </c>
    </row>
    <row r="65" spans="9:16">
      <c r="I65" s="68" t="s">
        <v>13</v>
      </c>
      <c r="J65" s="68">
        <v>245</v>
      </c>
      <c r="K65" s="68" t="s">
        <v>65</v>
      </c>
      <c r="L65" s="68">
        <v>4041</v>
      </c>
      <c r="M65" s="68" t="s">
        <v>66</v>
      </c>
      <c r="N65" s="68">
        <v>515</v>
      </c>
      <c r="O65" s="68" t="s">
        <v>67</v>
      </c>
      <c r="P65" s="68">
        <v>404</v>
      </c>
    </row>
    <row r="66" spans="9:16">
      <c r="I66" s="68" t="s">
        <v>13</v>
      </c>
      <c r="J66" s="68">
        <v>344</v>
      </c>
      <c r="K66" s="68" t="s">
        <v>65</v>
      </c>
      <c r="L66" s="68">
        <v>10302</v>
      </c>
      <c r="M66" s="68" t="s">
        <v>66</v>
      </c>
      <c r="N66" s="68">
        <v>246</v>
      </c>
      <c r="O66" s="68" t="s">
        <v>67</v>
      </c>
      <c r="P66" s="68">
        <v>212</v>
      </c>
    </row>
    <row r="67" spans="9:16">
      <c r="I67" s="68" t="s">
        <v>13</v>
      </c>
      <c r="J67" s="68">
        <v>411</v>
      </c>
      <c r="K67" s="68" t="s">
        <v>65</v>
      </c>
      <c r="L67" s="68">
        <v>910</v>
      </c>
      <c r="M67" s="68" t="s">
        <v>66</v>
      </c>
      <c r="N67" s="68">
        <v>177</v>
      </c>
      <c r="O67" s="68" t="s">
        <v>67</v>
      </c>
      <c r="P67" s="68">
        <v>177</v>
      </c>
    </row>
    <row r="68" spans="9:16">
      <c r="I68" s="68" t="s">
        <v>13</v>
      </c>
      <c r="J68" s="68">
        <v>444</v>
      </c>
      <c r="K68" s="68" t="s">
        <v>65</v>
      </c>
      <c r="L68" s="68">
        <v>1133</v>
      </c>
      <c r="M68" s="68" t="s">
        <v>66</v>
      </c>
      <c r="N68" s="68">
        <v>167</v>
      </c>
      <c r="O68" s="68" t="s">
        <v>67</v>
      </c>
      <c r="P68" s="68">
        <v>154</v>
      </c>
    </row>
    <row r="69" spans="9:16">
      <c r="I69" s="68" t="s">
        <v>13</v>
      </c>
      <c r="J69" s="68">
        <v>779</v>
      </c>
      <c r="K69" s="68" t="s">
        <v>65</v>
      </c>
      <c r="L69" s="68">
        <v>3072</v>
      </c>
      <c r="M69" s="68" t="s">
        <v>66</v>
      </c>
      <c r="N69" s="68">
        <v>122</v>
      </c>
      <c r="O69" s="68" t="s">
        <v>67</v>
      </c>
      <c r="P69" s="68">
        <v>107</v>
      </c>
    </row>
    <row r="70" spans="9:16">
      <c r="I70" s="68" t="s">
        <v>13</v>
      </c>
      <c r="J70" s="68">
        <v>867</v>
      </c>
      <c r="K70" s="68" t="s">
        <v>65</v>
      </c>
      <c r="L70" s="68">
        <v>940</v>
      </c>
      <c r="M70" s="68" t="s">
        <v>66</v>
      </c>
      <c r="N70" s="68">
        <v>130</v>
      </c>
      <c r="O70" s="68" t="s">
        <v>67</v>
      </c>
      <c r="P70" s="68">
        <v>118</v>
      </c>
    </row>
    <row r="71" spans="9:16">
      <c r="I71" s="68" t="s">
        <v>13</v>
      </c>
      <c r="J71" s="68">
        <v>964</v>
      </c>
      <c r="K71" s="68" t="s">
        <v>65</v>
      </c>
      <c r="L71" s="68">
        <v>2885</v>
      </c>
      <c r="M71" s="68" t="s">
        <v>66</v>
      </c>
      <c r="N71" s="68">
        <v>89</v>
      </c>
      <c r="O71" s="68" t="s">
        <v>67</v>
      </c>
      <c r="P71" s="68">
        <v>68</v>
      </c>
    </row>
    <row r="72" spans="9:16">
      <c r="I72" s="68" t="s">
        <v>13</v>
      </c>
      <c r="J72" s="68">
        <v>1112</v>
      </c>
      <c r="K72" s="68" t="s">
        <v>65</v>
      </c>
      <c r="L72" s="68">
        <v>2471</v>
      </c>
      <c r="M72" s="68" t="s">
        <v>66</v>
      </c>
      <c r="N72" s="68">
        <v>65</v>
      </c>
      <c r="O72" s="68" t="s">
        <v>67</v>
      </c>
      <c r="P72" s="68">
        <v>67</v>
      </c>
    </row>
    <row r="73" spans="9:16">
      <c r="I73" s="68" t="s">
        <v>13</v>
      </c>
      <c r="J73" s="68">
        <v>1213</v>
      </c>
      <c r="K73" s="68" t="s">
        <v>65</v>
      </c>
      <c r="L73" s="68">
        <v>282</v>
      </c>
      <c r="M73" s="68" t="s">
        <v>66</v>
      </c>
      <c r="N73" s="68">
        <v>45</v>
      </c>
      <c r="O73" s="68" t="s">
        <v>67</v>
      </c>
      <c r="P73" s="68">
        <v>48</v>
      </c>
    </row>
    <row r="74" spans="9:16">
      <c r="I74" s="68" t="s">
        <v>13</v>
      </c>
      <c r="J74" s="68">
        <v>1299</v>
      </c>
      <c r="K74" s="68" t="s">
        <v>65</v>
      </c>
      <c r="L74" s="68">
        <v>271</v>
      </c>
      <c r="M74" s="68" t="s">
        <v>66</v>
      </c>
      <c r="N74" s="68">
        <v>10</v>
      </c>
      <c r="O74" s="68" t="s">
        <v>67</v>
      </c>
      <c r="P74" s="68">
        <v>13</v>
      </c>
    </row>
    <row r="75" spans="9:16">
      <c r="I75" s="68" t="s">
        <v>13</v>
      </c>
      <c r="J75" s="68">
        <v>1408</v>
      </c>
      <c r="K75" s="68" t="s">
        <v>65</v>
      </c>
      <c r="L75" s="68">
        <v>3068</v>
      </c>
      <c r="M75" s="68" t="s">
        <v>66</v>
      </c>
      <c r="N75" s="68">
        <v>1</v>
      </c>
      <c r="O75" s="68" t="s">
        <v>67</v>
      </c>
      <c r="P75" s="68">
        <v>0</v>
      </c>
    </row>
    <row r="77" spans="9:16">
      <c r="I77" s="68" t="s">
        <v>71</v>
      </c>
    </row>
    <row r="78" spans="9:16">
      <c r="I78" s="68" t="s">
        <v>13</v>
      </c>
      <c r="J78" s="68">
        <v>122</v>
      </c>
      <c r="K78" s="68" t="s">
        <v>65</v>
      </c>
      <c r="L78" s="68">
        <v>16548</v>
      </c>
      <c r="M78" s="68" t="s">
        <v>66</v>
      </c>
      <c r="N78" s="68">
        <v>1164</v>
      </c>
      <c r="O78" s="68" t="s">
        <v>67</v>
      </c>
      <c r="P78" s="68">
        <v>644</v>
      </c>
    </row>
    <row r="79" spans="9:16">
      <c r="I79" s="68" t="s">
        <v>13</v>
      </c>
      <c r="J79" s="68">
        <v>245</v>
      </c>
      <c r="K79" s="68" t="s">
        <v>65</v>
      </c>
      <c r="L79" s="68">
        <v>4126</v>
      </c>
      <c r="M79" s="68" t="s">
        <v>66</v>
      </c>
      <c r="N79" s="68">
        <v>496</v>
      </c>
      <c r="O79" s="68" t="s">
        <v>67</v>
      </c>
      <c r="P79" s="68">
        <v>387</v>
      </c>
    </row>
    <row r="80" spans="9:16">
      <c r="I80" s="68" t="s">
        <v>13</v>
      </c>
      <c r="J80" s="68">
        <v>344</v>
      </c>
      <c r="K80" s="68" t="s">
        <v>65</v>
      </c>
      <c r="L80" s="68">
        <v>10347</v>
      </c>
      <c r="M80" s="68" t="s">
        <v>66</v>
      </c>
      <c r="N80" s="68">
        <v>270</v>
      </c>
      <c r="O80" s="68" t="s">
        <v>67</v>
      </c>
      <c r="P80" s="68">
        <v>196</v>
      </c>
    </row>
    <row r="81" spans="9:16">
      <c r="I81" s="68" t="s">
        <v>13</v>
      </c>
      <c r="J81" s="68">
        <v>411</v>
      </c>
      <c r="K81" s="68" t="s">
        <v>65</v>
      </c>
      <c r="L81" s="68">
        <v>925</v>
      </c>
      <c r="M81" s="68" t="s">
        <v>66</v>
      </c>
      <c r="N81" s="68">
        <v>170</v>
      </c>
      <c r="O81" s="68" t="s">
        <v>67</v>
      </c>
      <c r="P81" s="68">
        <v>181</v>
      </c>
    </row>
    <row r="82" spans="9:16">
      <c r="I82" s="68" t="s">
        <v>13</v>
      </c>
      <c r="J82" s="68">
        <v>444</v>
      </c>
      <c r="K82" s="68" t="s">
        <v>65</v>
      </c>
      <c r="L82" s="68">
        <v>1100</v>
      </c>
      <c r="M82" s="68" t="s">
        <v>66</v>
      </c>
      <c r="N82" s="68">
        <v>173</v>
      </c>
      <c r="O82" s="68" t="s">
        <v>67</v>
      </c>
      <c r="P82" s="68">
        <v>181</v>
      </c>
    </row>
    <row r="83" spans="9:16">
      <c r="I83" s="68" t="s">
        <v>13</v>
      </c>
      <c r="J83" s="68">
        <v>779</v>
      </c>
      <c r="K83" s="68" t="s">
        <v>65</v>
      </c>
      <c r="L83" s="68">
        <v>2925</v>
      </c>
      <c r="M83" s="68" t="s">
        <v>66</v>
      </c>
      <c r="N83" s="68">
        <v>136</v>
      </c>
      <c r="O83" s="68" t="s">
        <v>67</v>
      </c>
      <c r="P83" s="68">
        <v>117</v>
      </c>
    </row>
    <row r="84" spans="9:16">
      <c r="I84" s="68" t="s">
        <v>13</v>
      </c>
      <c r="J84" s="68">
        <v>867</v>
      </c>
      <c r="K84" s="68" t="s">
        <v>65</v>
      </c>
      <c r="L84" s="68">
        <v>1039</v>
      </c>
      <c r="M84" s="68" t="s">
        <v>66</v>
      </c>
      <c r="N84" s="68">
        <v>127</v>
      </c>
      <c r="O84" s="68" t="s">
        <v>67</v>
      </c>
      <c r="P84" s="68">
        <v>120</v>
      </c>
    </row>
    <row r="85" spans="9:16">
      <c r="I85" s="68" t="s">
        <v>13</v>
      </c>
      <c r="J85" s="68">
        <v>964</v>
      </c>
      <c r="K85" s="68" t="s">
        <v>65</v>
      </c>
      <c r="L85" s="68">
        <v>2770</v>
      </c>
      <c r="M85" s="68" t="s">
        <v>66</v>
      </c>
      <c r="N85" s="68">
        <v>83</v>
      </c>
      <c r="O85" s="68" t="s">
        <v>67</v>
      </c>
      <c r="P85" s="68">
        <v>76</v>
      </c>
    </row>
    <row r="86" spans="9:16">
      <c r="I86" s="68" t="s">
        <v>13</v>
      </c>
      <c r="J86" s="68">
        <v>1112</v>
      </c>
      <c r="K86" s="68" t="s">
        <v>65</v>
      </c>
      <c r="L86" s="68">
        <v>2496</v>
      </c>
      <c r="M86" s="68" t="s">
        <v>66</v>
      </c>
      <c r="N86" s="68">
        <v>72</v>
      </c>
      <c r="O86" s="68" t="s">
        <v>67</v>
      </c>
      <c r="P86" s="68">
        <v>66</v>
      </c>
    </row>
    <row r="87" spans="9:16">
      <c r="I87" s="68" t="s">
        <v>13</v>
      </c>
      <c r="J87" s="68">
        <v>1213</v>
      </c>
      <c r="K87" s="68" t="s">
        <v>65</v>
      </c>
      <c r="L87" s="68">
        <v>270</v>
      </c>
      <c r="M87" s="68" t="s">
        <v>66</v>
      </c>
      <c r="N87" s="68">
        <v>44</v>
      </c>
      <c r="O87" s="68" t="s">
        <v>67</v>
      </c>
      <c r="P87" s="68">
        <v>49</v>
      </c>
    </row>
    <row r="88" spans="9:16">
      <c r="I88" s="68" t="s">
        <v>13</v>
      </c>
      <c r="J88" s="68">
        <v>1299</v>
      </c>
      <c r="K88" s="68" t="s">
        <v>65</v>
      </c>
      <c r="L88" s="68">
        <v>254</v>
      </c>
      <c r="M88" s="68" t="s">
        <v>66</v>
      </c>
      <c r="N88" s="68">
        <v>13</v>
      </c>
      <c r="O88" s="68" t="s">
        <v>67</v>
      </c>
      <c r="P88" s="68">
        <v>14</v>
      </c>
    </row>
    <row r="89" spans="9:16">
      <c r="I89" s="68" t="s">
        <v>13</v>
      </c>
      <c r="J89" s="68">
        <v>1408</v>
      </c>
      <c r="K89" s="68" t="s">
        <v>65</v>
      </c>
      <c r="L89" s="68">
        <v>3015</v>
      </c>
      <c r="M89" s="68" t="s">
        <v>66</v>
      </c>
      <c r="N89" s="68">
        <v>1</v>
      </c>
      <c r="O89" s="68" t="s">
        <v>67</v>
      </c>
      <c r="P89" s="68">
        <v>0</v>
      </c>
    </row>
    <row r="91" spans="9:16">
      <c r="I91" s="68" t="s">
        <v>72</v>
      </c>
    </row>
    <row r="92" spans="9:16">
      <c r="I92" s="68" t="s">
        <v>13</v>
      </c>
      <c r="J92" s="68">
        <v>122</v>
      </c>
      <c r="K92" s="68" t="s">
        <v>65</v>
      </c>
      <c r="L92" s="68">
        <v>16965</v>
      </c>
      <c r="M92" s="68" t="s">
        <v>66</v>
      </c>
      <c r="N92" s="68">
        <v>1207</v>
      </c>
      <c r="O92" s="68" t="s">
        <v>67</v>
      </c>
      <c r="P92" s="68">
        <v>680</v>
      </c>
    </row>
    <row r="93" spans="9:16">
      <c r="I93" s="68" t="s">
        <v>13</v>
      </c>
      <c r="J93" s="68">
        <v>245</v>
      </c>
      <c r="K93" s="68" t="s">
        <v>65</v>
      </c>
      <c r="L93" s="68">
        <v>4088</v>
      </c>
      <c r="M93" s="68" t="s">
        <v>66</v>
      </c>
      <c r="N93" s="68">
        <v>489</v>
      </c>
      <c r="O93" s="68" t="s">
        <v>67</v>
      </c>
      <c r="P93" s="68">
        <v>443</v>
      </c>
    </row>
    <row r="94" spans="9:16">
      <c r="I94" s="68" t="s">
        <v>13</v>
      </c>
      <c r="J94" s="68">
        <v>344</v>
      </c>
      <c r="K94" s="68" t="s">
        <v>65</v>
      </c>
      <c r="L94" s="68">
        <v>10472</v>
      </c>
      <c r="M94" s="68" t="s">
        <v>66</v>
      </c>
      <c r="N94" s="68">
        <v>241</v>
      </c>
      <c r="O94" s="68" t="s">
        <v>67</v>
      </c>
      <c r="P94" s="68">
        <v>197</v>
      </c>
    </row>
    <row r="95" spans="9:16">
      <c r="I95" s="68" t="s">
        <v>13</v>
      </c>
      <c r="J95" s="68">
        <v>411</v>
      </c>
      <c r="K95" s="68" t="s">
        <v>65</v>
      </c>
      <c r="L95" s="68">
        <v>960</v>
      </c>
      <c r="M95" s="68" t="s">
        <v>66</v>
      </c>
      <c r="N95" s="68">
        <v>166</v>
      </c>
      <c r="O95" s="68" t="s">
        <v>67</v>
      </c>
      <c r="P95" s="68">
        <v>173</v>
      </c>
    </row>
    <row r="96" spans="9:16">
      <c r="I96" s="68" t="s">
        <v>13</v>
      </c>
      <c r="J96" s="68">
        <v>444</v>
      </c>
      <c r="K96" s="68" t="s">
        <v>65</v>
      </c>
      <c r="L96" s="68">
        <v>1197</v>
      </c>
      <c r="M96" s="68" t="s">
        <v>66</v>
      </c>
      <c r="N96" s="68">
        <v>153</v>
      </c>
      <c r="O96" s="68" t="s">
        <v>67</v>
      </c>
      <c r="P96" s="68">
        <v>171</v>
      </c>
    </row>
    <row r="97" spans="9:16">
      <c r="I97" s="68" t="s">
        <v>13</v>
      </c>
      <c r="J97" s="68">
        <v>779</v>
      </c>
      <c r="K97" s="68" t="s">
        <v>65</v>
      </c>
      <c r="L97" s="68">
        <v>2886</v>
      </c>
      <c r="M97" s="68" t="s">
        <v>66</v>
      </c>
      <c r="N97" s="68">
        <v>131</v>
      </c>
      <c r="O97" s="68" t="s">
        <v>67</v>
      </c>
      <c r="P97" s="68">
        <v>126</v>
      </c>
    </row>
    <row r="98" spans="9:16">
      <c r="I98" s="68" t="s">
        <v>13</v>
      </c>
      <c r="J98" s="68">
        <v>867</v>
      </c>
      <c r="K98" s="68" t="s">
        <v>65</v>
      </c>
      <c r="L98" s="68">
        <v>934</v>
      </c>
      <c r="M98" s="68" t="s">
        <v>66</v>
      </c>
      <c r="N98" s="68">
        <v>99</v>
      </c>
      <c r="O98" s="68" t="s">
        <v>67</v>
      </c>
      <c r="P98" s="68">
        <v>110</v>
      </c>
    </row>
    <row r="99" spans="9:16">
      <c r="I99" s="68" t="s">
        <v>13</v>
      </c>
      <c r="J99" s="68">
        <v>964</v>
      </c>
      <c r="K99" s="68" t="s">
        <v>65</v>
      </c>
      <c r="L99" s="68">
        <v>2874</v>
      </c>
      <c r="M99" s="68" t="s">
        <v>66</v>
      </c>
      <c r="N99" s="68">
        <v>78</v>
      </c>
      <c r="O99" s="68" t="s">
        <v>67</v>
      </c>
      <c r="P99" s="68">
        <v>81</v>
      </c>
    </row>
    <row r="100" spans="9:16">
      <c r="I100" s="68" t="s">
        <v>13</v>
      </c>
      <c r="J100" s="68">
        <v>1112</v>
      </c>
      <c r="K100" s="68" t="s">
        <v>65</v>
      </c>
      <c r="L100" s="68">
        <v>2419</v>
      </c>
      <c r="M100" s="68" t="s">
        <v>66</v>
      </c>
      <c r="N100" s="68">
        <v>76</v>
      </c>
      <c r="O100" s="68" t="s">
        <v>67</v>
      </c>
      <c r="P100" s="68">
        <v>74</v>
      </c>
    </row>
    <row r="101" spans="9:16">
      <c r="I101" s="68" t="s">
        <v>13</v>
      </c>
      <c r="J101" s="68">
        <v>1213</v>
      </c>
      <c r="K101" s="68" t="s">
        <v>65</v>
      </c>
      <c r="L101" s="68">
        <v>256</v>
      </c>
      <c r="M101" s="68" t="s">
        <v>66</v>
      </c>
      <c r="N101" s="68">
        <v>61</v>
      </c>
      <c r="O101" s="68" t="s">
        <v>67</v>
      </c>
      <c r="P101" s="68">
        <v>55</v>
      </c>
    </row>
    <row r="102" spans="9:16">
      <c r="I102" s="68" t="s">
        <v>13</v>
      </c>
      <c r="J102" s="68">
        <v>1299</v>
      </c>
      <c r="K102" s="68" t="s">
        <v>65</v>
      </c>
      <c r="L102" s="68">
        <v>252</v>
      </c>
      <c r="M102" s="68" t="s">
        <v>66</v>
      </c>
      <c r="N102" s="68">
        <v>19</v>
      </c>
      <c r="O102" s="68" t="s">
        <v>67</v>
      </c>
      <c r="P102" s="68">
        <v>8</v>
      </c>
    </row>
    <row r="103" spans="9:16">
      <c r="I103" s="68" t="s">
        <v>13</v>
      </c>
      <c r="J103" s="68">
        <v>1408</v>
      </c>
      <c r="K103" s="68" t="s">
        <v>65</v>
      </c>
      <c r="L103" s="68">
        <v>3063</v>
      </c>
      <c r="M103" s="68" t="s">
        <v>66</v>
      </c>
      <c r="N103" s="68">
        <v>0</v>
      </c>
      <c r="O103" s="68" t="s">
        <v>67</v>
      </c>
      <c r="P103" s="68">
        <v>0</v>
      </c>
    </row>
    <row r="105" spans="9:16">
      <c r="I105" s="57" t="s">
        <v>73</v>
      </c>
      <c r="J105" s="57"/>
      <c r="K105" s="57"/>
      <c r="L105" s="57"/>
      <c r="M105" s="57"/>
      <c r="N105" s="57"/>
      <c r="O105" s="57"/>
      <c r="P105" s="57"/>
    </row>
    <row r="106" spans="9:16">
      <c r="I106" s="57" t="s">
        <v>13</v>
      </c>
      <c r="J106" s="57">
        <v>122</v>
      </c>
      <c r="K106" s="57" t="s">
        <v>65</v>
      </c>
      <c r="L106" s="57">
        <v>16911</v>
      </c>
      <c r="M106" s="57" t="s">
        <v>66</v>
      </c>
      <c r="N106" s="57">
        <v>1111</v>
      </c>
      <c r="O106" s="57" t="s">
        <v>67</v>
      </c>
      <c r="P106" s="57">
        <v>668</v>
      </c>
    </row>
    <row r="107" spans="9:16">
      <c r="I107" s="57" t="s">
        <v>13</v>
      </c>
      <c r="J107" s="57">
        <v>245</v>
      </c>
      <c r="K107" s="57" t="s">
        <v>65</v>
      </c>
      <c r="L107" s="57">
        <v>4220</v>
      </c>
      <c r="M107" s="57" t="s">
        <v>66</v>
      </c>
      <c r="N107" s="57">
        <v>489</v>
      </c>
      <c r="O107" s="57" t="s">
        <v>67</v>
      </c>
      <c r="P107" s="57">
        <v>377</v>
      </c>
    </row>
    <row r="108" spans="9:16">
      <c r="I108" s="57" t="s">
        <v>13</v>
      </c>
      <c r="J108" s="57">
        <v>344</v>
      </c>
      <c r="K108" s="57" t="s">
        <v>65</v>
      </c>
      <c r="L108" s="57">
        <v>10508</v>
      </c>
      <c r="M108" s="57" t="s">
        <v>66</v>
      </c>
      <c r="N108" s="57">
        <v>281</v>
      </c>
      <c r="O108" s="57" t="s">
        <v>67</v>
      </c>
      <c r="P108" s="57">
        <v>191</v>
      </c>
    </row>
    <row r="109" spans="9:16">
      <c r="I109" s="57" t="s">
        <v>13</v>
      </c>
      <c r="J109" s="57">
        <v>411</v>
      </c>
      <c r="K109" s="57" t="s">
        <v>65</v>
      </c>
      <c r="L109" s="57">
        <v>942</v>
      </c>
      <c r="M109" s="57" t="s">
        <v>66</v>
      </c>
      <c r="N109" s="57">
        <v>184</v>
      </c>
      <c r="O109" s="57" t="s">
        <v>67</v>
      </c>
      <c r="P109" s="57">
        <v>170</v>
      </c>
    </row>
    <row r="110" spans="9:16">
      <c r="I110" s="57" t="s">
        <v>13</v>
      </c>
      <c r="J110" s="57">
        <v>444</v>
      </c>
      <c r="K110" s="57" t="s">
        <v>65</v>
      </c>
      <c r="L110" s="57">
        <v>1173</v>
      </c>
      <c r="M110" s="57" t="s">
        <v>66</v>
      </c>
      <c r="N110" s="57">
        <v>156</v>
      </c>
      <c r="O110" s="57" t="s">
        <v>67</v>
      </c>
      <c r="P110" s="57">
        <v>184</v>
      </c>
    </row>
    <row r="111" spans="9:16">
      <c r="I111" s="57" t="s">
        <v>13</v>
      </c>
      <c r="J111" s="57">
        <v>779</v>
      </c>
      <c r="K111" s="57" t="s">
        <v>65</v>
      </c>
      <c r="L111" s="57">
        <v>2920</v>
      </c>
      <c r="M111" s="57" t="s">
        <v>66</v>
      </c>
      <c r="N111" s="57">
        <v>124</v>
      </c>
      <c r="O111" s="57" t="s">
        <v>67</v>
      </c>
      <c r="P111" s="57">
        <v>122</v>
      </c>
    </row>
    <row r="112" spans="9:16">
      <c r="I112" s="57" t="s">
        <v>13</v>
      </c>
      <c r="J112" s="57">
        <v>867</v>
      </c>
      <c r="K112" s="57" t="s">
        <v>65</v>
      </c>
      <c r="L112" s="57">
        <v>995</v>
      </c>
      <c r="M112" s="57" t="s">
        <v>66</v>
      </c>
      <c r="N112" s="57">
        <v>114</v>
      </c>
      <c r="O112" s="57" t="s">
        <v>67</v>
      </c>
      <c r="P112" s="57">
        <v>123</v>
      </c>
    </row>
    <row r="113" spans="9:16">
      <c r="I113" s="57" t="s">
        <v>13</v>
      </c>
      <c r="J113" s="57">
        <v>964</v>
      </c>
      <c r="K113" s="57" t="s">
        <v>65</v>
      </c>
      <c r="L113" s="57">
        <v>2760</v>
      </c>
      <c r="M113" s="57" t="s">
        <v>66</v>
      </c>
      <c r="N113" s="57">
        <v>76</v>
      </c>
      <c r="O113" s="57" t="s">
        <v>67</v>
      </c>
      <c r="P113" s="57">
        <v>78</v>
      </c>
    </row>
    <row r="114" spans="9:16">
      <c r="I114" s="57" t="s">
        <v>13</v>
      </c>
      <c r="J114" s="57">
        <v>1112</v>
      </c>
      <c r="K114" s="57" t="s">
        <v>65</v>
      </c>
      <c r="L114" s="57">
        <v>2358</v>
      </c>
      <c r="M114" s="57" t="s">
        <v>66</v>
      </c>
      <c r="N114" s="57">
        <v>75</v>
      </c>
      <c r="O114" s="57" t="s">
        <v>67</v>
      </c>
      <c r="P114" s="57">
        <v>69</v>
      </c>
    </row>
    <row r="115" spans="9:16">
      <c r="I115" s="57" t="s">
        <v>13</v>
      </c>
      <c r="J115" s="57">
        <v>1213</v>
      </c>
      <c r="K115" s="57" t="s">
        <v>65</v>
      </c>
      <c r="L115" s="57">
        <v>275</v>
      </c>
      <c r="M115" s="57" t="s">
        <v>66</v>
      </c>
      <c r="N115" s="57">
        <v>56</v>
      </c>
      <c r="O115" s="57" t="s">
        <v>67</v>
      </c>
      <c r="P115" s="57">
        <v>52</v>
      </c>
    </row>
    <row r="116" spans="9:16">
      <c r="I116" s="57" t="s">
        <v>13</v>
      </c>
      <c r="J116" s="57">
        <v>1299</v>
      </c>
      <c r="K116" s="57" t="s">
        <v>65</v>
      </c>
      <c r="L116" s="57">
        <v>237</v>
      </c>
      <c r="M116" s="57" t="s">
        <v>66</v>
      </c>
      <c r="N116" s="57">
        <v>18</v>
      </c>
      <c r="O116" s="57" t="s">
        <v>67</v>
      </c>
      <c r="P116" s="57">
        <v>20</v>
      </c>
    </row>
    <row r="117" spans="9:16">
      <c r="I117" s="57" t="s">
        <v>13</v>
      </c>
      <c r="J117" s="57">
        <v>1408</v>
      </c>
      <c r="K117" s="57" t="s">
        <v>65</v>
      </c>
      <c r="L117" s="57">
        <v>3059</v>
      </c>
      <c r="M117" s="57" t="s">
        <v>66</v>
      </c>
      <c r="N117" s="57">
        <v>2</v>
      </c>
      <c r="O117" s="57" t="s">
        <v>67</v>
      </c>
      <c r="P117" s="57">
        <v>0</v>
      </c>
    </row>
    <row r="119" spans="9:16">
      <c r="I119" s="68" t="s">
        <v>74</v>
      </c>
    </row>
    <row r="120" spans="9:16">
      <c r="I120" s="68" t="s">
        <v>13</v>
      </c>
      <c r="J120" s="68">
        <v>122</v>
      </c>
      <c r="K120" s="68" t="s">
        <v>65</v>
      </c>
      <c r="L120" s="68">
        <v>16831</v>
      </c>
      <c r="M120" s="68" t="s">
        <v>66</v>
      </c>
      <c r="N120" s="68">
        <v>1174</v>
      </c>
      <c r="O120" s="68" t="s">
        <v>67</v>
      </c>
      <c r="P120" s="68">
        <v>633</v>
      </c>
    </row>
    <row r="121" spans="9:16">
      <c r="I121" s="68" t="s">
        <v>13</v>
      </c>
      <c r="J121" s="68">
        <v>245</v>
      </c>
      <c r="K121" s="68" t="s">
        <v>65</v>
      </c>
      <c r="L121" s="68">
        <v>4074</v>
      </c>
      <c r="M121" s="68" t="s">
        <v>66</v>
      </c>
      <c r="N121" s="68">
        <v>484</v>
      </c>
      <c r="O121" s="68" t="s">
        <v>67</v>
      </c>
      <c r="P121" s="68">
        <v>422</v>
      </c>
    </row>
    <row r="122" spans="9:16">
      <c r="I122" s="68" t="s">
        <v>13</v>
      </c>
      <c r="J122" s="68">
        <v>344</v>
      </c>
      <c r="K122" s="68" t="s">
        <v>65</v>
      </c>
      <c r="L122" s="68">
        <v>10486</v>
      </c>
      <c r="M122" s="68" t="s">
        <v>66</v>
      </c>
      <c r="N122" s="68">
        <v>300</v>
      </c>
      <c r="O122" s="68" t="s">
        <v>67</v>
      </c>
      <c r="P122" s="68">
        <v>236</v>
      </c>
    </row>
    <row r="123" spans="9:16">
      <c r="I123" s="68" t="s">
        <v>13</v>
      </c>
      <c r="J123" s="68">
        <v>411</v>
      </c>
      <c r="K123" s="68" t="s">
        <v>65</v>
      </c>
      <c r="L123" s="68">
        <v>968</v>
      </c>
      <c r="M123" s="68" t="s">
        <v>66</v>
      </c>
      <c r="N123" s="68">
        <v>186</v>
      </c>
      <c r="O123" s="68" t="s">
        <v>67</v>
      </c>
      <c r="P123" s="68">
        <v>193</v>
      </c>
    </row>
    <row r="124" spans="9:16">
      <c r="I124" s="68" t="s">
        <v>13</v>
      </c>
      <c r="J124" s="68">
        <v>444</v>
      </c>
      <c r="K124" s="68" t="s">
        <v>65</v>
      </c>
      <c r="L124" s="68">
        <v>1123</v>
      </c>
      <c r="M124" s="68" t="s">
        <v>66</v>
      </c>
      <c r="N124" s="68">
        <v>173</v>
      </c>
      <c r="O124" s="68" t="s">
        <v>67</v>
      </c>
      <c r="P124" s="68">
        <v>147</v>
      </c>
    </row>
    <row r="125" spans="9:16">
      <c r="I125" s="68" t="s">
        <v>13</v>
      </c>
      <c r="J125" s="68">
        <v>779</v>
      </c>
      <c r="K125" s="68" t="s">
        <v>65</v>
      </c>
      <c r="L125" s="68">
        <v>2964</v>
      </c>
      <c r="M125" s="68" t="s">
        <v>66</v>
      </c>
      <c r="N125" s="68">
        <v>155</v>
      </c>
      <c r="O125" s="68" t="s">
        <v>67</v>
      </c>
      <c r="P125" s="68">
        <v>129</v>
      </c>
    </row>
    <row r="126" spans="9:16">
      <c r="I126" s="68" t="s">
        <v>13</v>
      </c>
      <c r="J126" s="68">
        <v>867</v>
      </c>
      <c r="K126" s="68" t="s">
        <v>65</v>
      </c>
      <c r="L126" s="68">
        <v>932</v>
      </c>
      <c r="M126" s="68" t="s">
        <v>66</v>
      </c>
      <c r="N126" s="68">
        <v>128</v>
      </c>
      <c r="O126" s="68" t="s">
        <v>67</v>
      </c>
      <c r="P126" s="68">
        <v>118</v>
      </c>
    </row>
    <row r="127" spans="9:16">
      <c r="I127" s="68" t="s">
        <v>13</v>
      </c>
      <c r="J127" s="68">
        <v>964</v>
      </c>
      <c r="K127" s="68" t="s">
        <v>65</v>
      </c>
      <c r="L127" s="68">
        <v>2828</v>
      </c>
      <c r="M127" s="68" t="s">
        <v>66</v>
      </c>
      <c r="N127" s="68">
        <v>65</v>
      </c>
      <c r="O127" s="68" t="s">
        <v>67</v>
      </c>
      <c r="P127" s="68">
        <v>87</v>
      </c>
    </row>
    <row r="128" spans="9:16">
      <c r="I128" s="68" t="s">
        <v>13</v>
      </c>
      <c r="J128" s="68">
        <v>1112</v>
      </c>
      <c r="K128" s="68" t="s">
        <v>65</v>
      </c>
      <c r="L128" s="68">
        <v>2487</v>
      </c>
      <c r="M128" s="68" t="s">
        <v>66</v>
      </c>
      <c r="N128" s="68">
        <v>78</v>
      </c>
      <c r="O128" s="68" t="s">
        <v>67</v>
      </c>
      <c r="P128" s="68">
        <v>74</v>
      </c>
    </row>
    <row r="129" spans="9:16">
      <c r="I129" s="68" t="s">
        <v>13</v>
      </c>
      <c r="J129" s="68">
        <v>1213</v>
      </c>
      <c r="K129" s="68" t="s">
        <v>65</v>
      </c>
      <c r="L129" s="68">
        <v>271</v>
      </c>
      <c r="M129" s="68" t="s">
        <v>66</v>
      </c>
      <c r="N129" s="68">
        <v>67</v>
      </c>
      <c r="O129" s="68" t="s">
        <v>67</v>
      </c>
      <c r="P129" s="68">
        <v>47</v>
      </c>
    </row>
    <row r="130" spans="9:16">
      <c r="I130" s="68" t="s">
        <v>13</v>
      </c>
      <c r="J130" s="68">
        <v>1299</v>
      </c>
      <c r="K130" s="68" t="s">
        <v>65</v>
      </c>
      <c r="L130" s="68">
        <v>263</v>
      </c>
      <c r="M130" s="68" t="s">
        <v>66</v>
      </c>
      <c r="N130" s="68">
        <v>15</v>
      </c>
      <c r="O130" s="68" t="s">
        <v>67</v>
      </c>
      <c r="P130" s="68">
        <v>14</v>
      </c>
    </row>
    <row r="131" spans="9:16">
      <c r="I131" s="68" t="s">
        <v>13</v>
      </c>
      <c r="J131" s="68">
        <v>1408</v>
      </c>
      <c r="K131" s="68" t="s">
        <v>65</v>
      </c>
      <c r="L131" s="68">
        <v>2967</v>
      </c>
      <c r="M131" s="68" t="s">
        <v>66</v>
      </c>
      <c r="N131" s="68">
        <v>3</v>
      </c>
      <c r="O131" s="68" t="s">
        <v>67</v>
      </c>
      <c r="P131" s="68">
        <v>0</v>
      </c>
    </row>
    <row r="133" spans="9:16">
      <c r="I133" s="68" t="s">
        <v>75</v>
      </c>
    </row>
    <row r="134" spans="9:16">
      <c r="I134" s="68" t="s">
        <v>13</v>
      </c>
      <c r="J134" s="68">
        <v>122</v>
      </c>
      <c r="K134" s="68" t="s">
        <v>65</v>
      </c>
      <c r="L134" s="68">
        <v>16630</v>
      </c>
      <c r="M134" s="68" t="s">
        <v>66</v>
      </c>
      <c r="N134" s="68">
        <v>1170</v>
      </c>
      <c r="O134" s="68" t="s">
        <v>67</v>
      </c>
      <c r="P134" s="68">
        <v>610</v>
      </c>
    </row>
    <row r="135" spans="9:16">
      <c r="I135" s="68" t="s">
        <v>13</v>
      </c>
      <c r="J135" s="68">
        <v>245</v>
      </c>
      <c r="K135" s="68" t="s">
        <v>65</v>
      </c>
      <c r="L135" s="68">
        <v>4142</v>
      </c>
      <c r="M135" s="68" t="s">
        <v>66</v>
      </c>
      <c r="N135" s="68">
        <v>481</v>
      </c>
      <c r="O135" s="68" t="s">
        <v>67</v>
      </c>
      <c r="P135" s="68">
        <v>430</v>
      </c>
    </row>
    <row r="136" spans="9:16">
      <c r="I136" s="68" t="s">
        <v>13</v>
      </c>
      <c r="J136" s="68">
        <v>344</v>
      </c>
      <c r="K136" s="68" t="s">
        <v>65</v>
      </c>
      <c r="L136" s="68">
        <v>10371</v>
      </c>
      <c r="M136" s="68" t="s">
        <v>66</v>
      </c>
      <c r="N136" s="68">
        <v>261</v>
      </c>
      <c r="O136" s="68" t="s">
        <v>67</v>
      </c>
      <c r="P136" s="68">
        <v>215</v>
      </c>
    </row>
    <row r="137" spans="9:16">
      <c r="I137" s="68" t="s">
        <v>13</v>
      </c>
      <c r="J137" s="68">
        <v>411</v>
      </c>
      <c r="K137" s="68" t="s">
        <v>65</v>
      </c>
      <c r="L137" s="68">
        <v>1007</v>
      </c>
      <c r="M137" s="68" t="s">
        <v>66</v>
      </c>
      <c r="N137" s="68">
        <v>179</v>
      </c>
      <c r="O137" s="68" t="s">
        <v>67</v>
      </c>
      <c r="P137" s="68">
        <v>180</v>
      </c>
    </row>
    <row r="138" spans="9:16">
      <c r="I138" s="68" t="s">
        <v>13</v>
      </c>
      <c r="J138" s="68">
        <v>444</v>
      </c>
      <c r="K138" s="68" t="s">
        <v>65</v>
      </c>
      <c r="L138" s="68">
        <v>1130</v>
      </c>
      <c r="M138" s="68" t="s">
        <v>66</v>
      </c>
      <c r="N138" s="68">
        <v>170</v>
      </c>
      <c r="O138" s="68" t="s">
        <v>67</v>
      </c>
      <c r="P138" s="68">
        <v>176</v>
      </c>
    </row>
    <row r="139" spans="9:16">
      <c r="I139" s="68" t="s">
        <v>13</v>
      </c>
      <c r="J139" s="68">
        <v>779</v>
      </c>
      <c r="K139" s="68" t="s">
        <v>65</v>
      </c>
      <c r="L139" s="68">
        <v>2864</v>
      </c>
      <c r="M139" s="68" t="s">
        <v>66</v>
      </c>
      <c r="N139" s="68">
        <v>126</v>
      </c>
      <c r="O139" s="68" t="s">
        <v>67</v>
      </c>
      <c r="P139" s="68">
        <v>110</v>
      </c>
    </row>
    <row r="140" spans="9:16">
      <c r="I140" s="68" t="s">
        <v>13</v>
      </c>
      <c r="J140" s="68">
        <v>867</v>
      </c>
      <c r="K140" s="68" t="s">
        <v>65</v>
      </c>
      <c r="L140" s="68">
        <v>984</v>
      </c>
      <c r="M140" s="68" t="s">
        <v>66</v>
      </c>
      <c r="N140" s="68">
        <v>115</v>
      </c>
      <c r="O140" s="68" t="s">
        <v>67</v>
      </c>
      <c r="P140" s="68">
        <v>116</v>
      </c>
    </row>
    <row r="141" spans="9:16">
      <c r="I141" s="68" t="s">
        <v>13</v>
      </c>
      <c r="J141" s="68">
        <v>964</v>
      </c>
      <c r="K141" s="68" t="s">
        <v>65</v>
      </c>
      <c r="L141" s="68">
        <v>2797</v>
      </c>
      <c r="M141" s="68" t="s">
        <v>66</v>
      </c>
      <c r="N141" s="68">
        <v>93</v>
      </c>
      <c r="O141" s="68" t="s">
        <v>67</v>
      </c>
      <c r="P141" s="68">
        <v>68</v>
      </c>
    </row>
    <row r="142" spans="9:16">
      <c r="I142" s="68" t="s">
        <v>13</v>
      </c>
      <c r="J142" s="68">
        <v>1112</v>
      </c>
      <c r="K142" s="68" t="s">
        <v>65</v>
      </c>
      <c r="L142" s="68">
        <v>2478</v>
      </c>
      <c r="M142" s="68" t="s">
        <v>66</v>
      </c>
      <c r="N142" s="68">
        <v>73</v>
      </c>
      <c r="O142" s="68" t="s">
        <v>67</v>
      </c>
      <c r="P142" s="68">
        <v>67</v>
      </c>
    </row>
    <row r="143" spans="9:16">
      <c r="I143" s="68" t="s">
        <v>13</v>
      </c>
      <c r="J143" s="68">
        <v>1213</v>
      </c>
      <c r="K143" s="68" t="s">
        <v>65</v>
      </c>
      <c r="L143" s="68">
        <v>256</v>
      </c>
      <c r="M143" s="68" t="s">
        <v>66</v>
      </c>
      <c r="N143" s="68">
        <v>50</v>
      </c>
      <c r="O143" s="68" t="s">
        <v>67</v>
      </c>
      <c r="P143" s="68">
        <v>70</v>
      </c>
    </row>
    <row r="144" spans="9:16">
      <c r="I144" s="68" t="s">
        <v>13</v>
      </c>
      <c r="J144" s="68">
        <v>1299</v>
      </c>
      <c r="K144" s="68" t="s">
        <v>65</v>
      </c>
      <c r="L144" s="68">
        <v>267</v>
      </c>
      <c r="M144" s="68" t="s">
        <v>66</v>
      </c>
      <c r="N144" s="68">
        <v>13</v>
      </c>
      <c r="O144" s="68" t="s">
        <v>67</v>
      </c>
      <c r="P144" s="68">
        <v>9</v>
      </c>
    </row>
    <row r="145" spans="9:16">
      <c r="I145" s="68" t="s">
        <v>13</v>
      </c>
      <c r="J145" s="68">
        <v>1408</v>
      </c>
      <c r="K145" s="68" t="s">
        <v>65</v>
      </c>
      <c r="L145" s="68">
        <v>3200</v>
      </c>
      <c r="M145" s="68" t="s">
        <v>66</v>
      </c>
      <c r="N145" s="68">
        <v>4</v>
      </c>
      <c r="O145" s="68" t="s">
        <v>67</v>
      </c>
      <c r="P145" s="68">
        <v>0</v>
      </c>
    </row>
    <row r="147" spans="9:16">
      <c r="I147" s="68" t="s">
        <v>76</v>
      </c>
    </row>
    <row r="148" spans="9:16">
      <c r="I148" s="68" t="s">
        <v>13</v>
      </c>
      <c r="J148" s="68">
        <v>122</v>
      </c>
      <c r="K148" s="68" t="s">
        <v>65</v>
      </c>
      <c r="L148" s="68">
        <v>16613</v>
      </c>
      <c r="M148" s="68" t="s">
        <v>66</v>
      </c>
      <c r="N148" s="68">
        <v>1174</v>
      </c>
      <c r="O148" s="68" t="s">
        <v>67</v>
      </c>
      <c r="P148" s="68">
        <v>618</v>
      </c>
    </row>
    <row r="149" spans="9:16">
      <c r="I149" s="68" t="s">
        <v>13</v>
      </c>
      <c r="J149" s="68">
        <v>245</v>
      </c>
      <c r="K149" s="68" t="s">
        <v>65</v>
      </c>
      <c r="L149" s="68">
        <v>4067</v>
      </c>
      <c r="M149" s="68" t="s">
        <v>66</v>
      </c>
      <c r="N149" s="68">
        <v>496</v>
      </c>
      <c r="O149" s="68" t="s">
        <v>67</v>
      </c>
      <c r="P149" s="68">
        <v>426</v>
      </c>
    </row>
    <row r="150" spans="9:16">
      <c r="I150" s="68" t="s">
        <v>13</v>
      </c>
      <c r="J150" s="68">
        <v>344</v>
      </c>
      <c r="K150" s="68" t="s">
        <v>65</v>
      </c>
      <c r="L150" s="68">
        <v>10742</v>
      </c>
      <c r="M150" s="68" t="s">
        <v>66</v>
      </c>
      <c r="N150" s="68">
        <v>278</v>
      </c>
      <c r="O150" s="68" t="s">
        <v>67</v>
      </c>
      <c r="P150" s="68">
        <v>214</v>
      </c>
    </row>
    <row r="151" spans="9:16">
      <c r="I151" s="68" t="s">
        <v>13</v>
      </c>
      <c r="J151" s="68">
        <v>411</v>
      </c>
      <c r="K151" s="68" t="s">
        <v>65</v>
      </c>
      <c r="L151" s="68">
        <v>948</v>
      </c>
      <c r="M151" s="68" t="s">
        <v>66</v>
      </c>
      <c r="N151" s="68">
        <v>166</v>
      </c>
      <c r="O151" s="68" t="s">
        <v>67</v>
      </c>
      <c r="P151" s="68">
        <v>171</v>
      </c>
    </row>
    <row r="152" spans="9:16">
      <c r="I152" s="68" t="s">
        <v>13</v>
      </c>
      <c r="J152" s="68">
        <v>444</v>
      </c>
      <c r="K152" s="68" t="s">
        <v>65</v>
      </c>
      <c r="L152" s="68">
        <v>1200</v>
      </c>
      <c r="M152" s="68" t="s">
        <v>66</v>
      </c>
      <c r="N152" s="68">
        <v>192</v>
      </c>
      <c r="O152" s="68" t="s">
        <v>67</v>
      </c>
      <c r="P152" s="68">
        <v>185</v>
      </c>
    </row>
    <row r="153" spans="9:16">
      <c r="I153" s="68" t="s">
        <v>13</v>
      </c>
      <c r="J153" s="68">
        <v>779</v>
      </c>
      <c r="K153" s="68" t="s">
        <v>65</v>
      </c>
      <c r="L153" s="68">
        <v>2994</v>
      </c>
      <c r="M153" s="68" t="s">
        <v>66</v>
      </c>
      <c r="N153" s="68">
        <v>112</v>
      </c>
      <c r="O153" s="68" t="s">
        <v>67</v>
      </c>
      <c r="P153" s="68">
        <v>107</v>
      </c>
    </row>
    <row r="154" spans="9:16">
      <c r="I154" s="68" t="s">
        <v>13</v>
      </c>
      <c r="J154" s="68">
        <v>867</v>
      </c>
      <c r="K154" s="68" t="s">
        <v>65</v>
      </c>
      <c r="L154" s="68">
        <v>1013</v>
      </c>
      <c r="M154" s="68" t="s">
        <v>66</v>
      </c>
      <c r="N154" s="68">
        <v>118</v>
      </c>
      <c r="O154" s="68" t="s">
        <v>67</v>
      </c>
      <c r="P154" s="68">
        <v>140</v>
      </c>
    </row>
    <row r="155" spans="9:16">
      <c r="I155" s="68" t="s">
        <v>13</v>
      </c>
      <c r="J155" s="68">
        <v>964</v>
      </c>
      <c r="K155" s="68" t="s">
        <v>65</v>
      </c>
      <c r="L155" s="68">
        <v>2867</v>
      </c>
      <c r="M155" s="68" t="s">
        <v>66</v>
      </c>
      <c r="N155" s="68">
        <v>98</v>
      </c>
      <c r="O155" s="68" t="s">
        <v>67</v>
      </c>
      <c r="P155" s="68">
        <v>81</v>
      </c>
    </row>
    <row r="156" spans="9:16">
      <c r="I156" s="68" t="s">
        <v>13</v>
      </c>
      <c r="J156" s="68">
        <v>1112</v>
      </c>
      <c r="K156" s="68" t="s">
        <v>65</v>
      </c>
      <c r="L156" s="68">
        <v>2411</v>
      </c>
      <c r="M156" s="68" t="s">
        <v>66</v>
      </c>
      <c r="N156" s="68">
        <v>81</v>
      </c>
      <c r="O156" s="68" t="s">
        <v>67</v>
      </c>
      <c r="P156" s="68">
        <v>69</v>
      </c>
    </row>
    <row r="157" spans="9:16">
      <c r="I157" s="68" t="s">
        <v>13</v>
      </c>
      <c r="J157" s="68">
        <v>1213</v>
      </c>
      <c r="K157" s="68" t="s">
        <v>65</v>
      </c>
      <c r="L157" s="68">
        <v>277</v>
      </c>
      <c r="M157" s="68" t="s">
        <v>66</v>
      </c>
      <c r="N157" s="68">
        <v>37</v>
      </c>
      <c r="O157" s="68" t="s">
        <v>67</v>
      </c>
      <c r="P157" s="68">
        <v>41</v>
      </c>
    </row>
    <row r="158" spans="9:16">
      <c r="I158" s="68" t="s">
        <v>13</v>
      </c>
      <c r="J158" s="68">
        <v>1299</v>
      </c>
      <c r="K158" s="68" t="s">
        <v>65</v>
      </c>
      <c r="L158" s="68">
        <v>303</v>
      </c>
      <c r="M158" s="68" t="s">
        <v>66</v>
      </c>
      <c r="N158" s="68">
        <v>14</v>
      </c>
      <c r="O158" s="68" t="s">
        <v>67</v>
      </c>
      <c r="P158" s="68">
        <v>15</v>
      </c>
    </row>
    <row r="159" spans="9:16">
      <c r="I159" s="68" t="s">
        <v>13</v>
      </c>
      <c r="J159" s="68">
        <v>1408</v>
      </c>
      <c r="K159" s="68" t="s">
        <v>65</v>
      </c>
      <c r="L159" s="68">
        <v>3155</v>
      </c>
      <c r="M159" s="68" t="s">
        <v>66</v>
      </c>
      <c r="N159" s="68">
        <v>2</v>
      </c>
      <c r="O159" s="68" t="s">
        <v>67</v>
      </c>
      <c r="P159" s="68">
        <v>0</v>
      </c>
    </row>
    <row r="161" spans="9:16">
      <c r="I161" s="68" t="s">
        <v>77</v>
      </c>
    </row>
    <row r="162" spans="9:16">
      <c r="I162" s="68" t="s">
        <v>13</v>
      </c>
      <c r="J162" s="68">
        <v>122</v>
      </c>
      <c r="K162" s="68" t="s">
        <v>65</v>
      </c>
      <c r="L162" s="68">
        <v>16707</v>
      </c>
      <c r="M162" s="68" t="s">
        <v>66</v>
      </c>
      <c r="N162" s="68">
        <v>1214</v>
      </c>
      <c r="O162" s="68" t="s">
        <v>67</v>
      </c>
      <c r="P162" s="68">
        <v>707</v>
      </c>
    </row>
    <row r="163" spans="9:16">
      <c r="I163" s="68" t="s">
        <v>13</v>
      </c>
      <c r="J163" s="68">
        <v>245</v>
      </c>
      <c r="K163" s="68" t="s">
        <v>65</v>
      </c>
      <c r="L163" s="68">
        <v>4085</v>
      </c>
      <c r="M163" s="68" t="s">
        <v>66</v>
      </c>
      <c r="N163" s="68">
        <v>518</v>
      </c>
      <c r="O163" s="68" t="s">
        <v>67</v>
      </c>
      <c r="P163" s="68">
        <v>418</v>
      </c>
    </row>
    <row r="164" spans="9:16">
      <c r="I164" s="68" t="s">
        <v>13</v>
      </c>
      <c r="J164" s="68">
        <v>344</v>
      </c>
      <c r="K164" s="68" t="s">
        <v>65</v>
      </c>
      <c r="L164" s="68">
        <v>10531</v>
      </c>
      <c r="M164" s="68" t="s">
        <v>66</v>
      </c>
      <c r="N164" s="68">
        <v>245</v>
      </c>
      <c r="O164" s="68" t="s">
        <v>67</v>
      </c>
      <c r="P164" s="68">
        <v>205</v>
      </c>
    </row>
    <row r="165" spans="9:16">
      <c r="I165" s="68" t="s">
        <v>13</v>
      </c>
      <c r="J165" s="68">
        <v>411</v>
      </c>
      <c r="K165" s="68" t="s">
        <v>65</v>
      </c>
      <c r="L165" s="68">
        <v>892</v>
      </c>
      <c r="M165" s="68" t="s">
        <v>66</v>
      </c>
      <c r="N165" s="68">
        <v>171</v>
      </c>
      <c r="O165" s="68" t="s">
        <v>67</v>
      </c>
      <c r="P165" s="68">
        <v>161</v>
      </c>
    </row>
    <row r="166" spans="9:16">
      <c r="I166" s="68" t="s">
        <v>13</v>
      </c>
      <c r="J166" s="68">
        <v>444</v>
      </c>
      <c r="K166" s="68" t="s">
        <v>65</v>
      </c>
      <c r="L166" s="68">
        <v>1210</v>
      </c>
      <c r="M166" s="68" t="s">
        <v>66</v>
      </c>
      <c r="N166" s="68">
        <v>174</v>
      </c>
      <c r="O166" s="68" t="s">
        <v>67</v>
      </c>
      <c r="P166" s="68">
        <v>193</v>
      </c>
    </row>
    <row r="167" spans="9:16">
      <c r="I167" s="68" t="s">
        <v>13</v>
      </c>
      <c r="J167" s="68">
        <v>779</v>
      </c>
      <c r="K167" s="68" t="s">
        <v>65</v>
      </c>
      <c r="L167" s="68">
        <v>2994</v>
      </c>
      <c r="M167" s="68" t="s">
        <v>66</v>
      </c>
      <c r="N167" s="68">
        <v>138</v>
      </c>
      <c r="O167" s="68" t="s">
        <v>67</v>
      </c>
      <c r="P167" s="68">
        <v>131</v>
      </c>
    </row>
    <row r="168" spans="9:16">
      <c r="I168" s="68" t="s">
        <v>13</v>
      </c>
      <c r="J168" s="68">
        <v>867</v>
      </c>
      <c r="K168" s="68" t="s">
        <v>65</v>
      </c>
      <c r="L168" s="68">
        <v>983</v>
      </c>
      <c r="M168" s="68" t="s">
        <v>66</v>
      </c>
      <c r="N168" s="68">
        <v>113</v>
      </c>
      <c r="O168" s="68" t="s">
        <v>67</v>
      </c>
      <c r="P168" s="68">
        <v>127</v>
      </c>
    </row>
    <row r="169" spans="9:16">
      <c r="I169" s="68" t="s">
        <v>13</v>
      </c>
      <c r="J169" s="68">
        <v>964</v>
      </c>
      <c r="K169" s="68" t="s">
        <v>65</v>
      </c>
      <c r="L169" s="68">
        <v>2798</v>
      </c>
      <c r="M169" s="68" t="s">
        <v>66</v>
      </c>
      <c r="N169" s="68">
        <v>98</v>
      </c>
      <c r="O169" s="68" t="s">
        <v>67</v>
      </c>
      <c r="P169" s="68">
        <v>108</v>
      </c>
    </row>
    <row r="170" spans="9:16">
      <c r="I170" s="68" t="s">
        <v>13</v>
      </c>
      <c r="J170" s="68">
        <v>1112</v>
      </c>
      <c r="K170" s="68" t="s">
        <v>65</v>
      </c>
      <c r="L170" s="68">
        <v>2440</v>
      </c>
      <c r="M170" s="68" t="s">
        <v>66</v>
      </c>
      <c r="N170" s="68">
        <v>67</v>
      </c>
      <c r="O170" s="68" t="s">
        <v>67</v>
      </c>
      <c r="P170" s="68">
        <v>71</v>
      </c>
    </row>
    <row r="171" spans="9:16">
      <c r="I171" s="68" t="s">
        <v>13</v>
      </c>
      <c r="J171" s="68">
        <v>1213</v>
      </c>
      <c r="K171" s="68" t="s">
        <v>65</v>
      </c>
      <c r="L171" s="68">
        <v>275</v>
      </c>
      <c r="M171" s="68" t="s">
        <v>66</v>
      </c>
      <c r="N171" s="68">
        <v>49</v>
      </c>
      <c r="O171" s="68" t="s">
        <v>67</v>
      </c>
      <c r="P171" s="68">
        <v>49</v>
      </c>
    </row>
    <row r="172" spans="9:16">
      <c r="I172" s="68" t="s">
        <v>13</v>
      </c>
      <c r="J172" s="68">
        <v>1299</v>
      </c>
      <c r="K172" s="68" t="s">
        <v>65</v>
      </c>
      <c r="L172" s="68">
        <v>286</v>
      </c>
      <c r="M172" s="68" t="s">
        <v>66</v>
      </c>
      <c r="N172" s="68">
        <v>11</v>
      </c>
      <c r="O172" s="68" t="s">
        <v>67</v>
      </c>
      <c r="P172" s="68">
        <v>16</v>
      </c>
    </row>
    <row r="173" spans="9:16">
      <c r="I173" s="68" t="s">
        <v>13</v>
      </c>
      <c r="J173" s="68">
        <v>1408</v>
      </c>
      <c r="K173" s="68" t="s">
        <v>65</v>
      </c>
      <c r="L173" s="68">
        <v>3085</v>
      </c>
      <c r="M173" s="68" t="s">
        <v>66</v>
      </c>
      <c r="N173" s="68">
        <v>4</v>
      </c>
      <c r="O173" s="68" t="s">
        <v>67</v>
      </c>
      <c r="P173" s="68">
        <v>0</v>
      </c>
    </row>
    <row r="175" spans="9:16">
      <c r="I175" s="68" t="s">
        <v>78</v>
      </c>
    </row>
    <row r="176" spans="9:16">
      <c r="I176" s="68" t="s">
        <v>13</v>
      </c>
      <c r="J176" s="68">
        <v>122</v>
      </c>
      <c r="K176" s="68" t="s">
        <v>65</v>
      </c>
      <c r="L176" s="68">
        <v>16773</v>
      </c>
      <c r="M176" s="68" t="s">
        <v>66</v>
      </c>
      <c r="N176" s="68">
        <v>1167</v>
      </c>
      <c r="O176" s="68" t="s">
        <v>67</v>
      </c>
      <c r="P176" s="68">
        <v>659</v>
      </c>
    </row>
    <row r="177" spans="9:16">
      <c r="I177" s="68" t="s">
        <v>13</v>
      </c>
      <c r="J177" s="68">
        <v>245</v>
      </c>
      <c r="K177" s="68" t="s">
        <v>65</v>
      </c>
      <c r="L177" s="68">
        <v>4097</v>
      </c>
      <c r="M177" s="68" t="s">
        <v>66</v>
      </c>
      <c r="N177" s="68">
        <v>493</v>
      </c>
      <c r="O177" s="68" t="s">
        <v>67</v>
      </c>
      <c r="P177" s="68">
        <v>426</v>
      </c>
    </row>
    <row r="178" spans="9:16">
      <c r="I178" s="68" t="s">
        <v>13</v>
      </c>
      <c r="J178" s="68">
        <v>344</v>
      </c>
      <c r="K178" s="68" t="s">
        <v>65</v>
      </c>
      <c r="L178" s="68">
        <v>10614</v>
      </c>
      <c r="M178" s="68" t="s">
        <v>66</v>
      </c>
      <c r="N178" s="68">
        <v>277</v>
      </c>
      <c r="O178" s="68" t="s">
        <v>67</v>
      </c>
      <c r="P178" s="68">
        <v>164</v>
      </c>
    </row>
    <row r="179" spans="9:16">
      <c r="I179" s="68" t="s">
        <v>13</v>
      </c>
      <c r="J179" s="68">
        <v>411</v>
      </c>
      <c r="K179" s="68" t="s">
        <v>65</v>
      </c>
      <c r="L179" s="68">
        <v>878</v>
      </c>
      <c r="M179" s="68" t="s">
        <v>66</v>
      </c>
      <c r="N179" s="68">
        <v>183</v>
      </c>
      <c r="O179" s="68" t="s">
        <v>67</v>
      </c>
      <c r="P179" s="68">
        <v>163</v>
      </c>
    </row>
    <row r="180" spans="9:16">
      <c r="I180" s="68" t="s">
        <v>13</v>
      </c>
      <c r="J180" s="68">
        <v>444</v>
      </c>
      <c r="K180" s="68" t="s">
        <v>65</v>
      </c>
      <c r="L180" s="68">
        <v>1185</v>
      </c>
      <c r="M180" s="68" t="s">
        <v>66</v>
      </c>
      <c r="N180" s="68">
        <v>182</v>
      </c>
      <c r="O180" s="68" t="s">
        <v>67</v>
      </c>
      <c r="P180" s="68">
        <v>181</v>
      </c>
    </row>
    <row r="181" spans="9:16">
      <c r="I181" s="68" t="s">
        <v>13</v>
      </c>
      <c r="J181" s="68">
        <v>779</v>
      </c>
      <c r="K181" s="68" t="s">
        <v>65</v>
      </c>
      <c r="L181" s="68">
        <v>2965</v>
      </c>
      <c r="M181" s="68" t="s">
        <v>66</v>
      </c>
      <c r="N181" s="68">
        <v>146</v>
      </c>
      <c r="O181" s="68" t="s">
        <v>67</v>
      </c>
      <c r="P181" s="68">
        <v>135</v>
      </c>
    </row>
    <row r="182" spans="9:16">
      <c r="I182" s="68" t="s">
        <v>13</v>
      </c>
      <c r="J182" s="68">
        <v>867</v>
      </c>
      <c r="K182" s="68" t="s">
        <v>65</v>
      </c>
      <c r="L182" s="68">
        <v>1013</v>
      </c>
      <c r="M182" s="68" t="s">
        <v>66</v>
      </c>
      <c r="N182" s="68">
        <v>93</v>
      </c>
      <c r="O182" s="68" t="s">
        <v>67</v>
      </c>
      <c r="P182" s="68">
        <v>120</v>
      </c>
    </row>
    <row r="183" spans="9:16">
      <c r="I183" s="68" t="s">
        <v>13</v>
      </c>
      <c r="J183" s="68">
        <v>964</v>
      </c>
      <c r="K183" s="68" t="s">
        <v>65</v>
      </c>
      <c r="L183" s="68">
        <v>2891</v>
      </c>
      <c r="M183" s="68" t="s">
        <v>66</v>
      </c>
      <c r="N183" s="68">
        <v>98</v>
      </c>
      <c r="O183" s="68" t="s">
        <v>67</v>
      </c>
      <c r="P183" s="68">
        <v>84</v>
      </c>
    </row>
    <row r="184" spans="9:16">
      <c r="I184" s="68" t="s">
        <v>13</v>
      </c>
      <c r="J184" s="68">
        <v>1112</v>
      </c>
      <c r="K184" s="68" t="s">
        <v>65</v>
      </c>
      <c r="L184" s="68">
        <v>2340</v>
      </c>
      <c r="M184" s="68" t="s">
        <v>66</v>
      </c>
      <c r="N184" s="68">
        <v>79</v>
      </c>
      <c r="O184" s="68" t="s">
        <v>67</v>
      </c>
      <c r="P184" s="68">
        <v>70</v>
      </c>
    </row>
    <row r="185" spans="9:16">
      <c r="I185" s="68" t="s">
        <v>13</v>
      </c>
      <c r="J185" s="68">
        <v>1213</v>
      </c>
      <c r="K185" s="68" t="s">
        <v>65</v>
      </c>
      <c r="L185" s="68">
        <v>246</v>
      </c>
      <c r="M185" s="68" t="s">
        <v>66</v>
      </c>
      <c r="N185" s="68">
        <v>53</v>
      </c>
      <c r="O185" s="68" t="s">
        <v>67</v>
      </c>
      <c r="P185" s="68">
        <v>57</v>
      </c>
    </row>
    <row r="186" spans="9:16">
      <c r="I186" s="68" t="s">
        <v>13</v>
      </c>
      <c r="J186" s="68">
        <v>1299</v>
      </c>
      <c r="K186" s="68" t="s">
        <v>65</v>
      </c>
      <c r="L186" s="68">
        <v>284</v>
      </c>
      <c r="M186" s="68" t="s">
        <v>66</v>
      </c>
      <c r="N186" s="68">
        <v>12</v>
      </c>
      <c r="O186" s="68" t="s">
        <v>67</v>
      </c>
      <c r="P186" s="68">
        <v>10</v>
      </c>
    </row>
    <row r="187" spans="9:16">
      <c r="I187" s="68" t="s">
        <v>13</v>
      </c>
      <c r="J187" s="68">
        <v>1408</v>
      </c>
      <c r="K187" s="68" t="s">
        <v>65</v>
      </c>
      <c r="L187" s="68">
        <v>3081</v>
      </c>
      <c r="M187" s="68" t="s">
        <v>66</v>
      </c>
      <c r="N187" s="68">
        <v>2</v>
      </c>
      <c r="O187" s="68" t="s">
        <v>67</v>
      </c>
      <c r="P187" s="68">
        <v>0</v>
      </c>
    </row>
    <row r="189" spans="9:16">
      <c r="I189" s="68" t="s">
        <v>79</v>
      </c>
    </row>
    <row r="190" spans="9:16">
      <c r="I190" s="68" t="s">
        <v>13</v>
      </c>
      <c r="J190" s="68">
        <v>122</v>
      </c>
      <c r="K190" s="68" t="s">
        <v>65</v>
      </c>
      <c r="L190" s="68">
        <v>16734</v>
      </c>
      <c r="M190" s="68" t="s">
        <v>66</v>
      </c>
      <c r="N190" s="68">
        <v>1134</v>
      </c>
      <c r="O190" s="68" t="s">
        <v>67</v>
      </c>
      <c r="P190" s="68">
        <v>624</v>
      </c>
    </row>
    <row r="191" spans="9:16">
      <c r="I191" s="68" t="s">
        <v>13</v>
      </c>
      <c r="J191" s="68">
        <v>245</v>
      </c>
      <c r="K191" s="68" t="s">
        <v>65</v>
      </c>
      <c r="L191" s="68">
        <v>4083</v>
      </c>
      <c r="M191" s="68" t="s">
        <v>66</v>
      </c>
      <c r="N191" s="68">
        <v>487</v>
      </c>
      <c r="O191" s="68" t="s">
        <v>67</v>
      </c>
      <c r="P191" s="68">
        <v>441</v>
      </c>
    </row>
    <row r="192" spans="9:16">
      <c r="I192" s="68" t="s">
        <v>13</v>
      </c>
      <c r="J192" s="68">
        <v>344</v>
      </c>
      <c r="K192" s="68" t="s">
        <v>65</v>
      </c>
      <c r="L192" s="68">
        <v>10544</v>
      </c>
      <c r="M192" s="68" t="s">
        <v>66</v>
      </c>
      <c r="N192" s="68">
        <v>291</v>
      </c>
      <c r="O192" s="68" t="s">
        <v>67</v>
      </c>
      <c r="P192" s="68">
        <v>183</v>
      </c>
    </row>
    <row r="193" spans="9:16">
      <c r="I193" s="68" t="s">
        <v>13</v>
      </c>
      <c r="J193" s="68">
        <v>411</v>
      </c>
      <c r="K193" s="68" t="s">
        <v>65</v>
      </c>
      <c r="L193" s="68">
        <v>950</v>
      </c>
      <c r="M193" s="68" t="s">
        <v>66</v>
      </c>
      <c r="N193" s="68">
        <v>196</v>
      </c>
      <c r="O193" s="68" t="s">
        <v>67</v>
      </c>
      <c r="P193" s="68">
        <v>169</v>
      </c>
    </row>
    <row r="194" spans="9:16">
      <c r="I194" s="68" t="s">
        <v>13</v>
      </c>
      <c r="J194" s="68">
        <v>444</v>
      </c>
      <c r="K194" s="68" t="s">
        <v>65</v>
      </c>
      <c r="L194" s="68">
        <v>1148</v>
      </c>
      <c r="M194" s="68" t="s">
        <v>66</v>
      </c>
      <c r="N194" s="68">
        <v>155</v>
      </c>
      <c r="O194" s="68" t="s">
        <v>67</v>
      </c>
      <c r="P194" s="68">
        <v>158</v>
      </c>
    </row>
    <row r="195" spans="9:16">
      <c r="I195" s="68" t="s">
        <v>13</v>
      </c>
      <c r="J195" s="68">
        <v>779</v>
      </c>
      <c r="K195" s="68" t="s">
        <v>65</v>
      </c>
      <c r="L195" s="68">
        <v>3025</v>
      </c>
      <c r="M195" s="68" t="s">
        <v>66</v>
      </c>
      <c r="N195" s="68">
        <v>113</v>
      </c>
      <c r="O195" s="68" t="s">
        <v>67</v>
      </c>
      <c r="P195" s="68">
        <v>119</v>
      </c>
    </row>
    <row r="196" spans="9:16">
      <c r="I196" s="68" t="s">
        <v>13</v>
      </c>
      <c r="J196" s="68">
        <v>867</v>
      </c>
      <c r="K196" s="68" t="s">
        <v>65</v>
      </c>
      <c r="L196" s="68">
        <v>965</v>
      </c>
      <c r="M196" s="68" t="s">
        <v>66</v>
      </c>
      <c r="N196" s="68">
        <v>115</v>
      </c>
      <c r="O196" s="68" t="s">
        <v>67</v>
      </c>
      <c r="P196" s="68">
        <v>128</v>
      </c>
    </row>
    <row r="197" spans="9:16">
      <c r="I197" s="68" t="s">
        <v>13</v>
      </c>
      <c r="J197" s="68">
        <v>964</v>
      </c>
      <c r="K197" s="68" t="s">
        <v>65</v>
      </c>
      <c r="L197" s="68">
        <v>2886</v>
      </c>
      <c r="M197" s="68" t="s">
        <v>66</v>
      </c>
      <c r="N197" s="68">
        <v>74</v>
      </c>
      <c r="O197" s="68" t="s">
        <v>67</v>
      </c>
      <c r="P197" s="68">
        <v>79</v>
      </c>
    </row>
    <row r="198" spans="9:16">
      <c r="I198" s="68" t="s">
        <v>13</v>
      </c>
      <c r="J198" s="68">
        <v>1112</v>
      </c>
      <c r="K198" s="68" t="s">
        <v>65</v>
      </c>
      <c r="L198" s="68">
        <v>2482</v>
      </c>
      <c r="M198" s="68" t="s">
        <v>66</v>
      </c>
      <c r="N198" s="68">
        <v>86</v>
      </c>
      <c r="O198" s="68" t="s">
        <v>67</v>
      </c>
      <c r="P198" s="68">
        <v>86</v>
      </c>
    </row>
    <row r="199" spans="9:16">
      <c r="I199" s="68" t="s">
        <v>13</v>
      </c>
      <c r="J199" s="68">
        <v>1213</v>
      </c>
      <c r="K199" s="68" t="s">
        <v>65</v>
      </c>
      <c r="L199" s="68">
        <v>287</v>
      </c>
      <c r="M199" s="68" t="s">
        <v>66</v>
      </c>
      <c r="N199" s="68">
        <v>68</v>
      </c>
      <c r="O199" s="68" t="s">
        <v>67</v>
      </c>
      <c r="P199" s="68">
        <v>50</v>
      </c>
    </row>
    <row r="200" spans="9:16">
      <c r="I200" s="68" t="s">
        <v>13</v>
      </c>
      <c r="J200" s="68">
        <v>1299</v>
      </c>
      <c r="K200" s="68" t="s">
        <v>65</v>
      </c>
      <c r="L200" s="68">
        <v>263</v>
      </c>
      <c r="M200" s="68" t="s">
        <v>66</v>
      </c>
      <c r="N200" s="68">
        <v>15</v>
      </c>
      <c r="O200" s="68" t="s">
        <v>67</v>
      </c>
      <c r="P200" s="68">
        <v>7</v>
      </c>
    </row>
    <row r="201" spans="9:16">
      <c r="I201" s="68" t="s">
        <v>13</v>
      </c>
      <c r="J201" s="68">
        <v>1408</v>
      </c>
      <c r="K201" s="68" t="s">
        <v>65</v>
      </c>
      <c r="L201" s="68">
        <v>3092</v>
      </c>
      <c r="M201" s="68" t="s">
        <v>66</v>
      </c>
      <c r="N201" s="68">
        <v>1</v>
      </c>
      <c r="O201" s="68" t="s">
        <v>67</v>
      </c>
      <c r="P201" s="68">
        <v>0</v>
      </c>
    </row>
    <row r="203" spans="9:16">
      <c r="I203" s="68" t="s">
        <v>80</v>
      </c>
    </row>
    <row r="204" spans="9:16">
      <c r="I204" s="68" t="s">
        <v>13</v>
      </c>
      <c r="J204" s="68">
        <v>122</v>
      </c>
      <c r="K204" s="68" t="s">
        <v>65</v>
      </c>
      <c r="L204" s="68">
        <v>16642</v>
      </c>
      <c r="M204" s="68" t="s">
        <v>66</v>
      </c>
      <c r="N204" s="68">
        <v>1169</v>
      </c>
      <c r="O204" s="68" t="s">
        <v>67</v>
      </c>
      <c r="P204" s="68">
        <v>649</v>
      </c>
    </row>
    <row r="205" spans="9:16">
      <c r="I205" s="68" t="s">
        <v>13</v>
      </c>
      <c r="J205" s="68">
        <v>245</v>
      </c>
      <c r="K205" s="68" t="s">
        <v>65</v>
      </c>
      <c r="L205" s="68">
        <v>4144</v>
      </c>
      <c r="M205" s="68" t="s">
        <v>66</v>
      </c>
      <c r="N205" s="68">
        <v>502</v>
      </c>
      <c r="O205" s="68" t="s">
        <v>67</v>
      </c>
      <c r="P205" s="68">
        <v>431</v>
      </c>
    </row>
    <row r="206" spans="9:16">
      <c r="I206" s="68" t="s">
        <v>13</v>
      </c>
      <c r="J206" s="68">
        <v>344</v>
      </c>
      <c r="K206" s="68" t="s">
        <v>65</v>
      </c>
      <c r="L206" s="68">
        <v>10449</v>
      </c>
      <c r="M206" s="68" t="s">
        <v>66</v>
      </c>
      <c r="N206" s="68">
        <v>227</v>
      </c>
      <c r="O206" s="68" t="s">
        <v>67</v>
      </c>
      <c r="P206" s="68">
        <v>205</v>
      </c>
    </row>
    <row r="207" spans="9:16">
      <c r="I207" s="68" t="s">
        <v>13</v>
      </c>
      <c r="J207" s="68">
        <v>411</v>
      </c>
      <c r="K207" s="68" t="s">
        <v>65</v>
      </c>
      <c r="L207" s="68">
        <v>945</v>
      </c>
      <c r="M207" s="68" t="s">
        <v>66</v>
      </c>
      <c r="N207" s="68">
        <v>175</v>
      </c>
      <c r="O207" s="68" t="s">
        <v>67</v>
      </c>
      <c r="P207" s="68">
        <v>178</v>
      </c>
    </row>
    <row r="208" spans="9:16">
      <c r="I208" s="68" t="s">
        <v>13</v>
      </c>
      <c r="J208" s="68">
        <v>444</v>
      </c>
      <c r="K208" s="68" t="s">
        <v>65</v>
      </c>
      <c r="L208" s="68">
        <v>1171</v>
      </c>
      <c r="M208" s="68" t="s">
        <v>66</v>
      </c>
      <c r="N208" s="68">
        <v>166</v>
      </c>
      <c r="O208" s="68" t="s">
        <v>67</v>
      </c>
      <c r="P208" s="68">
        <v>160</v>
      </c>
    </row>
    <row r="209" spans="9:16">
      <c r="I209" s="68" t="s">
        <v>13</v>
      </c>
      <c r="J209" s="68">
        <v>779</v>
      </c>
      <c r="K209" s="68" t="s">
        <v>65</v>
      </c>
      <c r="L209" s="68">
        <v>2890</v>
      </c>
      <c r="M209" s="68" t="s">
        <v>66</v>
      </c>
      <c r="N209" s="68">
        <v>134</v>
      </c>
      <c r="O209" s="68" t="s">
        <v>67</v>
      </c>
      <c r="P209" s="68">
        <v>116</v>
      </c>
    </row>
    <row r="210" spans="9:16">
      <c r="I210" s="68" t="s">
        <v>13</v>
      </c>
      <c r="J210" s="68">
        <v>867</v>
      </c>
      <c r="K210" s="68" t="s">
        <v>65</v>
      </c>
      <c r="L210" s="68">
        <v>1007</v>
      </c>
      <c r="M210" s="68" t="s">
        <v>66</v>
      </c>
      <c r="N210" s="68">
        <v>95</v>
      </c>
      <c r="O210" s="68" t="s">
        <v>67</v>
      </c>
      <c r="P210" s="68">
        <v>136</v>
      </c>
    </row>
    <row r="211" spans="9:16">
      <c r="I211" s="68" t="s">
        <v>13</v>
      </c>
      <c r="J211" s="68">
        <v>964</v>
      </c>
      <c r="K211" s="68" t="s">
        <v>65</v>
      </c>
      <c r="L211" s="68">
        <v>2865</v>
      </c>
      <c r="M211" s="68" t="s">
        <v>66</v>
      </c>
      <c r="N211" s="68">
        <v>92</v>
      </c>
      <c r="O211" s="68" t="s">
        <v>67</v>
      </c>
      <c r="P211" s="68">
        <v>74</v>
      </c>
    </row>
    <row r="212" spans="9:16">
      <c r="I212" s="68" t="s">
        <v>13</v>
      </c>
      <c r="J212" s="68">
        <v>1112</v>
      </c>
      <c r="K212" s="68" t="s">
        <v>65</v>
      </c>
      <c r="L212" s="68">
        <v>2401</v>
      </c>
      <c r="M212" s="68" t="s">
        <v>66</v>
      </c>
      <c r="N212" s="68">
        <v>72</v>
      </c>
      <c r="O212" s="68" t="s">
        <v>67</v>
      </c>
      <c r="P212" s="68">
        <v>79</v>
      </c>
    </row>
    <row r="213" spans="9:16">
      <c r="I213" s="68" t="s">
        <v>13</v>
      </c>
      <c r="J213" s="68">
        <v>1213</v>
      </c>
      <c r="K213" s="68" t="s">
        <v>65</v>
      </c>
      <c r="L213" s="68">
        <v>299</v>
      </c>
      <c r="M213" s="68" t="s">
        <v>66</v>
      </c>
      <c r="N213" s="68">
        <v>64</v>
      </c>
      <c r="O213" s="68" t="s">
        <v>67</v>
      </c>
      <c r="P213" s="68">
        <v>28</v>
      </c>
    </row>
    <row r="214" spans="9:16">
      <c r="I214" s="68" t="s">
        <v>13</v>
      </c>
      <c r="J214" s="68">
        <v>1299</v>
      </c>
      <c r="K214" s="68" t="s">
        <v>65</v>
      </c>
      <c r="L214" s="68">
        <v>271</v>
      </c>
      <c r="M214" s="68" t="s">
        <v>66</v>
      </c>
      <c r="N214" s="68">
        <v>18</v>
      </c>
      <c r="O214" s="68" t="s">
        <v>67</v>
      </c>
      <c r="P214" s="68">
        <v>14</v>
      </c>
    </row>
    <row r="215" spans="9:16">
      <c r="I215" s="68" t="s">
        <v>13</v>
      </c>
      <c r="J215" s="68">
        <v>1408</v>
      </c>
      <c r="K215" s="68" t="s">
        <v>65</v>
      </c>
      <c r="L215" s="68">
        <v>3062</v>
      </c>
      <c r="M215" s="68" t="s">
        <v>66</v>
      </c>
      <c r="N215" s="68">
        <v>1</v>
      </c>
      <c r="O215" s="68" t="s">
        <v>67</v>
      </c>
      <c r="P215" s="68">
        <v>0</v>
      </c>
    </row>
    <row r="217" spans="9:16">
      <c r="I217" s="68" t="s">
        <v>81</v>
      </c>
    </row>
    <row r="218" spans="9:16">
      <c r="I218" s="68" t="s">
        <v>13</v>
      </c>
      <c r="J218" s="68">
        <v>122</v>
      </c>
      <c r="K218" s="68" t="s">
        <v>65</v>
      </c>
      <c r="L218" s="68">
        <v>16837</v>
      </c>
      <c r="M218" s="68" t="s">
        <v>66</v>
      </c>
      <c r="N218" s="68">
        <v>1131</v>
      </c>
      <c r="O218" s="68" t="s">
        <v>67</v>
      </c>
      <c r="P218" s="68">
        <v>653</v>
      </c>
    </row>
    <row r="219" spans="9:16">
      <c r="I219" s="68" t="s">
        <v>13</v>
      </c>
      <c r="J219" s="68">
        <v>245</v>
      </c>
      <c r="K219" s="68" t="s">
        <v>65</v>
      </c>
      <c r="L219" s="68">
        <v>4248</v>
      </c>
      <c r="M219" s="68" t="s">
        <v>66</v>
      </c>
      <c r="N219" s="68">
        <v>498</v>
      </c>
      <c r="O219" s="68" t="s">
        <v>67</v>
      </c>
      <c r="P219" s="68">
        <v>408</v>
      </c>
    </row>
    <row r="220" spans="9:16">
      <c r="I220" s="68" t="s">
        <v>13</v>
      </c>
      <c r="J220" s="68">
        <v>344</v>
      </c>
      <c r="K220" s="68" t="s">
        <v>65</v>
      </c>
      <c r="L220" s="68">
        <v>10468</v>
      </c>
      <c r="M220" s="68" t="s">
        <v>66</v>
      </c>
      <c r="N220" s="68">
        <v>258</v>
      </c>
      <c r="O220" s="68" t="s">
        <v>67</v>
      </c>
      <c r="P220" s="68">
        <v>178</v>
      </c>
    </row>
    <row r="221" spans="9:16">
      <c r="I221" s="68" t="s">
        <v>13</v>
      </c>
      <c r="J221" s="68">
        <v>411</v>
      </c>
      <c r="K221" s="68" t="s">
        <v>65</v>
      </c>
      <c r="L221" s="68">
        <v>915</v>
      </c>
      <c r="M221" s="68" t="s">
        <v>66</v>
      </c>
      <c r="N221" s="68">
        <v>183</v>
      </c>
      <c r="O221" s="68" t="s">
        <v>67</v>
      </c>
      <c r="P221" s="68">
        <v>188</v>
      </c>
    </row>
    <row r="222" spans="9:16">
      <c r="I222" s="68" t="s">
        <v>13</v>
      </c>
      <c r="J222" s="68">
        <v>444</v>
      </c>
      <c r="K222" s="68" t="s">
        <v>65</v>
      </c>
      <c r="L222" s="68">
        <v>1114</v>
      </c>
      <c r="M222" s="68" t="s">
        <v>66</v>
      </c>
      <c r="N222" s="68">
        <v>190</v>
      </c>
      <c r="O222" s="68" t="s">
        <v>67</v>
      </c>
      <c r="P222" s="68">
        <v>167</v>
      </c>
    </row>
    <row r="223" spans="9:16">
      <c r="I223" s="68" t="s">
        <v>13</v>
      </c>
      <c r="J223" s="68">
        <v>779</v>
      </c>
      <c r="K223" s="68" t="s">
        <v>65</v>
      </c>
      <c r="L223" s="68">
        <v>2972</v>
      </c>
      <c r="M223" s="68" t="s">
        <v>66</v>
      </c>
      <c r="N223" s="68">
        <v>135</v>
      </c>
      <c r="O223" s="68" t="s">
        <v>67</v>
      </c>
      <c r="P223" s="68">
        <v>125</v>
      </c>
    </row>
    <row r="224" spans="9:16">
      <c r="I224" s="68" t="s">
        <v>13</v>
      </c>
      <c r="J224" s="68">
        <v>867</v>
      </c>
      <c r="K224" s="68" t="s">
        <v>65</v>
      </c>
      <c r="L224" s="68">
        <v>955</v>
      </c>
      <c r="M224" s="68" t="s">
        <v>66</v>
      </c>
      <c r="N224" s="68">
        <v>125</v>
      </c>
      <c r="O224" s="68" t="s">
        <v>67</v>
      </c>
      <c r="P224" s="68">
        <v>121</v>
      </c>
    </row>
    <row r="225" spans="9:16">
      <c r="I225" s="68" t="s">
        <v>13</v>
      </c>
      <c r="J225" s="68">
        <v>964</v>
      </c>
      <c r="K225" s="68" t="s">
        <v>65</v>
      </c>
      <c r="L225" s="68">
        <v>2853</v>
      </c>
      <c r="M225" s="68" t="s">
        <v>66</v>
      </c>
      <c r="N225" s="68">
        <v>89</v>
      </c>
      <c r="O225" s="68" t="s">
        <v>67</v>
      </c>
      <c r="P225" s="68">
        <v>88</v>
      </c>
    </row>
    <row r="226" spans="9:16">
      <c r="I226" s="68" t="s">
        <v>13</v>
      </c>
      <c r="J226" s="68">
        <v>1112</v>
      </c>
      <c r="K226" s="68" t="s">
        <v>65</v>
      </c>
      <c r="L226" s="68">
        <v>2386</v>
      </c>
      <c r="M226" s="68" t="s">
        <v>66</v>
      </c>
      <c r="N226" s="68">
        <v>80</v>
      </c>
      <c r="O226" s="68" t="s">
        <v>67</v>
      </c>
      <c r="P226" s="68">
        <v>74</v>
      </c>
    </row>
    <row r="227" spans="9:16">
      <c r="I227" s="68" t="s">
        <v>13</v>
      </c>
      <c r="J227" s="68">
        <v>1213</v>
      </c>
      <c r="K227" s="68" t="s">
        <v>65</v>
      </c>
      <c r="L227" s="68">
        <v>321</v>
      </c>
      <c r="M227" s="68" t="s">
        <v>66</v>
      </c>
      <c r="N227" s="68">
        <v>58</v>
      </c>
      <c r="O227" s="68" t="s">
        <v>67</v>
      </c>
      <c r="P227" s="68">
        <v>49</v>
      </c>
    </row>
    <row r="228" spans="9:16">
      <c r="I228" s="68" t="s">
        <v>13</v>
      </c>
      <c r="J228" s="68">
        <v>1299</v>
      </c>
      <c r="K228" s="68" t="s">
        <v>65</v>
      </c>
      <c r="L228" s="68">
        <v>264</v>
      </c>
      <c r="M228" s="68" t="s">
        <v>66</v>
      </c>
      <c r="N228" s="68">
        <v>20</v>
      </c>
      <c r="O228" s="68" t="s">
        <v>67</v>
      </c>
      <c r="P228" s="68">
        <v>23</v>
      </c>
    </row>
    <row r="229" spans="9:16">
      <c r="I229" s="68" t="s">
        <v>13</v>
      </c>
      <c r="J229" s="68">
        <v>1408</v>
      </c>
      <c r="K229" s="68" t="s">
        <v>65</v>
      </c>
      <c r="L229" s="68">
        <v>3064</v>
      </c>
      <c r="M229" s="68" t="s">
        <v>66</v>
      </c>
      <c r="N229" s="68">
        <v>0</v>
      </c>
      <c r="O229" s="68" t="s">
        <v>67</v>
      </c>
      <c r="P229" s="68">
        <v>0</v>
      </c>
    </row>
    <row r="231" spans="9:16">
      <c r="I231" s="68" t="s">
        <v>82</v>
      </c>
    </row>
    <row r="232" spans="9:16">
      <c r="I232" s="68" t="s">
        <v>13</v>
      </c>
      <c r="J232" s="68">
        <v>122</v>
      </c>
      <c r="K232" s="68" t="s">
        <v>65</v>
      </c>
      <c r="L232" s="68">
        <v>16894</v>
      </c>
      <c r="M232" s="68" t="s">
        <v>66</v>
      </c>
      <c r="N232" s="68">
        <v>1174</v>
      </c>
      <c r="O232" s="68" t="s">
        <v>67</v>
      </c>
      <c r="P232" s="68">
        <v>618</v>
      </c>
    </row>
    <row r="233" spans="9:16">
      <c r="I233" s="68" t="s">
        <v>13</v>
      </c>
      <c r="J233" s="68">
        <v>245</v>
      </c>
      <c r="K233" s="68" t="s">
        <v>65</v>
      </c>
      <c r="L233" s="68">
        <v>4134</v>
      </c>
      <c r="M233" s="68" t="s">
        <v>66</v>
      </c>
      <c r="N233" s="68">
        <v>524</v>
      </c>
      <c r="O233" s="68" t="s">
        <v>67</v>
      </c>
      <c r="P233" s="68">
        <v>431</v>
      </c>
    </row>
    <row r="234" spans="9:16">
      <c r="I234" s="68" t="s">
        <v>13</v>
      </c>
      <c r="J234" s="68">
        <v>344</v>
      </c>
      <c r="K234" s="68" t="s">
        <v>65</v>
      </c>
      <c r="L234" s="68">
        <v>10355</v>
      </c>
      <c r="M234" s="68" t="s">
        <v>66</v>
      </c>
      <c r="N234" s="68">
        <v>289</v>
      </c>
      <c r="O234" s="68" t="s">
        <v>67</v>
      </c>
      <c r="P234" s="68">
        <v>209</v>
      </c>
    </row>
    <row r="235" spans="9:16">
      <c r="I235" s="68" t="s">
        <v>13</v>
      </c>
      <c r="J235" s="68">
        <v>411</v>
      </c>
      <c r="K235" s="68" t="s">
        <v>65</v>
      </c>
      <c r="L235" s="68">
        <v>929</v>
      </c>
      <c r="M235" s="68" t="s">
        <v>66</v>
      </c>
      <c r="N235" s="68">
        <v>173</v>
      </c>
      <c r="O235" s="68" t="s">
        <v>67</v>
      </c>
      <c r="P235" s="68">
        <v>166</v>
      </c>
    </row>
    <row r="236" spans="9:16">
      <c r="I236" s="68" t="s">
        <v>13</v>
      </c>
      <c r="J236" s="68">
        <v>444</v>
      </c>
      <c r="K236" s="68" t="s">
        <v>65</v>
      </c>
      <c r="L236" s="68">
        <v>1167</v>
      </c>
      <c r="M236" s="68" t="s">
        <v>66</v>
      </c>
      <c r="N236" s="68">
        <v>164</v>
      </c>
      <c r="O236" s="68" t="s">
        <v>67</v>
      </c>
      <c r="P236" s="68">
        <v>158</v>
      </c>
    </row>
    <row r="237" spans="9:16">
      <c r="I237" s="68" t="s">
        <v>13</v>
      </c>
      <c r="J237" s="68">
        <v>779</v>
      </c>
      <c r="K237" s="68" t="s">
        <v>65</v>
      </c>
      <c r="L237" s="68">
        <v>2938</v>
      </c>
      <c r="M237" s="68" t="s">
        <v>66</v>
      </c>
      <c r="N237" s="68">
        <v>129</v>
      </c>
      <c r="O237" s="68" t="s">
        <v>67</v>
      </c>
      <c r="P237" s="68">
        <v>149</v>
      </c>
    </row>
    <row r="238" spans="9:16">
      <c r="I238" s="68" t="s">
        <v>13</v>
      </c>
      <c r="J238" s="68">
        <v>867</v>
      </c>
      <c r="K238" s="68" t="s">
        <v>65</v>
      </c>
      <c r="L238" s="68">
        <v>930</v>
      </c>
      <c r="M238" s="68" t="s">
        <v>66</v>
      </c>
      <c r="N238" s="68">
        <v>120</v>
      </c>
      <c r="O238" s="68" t="s">
        <v>67</v>
      </c>
      <c r="P238" s="68">
        <v>95</v>
      </c>
    </row>
    <row r="239" spans="9:16">
      <c r="I239" s="68" t="s">
        <v>13</v>
      </c>
      <c r="J239" s="68">
        <v>964</v>
      </c>
      <c r="K239" s="68" t="s">
        <v>65</v>
      </c>
      <c r="L239" s="68">
        <v>2851</v>
      </c>
      <c r="M239" s="68" t="s">
        <v>66</v>
      </c>
      <c r="N239" s="68">
        <v>93</v>
      </c>
      <c r="O239" s="68" t="s">
        <v>67</v>
      </c>
      <c r="P239" s="68">
        <v>76</v>
      </c>
    </row>
    <row r="240" spans="9:16">
      <c r="I240" s="68" t="s">
        <v>13</v>
      </c>
      <c r="J240" s="68">
        <v>1112</v>
      </c>
      <c r="K240" s="68" t="s">
        <v>65</v>
      </c>
      <c r="L240" s="68">
        <v>2371</v>
      </c>
      <c r="M240" s="68" t="s">
        <v>66</v>
      </c>
      <c r="N240" s="68">
        <v>68</v>
      </c>
      <c r="O240" s="68" t="s">
        <v>67</v>
      </c>
      <c r="P240" s="68">
        <v>75</v>
      </c>
    </row>
    <row r="241" spans="1:16">
      <c r="I241" s="68" t="s">
        <v>13</v>
      </c>
      <c r="J241" s="68">
        <v>1213</v>
      </c>
      <c r="K241" s="68" t="s">
        <v>65</v>
      </c>
      <c r="L241" s="68">
        <v>289</v>
      </c>
      <c r="M241" s="68" t="s">
        <v>66</v>
      </c>
      <c r="N241" s="68">
        <v>44</v>
      </c>
      <c r="O241" s="68" t="s">
        <v>67</v>
      </c>
      <c r="P241" s="68">
        <v>45</v>
      </c>
    </row>
    <row r="242" spans="1:16">
      <c r="I242" s="68" t="s">
        <v>13</v>
      </c>
      <c r="J242" s="68">
        <v>1299</v>
      </c>
      <c r="K242" s="68" t="s">
        <v>65</v>
      </c>
      <c r="L242" s="68">
        <v>239</v>
      </c>
      <c r="M242" s="68" t="s">
        <v>66</v>
      </c>
      <c r="N242" s="68">
        <v>16</v>
      </c>
      <c r="O242" s="68" t="s">
        <v>67</v>
      </c>
      <c r="P242" s="68">
        <v>10</v>
      </c>
    </row>
    <row r="243" spans="1:16">
      <c r="I243" s="68" t="s">
        <v>13</v>
      </c>
      <c r="J243" s="68">
        <v>1408</v>
      </c>
      <c r="K243" s="68" t="s">
        <v>65</v>
      </c>
      <c r="L243" s="68">
        <v>3063</v>
      </c>
      <c r="M243" s="68" t="s">
        <v>66</v>
      </c>
      <c r="N243" s="68">
        <v>3</v>
      </c>
      <c r="O243" s="68" t="s">
        <v>67</v>
      </c>
      <c r="P243" s="68">
        <v>0</v>
      </c>
    </row>
    <row r="245" spans="1:16">
      <c r="I245" s="57" t="s">
        <v>83</v>
      </c>
      <c r="J245" s="57"/>
      <c r="K245" s="57"/>
      <c r="L245" s="57"/>
      <c r="M245" s="57"/>
      <c r="N245" s="57"/>
      <c r="O245" s="57"/>
      <c r="P245" s="57"/>
    </row>
    <row r="246" spans="1:16">
      <c r="A246" s="110" t="s">
        <v>176</v>
      </c>
      <c r="B246" s="108"/>
      <c r="C246" s="108"/>
      <c r="D246" s="108"/>
      <c r="I246" s="57" t="s">
        <v>13</v>
      </c>
      <c r="J246" s="57">
        <v>122</v>
      </c>
      <c r="K246" s="57" t="s">
        <v>65</v>
      </c>
      <c r="L246" s="57">
        <v>16916</v>
      </c>
      <c r="M246" s="57" t="s">
        <v>66</v>
      </c>
      <c r="N246" s="57">
        <v>1158</v>
      </c>
      <c r="O246" s="57" t="s">
        <v>67</v>
      </c>
      <c r="P246" s="57">
        <v>660</v>
      </c>
    </row>
    <row r="247" spans="1:16">
      <c r="A247" s="72" t="s">
        <v>13</v>
      </c>
      <c r="B247" s="72">
        <v>245</v>
      </c>
      <c r="C247" s="72" t="s">
        <v>170</v>
      </c>
      <c r="D247" s="72">
        <v>8.3684199999999997E-3</v>
      </c>
      <c r="I247" s="57" t="s">
        <v>13</v>
      </c>
      <c r="J247" s="57">
        <v>245</v>
      </c>
      <c r="K247" s="57" t="s">
        <v>65</v>
      </c>
      <c r="L247" s="57">
        <v>4132</v>
      </c>
      <c r="M247" s="57" t="s">
        <v>66</v>
      </c>
      <c r="N247" s="57">
        <v>489</v>
      </c>
      <c r="O247" s="57" t="s">
        <v>67</v>
      </c>
      <c r="P247" s="57">
        <v>460</v>
      </c>
    </row>
    <row r="248" spans="1:16">
      <c r="A248" s="72" t="s">
        <v>13</v>
      </c>
      <c r="B248" s="72">
        <v>344</v>
      </c>
      <c r="C248" s="72" t="s">
        <v>170</v>
      </c>
      <c r="D248" s="72">
        <v>1.36513E-3</v>
      </c>
      <c r="I248" s="57" t="s">
        <v>13</v>
      </c>
      <c r="J248" s="57">
        <v>344</v>
      </c>
      <c r="K248" s="57" t="s">
        <v>65</v>
      </c>
      <c r="L248" s="57">
        <v>10495</v>
      </c>
      <c r="M248" s="57" t="s">
        <v>66</v>
      </c>
      <c r="N248" s="57">
        <v>252</v>
      </c>
      <c r="O248" s="57" t="s">
        <v>67</v>
      </c>
      <c r="P248" s="57">
        <v>191</v>
      </c>
    </row>
    <row r="249" spans="1:16">
      <c r="A249" s="72" t="s">
        <v>13</v>
      </c>
      <c r="B249" s="72">
        <v>411</v>
      </c>
      <c r="C249" s="72" t="s">
        <v>170</v>
      </c>
      <c r="D249" s="72">
        <v>3.6238800000000002E-2</v>
      </c>
      <c r="I249" s="57" t="s">
        <v>13</v>
      </c>
      <c r="J249" s="57">
        <v>411</v>
      </c>
      <c r="K249" s="57" t="s">
        <v>65</v>
      </c>
      <c r="L249" s="57">
        <v>974</v>
      </c>
      <c r="M249" s="57" t="s">
        <v>66</v>
      </c>
      <c r="N249" s="57">
        <v>175</v>
      </c>
      <c r="O249" s="57" t="s">
        <v>67</v>
      </c>
      <c r="P249" s="57">
        <v>181</v>
      </c>
    </row>
    <row r="250" spans="1:16">
      <c r="A250" s="72" t="s">
        <v>13</v>
      </c>
      <c r="B250" s="72">
        <v>444</v>
      </c>
      <c r="C250" s="72" t="s">
        <v>170</v>
      </c>
      <c r="D250" s="72">
        <v>-1.48205E-2</v>
      </c>
      <c r="I250" s="57" t="s">
        <v>13</v>
      </c>
      <c r="J250" s="57">
        <v>444</v>
      </c>
      <c r="K250" s="57" t="s">
        <v>65</v>
      </c>
      <c r="L250" s="57">
        <v>1149</v>
      </c>
      <c r="M250" s="57" t="s">
        <v>66</v>
      </c>
      <c r="N250" s="57">
        <v>157</v>
      </c>
      <c r="O250" s="57" t="s">
        <v>67</v>
      </c>
      <c r="P250" s="57">
        <v>178</v>
      </c>
    </row>
    <row r="251" spans="1:16">
      <c r="A251" s="72" t="s">
        <v>13</v>
      </c>
      <c r="B251" s="72">
        <v>779</v>
      </c>
      <c r="C251" s="72" t="s">
        <v>170</v>
      </c>
      <c r="D251" s="72">
        <v>7.46632E-4</v>
      </c>
      <c r="I251" s="57" t="s">
        <v>13</v>
      </c>
      <c r="J251" s="57">
        <v>779</v>
      </c>
      <c r="K251" s="57" t="s">
        <v>65</v>
      </c>
      <c r="L251" s="57">
        <v>2965</v>
      </c>
      <c r="M251" s="57" t="s">
        <v>66</v>
      </c>
      <c r="N251" s="57">
        <v>141</v>
      </c>
      <c r="O251" s="57" t="s">
        <v>67</v>
      </c>
      <c r="P251" s="57">
        <v>114</v>
      </c>
    </row>
    <row r="252" spans="1:16">
      <c r="A252" s="72" t="s">
        <v>13</v>
      </c>
      <c r="B252" s="72">
        <v>867</v>
      </c>
      <c r="C252" s="72" t="s">
        <v>170</v>
      </c>
      <c r="D252" s="72">
        <v>1.2526600000000001E-2</v>
      </c>
      <c r="I252" s="57" t="s">
        <v>13</v>
      </c>
      <c r="J252" s="57">
        <v>867</v>
      </c>
      <c r="K252" s="57" t="s">
        <v>65</v>
      </c>
      <c r="L252" s="57">
        <v>957</v>
      </c>
      <c r="M252" s="57" t="s">
        <v>66</v>
      </c>
      <c r="N252" s="57">
        <v>129</v>
      </c>
      <c r="O252" s="57" t="s">
        <v>67</v>
      </c>
      <c r="P252" s="57">
        <v>119</v>
      </c>
    </row>
    <row r="253" spans="1:16">
      <c r="A253" s="72" t="s">
        <v>13</v>
      </c>
      <c r="B253" s="72">
        <v>964</v>
      </c>
      <c r="C253" s="72" t="s">
        <v>170</v>
      </c>
      <c r="D253" s="72">
        <v>-6.5992100000000003E-3</v>
      </c>
      <c r="I253" s="57" t="s">
        <v>13</v>
      </c>
      <c r="J253" s="57">
        <v>964</v>
      </c>
      <c r="K253" s="57" t="s">
        <v>65</v>
      </c>
      <c r="L253" s="57">
        <v>2778</v>
      </c>
      <c r="M253" s="57" t="s">
        <v>66</v>
      </c>
      <c r="N253" s="57">
        <v>85</v>
      </c>
      <c r="O253" s="57" t="s">
        <v>67</v>
      </c>
      <c r="P253" s="57">
        <v>88</v>
      </c>
    </row>
    <row r="254" spans="1:16">
      <c r="A254" s="72" t="s">
        <v>13</v>
      </c>
      <c r="B254" s="72">
        <v>1112</v>
      </c>
      <c r="C254" s="72" t="s">
        <v>170</v>
      </c>
      <c r="D254" s="72">
        <v>-2.2489800000000001E-2</v>
      </c>
      <c r="I254" s="57" t="s">
        <v>13</v>
      </c>
      <c r="J254" s="57">
        <v>1112</v>
      </c>
      <c r="K254" s="57" t="s">
        <v>65</v>
      </c>
      <c r="L254" s="57">
        <v>2366</v>
      </c>
      <c r="M254" s="57" t="s">
        <v>66</v>
      </c>
      <c r="N254" s="57">
        <v>77</v>
      </c>
      <c r="O254" s="57" t="s">
        <v>67</v>
      </c>
      <c r="P254" s="57">
        <v>71</v>
      </c>
    </row>
    <row r="255" spans="1:16">
      <c r="A255" s="72" t="s">
        <v>13</v>
      </c>
      <c r="B255" s="72">
        <v>1213</v>
      </c>
      <c r="C255" s="72" t="s">
        <v>170</v>
      </c>
      <c r="D255" s="72">
        <v>1.4716600000000001E-4</v>
      </c>
      <c r="I255" s="57" t="s">
        <v>13</v>
      </c>
      <c r="J255" s="57">
        <v>1213</v>
      </c>
      <c r="K255" s="57" t="s">
        <v>65</v>
      </c>
      <c r="L255" s="57">
        <v>289</v>
      </c>
      <c r="M255" s="57" t="s">
        <v>66</v>
      </c>
      <c r="N255" s="57">
        <v>51</v>
      </c>
      <c r="O255" s="57" t="s">
        <v>67</v>
      </c>
      <c r="P255" s="57">
        <v>40</v>
      </c>
    </row>
    <row r="256" spans="1:16">
      <c r="A256" s="72" t="s">
        <v>13</v>
      </c>
      <c r="B256" s="72">
        <v>1299</v>
      </c>
      <c r="C256" s="72" t="s">
        <v>170</v>
      </c>
      <c r="D256" s="72">
        <v>5.9085199999999997E-2</v>
      </c>
      <c r="I256" s="57" t="s">
        <v>13</v>
      </c>
      <c r="J256" s="57">
        <v>1299</v>
      </c>
      <c r="K256" s="57" t="s">
        <v>65</v>
      </c>
      <c r="L256" s="57">
        <v>308</v>
      </c>
      <c r="M256" s="57" t="s">
        <v>66</v>
      </c>
      <c r="N256" s="57">
        <v>11</v>
      </c>
      <c r="O256" s="57" t="s">
        <v>67</v>
      </c>
      <c r="P256" s="57">
        <v>13</v>
      </c>
    </row>
    <row r="257" spans="1:43">
      <c r="A257" s="72" t="s">
        <v>13</v>
      </c>
      <c r="B257" s="72">
        <v>1408</v>
      </c>
      <c r="C257" s="72" t="s">
        <v>170</v>
      </c>
      <c r="D257" s="72">
        <v>-8.9304699999999994E-3</v>
      </c>
      <c r="I257" s="57" t="s">
        <v>13</v>
      </c>
      <c r="J257" s="57">
        <v>1408</v>
      </c>
      <c r="K257" s="57" t="s">
        <v>65</v>
      </c>
      <c r="L257" s="57">
        <v>3009</v>
      </c>
      <c r="M257" s="57" t="s">
        <v>66</v>
      </c>
      <c r="N257" s="57">
        <v>2</v>
      </c>
      <c r="O257" s="57" t="s">
        <v>67</v>
      </c>
      <c r="P257" s="57">
        <v>0</v>
      </c>
    </row>
    <row r="258" spans="1:43">
      <c r="A258" s="108"/>
      <c r="B258" s="108"/>
      <c r="C258" s="108" t="s">
        <v>172</v>
      </c>
      <c r="D258" s="11">
        <f>AVERAGE(C261:C271)</f>
        <v>5.9670879999999989E-3</v>
      </c>
    </row>
    <row r="259" spans="1:43">
      <c r="A259" s="108"/>
      <c r="B259" s="109">
        <f>SQRT(SUMSQ(C261:C271)/COUNTA(C261:C271))</f>
        <v>2.312503864127146E-2</v>
      </c>
      <c r="C259" s="108" t="s">
        <v>171</v>
      </c>
      <c r="D259" s="108">
        <f>COUNT(C261:C271)</f>
        <v>11</v>
      </c>
    </row>
    <row r="260" spans="1:43">
      <c r="A260" s="108"/>
      <c r="B260" s="108"/>
      <c r="C260" s="11"/>
      <c r="D260" s="22"/>
      <c r="F260" s="68" t="s">
        <v>85</v>
      </c>
      <c r="G260" s="68">
        <v>122</v>
      </c>
      <c r="H260" s="68" t="s">
        <v>97</v>
      </c>
      <c r="I260" s="68" t="s">
        <v>98</v>
      </c>
      <c r="J260" s="68">
        <v>2.9999999999999997E-4</v>
      </c>
      <c r="K260" s="68" t="s">
        <v>97</v>
      </c>
      <c r="L260" s="68" t="s">
        <v>110</v>
      </c>
      <c r="M260" s="95">
        <f t="shared" ref="M260:M271" si="22">AD22</f>
        <v>0.15592397043294615</v>
      </c>
      <c r="N260" s="68" t="s">
        <v>97</v>
      </c>
      <c r="O260" s="68" t="s">
        <v>122</v>
      </c>
      <c r="P260" s="95">
        <f t="shared" ref="P260:P271" si="23">AE22</f>
        <v>7.9568206867688918E-4</v>
      </c>
      <c r="Q260" s="68" t="s">
        <v>97</v>
      </c>
      <c r="S260" s="68" t="s">
        <v>85</v>
      </c>
      <c r="T260" s="68">
        <v>122</v>
      </c>
      <c r="U260" s="68" t="s">
        <v>97</v>
      </c>
      <c r="V260" s="68" t="s">
        <v>98</v>
      </c>
      <c r="W260" s="68">
        <v>2.9999999999999997E-4</v>
      </c>
      <c r="X260" s="68" t="s">
        <v>97</v>
      </c>
      <c r="Y260" s="68" t="s">
        <v>110</v>
      </c>
      <c r="Z260" s="95">
        <f t="shared" ref="Z260:Z271" si="24">M6</f>
        <v>1.928293828695508</v>
      </c>
      <c r="AA260" s="68" t="s">
        <v>97</v>
      </c>
      <c r="AB260" s="68" t="s">
        <v>122</v>
      </c>
      <c r="AC260" s="95">
        <f t="shared" ref="AC260:AC271" si="25">N6</f>
        <v>8.8712261467781377E-3</v>
      </c>
      <c r="AD260" s="68" t="s">
        <v>97</v>
      </c>
      <c r="AF260" s="91" t="s">
        <v>85</v>
      </c>
      <c r="AG260" s="91">
        <v>122</v>
      </c>
      <c r="AH260" s="91" t="s">
        <v>97</v>
      </c>
      <c r="AI260" s="91" t="s">
        <v>98</v>
      </c>
      <c r="AJ260" s="91">
        <v>2.9999999999999997E-4</v>
      </c>
      <c r="AK260" s="91" t="s">
        <v>97</v>
      </c>
      <c r="AL260" s="91" t="s">
        <v>110</v>
      </c>
      <c r="AM260" s="95">
        <f>E22</f>
        <v>12.366885112925953</v>
      </c>
      <c r="AN260" s="91" t="s">
        <v>97</v>
      </c>
      <c r="AO260" s="91" t="s">
        <v>122</v>
      </c>
      <c r="AP260" s="95">
        <f>F22</f>
        <v>8.4968573920371326E-2</v>
      </c>
      <c r="AQ260" s="91" t="s">
        <v>97</v>
      </c>
    </row>
    <row r="261" spans="1:43">
      <c r="A261" s="108"/>
      <c r="B261" s="108" t="s">
        <v>170</v>
      </c>
      <c r="C261" s="11">
        <f>D247</f>
        <v>8.3684199999999997E-3</v>
      </c>
      <c r="D261" s="22">
        <f>(C261-D$258)^2</f>
        <v>5.7663953742240037E-6</v>
      </c>
      <c r="F261" s="68" t="s">
        <v>86</v>
      </c>
      <c r="G261" s="68">
        <v>245</v>
      </c>
      <c r="H261" s="68" t="s">
        <v>97</v>
      </c>
      <c r="I261" s="68" t="s">
        <v>99</v>
      </c>
      <c r="J261" s="68">
        <v>8.0000000000000004E-4</v>
      </c>
      <c r="K261" s="68" t="s">
        <v>97</v>
      </c>
      <c r="L261" s="68" t="s">
        <v>111</v>
      </c>
      <c r="M261" s="95">
        <f t="shared" si="22"/>
        <v>0.13638266666666668</v>
      </c>
      <c r="N261" s="68" t="s">
        <v>97</v>
      </c>
      <c r="O261" s="68" t="s">
        <v>123</v>
      </c>
      <c r="P261" s="95">
        <f t="shared" si="23"/>
        <v>9.0885876335421406E-4</v>
      </c>
      <c r="Q261" s="68" t="s">
        <v>97</v>
      </c>
      <c r="S261" s="68" t="s">
        <v>86</v>
      </c>
      <c r="T261" s="68">
        <v>245</v>
      </c>
      <c r="U261" s="68" t="s">
        <v>97</v>
      </c>
      <c r="V261" s="68" t="s">
        <v>99</v>
      </c>
      <c r="W261" s="68">
        <v>8.0000000000000004E-4</v>
      </c>
      <c r="X261" s="68" t="s">
        <v>97</v>
      </c>
      <c r="Y261" s="68" t="s">
        <v>111</v>
      </c>
      <c r="Z261" s="95">
        <f t="shared" si="24"/>
        <v>1.4212926145523521</v>
      </c>
      <c r="AA261" s="68" t="s">
        <v>97</v>
      </c>
      <c r="AB261" s="68" t="s">
        <v>123</v>
      </c>
      <c r="AC261" s="95">
        <f t="shared" si="25"/>
        <v>7.7779149995005686E-3</v>
      </c>
      <c r="AD261" s="68" t="s">
        <v>97</v>
      </c>
      <c r="AF261" s="108" t="s">
        <v>85</v>
      </c>
      <c r="AG261" s="91">
        <v>245</v>
      </c>
      <c r="AH261" s="91" t="s">
        <v>97</v>
      </c>
      <c r="AI261" s="108" t="s">
        <v>98</v>
      </c>
      <c r="AJ261" s="91">
        <v>8.0000000000000004E-4</v>
      </c>
      <c r="AK261" s="91" t="s">
        <v>97</v>
      </c>
      <c r="AL261" s="108" t="s">
        <v>110</v>
      </c>
      <c r="AM261" s="95">
        <f t="shared" ref="AM261:AM271" si="26">E23</f>
        <v>10.421358148291219</v>
      </c>
      <c r="AN261" s="91" t="s">
        <v>97</v>
      </c>
      <c r="AO261" s="108" t="s">
        <v>122</v>
      </c>
      <c r="AP261" s="95">
        <f t="shared" ref="AP261:AP271" si="27">F23</f>
        <v>8.9863759134565735E-2</v>
      </c>
      <c r="AQ261" s="91" t="s">
        <v>97</v>
      </c>
    </row>
    <row r="262" spans="1:43">
      <c r="A262" s="108"/>
      <c r="B262" s="108" t="s">
        <v>170</v>
      </c>
      <c r="C262" s="11">
        <f t="shared" ref="C262:C270" si="28">D248</f>
        <v>1.36513E-3</v>
      </c>
      <c r="D262" s="22">
        <f t="shared" ref="D262:D271" si="29">(C262-D$258)^2</f>
        <v>2.1178017433763989E-5</v>
      </c>
      <c r="F262" s="68" t="s">
        <v>87</v>
      </c>
      <c r="G262" s="68">
        <v>344</v>
      </c>
      <c r="H262" s="68" t="s">
        <v>97</v>
      </c>
      <c r="I262" s="68" t="s">
        <v>100</v>
      </c>
      <c r="J262" s="68">
        <v>1.1999999999999999E-3</v>
      </c>
      <c r="K262" s="68" t="s">
        <v>97</v>
      </c>
      <c r="L262" s="68" t="s">
        <v>112</v>
      </c>
      <c r="M262" s="95">
        <f t="shared" si="22"/>
        <v>0.10811775771256583</v>
      </c>
      <c r="N262" s="68" t="s">
        <v>97</v>
      </c>
      <c r="O262" s="68" t="s">
        <v>124</v>
      </c>
      <c r="P262" s="95">
        <f t="shared" si="23"/>
        <v>5.7551872928510855E-4</v>
      </c>
      <c r="Q262" s="68" t="s">
        <v>97</v>
      </c>
      <c r="S262" s="68" t="s">
        <v>87</v>
      </c>
      <c r="T262" s="68">
        <v>344</v>
      </c>
      <c r="U262" s="68" t="s">
        <v>97</v>
      </c>
      <c r="V262" s="68" t="s">
        <v>100</v>
      </c>
      <c r="W262" s="68">
        <v>1.1999999999999999E-3</v>
      </c>
      <c r="X262" s="68" t="s">
        <v>97</v>
      </c>
      <c r="Y262" s="68" t="s">
        <v>112</v>
      </c>
      <c r="Z262" s="95">
        <f t="shared" si="24"/>
        <v>1.1346977429560852</v>
      </c>
      <c r="AA262" s="68" t="s">
        <v>97</v>
      </c>
      <c r="AB262" s="68" t="s">
        <v>124</v>
      </c>
      <c r="AC262" s="95">
        <f t="shared" si="25"/>
        <v>5.1695758975521698E-3</v>
      </c>
      <c r="AD262" s="68" t="s">
        <v>97</v>
      </c>
      <c r="AF262" s="108" t="s">
        <v>86</v>
      </c>
      <c r="AG262" s="91">
        <v>344</v>
      </c>
      <c r="AH262" s="91" t="s">
        <v>97</v>
      </c>
      <c r="AI262" s="108" t="s">
        <v>99</v>
      </c>
      <c r="AJ262" s="91">
        <v>1.1999999999999999E-3</v>
      </c>
      <c r="AK262" s="91" t="s">
        <v>97</v>
      </c>
      <c r="AL262" s="108" t="s">
        <v>111</v>
      </c>
      <c r="AM262" s="95">
        <f t="shared" si="26"/>
        <v>10.495017349256463</v>
      </c>
      <c r="AN262" s="91" t="s">
        <v>97</v>
      </c>
      <c r="AO262" s="108" t="s">
        <v>123</v>
      </c>
      <c r="AP262" s="95">
        <f t="shared" si="27"/>
        <v>7.3533595003381663E-2</v>
      </c>
      <c r="AQ262" s="91" t="s">
        <v>97</v>
      </c>
    </row>
    <row r="263" spans="1:43">
      <c r="A263" s="108"/>
      <c r="B263" s="108" t="s">
        <v>170</v>
      </c>
      <c r="C263" s="11">
        <f t="shared" si="28"/>
        <v>3.6238800000000002E-2</v>
      </c>
      <c r="D263" s="22">
        <f t="shared" si="29"/>
        <v>9.1637654741094415E-4</v>
      </c>
      <c r="F263" s="68" t="s">
        <v>88</v>
      </c>
      <c r="G263" s="68">
        <v>411</v>
      </c>
      <c r="H263" s="68" t="s">
        <v>97</v>
      </c>
      <c r="I263" s="68" t="s">
        <v>101</v>
      </c>
      <c r="J263" s="68">
        <v>1.1999999999999999E-3</v>
      </c>
      <c r="K263" s="68" t="s">
        <v>97</v>
      </c>
      <c r="L263" s="68" t="s">
        <v>113</v>
      </c>
      <c r="M263" s="95">
        <f t="shared" si="22"/>
        <v>9.4586499776486366E-2</v>
      </c>
      <c r="N263" s="68" t="s">
        <v>97</v>
      </c>
      <c r="O263" s="68" t="s">
        <v>125</v>
      </c>
      <c r="P263" s="95">
        <f t="shared" si="23"/>
        <v>1.1539430952280463E-3</v>
      </c>
      <c r="Q263" s="68" t="s">
        <v>97</v>
      </c>
      <c r="S263" s="68" t="s">
        <v>88</v>
      </c>
      <c r="T263" s="68">
        <v>411</v>
      </c>
      <c r="U263" s="68" t="s">
        <v>97</v>
      </c>
      <c r="V263" s="68" t="s">
        <v>101</v>
      </c>
      <c r="W263" s="68">
        <v>1.1999999999999999E-3</v>
      </c>
      <c r="X263" s="68" t="s">
        <v>97</v>
      </c>
      <c r="Y263" s="68" t="s">
        <v>113</v>
      </c>
      <c r="Z263" s="95">
        <f t="shared" si="24"/>
        <v>0.95802053426242695</v>
      </c>
      <c r="AA263" s="68" t="s">
        <v>97</v>
      </c>
      <c r="AB263" s="68" t="s">
        <v>125</v>
      </c>
      <c r="AC263" s="95">
        <f t="shared" si="25"/>
        <v>5.2440286782991594E-3</v>
      </c>
      <c r="AD263" s="68" t="s">
        <v>97</v>
      </c>
      <c r="AF263" s="108" t="s">
        <v>87</v>
      </c>
      <c r="AG263" s="91">
        <v>411</v>
      </c>
      <c r="AH263" s="91" t="s">
        <v>97</v>
      </c>
      <c r="AI263" s="108" t="s">
        <v>100</v>
      </c>
      <c r="AJ263" s="91">
        <v>1.1999999999999999E-3</v>
      </c>
      <c r="AK263" s="91" t="s">
        <v>97</v>
      </c>
      <c r="AL263" s="108" t="s">
        <v>112</v>
      </c>
      <c r="AM263" s="95">
        <f t="shared" si="26"/>
        <v>10.128512383123253</v>
      </c>
      <c r="AN263" s="91" t="s">
        <v>97</v>
      </c>
      <c r="AO263" s="108" t="s">
        <v>124</v>
      </c>
      <c r="AP263" s="95">
        <f t="shared" si="27"/>
        <v>0.13543435317564378</v>
      </c>
      <c r="AQ263" s="91" t="s">
        <v>97</v>
      </c>
    </row>
    <row r="264" spans="1:43">
      <c r="A264" s="108"/>
      <c r="B264" s="108" t="s">
        <v>170</v>
      </c>
      <c r="C264" s="11">
        <f t="shared" si="28"/>
        <v>-1.48205E-2</v>
      </c>
      <c r="D264" s="22">
        <f t="shared" si="29"/>
        <v>4.3212381485774397E-4</v>
      </c>
      <c r="F264" s="68" t="s">
        <v>89</v>
      </c>
      <c r="G264" s="68">
        <v>444</v>
      </c>
      <c r="H264" s="68" t="s">
        <v>97</v>
      </c>
      <c r="I264" s="68" t="s">
        <v>102</v>
      </c>
      <c r="J264" s="68">
        <v>3.0000000000000001E-3</v>
      </c>
      <c r="K264" s="68" t="s">
        <v>97</v>
      </c>
      <c r="L264" s="68" t="s">
        <v>114</v>
      </c>
      <c r="M264" s="95">
        <f t="shared" si="22"/>
        <v>8.8851200000000005E-2</v>
      </c>
      <c r="N264" s="68" t="s">
        <v>97</v>
      </c>
      <c r="O264" s="68" t="s">
        <v>126</v>
      </c>
      <c r="P264" s="95">
        <f t="shared" si="23"/>
        <v>9.3882073788237254E-4</v>
      </c>
      <c r="Q264" s="68" t="s">
        <v>97</v>
      </c>
      <c r="S264" s="68" t="s">
        <v>89</v>
      </c>
      <c r="T264" s="68">
        <v>444</v>
      </c>
      <c r="U264" s="68" t="s">
        <v>97</v>
      </c>
      <c r="V264" s="68" t="s">
        <v>102</v>
      </c>
      <c r="W264" s="68">
        <v>3.0000000000000001E-3</v>
      </c>
      <c r="X264" s="68" t="s">
        <v>97</v>
      </c>
      <c r="Y264" s="68" t="s">
        <v>114</v>
      </c>
      <c r="Z264" s="95">
        <f t="shared" si="24"/>
        <v>0.94760426460915237</v>
      </c>
      <c r="AA264" s="68" t="s">
        <v>97</v>
      </c>
      <c r="AB264" s="68" t="s">
        <v>126</v>
      </c>
      <c r="AC264" s="95">
        <f t="shared" si="25"/>
        <v>4.8685181813660208E-3</v>
      </c>
      <c r="AD264" s="68" t="s">
        <v>97</v>
      </c>
      <c r="AF264" s="108" t="s">
        <v>88</v>
      </c>
      <c r="AG264" s="91">
        <v>444</v>
      </c>
      <c r="AH264" s="91" t="s">
        <v>97</v>
      </c>
      <c r="AI264" s="108" t="s">
        <v>101</v>
      </c>
      <c r="AJ264" s="91">
        <v>3.0000000000000001E-3</v>
      </c>
      <c r="AK264" s="91" t="s">
        <v>97</v>
      </c>
      <c r="AL264" s="108" t="s">
        <v>113</v>
      </c>
      <c r="AM264" s="95">
        <f t="shared" si="26"/>
        <v>10.665069966518768</v>
      </c>
      <c r="AN264" s="91" t="s">
        <v>97</v>
      </c>
      <c r="AO264" s="108" t="s">
        <v>125</v>
      </c>
      <c r="AP264" s="95">
        <f t="shared" si="27"/>
        <v>0.12530479335963471</v>
      </c>
      <c r="AQ264" s="91" t="s">
        <v>97</v>
      </c>
    </row>
    <row r="265" spans="1:43">
      <c r="A265" s="108"/>
      <c r="B265" s="108" t="s">
        <v>170</v>
      </c>
      <c r="C265" s="11">
        <f t="shared" si="28"/>
        <v>7.46632E-4</v>
      </c>
      <c r="D265" s="22">
        <f t="shared" si="29"/>
        <v>2.7253160847935992E-5</v>
      </c>
      <c r="F265" s="68" t="s">
        <v>90</v>
      </c>
      <c r="G265" s="68">
        <v>779</v>
      </c>
      <c r="H265" s="68" t="s">
        <v>97</v>
      </c>
      <c r="I265" s="68" t="s">
        <v>103</v>
      </c>
      <c r="J265" s="68">
        <v>2.3999999999999998E-3</v>
      </c>
      <c r="K265" s="68" t="s">
        <v>97</v>
      </c>
      <c r="L265" s="68" t="s">
        <v>115</v>
      </c>
      <c r="M265" s="95">
        <f t="shared" si="22"/>
        <v>6.1255401234567901E-2</v>
      </c>
      <c r="N265" s="68" t="s">
        <v>97</v>
      </c>
      <c r="O265" s="68" t="s">
        <v>127</v>
      </c>
      <c r="P265" s="95">
        <f t="shared" si="23"/>
        <v>4.2448208380261291E-4</v>
      </c>
      <c r="Q265" s="68" t="s">
        <v>97</v>
      </c>
      <c r="S265" s="68" t="s">
        <v>90</v>
      </c>
      <c r="T265" s="68">
        <v>779</v>
      </c>
      <c r="U265" s="68" t="s">
        <v>97</v>
      </c>
      <c r="V265" s="68" t="s">
        <v>103</v>
      </c>
      <c r="W265" s="68">
        <v>2.3999999999999998E-3</v>
      </c>
      <c r="X265" s="68" t="s">
        <v>97</v>
      </c>
      <c r="Y265" s="68" t="s">
        <v>115</v>
      </c>
      <c r="Z265" s="95">
        <f t="shared" si="24"/>
        <v>0.64327600884231295</v>
      </c>
      <c r="AA265" s="68" t="s">
        <v>97</v>
      </c>
      <c r="AB265" s="68" t="s">
        <v>127</v>
      </c>
      <c r="AC265" s="95">
        <f t="shared" si="25"/>
        <v>3.0910333399553069E-3</v>
      </c>
      <c r="AD265" s="68" t="s">
        <v>97</v>
      </c>
      <c r="AF265" s="108" t="s">
        <v>89</v>
      </c>
      <c r="AG265" s="91">
        <v>779</v>
      </c>
      <c r="AH265" s="91" t="s">
        <v>97</v>
      </c>
      <c r="AI265" s="108" t="s">
        <v>102</v>
      </c>
      <c r="AJ265" s="91">
        <v>2.3999999999999998E-3</v>
      </c>
      <c r="AK265" s="91" t="s">
        <v>97</v>
      </c>
      <c r="AL265" s="108" t="s">
        <v>114</v>
      </c>
      <c r="AM265" s="95">
        <f t="shared" si="26"/>
        <v>10.501539388812244</v>
      </c>
      <c r="AN265" s="91" t="s">
        <v>97</v>
      </c>
      <c r="AO265" s="108" t="s">
        <v>126</v>
      </c>
      <c r="AP265" s="95">
        <f t="shared" si="27"/>
        <v>8.8556227756073927E-2</v>
      </c>
      <c r="AQ265" s="91" t="s">
        <v>97</v>
      </c>
    </row>
    <row r="266" spans="1:43">
      <c r="A266" s="108"/>
      <c r="B266" s="108" t="s">
        <v>170</v>
      </c>
      <c r="C266" s="11">
        <f t="shared" si="28"/>
        <v>1.2526600000000001E-2</v>
      </c>
      <c r="D266" s="22">
        <f t="shared" si="29"/>
        <v>4.3027197678144022E-5</v>
      </c>
      <c r="F266" s="68" t="s">
        <v>91</v>
      </c>
      <c r="G266" s="68">
        <v>867</v>
      </c>
      <c r="H266" s="68" t="s">
        <v>97</v>
      </c>
      <c r="I266" s="68" t="s">
        <v>104</v>
      </c>
      <c r="J266" s="68">
        <v>3.0000000000000001E-3</v>
      </c>
      <c r="K266" s="68" t="s">
        <v>97</v>
      </c>
      <c r="L266" s="68" t="s">
        <v>116</v>
      </c>
      <c r="M266" s="95">
        <f t="shared" si="22"/>
        <v>5.6453666588068843E-2</v>
      </c>
      <c r="N266" s="68" t="s">
        <v>97</v>
      </c>
      <c r="O266" s="68" t="s">
        <v>128</v>
      </c>
      <c r="P266" s="95">
        <f t="shared" si="23"/>
        <v>6.2324878046658011E-4</v>
      </c>
      <c r="Q266" s="68" t="s">
        <v>97</v>
      </c>
      <c r="S266" s="68" t="s">
        <v>91</v>
      </c>
      <c r="T266" s="68">
        <v>867</v>
      </c>
      <c r="U266" s="68" t="s">
        <v>97</v>
      </c>
      <c r="V266" s="68" t="s">
        <v>104</v>
      </c>
      <c r="W266" s="68">
        <v>3.0000000000000001E-3</v>
      </c>
      <c r="X266" s="68" t="s">
        <v>97</v>
      </c>
      <c r="Y266" s="68" t="s">
        <v>116</v>
      </c>
      <c r="Z266" s="95">
        <f t="shared" si="24"/>
        <v>0.58585654373504847</v>
      </c>
      <c r="AA266" s="68" t="s">
        <v>97</v>
      </c>
      <c r="AB266" s="68" t="s">
        <v>128</v>
      </c>
      <c r="AC266" s="95">
        <f t="shared" si="25"/>
        <v>3.6168926220666127E-3</v>
      </c>
      <c r="AD266" s="68" t="s">
        <v>97</v>
      </c>
      <c r="AF266" s="108" t="s">
        <v>90</v>
      </c>
      <c r="AG266" s="91">
        <v>867</v>
      </c>
      <c r="AH266" s="91" t="s">
        <v>97</v>
      </c>
      <c r="AI266" s="108" t="s">
        <v>103</v>
      </c>
      <c r="AJ266" s="91">
        <v>3.0000000000000001E-3</v>
      </c>
      <c r="AK266" s="91" t="s">
        <v>97</v>
      </c>
      <c r="AL266" s="108" t="s">
        <v>115</v>
      </c>
      <c r="AM266" s="95">
        <f t="shared" si="26"/>
        <v>10.377652668867851</v>
      </c>
      <c r="AN266" s="91" t="s">
        <v>97</v>
      </c>
      <c r="AO266" s="108" t="s">
        <v>127</v>
      </c>
      <c r="AP266" s="95">
        <f t="shared" si="27"/>
        <v>0.13126646893297939</v>
      </c>
      <c r="AQ266" s="91" t="s">
        <v>97</v>
      </c>
    </row>
    <row r="267" spans="1:43">
      <c r="A267" s="108"/>
      <c r="B267" s="108" t="s">
        <v>170</v>
      </c>
      <c r="C267" s="11">
        <f t="shared" si="28"/>
        <v>-6.5992100000000003E-3</v>
      </c>
      <c r="D267" s="22">
        <f t="shared" si="29"/>
        <v>1.57911845424804E-4</v>
      </c>
      <c r="F267" s="68" t="s">
        <v>92</v>
      </c>
      <c r="G267" s="68">
        <v>964</v>
      </c>
      <c r="H267" s="68" t="s">
        <v>97</v>
      </c>
      <c r="I267" s="68" t="s">
        <v>105</v>
      </c>
      <c r="J267" s="68">
        <v>1.7999999999999999E-2</v>
      </c>
      <c r="K267" s="68" t="s">
        <v>97</v>
      </c>
      <c r="L267" s="68" t="s">
        <v>117</v>
      </c>
      <c r="M267" s="95">
        <f t="shared" si="22"/>
        <v>5.2958276333789328E-2</v>
      </c>
      <c r="N267" s="68" t="s">
        <v>97</v>
      </c>
      <c r="O267" s="68" t="s">
        <v>129</v>
      </c>
      <c r="P267" s="95">
        <f t="shared" si="23"/>
        <v>3.6747259266512182E-4</v>
      </c>
      <c r="Q267" s="68" t="s">
        <v>97</v>
      </c>
      <c r="S267" s="68" t="s">
        <v>92</v>
      </c>
      <c r="T267" s="68">
        <v>964</v>
      </c>
      <c r="U267" s="68" t="s">
        <v>97</v>
      </c>
      <c r="V267" s="68" t="s">
        <v>105</v>
      </c>
      <c r="W267" s="68">
        <v>1.7999999999999999E-2</v>
      </c>
      <c r="X267" s="68" t="s">
        <v>97</v>
      </c>
      <c r="Y267" s="68" t="s">
        <v>117</v>
      </c>
      <c r="Z267" s="95">
        <f t="shared" si="24"/>
        <v>0.56023151934519755</v>
      </c>
      <c r="AA267" s="68" t="s">
        <v>97</v>
      </c>
      <c r="AB267" s="68" t="s">
        <v>129</v>
      </c>
      <c r="AC267" s="95">
        <f t="shared" si="25"/>
        <v>2.3939424272780415E-3</v>
      </c>
      <c r="AD267" s="68" t="s">
        <v>97</v>
      </c>
      <c r="AF267" s="108" t="s">
        <v>91</v>
      </c>
      <c r="AG267" s="91">
        <v>964</v>
      </c>
      <c r="AH267" s="91" t="s">
        <v>97</v>
      </c>
      <c r="AI267" s="108" t="s">
        <v>104</v>
      </c>
      <c r="AJ267" s="91">
        <v>1.7999999999999999E-2</v>
      </c>
      <c r="AK267" s="91" t="s">
        <v>97</v>
      </c>
      <c r="AL267" s="108" t="s">
        <v>116</v>
      </c>
      <c r="AM267" s="95">
        <f t="shared" si="26"/>
        <v>10.578734017212513</v>
      </c>
      <c r="AN267" s="91" t="s">
        <v>97</v>
      </c>
      <c r="AO267" s="108" t="s">
        <v>128</v>
      </c>
      <c r="AP267" s="95">
        <f t="shared" si="27"/>
        <v>8.6207326494087536E-2</v>
      </c>
      <c r="AQ267" s="91" t="s">
        <v>97</v>
      </c>
    </row>
    <row r="268" spans="1:43">
      <c r="A268" s="108"/>
      <c r="B268" s="108" t="s">
        <v>170</v>
      </c>
      <c r="C268" s="11">
        <f t="shared" si="28"/>
        <v>-2.2489800000000001E-2</v>
      </c>
      <c r="D268" s="22">
        <f t="shared" si="29"/>
        <v>8.0979447464454401E-4</v>
      </c>
      <c r="F268" s="68" t="s">
        <v>93</v>
      </c>
      <c r="G268" s="68">
        <v>1112</v>
      </c>
      <c r="H268" s="68" t="s">
        <v>97</v>
      </c>
      <c r="I268" s="68" t="s">
        <v>106</v>
      </c>
      <c r="J268" s="68">
        <v>3.0000000000000001E-3</v>
      </c>
      <c r="K268" s="68" t="s">
        <v>97</v>
      </c>
      <c r="L268" s="68" t="s">
        <v>118</v>
      </c>
      <c r="M268" s="95">
        <f t="shared" si="22"/>
        <v>4.9128358208955225E-2</v>
      </c>
      <c r="N268" s="68" t="s">
        <v>97</v>
      </c>
      <c r="O268" s="68" t="s">
        <v>130</v>
      </c>
      <c r="P268" s="95">
        <f t="shared" si="23"/>
        <v>3.5749684933033095E-4</v>
      </c>
      <c r="Q268" s="68" t="s">
        <v>97</v>
      </c>
      <c r="S268" s="68" t="s">
        <v>93</v>
      </c>
      <c r="T268" s="68">
        <v>1112</v>
      </c>
      <c r="U268" s="68" t="s">
        <v>97</v>
      </c>
      <c r="V268" s="68" t="s">
        <v>106</v>
      </c>
      <c r="W268" s="68">
        <v>3.0000000000000001E-3</v>
      </c>
      <c r="X268" s="68" t="s">
        <v>97</v>
      </c>
      <c r="Y268" s="68" t="s">
        <v>118</v>
      </c>
      <c r="Z268" s="95">
        <f t="shared" si="24"/>
        <v>0.52791632004587707</v>
      </c>
      <c r="AA268" s="68" t="s">
        <v>97</v>
      </c>
      <c r="AB268" s="68" t="s">
        <v>130</v>
      </c>
      <c r="AC268" s="95">
        <f t="shared" si="25"/>
        <v>2.4622110087178135E-3</v>
      </c>
      <c r="AD268" s="68" t="s">
        <v>97</v>
      </c>
      <c r="AF268" s="108" t="s">
        <v>92</v>
      </c>
      <c r="AG268" s="91">
        <v>1112</v>
      </c>
      <c r="AH268" s="91" t="s">
        <v>97</v>
      </c>
      <c r="AI268" s="108" t="s">
        <v>105</v>
      </c>
      <c r="AJ268" s="91">
        <v>3.0000000000000001E-3</v>
      </c>
      <c r="AK268" s="91" t="s">
        <v>97</v>
      </c>
      <c r="AL268" s="108" t="s">
        <v>117</v>
      </c>
      <c r="AM268" s="95">
        <f t="shared" si="26"/>
        <v>10.745653616196915</v>
      </c>
      <c r="AN268" s="91" t="s">
        <v>97</v>
      </c>
      <c r="AO268" s="108" t="s">
        <v>129</v>
      </c>
      <c r="AP268" s="95">
        <f t="shared" si="27"/>
        <v>9.287674465402479E-2</v>
      </c>
      <c r="AQ268" s="91" t="s">
        <v>97</v>
      </c>
    </row>
    <row r="269" spans="1:43">
      <c r="A269" s="108"/>
      <c r="B269" s="108" t="s">
        <v>170</v>
      </c>
      <c r="C269" s="11">
        <f t="shared" si="28"/>
        <v>1.4716600000000001E-4</v>
      </c>
      <c r="D269" s="22">
        <f t="shared" si="29"/>
        <v>3.3871492086083986E-5</v>
      </c>
      <c r="F269" s="68" t="s">
        <v>94</v>
      </c>
      <c r="G269" s="68">
        <v>1213</v>
      </c>
      <c r="H269" s="68" t="s">
        <v>97</v>
      </c>
      <c r="I269" s="68" t="s">
        <v>107</v>
      </c>
      <c r="J269" s="68">
        <v>1.1000000000000001E-3</v>
      </c>
      <c r="K269" s="68" t="s">
        <v>97</v>
      </c>
      <c r="L269" s="68" t="s">
        <v>119</v>
      </c>
      <c r="M269" s="95">
        <f t="shared" si="22"/>
        <v>4.4678445229681979E-2</v>
      </c>
      <c r="N269" s="68" t="s">
        <v>97</v>
      </c>
      <c r="O269" s="68" t="s">
        <v>131</v>
      </c>
      <c r="P269" s="95">
        <f t="shared" si="23"/>
        <v>9.4135905309196757E-4</v>
      </c>
      <c r="Q269" s="68" t="s">
        <v>97</v>
      </c>
      <c r="S269" s="68" t="s">
        <v>94</v>
      </c>
      <c r="T269" s="68">
        <v>1213</v>
      </c>
      <c r="U269" s="68" t="s">
        <v>97</v>
      </c>
      <c r="V269" s="68" t="s">
        <v>107</v>
      </c>
      <c r="W269" s="68">
        <v>1.1000000000000001E-3</v>
      </c>
      <c r="X269" s="68" t="s">
        <v>97</v>
      </c>
      <c r="Y269" s="68" t="s">
        <v>119</v>
      </c>
      <c r="Z269" s="95">
        <f t="shared" si="24"/>
        <v>0.46947261263503104</v>
      </c>
      <c r="AA269" s="68" t="s">
        <v>97</v>
      </c>
      <c r="AB269" s="68" t="s">
        <v>131</v>
      </c>
      <c r="AC269" s="95">
        <f t="shared" si="25"/>
        <v>4.2349000807058272E-3</v>
      </c>
      <c r="AD269" s="68" t="s">
        <v>97</v>
      </c>
      <c r="AF269" s="108" t="s">
        <v>93</v>
      </c>
      <c r="AG269" s="91">
        <v>1213</v>
      </c>
      <c r="AH269" s="91" t="s">
        <v>97</v>
      </c>
      <c r="AI269" s="108" t="s">
        <v>106</v>
      </c>
      <c r="AJ269" s="91">
        <v>1.1000000000000001E-3</v>
      </c>
      <c r="AK269" s="91" t="s">
        <v>97</v>
      </c>
      <c r="AL269" s="108" t="s">
        <v>118</v>
      </c>
      <c r="AM269" s="95">
        <f t="shared" si="26"/>
        <v>10.507809979097894</v>
      </c>
      <c r="AN269" s="91" t="s">
        <v>97</v>
      </c>
      <c r="AO269" s="108" t="s">
        <v>130</v>
      </c>
      <c r="AP269" s="95">
        <f t="shared" si="27"/>
        <v>0.24083301937745871</v>
      </c>
      <c r="AQ269" s="91" t="s">
        <v>97</v>
      </c>
    </row>
    <row r="270" spans="1:43">
      <c r="A270" s="108"/>
      <c r="B270" s="108" t="s">
        <v>170</v>
      </c>
      <c r="C270" s="11">
        <f t="shared" si="28"/>
        <v>5.9085199999999997E-2</v>
      </c>
      <c r="D270" s="22">
        <f t="shared" si="29"/>
        <v>2.8215338224445437E-3</v>
      </c>
      <c r="F270" s="68" t="s">
        <v>95</v>
      </c>
      <c r="G270" s="68">
        <v>1299</v>
      </c>
      <c r="H270" s="68" t="s">
        <v>97</v>
      </c>
      <c r="I270" s="68" t="s">
        <v>108</v>
      </c>
      <c r="J270" s="68">
        <v>8.0000000000000002E-3</v>
      </c>
      <c r="K270" s="68" t="s">
        <v>97</v>
      </c>
      <c r="L270" s="68" t="s">
        <v>120</v>
      </c>
      <c r="M270" s="95">
        <f t="shared" si="22"/>
        <v>4.3664215686274509E-2</v>
      </c>
      <c r="N270" s="68" t="s">
        <v>97</v>
      </c>
      <c r="O270" s="68" t="s">
        <v>132</v>
      </c>
      <c r="P270" s="95">
        <f t="shared" si="23"/>
        <v>7.866894729063994E-4</v>
      </c>
      <c r="Q270" s="68" t="s">
        <v>97</v>
      </c>
      <c r="S270" s="68" t="s">
        <v>95</v>
      </c>
      <c r="T270" s="68">
        <v>1299</v>
      </c>
      <c r="U270" s="68" t="s">
        <v>97</v>
      </c>
      <c r="V270" s="68" t="s">
        <v>108</v>
      </c>
      <c r="W270" s="68">
        <v>8.0000000000000002E-3</v>
      </c>
      <c r="X270" s="68" t="s">
        <v>97</v>
      </c>
      <c r="Y270" s="68" t="s">
        <v>120</v>
      </c>
      <c r="Z270" s="95">
        <f t="shared" si="24"/>
        <v>0.43177018710225484</v>
      </c>
      <c r="AA270" s="68" t="s">
        <v>97</v>
      </c>
      <c r="AB270" s="68" t="s">
        <v>132</v>
      </c>
      <c r="AC270" s="95">
        <f t="shared" si="25"/>
        <v>3.2341203615777556E-3</v>
      </c>
      <c r="AD270" s="68" t="s">
        <v>97</v>
      </c>
      <c r="AF270" s="108" t="s">
        <v>94</v>
      </c>
      <c r="AG270" s="91">
        <v>1299</v>
      </c>
      <c r="AH270" s="91" t="s">
        <v>97</v>
      </c>
      <c r="AI270" s="108" t="s">
        <v>107</v>
      </c>
      <c r="AJ270" s="91">
        <v>8.0000000000000002E-3</v>
      </c>
      <c r="AK270" s="91" t="s">
        <v>97</v>
      </c>
      <c r="AL270" s="108" t="s">
        <v>119</v>
      </c>
      <c r="AM270" s="95">
        <f t="shared" si="26"/>
        <v>9.8884219106213855</v>
      </c>
      <c r="AN270" s="91" t="s">
        <v>97</v>
      </c>
      <c r="AO270" s="108" t="s">
        <v>131</v>
      </c>
      <c r="AP270" s="95">
        <f t="shared" si="27"/>
        <v>0.1929410317652886</v>
      </c>
      <c r="AQ270" s="91" t="s">
        <v>97</v>
      </c>
    </row>
    <row r="271" spans="1:43">
      <c r="A271" s="108"/>
      <c r="B271" s="108" t="s">
        <v>170</v>
      </c>
      <c r="C271" s="11">
        <f>D257</f>
        <v>-8.9304699999999994E-3</v>
      </c>
      <c r="D271" s="22">
        <f t="shared" si="29"/>
        <v>2.2193723436336396E-4</v>
      </c>
      <c r="F271" s="68" t="s">
        <v>96</v>
      </c>
      <c r="G271" s="68">
        <v>1408</v>
      </c>
      <c r="H271" s="68" t="s">
        <v>97</v>
      </c>
      <c r="I271" s="68" t="s">
        <v>109</v>
      </c>
      <c r="J271" s="68">
        <v>3.0000000000000001E-3</v>
      </c>
      <c r="K271" s="68" t="s">
        <v>97</v>
      </c>
      <c r="L271" s="68" t="s">
        <v>121</v>
      </c>
      <c r="M271" s="95">
        <f t="shared" si="22"/>
        <v>4.1261870503597121E-2</v>
      </c>
      <c r="N271" s="68" t="s">
        <v>97</v>
      </c>
      <c r="O271" s="68" t="s">
        <v>133</v>
      </c>
      <c r="P271" s="95">
        <f t="shared" si="23"/>
        <v>2.7492918788223102E-4</v>
      </c>
      <c r="Q271" s="68" t="s">
        <v>97</v>
      </c>
      <c r="S271" s="68" t="s">
        <v>96</v>
      </c>
      <c r="T271" s="68">
        <v>1408</v>
      </c>
      <c r="U271" s="68" t="s">
        <v>97</v>
      </c>
      <c r="V271" s="68" t="s">
        <v>109</v>
      </c>
      <c r="W271" s="68">
        <v>3.0000000000000001E-3</v>
      </c>
      <c r="X271" s="68" t="s">
        <v>97</v>
      </c>
      <c r="Y271" s="68" t="s">
        <v>121</v>
      </c>
      <c r="Z271" s="95">
        <f t="shared" si="24"/>
        <v>0.43750625301793367</v>
      </c>
      <c r="AA271" s="68" t="s">
        <v>97</v>
      </c>
      <c r="AB271" s="68" t="s">
        <v>133</v>
      </c>
      <c r="AC271" s="95">
        <f t="shared" si="25"/>
        <v>1.9459772979497827E-3</v>
      </c>
      <c r="AD271" s="68" t="s">
        <v>97</v>
      </c>
      <c r="AF271" s="108" t="s">
        <v>95</v>
      </c>
      <c r="AG271" s="91">
        <v>1408</v>
      </c>
      <c r="AH271" s="91" t="s">
        <v>97</v>
      </c>
      <c r="AI271" s="108" t="s">
        <v>108</v>
      </c>
      <c r="AJ271" s="91">
        <v>3.0000000000000001E-3</v>
      </c>
      <c r="AK271" s="91" t="s">
        <v>97</v>
      </c>
      <c r="AL271" s="108" t="s">
        <v>120</v>
      </c>
      <c r="AM271" s="95">
        <f t="shared" si="26"/>
        <v>10.603160925043202</v>
      </c>
      <c r="AN271" s="91" t="s">
        <v>97</v>
      </c>
      <c r="AO271" s="108" t="s">
        <v>132</v>
      </c>
      <c r="AP271" s="95">
        <f t="shared" si="27"/>
        <v>8.4944277541679908E-2</v>
      </c>
      <c r="AQ271" s="91" t="s">
        <v>97</v>
      </c>
    </row>
    <row r="272" spans="1:43">
      <c r="A272" s="108"/>
      <c r="B272" s="108"/>
      <c r="C272" s="108"/>
      <c r="D272" s="108"/>
      <c r="AF272" s="108" t="s">
        <v>96</v>
      </c>
      <c r="AG272" s="91"/>
      <c r="AH272" s="91"/>
      <c r="AI272" s="108" t="s">
        <v>109</v>
      </c>
      <c r="AJ272" s="91"/>
      <c r="AK272" s="91"/>
      <c r="AL272" s="108" t="s">
        <v>121</v>
      </c>
      <c r="AM272" s="91"/>
      <c r="AN272" s="91"/>
      <c r="AO272" s="108" t="s">
        <v>133</v>
      </c>
      <c r="AP272" s="91"/>
      <c r="AQ272" s="91"/>
    </row>
    <row r="273" spans="1:43">
      <c r="A273" s="108"/>
      <c r="B273" s="108"/>
      <c r="C273" s="75" t="s">
        <v>173</v>
      </c>
      <c r="D273" s="83">
        <f>SQRT((1/D259)*SUM(D261:D271))</f>
        <v>2.234191739669078E-2</v>
      </c>
      <c r="G273" s="91" t="s">
        <v>163</v>
      </c>
      <c r="T273" s="91" t="s">
        <v>166</v>
      </c>
      <c r="AF273" s="91"/>
      <c r="AG273" s="91" t="s">
        <v>166</v>
      </c>
      <c r="AH273" s="91"/>
      <c r="AI273" s="91"/>
      <c r="AJ273" s="91"/>
      <c r="AK273" s="91"/>
      <c r="AL273" s="91"/>
      <c r="AM273" s="91"/>
      <c r="AN273" s="91"/>
      <c r="AO273" s="91"/>
      <c r="AP273" s="91"/>
      <c r="AQ273" s="91"/>
    </row>
    <row r="274" spans="1:43">
      <c r="H274" s="29" t="str">
        <f t="shared" ref="H274:H285" si="30">F260&amp;G260&amp;H260</f>
        <v>energy[0][0]=122;</v>
      </c>
      <c r="I274" s="29" t="str">
        <f t="shared" ref="I274:I285" si="31">I260&amp;J260&amp;K260</f>
        <v>energyerr[0][0]=0.0003;</v>
      </c>
      <c r="J274" s="29" t="str">
        <f t="shared" ref="J274:J285" si="32">L260&amp;TEXT(ROUND(M260,4),"0.0000")&amp;N260</f>
        <v>eff[0][0]=0.1559;</v>
      </c>
      <c r="K274" s="29" t="str">
        <f t="shared" ref="K274:K285" si="33">O260&amp;TEXT(ROUND(P260,4),"0.0000")&amp;Q260</f>
        <v>efferr[0][0]=0.0008;</v>
      </c>
      <c r="U274" s="29" t="str">
        <f t="shared" ref="U274:U285" si="34">S260&amp;T260&amp;U260</f>
        <v>energy[0][0]=122;</v>
      </c>
      <c r="V274" s="29" t="str">
        <f t="shared" ref="V274:V285" si="35">V260&amp;W260&amp;X260</f>
        <v>energyerr[0][0]=0.0003;</v>
      </c>
      <c r="W274" s="29" t="str">
        <f t="shared" ref="W274:W285" si="36">Y260&amp;TEXT(ROUND(Z260,4),"0.0000")&amp;AA260</f>
        <v>eff[0][0]=1.9283;</v>
      </c>
      <c r="X274" s="29" t="str">
        <f t="shared" ref="X274:X285" si="37">AB260&amp;TEXT(ROUND(AC260,4),"0.0000")&amp;AD260</f>
        <v>efferr[0][0]=0.0089;</v>
      </c>
      <c r="AF274" s="91"/>
      <c r="AG274" s="91"/>
      <c r="AH274" s="26" t="str">
        <f t="shared" ref="AH274:AH285" si="38">AF260&amp;AG260&amp;AH260</f>
        <v>energy[0][0]=122;</v>
      </c>
      <c r="AI274" s="26" t="str">
        <f t="shared" ref="AI274:AI285" si="39">AI260&amp;AJ260&amp;AK260</f>
        <v>energyerr[0][0]=0.0003;</v>
      </c>
      <c r="AJ274" s="26" t="str">
        <f t="shared" ref="AJ274:AJ285" si="40">AL260&amp;TEXT(ROUND(AM260,4),"0.0000")&amp;AN260</f>
        <v>eff[0][0]=12.3669;</v>
      </c>
      <c r="AK274" s="26" t="str">
        <f t="shared" ref="AK274:AK285" si="41">AO260&amp;TEXT(ROUND(AP260,4),"0.0000")&amp;AQ260</f>
        <v>efferr[0][0]=0.0850;</v>
      </c>
      <c r="AL274" s="91"/>
      <c r="AM274" s="91"/>
      <c r="AN274" s="91"/>
      <c r="AO274" s="91"/>
      <c r="AP274" s="91"/>
      <c r="AQ274" s="91"/>
    </row>
    <row r="275" spans="1:43">
      <c r="H275" s="29" t="str">
        <f t="shared" si="30"/>
        <v>energy[0][1]=245;</v>
      </c>
      <c r="I275" s="29" t="str">
        <f t="shared" si="31"/>
        <v>energyerr[0][1]=0.0008;</v>
      </c>
      <c r="J275" s="29" t="str">
        <f t="shared" si="32"/>
        <v>eff[0][1]=0.1364;</v>
      </c>
      <c r="K275" s="29" t="str">
        <f t="shared" si="33"/>
        <v>efferr[0][1]=0.0009;</v>
      </c>
      <c r="U275" s="29" t="str">
        <f t="shared" si="34"/>
        <v>energy[0][1]=245;</v>
      </c>
      <c r="V275" s="29" t="str">
        <f t="shared" si="35"/>
        <v>energyerr[0][1]=0.0008;</v>
      </c>
      <c r="W275" s="29" t="str">
        <f t="shared" si="36"/>
        <v>eff[0][1]=1.4213;</v>
      </c>
      <c r="X275" s="29" t="str">
        <f t="shared" si="37"/>
        <v>efferr[0][1]=0.0078;</v>
      </c>
      <c r="AF275" s="91"/>
      <c r="AG275" s="91"/>
      <c r="AH275" s="26" t="str">
        <f t="shared" si="38"/>
        <v>energy[0][0]=245;</v>
      </c>
      <c r="AI275" s="26" t="str">
        <f t="shared" si="39"/>
        <v>energyerr[0][0]=0.0008;</v>
      </c>
      <c r="AJ275" s="26" t="str">
        <f t="shared" si="40"/>
        <v>eff[0][0]=10.4214;</v>
      </c>
      <c r="AK275" s="26" t="str">
        <f t="shared" si="41"/>
        <v>efferr[0][0]=0.0899;</v>
      </c>
      <c r="AL275" s="91"/>
      <c r="AM275" s="91"/>
      <c r="AN275" s="91"/>
      <c r="AO275" s="91"/>
      <c r="AP275" s="91"/>
      <c r="AQ275" s="91"/>
    </row>
    <row r="276" spans="1:43">
      <c r="H276" s="29" t="str">
        <f t="shared" si="30"/>
        <v>energy[0][2]=344;</v>
      </c>
      <c r="I276" s="29" t="str">
        <f t="shared" si="31"/>
        <v>energyerr[0][2]=0.0012;</v>
      </c>
      <c r="J276" s="29" t="str">
        <f t="shared" si="32"/>
        <v>eff[0][2]=0.1081;</v>
      </c>
      <c r="K276" s="29" t="str">
        <f t="shared" si="33"/>
        <v>efferr[0][2]=0.0006;</v>
      </c>
      <c r="U276" s="29" t="str">
        <f t="shared" si="34"/>
        <v>energy[0][2]=344;</v>
      </c>
      <c r="V276" s="29" t="str">
        <f t="shared" si="35"/>
        <v>energyerr[0][2]=0.0012;</v>
      </c>
      <c r="W276" s="29" t="str">
        <f t="shared" si="36"/>
        <v>eff[0][2]=1.1347;</v>
      </c>
      <c r="X276" s="29" t="str">
        <f t="shared" si="37"/>
        <v>efferr[0][2]=0.0052;</v>
      </c>
      <c r="AF276" s="91"/>
      <c r="AG276" s="91"/>
      <c r="AH276" s="26" t="str">
        <f t="shared" si="38"/>
        <v>energy[0][1]=344;</v>
      </c>
      <c r="AI276" s="26" t="str">
        <f t="shared" si="39"/>
        <v>energyerr[0][1]=0.0012;</v>
      </c>
      <c r="AJ276" s="26" t="str">
        <f t="shared" si="40"/>
        <v>eff[0][1]=10.4950;</v>
      </c>
      <c r="AK276" s="26" t="str">
        <f t="shared" si="41"/>
        <v>efferr[0][1]=0.0735;</v>
      </c>
      <c r="AL276" s="91"/>
      <c r="AM276" s="91"/>
      <c r="AN276" s="91"/>
      <c r="AO276" s="91"/>
      <c r="AP276" s="91"/>
      <c r="AQ276" s="91"/>
    </row>
    <row r="277" spans="1:43">
      <c r="H277" s="29" t="str">
        <f t="shared" si="30"/>
        <v>energy[0][3]=411;</v>
      </c>
      <c r="I277" s="29" t="str">
        <f t="shared" si="31"/>
        <v>energyerr[0][3]=0.0012;</v>
      </c>
      <c r="J277" s="29" t="str">
        <f t="shared" si="32"/>
        <v>eff[0][3]=0.0946;</v>
      </c>
      <c r="K277" s="29" t="str">
        <f t="shared" si="33"/>
        <v>efferr[0][3]=0.0012;</v>
      </c>
      <c r="U277" s="29" t="str">
        <f t="shared" si="34"/>
        <v>energy[0][3]=411;</v>
      </c>
      <c r="V277" s="29" t="str">
        <f t="shared" si="35"/>
        <v>energyerr[0][3]=0.0012;</v>
      </c>
      <c r="W277" s="29" t="str">
        <f t="shared" si="36"/>
        <v>eff[0][3]=0.9580;</v>
      </c>
      <c r="X277" s="29" t="str">
        <f t="shared" si="37"/>
        <v>efferr[0][3]=0.0052;</v>
      </c>
      <c r="AF277" s="91"/>
      <c r="AG277" s="91"/>
      <c r="AH277" s="26" t="str">
        <f t="shared" si="38"/>
        <v>energy[0][2]=411;</v>
      </c>
      <c r="AI277" s="26" t="str">
        <f t="shared" si="39"/>
        <v>energyerr[0][2]=0.0012;</v>
      </c>
      <c r="AJ277" s="26" t="str">
        <f t="shared" si="40"/>
        <v>eff[0][2]=10.1285;</v>
      </c>
      <c r="AK277" s="26" t="str">
        <f t="shared" si="41"/>
        <v>efferr[0][2]=0.1354;</v>
      </c>
      <c r="AL277" s="91"/>
      <c r="AM277" s="91"/>
      <c r="AN277" s="91"/>
      <c r="AO277" s="91"/>
      <c r="AP277" s="91"/>
      <c r="AQ277" s="91"/>
    </row>
    <row r="278" spans="1:43">
      <c r="H278" s="29" t="str">
        <f t="shared" si="30"/>
        <v>energy[0][4]=444;</v>
      </c>
      <c r="I278" s="29" t="str">
        <f t="shared" si="31"/>
        <v>energyerr[0][4]=0.003;</v>
      </c>
      <c r="J278" s="29" t="str">
        <f t="shared" si="32"/>
        <v>eff[0][4]=0.0889;</v>
      </c>
      <c r="K278" s="29" t="str">
        <f t="shared" si="33"/>
        <v>efferr[0][4]=0.0009;</v>
      </c>
      <c r="U278" s="29" t="str">
        <f t="shared" si="34"/>
        <v>energy[0][4]=444;</v>
      </c>
      <c r="V278" s="29" t="str">
        <f t="shared" si="35"/>
        <v>energyerr[0][4]=0.003;</v>
      </c>
      <c r="W278" s="29" t="str">
        <f t="shared" si="36"/>
        <v>eff[0][4]=0.9476;</v>
      </c>
      <c r="X278" s="29" t="str">
        <f t="shared" si="37"/>
        <v>efferr[0][4]=0.0049;</v>
      </c>
      <c r="AF278" s="91"/>
      <c r="AG278" s="91"/>
      <c r="AH278" s="26" t="str">
        <f t="shared" si="38"/>
        <v>energy[0][3]=444;</v>
      </c>
      <c r="AI278" s="26" t="str">
        <f t="shared" si="39"/>
        <v>energyerr[0][3]=0.003;</v>
      </c>
      <c r="AJ278" s="26" t="str">
        <f t="shared" si="40"/>
        <v>eff[0][3]=10.6651;</v>
      </c>
      <c r="AK278" s="26" t="str">
        <f t="shared" si="41"/>
        <v>efferr[0][3]=0.1253;</v>
      </c>
      <c r="AL278" s="91"/>
      <c r="AM278" s="91"/>
      <c r="AN278" s="91"/>
      <c r="AO278" s="91"/>
      <c r="AP278" s="91"/>
      <c r="AQ278" s="91"/>
    </row>
    <row r="279" spans="1:43">
      <c r="H279" s="29" t="str">
        <f t="shared" si="30"/>
        <v>energy[0][5]=779;</v>
      </c>
      <c r="I279" s="29" t="str">
        <f t="shared" si="31"/>
        <v>energyerr[0][5]=0.0024;</v>
      </c>
      <c r="J279" s="29" t="str">
        <f t="shared" si="32"/>
        <v>eff[0][5]=0.0613;</v>
      </c>
      <c r="K279" s="29" t="str">
        <f t="shared" si="33"/>
        <v>efferr[0][5]=0.0004;</v>
      </c>
      <c r="U279" s="29" t="str">
        <f t="shared" si="34"/>
        <v>energy[0][5]=779;</v>
      </c>
      <c r="V279" s="29" t="str">
        <f t="shared" si="35"/>
        <v>energyerr[0][5]=0.0024;</v>
      </c>
      <c r="W279" s="29" t="str">
        <f t="shared" si="36"/>
        <v>eff[0][5]=0.6433;</v>
      </c>
      <c r="X279" s="29" t="str">
        <f t="shared" si="37"/>
        <v>efferr[0][5]=0.0031;</v>
      </c>
      <c r="AF279" s="91"/>
      <c r="AG279" s="91"/>
      <c r="AH279" s="26" t="str">
        <f t="shared" si="38"/>
        <v>energy[0][4]=779;</v>
      </c>
      <c r="AI279" s="26" t="str">
        <f t="shared" si="39"/>
        <v>energyerr[0][4]=0.0024;</v>
      </c>
      <c r="AJ279" s="26" t="str">
        <f t="shared" si="40"/>
        <v>eff[0][4]=10.5015;</v>
      </c>
      <c r="AK279" s="26" t="str">
        <f t="shared" si="41"/>
        <v>efferr[0][4]=0.0886;</v>
      </c>
      <c r="AL279" s="91"/>
      <c r="AM279" s="91"/>
      <c r="AN279" s="91"/>
      <c r="AO279" s="91"/>
      <c r="AP279" s="91"/>
      <c r="AQ279" s="91"/>
    </row>
    <row r="280" spans="1:43">
      <c r="H280" s="29" t="str">
        <f t="shared" si="30"/>
        <v>energy[0][6]=867;</v>
      </c>
      <c r="I280" s="29" t="str">
        <f t="shared" si="31"/>
        <v>energyerr[0][6]=0.003;</v>
      </c>
      <c r="J280" s="29" t="str">
        <f t="shared" si="32"/>
        <v>eff[0][6]=0.0565;</v>
      </c>
      <c r="K280" s="29" t="str">
        <f t="shared" si="33"/>
        <v>efferr[0][6]=0.0006;</v>
      </c>
      <c r="U280" s="29" t="str">
        <f t="shared" si="34"/>
        <v>energy[0][6]=867;</v>
      </c>
      <c r="V280" s="29" t="str">
        <f t="shared" si="35"/>
        <v>energyerr[0][6]=0.003;</v>
      </c>
      <c r="W280" s="29" t="str">
        <f t="shared" si="36"/>
        <v>eff[0][6]=0.5859;</v>
      </c>
      <c r="X280" s="29" t="str">
        <f t="shared" si="37"/>
        <v>efferr[0][6]=0.0036;</v>
      </c>
      <c r="AF280" s="91"/>
      <c r="AG280" s="91"/>
      <c r="AH280" s="26" t="str">
        <f t="shared" si="38"/>
        <v>energy[0][5]=867;</v>
      </c>
      <c r="AI280" s="26" t="str">
        <f t="shared" si="39"/>
        <v>energyerr[0][5]=0.003;</v>
      </c>
      <c r="AJ280" s="26" t="str">
        <f t="shared" si="40"/>
        <v>eff[0][5]=10.3777;</v>
      </c>
      <c r="AK280" s="26" t="str">
        <f t="shared" si="41"/>
        <v>efferr[0][5]=0.1313;</v>
      </c>
      <c r="AL280" s="91"/>
      <c r="AM280" s="91"/>
      <c r="AN280" s="91"/>
      <c r="AO280" s="91"/>
      <c r="AP280" s="91"/>
      <c r="AQ280" s="91"/>
    </row>
    <row r="281" spans="1:43">
      <c r="H281" s="29" t="str">
        <f t="shared" si="30"/>
        <v>energy[0][7]=964;</v>
      </c>
      <c r="I281" s="29" t="str">
        <f t="shared" si="31"/>
        <v>energyerr[0][7]=0.018;</v>
      </c>
      <c r="J281" s="29" t="str">
        <f t="shared" si="32"/>
        <v>eff[0][7]=0.0530;</v>
      </c>
      <c r="K281" s="29" t="str">
        <f t="shared" si="33"/>
        <v>efferr[0][7]=0.0004;</v>
      </c>
      <c r="U281" s="29" t="str">
        <f t="shared" si="34"/>
        <v>energy[0][7]=964;</v>
      </c>
      <c r="V281" s="29" t="str">
        <f t="shared" si="35"/>
        <v>energyerr[0][7]=0.018;</v>
      </c>
      <c r="W281" s="29" t="str">
        <f t="shared" si="36"/>
        <v>eff[0][7]=0.5602;</v>
      </c>
      <c r="X281" s="29" t="str">
        <f t="shared" si="37"/>
        <v>efferr[0][7]=0.0024;</v>
      </c>
      <c r="AF281" s="91"/>
      <c r="AG281" s="91"/>
      <c r="AH281" s="26" t="str">
        <f t="shared" si="38"/>
        <v>energy[0][6]=964;</v>
      </c>
      <c r="AI281" s="26" t="str">
        <f t="shared" si="39"/>
        <v>energyerr[0][6]=0.018;</v>
      </c>
      <c r="AJ281" s="26" t="str">
        <f t="shared" si="40"/>
        <v>eff[0][6]=10.5787;</v>
      </c>
      <c r="AK281" s="26" t="str">
        <f t="shared" si="41"/>
        <v>efferr[0][6]=0.0862;</v>
      </c>
      <c r="AL281" s="91"/>
      <c r="AM281" s="91"/>
      <c r="AN281" s="91"/>
      <c r="AO281" s="91"/>
      <c r="AP281" s="91"/>
      <c r="AQ281" s="91"/>
    </row>
    <row r="282" spans="1:43">
      <c r="H282" s="29" t="str">
        <f t="shared" si="30"/>
        <v>energy[0][8]=1112;</v>
      </c>
      <c r="I282" s="29" t="str">
        <f t="shared" si="31"/>
        <v>energyerr[0][8]=0.003;</v>
      </c>
      <c r="J282" s="29" t="str">
        <f t="shared" si="32"/>
        <v>eff[0][8]=0.0491;</v>
      </c>
      <c r="K282" s="29" t="str">
        <f t="shared" si="33"/>
        <v>efferr[0][8]=0.0004;</v>
      </c>
      <c r="U282" s="29" t="str">
        <f t="shared" si="34"/>
        <v>energy[0][8]=1112;</v>
      </c>
      <c r="V282" s="29" t="str">
        <f t="shared" si="35"/>
        <v>energyerr[0][8]=0.003;</v>
      </c>
      <c r="W282" s="29" t="str">
        <f t="shared" si="36"/>
        <v>eff[0][8]=0.5279;</v>
      </c>
      <c r="X282" s="29" t="str">
        <f t="shared" si="37"/>
        <v>efferr[0][8]=0.0025;</v>
      </c>
      <c r="AF282" s="91"/>
      <c r="AG282" s="91"/>
      <c r="AH282" s="26" t="str">
        <f t="shared" si="38"/>
        <v>energy[0][7]=1112;</v>
      </c>
      <c r="AI282" s="26" t="str">
        <f t="shared" si="39"/>
        <v>energyerr[0][7]=0.003;</v>
      </c>
      <c r="AJ282" s="26" t="str">
        <f t="shared" si="40"/>
        <v>eff[0][7]=10.7457;</v>
      </c>
      <c r="AK282" s="26" t="str">
        <f t="shared" si="41"/>
        <v>efferr[0][7]=0.0929;</v>
      </c>
      <c r="AL282" s="91"/>
      <c r="AM282" s="91"/>
      <c r="AN282" s="91"/>
      <c r="AO282" s="91"/>
      <c r="AP282" s="91"/>
      <c r="AQ282" s="91"/>
    </row>
    <row r="283" spans="1:43">
      <c r="H283" s="29" t="str">
        <f t="shared" si="30"/>
        <v>energy[0][9]=1213;</v>
      </c>
      <c r="I283" s="29" t="str">
        <f t="shared" si="31"/>
        <v>energyerr[0][9]=0.0011;</v>
      </c>
      <c r="J283" s="29" t="str">
        <f t="shared" si="32"/>
        <v>eff[0][9]=0.0447;</v>
      </c>
      <c r="K283" s="29" t="str">
        <f t="shared" si="33"/>
        <v>efferr[0][9]=0.0009;</v>
      </c>
      <c r="U283" s="29" t="str">
        <f t="shared" si="34"/>
        <v>energy[0][9]=1213;</v>
      </c>
      <c r="V283" s="29" t="str">
        <f t="shared" si="35"/>
        <v>energyerr[0][9]=0.0011;</v>
      </c>
      <c r="W283" s="29" t="str">
        <f t="shared" si="36"/>
        <v>eff[0][9]=0.4695;</v>
      </c>
      <c r="X283" s="29" t="str">
        <f t="shared" si="37"/>
        <v>efferr[0][9]=0.0042;</v>
      </c>
      <c r="AF283" s="91"/>
      <c r="AG283" s="91"/>
      <c r="AH283" s="26" t="str">
        <f t="shared" si="38"/>
        <v>energy[0][8]=1213;</v>
      </c>
      <c r="AI283" s="26" t="str">
        <f t="shared" si="39"/>
        <v>energyerr[0][8]=0.0011;</v>
      </c>
      <c r="AJ283" s="26" t="str">
        <f t="shared" si="40"/>
        <v>eff[0][8]=10.5078;</v>
      </c>
      <c r="AK283" s="26" t="str">
        <f t="shared" si="41"/>
        <v>efferr[0][8]=0.2408;</v>
      </c>
      <c r="AL283" s="91"/>
      <c r="AM283" s="91"/>
      <c r="AN283" s="91"/>
      <c r="AO283" s="91"/>
      <c r="AP283" s="91"/>
      <c r="AQ283" s="91"/>
    </row>
    <row r="284" spans="1:43">
      <c r="H284" s="29" t="str">
        <f t="shared" si="30"/>
        <v>energy[0][10]=1299;</v>
      </c>
      <c r="I284" s="29" t="str">
        <f t="shared" si="31"/>
        <v>energyerr[0][10]=0.008;</v>
      </c>
      <c r="J284" s="29" t="str">
        <f t="shared" si="32"/>
        <v>eff[0][10]=0.0437;</v>
      </c>
      <c r="K284" s="29" t="str">
        <f t="shared" si="33"/>
        <v>efferr[0][10]=0.0008;</v>
      </c>
      <c r="U284" s="29" t="str">
        <f t="shared" si="34"/>
        <v>energy[0][10]=1299;</v>
      </c>
      <c r="V284" s="29" t="str">
        <f t="shared" si="35"/>
        <v>energyerr[0][10]=0.008;</v>
      </c>
      <c r="W284" s="29" t="str">
        <f t="shared" si="36"/>
        <v>eff[0][10]=0.4318;</v>
      </c>
      <c r="X284" s="29" t="str">
        <f t="shared" si="37"/>
        <v>efferr[0][10]=0.0032;</v>
      </c>
      <c r="AF284" s="91"/>
      <c r="AG284" s="91"/>
      <c r="AH284" s="26" t="str">
        <f t="shared" si="38"/>
        <v>energy[0][9]=1299;</v>
      </c>
      <c r="AI284" s="26" t="str">
        <f t="shared" si="39"/>
        <v>energyerr[0][9]=0.008;</v>
      </c>
      <c r="AJ284" s="26" t="str">
        <f t="shared" si="40"/>
        <v>eff[0][9]=9.8884;</v>
      </c>
      <c r="AK284" s="26" t="str">
        <f t="shared" si="41"/>
        <v>efferr[0][9]=0.1929;</v>
      </c>
      <c r="AL284" s="91"/>
      <c r="AM284" s="91"/>
      <c r="AN284" s="91"/>
      <c r="AO284" s="91"/>
      <c r="AP284" s="91"/>
      <c r="AQ284" s="91"/>
    </row>
    <row r="285" spans="1:43">
      <c r="H285" s="29" t="str">
        <f t="shared" si="30"/>
        <v>energy[0][11]=1408;</v>
      </c>
      <c r="I285" s="29" t="str">
        <f t="shared" si="31"/>
        <v>energyerr[0][11]=0.003;</v>
      </c>
      <c r="J285" s="29" t="str">
        <f t="shared" si="32"/>
        <v>eff[0][11]=0.0413;</v>
      </c>
      <c r="K285" s="29" t="str">
        <f t="shared" si="33"/>
        <v>efferr[0][11]=0.0003;</v>
      </c>
      <c r="U285" s="29" t="str">
        <f t="shared" si="34"/>
        <v>energy[0][11]=1408;</v>
      </c>
      <c r="V285" s="29" t="str">
        <f t="shared" si="35"/>
        <v>energyerr[0][11]=0.003;</v>
      </c>
      <c r="W285" s="29" t="str">
        <f t="shared" si="36"/>
        <v>eff[0][11]=0.4375;</v>
      </c>
      <c r="X285" s="29" t="str">
        <f t="shared" si="37"/>
        <v>efferr[0][11]=0.0019;</v>
      </c>
      <c r="AF285" s="91"/>
      <c r="AG285" s="91"/>
      <c r="AH285" s="26" t="str">
        <f t="shared" si="38"/>
        <v>energy[0][10]=1408;</v>
      </c>
      <c r="AI285" s="26" t="str">
        <f t="shared" si="39"/>
        <v>energyerr[0][10]=0.003;</v>
      </c>
      <c r="AJ285" s="26" t="str">
        <f t="shared" si="40"/>
        <v>eff[0][10]=10.6032;</v>
      </c>
      <c r="AK285" s="26" t="str">
        <f t="shared" si="41"/>
        <v>efferr[0][10]=0.0849;</v>
      </c>
      <c r="AL285" s="91"/>
      <c r="AM285" s="91"/>
      <c r="AN285" s="91"/>
      <c r="AO285" s="91"/>
      <c r="AP285" s="91"/>
      <c r="AQ285" s="91"/>
    </row>
    <row r="287" spans="1:43">
      <c r="G287" s="91" t="s">
        <v>162</v>
      </c>
      <c r="J287" s="91" t="s">
        <v>165</v>
      </c>
    </row>
    <row r="288" spans="1:43">
      <c r="G288" s="72" t="s">
        <v>7</v>
      </c>
      <c r="H288" s="72" t="s">
        <v>134</v>
      </c>
      <c r="I288" s="72"/>
      <c r="J288" s="72"/>
      <c r="K288" s="72"/>
      <c r="L288" s="72"/>
    </row>
    <row r="289" spans="7:12">
      <c r="G289" s="72" t="s">
        <v>135</v>
      </c>
      <c r="H289" s="72">
        <v>4.8726351000000001E-4</v>
      </c>
      <c r="I289" s="72" t="s">
        <v>4</v>
      </c>
      <c r="J289" s="98">
        <v>2.4592690000000001E-7</v>
      </c>
      <c r="K289" s="72"/>
      <c r="L289" s="72"/>
    </row>
    <row r="290" spans="7:12">
      <c r="G290" s="72" t="s">
        <v>136</v>
      </c>
      <c r="H290" s="72">
        <v>-1.1849518999999999E-2</v>
      </c>
      <c r="I290" s="72" t="s">
        <v>4</v>
      </c>
      <c r="J290" s="98">
        <v>1.9679939999999999E-6</v>
      </c>
      <c r="K290" s="72"/>
      <c r="L290" s="72"/>
    </row>
    <row r="291" spans="7:12">
      <c r="G291" s="72" t="s">
        <v>137</v>
      </c>
      <c r="H291" s="72">
        <v>0.11877335999999999</v>
      </c>
      <c r="I291" s="72" t="s">
        <v>4</v>
      </c>
      <c r="J291" s="98">
        <v>1.408054E-5</v>
      </c>
      <c r="K291" s="72"/>
      <c r="L291" s="72"/>
    </row>
    <row r="292" spans="7:12">
      <c r="G292" s="72" t="s">
        <v>138</v>
      </c>
      <c r="H292" s="72">
        <v>-0.61313810000000002</v>
      </c>
      <c r="I292" s="72" t="s">
        <v>4</v>
      </c>
      <c r="J292" s="98">
        <v>9.4024207000000006E-5</v>
      </c>
      <c r="K292" s="72"/>
      <c r="L292" s="72"/>
    </row>
    <row r="293" spans="7:12">
      <c r="G293" s="72" t="s">
        <v>139</v>
      </c>
      <c r="H293" s="72">
        <v>1.335764</v>
      </c>
      <c r="I293" s="72" t="s">
        <v>4</v>
      </c>
      <c r="J293" s="98">
        <v>6.0392072000000003E-4</v>
      </c>
      <c r="K293" s="72"/>
      <c r="L293" s="72"/>
    </row>
    <row r="294" spans="7:12">
      <c r="G294" s="72" t="s">
        <v>8</v>
      </c>
      <c r="H294" s="72">
        <v>0.95942945000000002</v>
      </c>
      <c r="I294" s="72" t="s">
        <v>4</v>
      </c>
      <c r="J294" s="98">
        <v>3.6628791E-3</v>
      </c>
      <c r="K294" s="72"/>
      <c r="L294" s="72"/>
    </row>
    <row r="295" spans="7:12">
      <c r="G295" s="72" t="s">
        <v>9</v>
      </c>
      <c r="H295" s="72">
        <v>-8.2424133000000008</v>
      </c>
      <c r="I295" s="72" t="s">
        <v>4</v>
      </c>
      <c r="J295" s="98">
        <v>1.691285E-2</v>
      </c>
      <c r="K295" s="72"/>
      <c r="L295" s="72"/>
    </row>
    <row r="296" spans="7:12">
      <c r="G296" s="72" t="s">
        <v>10</v>
      </c>
      <c r="H296" s="72">
        <v>88.677663999999993</v>
      </c>
      <c r="I296" s="72" t="s">
        <v>11</v>
      </c>
      <c r="J296" s="72">
        <v>5</v>
      </c>
      <c r="K296" s="72" t="s">
        <v>12</v>
      </c>
      <c r="L296" s="99">
        <v>1.2736139000000001E-17</v>
      </c>
    </row>
    <row r="298" spans="7:12">
      <c r="G298" s="68" t="s">
        <v>140</v>
      </c>
      <c r="H298" s="68">
        <f>H289</f>
        <v>4.8726351000000001E-4</v>
      </c>
      <c r="I298" s="68" t="s">
        <v>97</v>
      </c>
      <c r="J298" s="68" t="s">
        <v>153</v>
      </c>
      <c r="K298" s="96">
        <f>J289</f>
        <v>2.4592690000000001E-7</v>
      </c>
      <c r="L298" s="68" t="s">
        <v>97</v>
      </c>
    </row>
    <row r="299" spans="7:12">
      <c r="G299" s="68" t="s">
        <v>141</v>
      </c>
      <c r="H299" s="68">
        <f t="shared" ref="H299:H304" si="42">H290</f>
        <v>-1.1849518999999999E-2</v>
      </c>
      <c r="I299" s="68" t="s">
        <v>97</v>
      </c>
      <c r="J299" s="68" t="s">
        <v>147</v>
      </c>
      <c r="K299" s="96">
        <f t="shared" ref="K299:K304" si="43">J290</f>
        <v>1.9679939999999999E-6</v>
      </c>
      <c r="L299" s="68" t="s">
        <v>97</v>
      </c>
    </row>
    <row r="300" spans="7:12">
      <c r="G300" s="68" t="s">
        <v>142</v>
      </c>
      <c r="H300" s="68">
        <f t="shared" si="42"/>
        <v>0.11877335999999999</v>
      </c>
      <c r="I300" s="68" t="s">
        <v>97</v>
      </c>
      <c r="J300" s="68" t="s">
        <v>148</v>
      </c>
      <c r="K300" s="96">
        <f t="shared" si="43"/>
        <v>1.408054E-5</v>
      </c>
      <c r="L300" s="68" t="s">
        <v>97</v>
      </c>
    </row>
    <row r="301" spans="7:12">
      <c r="G301" s="68" t="s">
        <v>143</v>
      </c>
      <c r="H301" s="68">
        <f t="shared" si="42"/>
        <v>-0.61313810000000002</v>
      </c>
      <c r="I301" s="68" t="s">
        <v>97</v>
      </c>
      <c r="J301" s="68" t="s">
        <v>149</v>
      </c>
      <c r="K301" s="96">
        <f t="shared" si="43"/>
        <v>9.4024207000000006E-5</v>
      </c>
      <c r="L301" s="68" t="s">
        <v>97</v>
      </c>
    </row>
    <row r="302" spans="7:12">
      <c r="G302" s="68" t="s">
        <v>144</v>
      </c>
      <c r="H302" s="68">
        <f t="shared" si="42"/>
        <v>1.335764</v>
      </c>
      <c r="I302" s="68" t="s">
        <v>97</v>
      </c>
      <c r="J302" s="68" t="s">
        <v>150</v>
      </c>
      <c r="K302" s="96">
        <f t="shared" si="43"/>
        <v>6.0392072000000003E-4</v>
      </c>
      <c r="L302" s="68" t="s">
        <v>97</v>
      </c>
    </row>
    <row r="303" spans="7:12">
      <c r="G303" s="68" t="s">
        <v>145</v>
      </c>
      <c r="H303" s="68">
        <f t="shared" si="42"/>
        <v>0.95942945000000002</v>
      </c>
      <c r="I303" s="68" t="s">
        <v>97</v>
      </c>
      <c r="J303" s="68" t="s">
        <v>151</v>
      </c>
      <c r="K303" s="96">
        <f t="shared" si="43"/>
        <v>3.6628791E-3</v>
      </c>
      <c r="L303" s="68" t="s">
        <v>97</v>
      </c>
    </row>
    <row r="304" spans="7:12">
      <c r="G304" s="68" t="s">
        <v>146</v>
      </c>
      <c r="H304" s="68">
        <f t="shared" si="42"/>
        <v>-8.2424133000000008</v>
      </c>
      <c r="I304" s="68" t="s">
        <v>97</v>
      </c>
      <c r="J304" s="68" t="s">
        <v>152</v>
      </c>
      <c r="K304" s="96">
        <f t="shared" si="43"/>
        <v>1.691285E-2</v>
      </c>
      <c r="L304" s="68" t="s">
        <v>97</v>
      </c>
    </row>
    <row r="306" spans="7:9">
      <c r="G306" s="91" t="s">
        <v>164</v>
      </c>
    </row>
    <row r="307" spans="7:9">
      <c r="H307" s="29" t="str">
        <f>G298&amp;TEXT(ROUND(H298,8),"0.00000000")&amp;I298</f>
        <v>par[0][6]=0.00048726;</v>
      </c>
      <c r="I307" s="29" t="str">
        <f t="shared" ref="I307:I313" si="44">J298&amp;TEXT(ROUND(K298,8),"0.00000000")&amp;L298</f>
        <v>parerr[0][6]=0.00000025;</v>
      </c>
    </row>
    <row r="308" spans="7:9">
      <c r="H308" s="29" t="str">
        <f t="shared" ref="H308:H313" si="45">G299&amp;TEXT(ROUND(H299,8),"0.00000000")&amp;I299</f>
        <v>par[0][5]=-0.01184952;</v>
      </c>
      <c r="I308" s="29" t="str">
        <f t="shared" si="44"/>
        <v>parerr[0][5]=0.00000197;</v>
      </c>
    </row>
    <row r="309" spans="7:9">
      <c r="H309" s="29" t="str">
        <f t="shared" si="45"/>
        <v>par[0][4]=0.11877336;</v>
      </c>
      <c r="I309" s="29" t="str">
        <f t="shared" si="44"/>
        <v>parerr[0][4]=0.00001408;</v>
      </c>
    </row>
    <row r="310" spans="7:9">
      <c r="H310" s="29" t="str">
        <f t="shared" si="45"/>
        <v>par[0][3]=-0.61313810;</v>
      </c>
      <c r="I310" s="29" t="str">
        <f t="shared" si="44"/>
        <v>parerr[0][3]=0.00009402;</v>
      </c>
    </row>
    <row r="311" spans="7:9">
      <c r="H311" s="29" t="str">
        <f t="shared" si="45"/>
        <v>par[0][2]=1.33576400;</v>
      </c>
      <c r="I311" s="29" t="str">
        <f t="shared" si="44"/>
        <v>parerr[0][2]=0.00060392;</v>
      </c>
    </row>
    <row r="312" spans="7:9">
      <c r="H312" s="29" t="str">
        <f t="shared" si="45"/>
        <v>par[0][1]=0.95942945;</v>
      </c>
      <c r="I312" s="29" t="str">
        <f t="shared" si="44"/>
        <v>parerr[0][1]=0.00366288;</v>
      </c>
    </row>
    <row r="313" spans="7:9">
      <c r="H313" s="29" t="str">
        <f t="shared" si="45"/>
        <v>par[0][0]=-8.24241330;</v>
      </c>
      <c r="I313" s="29" t="str">
        <f t="shared" si="44"/>
        <v>parerr[0][0]=0.01691285;</v>
      </c>
    </row>
  </sheetData>
  <mergeCells count="15">
    <mergeCell ref="BM4:BP4"/>
    <mergeCell ref="BQ4:BT4"/>
    <mergeCell ref="BU4:BX4"/>
    <mergeCell ref="AO4:AR4"/>
    <mergeCell ref="AS4:AV4"/>
    <mergeCell ref="AW4:AZ4"/>
    <mergeCell ref="BA4:BD4"/>
    <mergeCell ref="BE4:BH4"/>
    <mergeCell ref="BI4:BL4"/>
    <mergeCell ref="AK4:AN4"/>
    <mergeCell ref="Q4:T4"/>
    <mergeCell ref="U4:X4"/>
    <mergeCell ref="Y4:AB4"/>
    <mergeCell ref="AC4:AF4"/>
    <mergeCell ref="AG4:AJ4"/>
  </mergeCells>
  <phoneticPr fontId="1" type="noConversion"/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705E2-F454-401D-8241-E5D3BD47AE4A}">
  <dimension ref="A2:CB313"/>
  <sheetViews>
    <sheetView workbookViewId="0"/>
  </sheetViews>
  <sheetFormatPr defaultColWidth="9" defaultRowHeight="13.2"/>
  <cols>
    <col min="1" max="3" width="9" style="104"/>
    <col min="4" max="4" width="9.77734375" style="104" bestFit="1" customWidth="1"/>
    <col min="5" max="5" width="7.88671875" style="104" bestFit="1" customWidth="1"/>
    <col min="6" max="6" width="12.6640625" style="104" bestFit="1" customWidth="1"/>
    <col min="7" max="7" width="9.88671875" style="104" customWidth="1"/>
    <col min="8" max="8" width="8.77734375" style="104" customWidth="1"/>
    <col min="9" max="9" width="9.77734375" style="104" customWidth="1"/>
    <col min="10" max="11" width="8.21875" style="104" customWidth="1"/>
    <col min="12" max="12" width="9.44140625" style="104" bestFit="1" customWidth="1"/>
    <col min="13" max="13" width="8.33203125" style="104" bestFit="1" customWidth="1"/>
    <col min="14" max="14" width="6" style="104" customWidth="1"/>
    <col min="15" max="15" width="11.77734375" style="104" bestFit="1" customWidth="1"/>
    <col min="16" max="16" width="7.33203125" style="104" customWidth="1"/>
    <col min="17" max="17" width="7.33203125" style="104" bestFit="1" customWidth="1"/>
    <col min="18" max="18" width="8.21875" style="104" bestFit="1" customWidth="1"/>
    <col min="19" max="19" width="10.21875" style="104" customWidth="1"/>
    <col min="20" max="20" width="7.88671875" style="104" bestFit="1" customWidth="1"/>
    <col min="21" max="21" width="6.33203125" style="104" customWidth="1"/>
    <col min="22" max="22" width="7" style="104" customWidth="1"/>
    <col min="23" max="23" width="7.6640625" style="104" customWidth="1"/>
    <col min="24" max="24" width="5.109375" style="104" customWidth="1"/>
    <col min="25" max="25" width="7" style="104" customWidth="1"/>
    <col min="26" max="26" width="8.77734375" style="104" bestFit="1" customWidth="1"/>
    <col min="27" max="27" width="7.88671875" style="104" bestFit="1" customWidth="1"/>
    <col min="28" max="28" width="7.33203125" style="104" bestFit="1" customWidth="1"/>
    <col min="29" max="29" width="6.77734375" style="104" bestFit="1" customWidth="1"/>
    <col min="30" max="30" width="8.21875" style="104" bestFit="1" customWidth="1"/>
    <col min="31" max="33" width="6.77734375" style="104" bestFit="1" customWidth="1"/>
    <col min="34" max="34" width="8.21875" style="104" bestFit="1" customWidth="1"/>
    <col min="35" max="37" width="6.77734375" style="104" bestFit="1" customWidth="1"/>
    <col min="38" max="38" width="8.21875" style="104" bestFit="1" customWidth="1"/>
    <col min="39" max="41" width="6.77734375" style="104" bestFit="1" customWidth="1"/>
    <col min="42" max="42" width="8.21875" style="104" bestFit="1" customWidth="1"/>
    <col min="43" max="45" width="6.77734375" style="104" bestFit="1" customWidth="1"/>
    <col min="46" max="46" width="8.21875" style="104" bestFit="1" customWidth="1"/>
    <col min="47" max="49" width="6.77734375" style="104" bestFit="1" customWidth="1"/>
    <col min="50" max="50" width="8.21875" style="104" bestFit="1" customWidth="1"/>
    <col min="51" max="53" width="6.77734375" style="104" bestFit="1" customWidth="1"/>
    <col min="54" max="54" width="8.21875" style="104" bestFit="1" customWidth="1"/>
    <col min="55" max="57" width="6.77734375" style="104" bestFit="1" customWidth="1"/>
    <col min="58" max="58" width="8.21875" style="104" bestFit="1" customWidth="1"/>
    <col min="59" max="61" width="6.77734375" style="104" bestFit="1" customWidth="1"/>
    <col min="62" max="62" width="8.21875" style="104" bestFit="1" customWidth="1"/>
    <col min="63" max="65" width="6.77734375" style="104" bestFit="1" customWidth="1"/>
    <col min="66" max="66" width="8.21875" style="104" bestFit="1" customWidth="1"/>
    <col min="67" max="69" width="6.77734375" style="104" bestFit="1" customWidth="1"/>
    <col min="70" max="70" width="7.44140625" style="104" bestFit="1" customWidth="1"/>
    <col min="71" max="76" width="6.77734375" style="104" bestFit="1" customWidth="1"/>
    <col min="77" max="80" width="9" style="15"/>
    <col min="81" max="16384" width="9" style="104"/>
  </cols>
  <sheetData>
    <row r="2" spans="2:76">
      <c r="L2" s="104" t="s">
        <v>62</v>
      </c>
      <c r="M2" s="104">
        <f>1.088*37000</f>
        <v>40256</v>
      </c>
      <c r="N2" s="104" t="s">
        <v>63</v>
      </c>
    </row>
    <row r="3" spans="2:76">
      <c r="L3" s="11"/>
      <c r="M3" s="11"/>
      <c r="Q3" s="106"/>
      <c r="R3" s="106"/>
      <c r="S3" s="106"/>
      <c r="T3" s="106"/>
      <c r="U3" s="105"/>
      <c r="V3" s="105"/>
      <c r="W3" s="105"/>
      <c r="X3" s="105"/>
      <c r="Y3" s="106"/>
      <c r="Z3" s="106"/>
      <c r="AA3" s="106"/>
      <c r="AB3" s="106"/>
      <c r="AC3" s="105"/>
      <c r="AD3" s="105"/>
      <c r="AE3" s="105"/>
      <c r="AF3" s="105"/>
      <c r="AG3" s="106"/>
      <c r="AH3" s="106"/>
      <c r="AI3" s="106"/>
      <c r="AJ3" s="106"/>
      <c r="AK3" s="105"/>
      <c r="AL3" s="105"/>
      <c r="AM3" s="105"/>
      <c r="AN3" s="105"/>
      <c r="AO3" s="106"/>
      <c r="AP3" s="106"/>
      <c r="AQ3" s="106"/>
      <c r="AR3" s="106"/>
      <c r="AS3" s="105"/>
      <c r="AT3" s="105"/>
      <c r="AU3" s="105"/>
      <c r="AV3" s="105"/>
      <c r="AW3" s="106"/>
      <c r="AX3" s="106"/>
      <c r="AY3" s="106"/>
      <c r="AZ3" s="106"/>
      <c r="BA3" s="105"/>
      <c r="BB3" s="105"/>
      <c r="BC3" s="105"/>
      <c r="BD3" s="105"/>
      <c r="BE3" s="106"/>
      <c r="BF3" s="106"/>
      <c r="BG3" s="106"/>
      <c r="BH3" s="106"/>
      <c r="BI3" s="105"/>
      <c r="BJ3" s="105"/>
      <c r="BK3" s="105"/>
      <c r="BL3" s="105"/>
      <c r="BM3" s="106"/>
      <c r="BN3" s="106"/>
      <c r="BO3" s="106"/>
      <c r="BP3" s="106"/>
      <c r="BQ3" s="105"/>
      <c r="BR3" s="105"/>
      <c r="BS3" s="105"/>
      <c r="BT3" s="105"/>
      <c r="BU3" s="107"/>
      <c r="BV3" s="107"/>
      <c r="BW3" s="107"/>
      <c r="BX3" s="107"/>
    </row>
    <row r="4" spans="2:76">
      <c r="I4" s="100" t="s">
        <v>169</v>
      </c>
      <c r="J4" s="104" t="s">
        <v>42</v>
      </c>
      <c r="L4" s="11" t="s">
        <v>64</v>
      </c>
      <c r="M4" s="104">
        <v>3600</v>
      </c>
      <c r="N4" s="104" t="s">
        <v>22</v>
      </c>
      <c r="O4" s="104">
        <f>$M$2*M4</f>
        <v>144921600</v>
      </c>
      <c r="Q4" s="412" t="s">
        <v>45</v>
      </c>
      <c r="R4" s="412"/>
      <c r="S4" s="412"/>
      <c r="T4" s="412"/>
      <c r="U4" s="413" t="s">
        <v>46</v>
      </c>
      <c r="V4" s="413"/>
      <c r="W4" s="413"/>
      <c r="X4" s="413"/>
      <c r="Y4" s="412" t="s">
        <v>47</v>
      </c>
      <c r="Z4" s="412"/>
      <c r="AA4" s="412"/>
      <c r="AB4" s="412"/>
      <c r="AC4" s="413" t="s">
        <v>48</v>
      </c>
      <c r="AD4" s="413"/>
      <c r="AE4" s="413"/>
      <c r="AF4" s="413"/>
      <c r="AG4" s="412" t="s">
        <v>49</v>
      </c>
      <c r="AH4" s="412"/>
      <c r="AI4" s="412"/>
      <c r="AJ4" s="412"/>
      <c r="AK4" s="413" t="s">
        <v>50</v>
      </c>
      <c r="AL4" s="413"/>
      <c r="AM4" s="413"/>
      <c r="AN4" s="413"/>
      <c r="AO4" s="412" t="s">
        <v>51</v>
      </c>
      <c r="AP4" s="412"/>
      <c r="AQ4" s="412"/>
      <c r="AR4" s="412"/>
      <c r="AS4" s="413" t="s">
        <v>52</v>
      </c>
      <c r="AT4" s="413"/>
      <c r="AU4" s="413"/>
      <c r="AV4" s="413"/>
      <c r="AW4" s="412" t="s">
        <v>53</v>
      </c>
      <c r="AX4" s="412"/>
      <c r="AY4" s="412"/>
      <c r="AZ4" s="412"/>
      <c r="BA4" s="413" t="s">
        <v>54</v>
      </c>
      <c r="BB4" s="413"/>
      <c r="BC4" s="413"/>
      <c r="BD4" s="413"/>
      <c r="BE4" s="412" t="s">
        <v>55</v>
      </c>
      <c r="BF4" s="412"/>
      <c r="BG4" s="412"/>
      <c r="BH4" s="412"/>
      <c r="BI4" s="413" t="s">
        <v>56</v>
      </c>
      <c r="BJ4" s="413"/>
      <c r="BK4" s="413"/>
      <c r="BL4" s="413"/>
      <c r="BM4" s="412" t="s">
        <v>57</v>
      </c>
      <c r="BN4" s="412"/>
      <c r="BO4" s="412"/>
      <c r="BP4" s="412"/>
      <c r="BQ4" s="413" t="s">
        <v>58</v>
      </c>
      <c r="BR4" s="413"/>
      <c r="BS4" s="413"/>
      <c r="BT4" s="413"/>
      <c r="BU4" s="414" t="s">
        <v>60</v>
      </c>
      <c r="BV4" s="414"/>
      <c r="BW4" s="414"/>
      <c r="BX4" s="414"/>
    </row>
    <row r="5" spans="2:76">
      <c r="B5" s="104" t="s">
        <v>154</v>
      </c>
      <c r="C5" s="104" t="s">
        <v>154</v>
      </c>
      <c r="D5" s="104" t="s">
        <v>159</v>
      </c>
      <c r="E5" s="104" t="s">
        <v>158</v>
      </c>
      <c r="G5" s="104" t="s">
        <v>61</v>
      </c>
      <c r="I5" s="104" t="s">
        <v>40</v>
      </c>
      <c r="K5" s="104" t="s">
        <v>156</v>
      </c>
      <c r="L5" s="11"/>
      <c r="M5" s="101" t="s">
        <v>160</v>
      </c>
      <c r="N5" s="100"/>
      <c r="O5" s="104" t="s">
        <v>157</v>
      </c>
      <c r="Q5" s="106" t="s">
        <v>43</v>
      </c>
      <c r="R5" s="106"/>
      <c r="S5" s="106" t="s">
        <v>44</v>
      </c>
      <c r="T5" s="106"/>
      <c r="U5" s="105" t="s">
        <v>43</v>
      </c>
      <c r="V5" s="105"/>
      <c r="W5" s="105" t="s">
        <v>44</v>
      </c>
      <c r="X5" s="105"/>
      <c r="Y5" s="106"/>
      <c r="Z5" s="106"/>
      <c r="AA5" s="106"/>
      <c r="AB5" s="106"/>
      <c r="AC5" s="105"/>
      <c r="AD5" s="105"/>
      <c r="AE5" s="105"/>
      <c r="AF5" s="105"/>
      <c r="AG5" s="106"/>
      <c r="AH5" s="106"/>
      <c r="AI5" s="106"/>
      <c r="AJ5" s="106"/>
      <c r="AK5" s="105"/>
      <c r="AL5" s="105"/>
      <c r="AM5" s="105"/>
      <c r="AN5" s="105"/>
      <c r="AO5" s="106"/>
      <c r="AP5" s="106"/>
      <c r="AQ5" s="106"/>
      <c r="AR5" s="106"/>
      <c r="AS5" s="105" t="s">
        <v>43</v>
      </c>
      <c r="AT5" s="105">
        <v>8</v>
      </c>
      <c r="AU5" s="105" t="s">
        <v>44</v>
      </c>
      <c r="AV5" s="105"/>
      <c r="AW5" s="106"/>
      <c r="AX5" s="106"/>
      <c r="AY5" s="106"/>
      <c r="AZ5" s="106"/>
      <c r="BA5" s="105"/>
      <c r="BB5" s="105"/>
      <c r="BC5" s="105"/>
      <c r="BD5" s="105"/>
      <c r="BE5" s="106"/>
      <c r="BF5" s="106"/>
      <c r="BG5" s="106"/>
      <c r="BH5" s="106"/>
      <c r="BI5" s="105"/>
      <c r="BJ5" s="105"/>
      <c r="BK5" s="105"/>
      <c r="BL5" s="105"/>
      <c r="BM5" s="106"/>
      <c r="BN5" s="106"/>
      <c r="BO5" s="106"/>
      <c r="BP5" s="106"/>
      <c r="BQ5" s="105"/>
      <c r="BR5" s="105"/>
      <c r="BS5" s="105"/>
      <c r="BT5" s="105"/>
      <c r="BU5" s="107"/>
      <c r="BV5" s="107"/>
      <c r="BW5" s="107"/>
      <c r="BX5" s="107"/>
    </row>
    <row r="6" spans="2:76">
      <c r="B6" s="2">
        <f>SUM(B7,B10,B12,B13,B14,B15,B17)</f>
        <v>3328.9541168118758</v>
      </c>
      <c r="C6" s="69"/>
      <c r="E6" s="23">
        <f>F6</f>
        <v>0.20741768270424182</v>
      </c>
      <c r="F6" s="11">
        <f t="shared" ref="F6:F17" si="0">G6/G$18</f>
        <v>0.20741768270424182</v>
      </c>
      <c r="G6" s="104">
        <v>0.28410000000000002</v>
      </c>
      <c r="H6" s="104">
        <v>1.2999999999999999E-3</v>
      </c>
      <c r="I6" s="2">
        <v>121.7817</v>
      </c>
      <c r="J6" s="104">
        <v>2.9999999999999997E-4</v>
      </c>
      <c r="K6" s="2">
        <f>O6+B6+C6</f>
        <v>936558.95411681198</v>
      </c>
      <c r="L6" s="11">
        <f>SQRT(SUMSQ(T6,X6,AB6,AF6,AJ6,AN6,AR6,AV6,AZ6,BD6,BH6,BL6,BP6,BT6))</f>
        <v>1216.5665822428298</v>
      </c>
      <c r="M6" s="101">
        <f>K6/G6/O$4</f>
        <v>2.2747347723640135E-2</v>
      </c>
      <c r="N6" s="100">
        <f t="shared" ref="N6:N17" si="1">M6*SQRT((H6/G6)^2+(L6/O6)^2)</f>
        <v>1.0823012850945098E-4</v>
      </c>
      <c r="O6" s="104">
        <f t="shared" ref="O6:O17" si="2">SUM(S6,W6,AA6,AE6,AI6,AM6,AQ6,AU6,AY6,BC6,BG6,BK6,BO6,BS6)</f>
        <v>933230.00000000012</v>
      </c>
      <c r="Q6" s="106">
        <v>885.88400000000001</v>
      </c>
      <c r="R6" s="106">
        <v>0.121582</v>
      </c>
      <c r="S6" s="106">
        <v>96780</v>
      </c>
      <c r="T6" s="106">
        <v>370.30500000000001</v>
      </c>
      <c r="U6" s="105">
        <v>938.92100000000005</v>
      </c>
      <c r="V6" s="105">
        <v>0.15451200000000001</v>
      </c>
      <c r="W6" s="105">
        <v>93047.1</v>
      </c>
      <c r="X6" s="105">
        <v>363.05900000000003</v>
      </c>
      <c r="Y6" s="106">
        <v>875.83399999999995</v>
      </c>
      <c r="Z6" s="106">
        <v>0.14327500000000001</v>
      </c>
      <c r="AA6" s="106">
        <v>91837.3</v>
      </c>
      <c r="AB6" s="106">
        <v>378.923</v>
      </c>
      <c r="AC6" s="105">
        <v>893.42200000000003</v>
      </c>
      <c r="AD6" s="105">
        <v>0.157474</v>
      </c>
      <c r="AE6" s="105">
        <v>91507.199999999997</v>
      </c>
      <c r="AF6" s="105">
        <v>369.39299999999997</v>
      </c>
      <c r="AG6" s="106">
        <v>881.40099999999995</v>
      </c>
      <c r="AH6" s="106">
        <v>0.13891500000000001</v>
      </c>
      <c r="AI6" s="106">
        <v>96883.4</v>
      </c>
      <c r="AJ6" s="106">
        <v>380.24400000000003</v>
      </c>
      <c r="AK6" s="105">
        <v>880.63900000000001</v>
      </c>
      <c r="AL6" s="105">
        <v>0.159333</v>
      </c>
      <c r="AM6" s="105">
        <v>89088.8</v>
      </c>
      <c r="AN6" s="105">
        <v>375.37700000000001</v>
      </c>
      <c r="AO6" s="106">
        <v>869.11400000000003</v>
      </c>
      <c r="AP6" s="106">
        <v>0.15429300000000001</v>
      </c>
      <c r="AQ6" s="106">
        <v>92520.5</v>
      </c>
      <c r="AR6" s="106">
        <v>395.91</v>
      </c>
      <c r="AS6" s="105">
        <v>1282.57</v>
      </c>
      <c r="AT6" s="105">
        <v>0.196742</v>
      </c>
      <c r="AU6" s="105">
        <v>94977.3</v>
      </c>
      <c r="AV6" s="105">
        <v>390.67500000000001</v>
      </c>
      <c r="AW6" s="106">
        <v>857.00699999999995</v>
      </c>
      <c r="AX6" s="106">
        <v>0.229631</v>
      </c>
      <c r="AY6" s="106">
        <v>30615.8</v>
      </c>
      <c r="AZ6" s="106">
        <v>220.447</v>
      </c>
      <c r="BA6" s="105">
        <v>828.20299999999997</v>
      </c>
      <c r="BB6" s="105">
        <v>0.311724</v>
      </c>
      <c r="BC6" s="105">
        <v>32739</v>
      </c>
      <c r="BD6" s="105">
        <v>223.499</v>
      </c>
      <c r="BE6" s="106">
        <v>857.62099999999998</v>
      </c>
      <c r="BF6" s="106">
        <v>0.95848900000000004</v>
      </c>
      <c r="BG6" s="106">
        <v>30152.5</v>
      </c>
      <c r="BH6" s="106">
        <v>261.62900000000002</v>
      </c>
      <c r="BI6" s="105">
        <v>907.79200000000003</v>
      </c>
      <c r="BJ6" s="105">
        <v>0.33201700000000001</v>
      </c>
      <c r="BK6" s="105">
        <v>32820</v>
      </c>
      <c r="BL6" s="105">
        <v>231.10300000000001</v>
      </c>
      <c r="BM6" s="106">
        <v>845.76900000000001</v>
      </c>
      <c r="BN6" s="106">
        <v>0.440106</v>
      </c>
      <c r="BO6" s="106">
        <v>28607.7</v>
      </c>
      <c r="BP6" s="106">
        <v>225.24</v>
      </c>
      <c r="BQ6" s="105">
        <v>853.29499999999996</v>
      </c>
      <c r="BR6" s="105">
        <v>0.65212899999999996</v>
      </c>
      <c r="BS6" s="105">
        <v>31653.4</v>
      </c>
      <c r="BT6" s="105">
        <v>255.06399999999999</v>
      </c>
      <c r="BU6" s="107">
        <v>863.44200000000001</v>
      </c>
      <c r="BV6" s="107">
        <v>0</v>
      </c>
      <c r="BW6" s="107">
        <v>27903.4</v>
      </c>
      <c r="BX6" s="107" t="s">
        <v>59</v>
      </c>
    </row>
    <row r="7" spans="2:76">
      <c r="B7" s="2">
        <f>AD22/13*O7</f>
        <v>775.2757953236943</v>
      </c>
      <c r="C7" s="2">
        <f>C10+C12+C15</f>
        <v>390.46583773169243</v>
      </c>
      <c r="D7" s="104">
        <v>122</v>
      </c>
      <c r="E7" s="22">
        <f>E6+F7</f>
        <v>0.26217419872964887</v>
      </c>
      <c r="F7" s="11">
        <f t="shared" si="0"/>
        <v>5.4756516025407022E-2</v>
      </c>
      <c r="G7" s="104">
        <v>7.4999999999999997E-2</v>
      </c>
      <c r="H7" s="104">
        <v>4.0000000000000002E-4</v>
      </c>
      <c r="I7" s="2">
        <v>244.69739999999999</v>
      </c>
      <c r="J7" s="104">
        <v>8.0000000000000004E-4</v>
      </c>
      <c r="K7" s="2">
        <f t="shared" ref="K7:K16" si="3">O7+B7+C7</f>
        <v>200702.05163305538</v>
      </c>
      <c r="L7" s="11">
        <f t="shared" ref="L7:L17" si="4">SQRT(SUMSQ(T7,X7,AB7,AF7,AJ7,AN7,AR7,AV7,AZ7,BD7,BH7,BL7,BP7,BT7))</f>
        <v>655.47347807520032</v>
      </c>
      <c r="M7" s="101">
        <f>K7/G7/O$4</f>
        <v>1.8465345090776013E-2</v>
      </c>
      <c r="N7" s="100">
        <f t="shared" si="1"/>
        <v>1.1566377444766696E-4</v>
      </c>
      <c r="O7" s="104">
        <f t="shared" si="2"/>
        <v>199536.31</v>
      </c>
      <c r="Q7" s="106">
        <v>1782.07</v>
      </c>
      <c r="R7" s="106">
        <v>0.33714300000000003</v>
      </c>
      <c r="S7" s="106">
        <v>20335.5</v>
      </c>
      <c r="T7" s="106">
        <v>191.86500000000001</v>
      </c>
      <c r="U7" s="105">
        <v>1890.74</v>
      </c>
      <c r="V7" s="105">
        <v>0.44803399999999999</v>
      </c>
      <c r="W7" s="105">
        <v>19749.400000000001</v>
      </c>
      <c r="X7" s="105">
        <v>190.64099999999999</v>
      </c>
      <c r="Y7" s="106">
        <v>1757.8</v>
      </c>
      <c r="Z7" s="106">
        <v>0.40047500000000003</v>
      </c>
      <c r="AA7" s="106">
        <v>19533.8</v>
      </c>
      <c r="AB7" s="106">
        <v>199.92699999999999</v>
      </c>
      <c r="AC7" s="105">
        <v>1793.96</v>
      </c>
      <c r="AD7" s="105">
        <v>0.48041499999999998</v>
      </c>
      <c r="AE7" s="105">
        <v>18846</v>
      </c>
      <c r="AF7" s="105">
        <v>194.27500000000001</v>
      </c>
      <c r="AG7" s="106">
        <v>1777.66</v>
      </c>
      <c r="AH7" s="106">
        <v>0.39765699999999998</v>
      </c>
      <c r="AI7" s="106">
        <v>20045.900000000001</v>
      </c>
      <c r="AJ7" s="106">
        <v>198.69800000000001</v>
      </c>
      <c r="AK7" s="105">
        <v>1768.72</v>
      </c>
      <c r="AL7" s="105">
        <v>0.45319199999999998</v>
      </c>
      <c r="AM7" s="105">
        <v>19051.8</v>
      </c>
      <c r="AN7" s="105">
        <v>200.291</v>
      </c>
      <c r="AO7" s="106">
        <v>1748.37</v>
      </c>
      <c r="AP7" s="106">
        <v>0.35531800000000002</v>
      </c>
      <c r="AQ7" s="106">
        <v>20565.8</v>
      </c>
      <c r="AR7" s="106">
        <v>202.279</v>
      </c>
      <c r="AS7" s="105">
        <v>2577.8200000000002</v>
      </c>
      <c r="AT7" s="105">
        <v>0.52498</v>
      </c>
      <c r="AU7" s="105">
        <v>19131.599999999999</v>
      </c>
      <c r="AV7" s="105">
        <v>207.04300000000001</v>
      </c>
      <c r="AW7" s="106">
        <v>1724.94</v>
      </c>
      <c r="AX7" s="106">
        <v>0.64305900000000005</v>
      </c>
      <c r="AY7" s="106">
        <v>6998.33</v>
      </c>
      <c r="AZ7" s="106">
        <v>123.892</v>
      </c>
      <c r="BA7" s="105">
        <v>1668.25</v>
      </c>
      <c r="BB7" s="105">
        <v>0.82571300000000003</v>
      </c>
      <c r="BC7" s="105">
        <v>7431.52</v>
      </c>
      <c r="BD7" s="105">
        <v>123.38800000000001</v>
      </c>
      <c r="BE7" s="106">
        <v>1711.45</v>
      </c>
      <c r="BF7" s="106">
        <v>1.3088299999999999</v>
      </c>
      <c r="BG7" s="106">
        <v>6968.32</v>
      </c>
      <c r="BH7" s="106">
        <v>169.482</v>
      </c>
      <c r="BI7" s="105">
        <v>1832.55</v>
      </c>
      <c r="BJ7" s="105">
        <v>1.0404100000000001</v>
      </c>
      <c r="BK7" s="105">
        <v>7309.76</v>
      </c>
      <c r="BL7" s="105">
        <v>130.47900000000001</v>
      </c>
      <c r="BM7" s="106">
        <v>1701.3</v>
      </c>
      <c r="BN7" s="106">
        <v>1.3219799999999999</v>
      </c>
      <c r="BO7" s="106">
        <v>6418.28</v>
      </c>
      <c r="BP7" s="106">
        <v>128.71600000000001</v>
      </c>
      <c r="BQ7" s="105">
        <v>1720.25</v>
      </c>
      <c r="BR7" s="105">
        <v>2.0147900000000001</v>
      </c>
      <c r="BS7" s="105">
        <v>7150.3</v>
      </c>
      <c r="BT7" s="105">
        <v>150.01400000000001</v>
      </c>
      <c r="BU7" s="107">
        <v>1739.42</v>
      </c>
      <c r="BV7" s="107">
        <v>13.3812</v>
      </c>
      <c r="BW7" s="107">
        <v>6658.98</v>
      </c>
      <c r="BX7" s="107">
        <v>297.83600000000001</v>
      </c>
    </row>
    <row r="8" spans="2:76">
      <c r="B8" s="2">
        <f>C9+C11+C16</f>
        <v>583.92795806867491</v>
      </c>
      <c r="C8" s="69"/>
      <c r="E8" s="22">
        <f t="shared" ref="E8:E17" si="5">E7+F8</f>
        <v>0.45623129152369135</v>
      </c>
      <c r="F8" s="11">
        <f t="shared" si="0"/>
        <v>0.19405709279404249</v>
      </c>
      <c r="G8" s="104">
        <v>0.26579999999999998</v>
      </c>
      <c r="H8" s="104">
        <v>1.1999999999999999E-3</v>
      </c>
      <c r="I8" s="2">
        <v>344.27850000000001</v>
      </c>
      <c r="J8" s="104">
        <v>1.1999999999999999E-3</v>
      </c>
      <c r="K8" s="2">
        <f t="shared" si="3"/>
        <v>590883.52795806865</v>
      </c>
      <c r="L8" s="11">
        <f t="shared" si="4"/>
        <v>883.02067164138361</v>
      </c>
      <c r="M8" s="101">
        <f t="shared" ref="M8:M16" si="6">K8/G8/O$4</f>
        <v>1.5339591225046622E-2</v>
      </c>
      <c r="N8" s="100">
        <f t="shared" si="1"/>
        <v>7.2955752527013179E-5</v>
      </c>
      <c r="O8" s="104">
        <f t="shared" si="2"/>
        <v>590299.6</v>
      </c>
      <c r="Q8" s="106">
        <v>2507.12</v>
      </c>
      <c r="R8" s="106">
        <v>0.14513899999999999</v>
      </c>
      <c r="S8" s="106">
        <v>59430.8</v>
      </c>
      <c r="T8" s="106">
        <v>272.49200000000002</v>
      </c>
      <c r="U8" s="105">
        <v>2658.2</v>
      </c>
      <c r="V8" s="105">
        <v>0.18540100000000001</v>
      </c>
      <c r="W8" s="105">
        <v>57366.9</v>
      </c>
      <c r="X8" s="105">
        <v>264.988</v>
      </c>
      <c r="Y8" s="106">
        <v>2478.33</v>
      </c>
      <c r="Z8" s="106">
        <v>0.16674</v>
      </c>
      <c r="AA8" s="106">
        <v>59502.3</v>
      </c>
      <c r="AB8" s="106">
        <v>278.46699999999998</v>
      </c>
      <c r="AC8" s="105">
        <v>2523.1999999999998</v>
      </c>
      <c r="AD8" s="105">
        <v>0.18521099999999999</v>
      </c>
      <c r="AE8" s="105">
        <v>56051.3</v>
      </c>
      <c r="AF8" s="105">
        <v>267.64</v>
      </c>
      <c r="AG8" s="106">
        <v>2503.8000000000002</v>
      </c>
      <c r="AH8" s="106">
        <v>0.196461</v>
      </c>
      <c r="AI8" s="106">
        <v>57335.7</v>
      </c>
      <c r="AJ8" s="106">
        <v>280.53800000000001</v>
      </c>
      <c r="AK8" s="105">
        <v>2489.9299999999998</v>
      </c>
      <c r="AL8" s="105">
        <v>0.184861</v>
      </c>
      <c r="AM8" s="105">
        <v>55913.8</v>
      </c>
      <c r="AN8" s="105">
        <v>272.08600000000001</v>
      </c>
      <c r="AO8" s="106">
        <v>2458.06</v>
      </c>
      <c r="AP8" s="106">
        <v>0.15815399999999999</v>
      </c>
      <c r="AQ8" s="106">
        <v>59996.1</v>
      </c>
      <c r="AR8" s="106">
        <v>278.70499999999998</v>
      </c>
      <c r="AS8" s="105">
        <v>3627.06</v>
      </c>
      <c r="AT8" s="105">
        <v>0.22620699999999999</v>
      </c>
      <c r="AU8" s="105">
        <v>57672.7</v>
      </c>
      <c r="AV8" s="105">
        <v>281.101</v>
      </c>
      <c r="AW8" s="106">
        <v>2420.64</v>
      </c>
      <c r="AX8" s="106">
        <v>0.261905</v>
      </c>
      <c r="AY8" s="106">
        <v>20904</v>
      </c>
      <c r="AZ8" s="106">
        <v>164.70599999999999</v>
      </c>
      <c r="BA8" s="105">
        <v>2353.17</v>
      </c>
      <c r="BB8" s="105">
        <v>0.27504200000000001</v>
      </c>
      <c r="BC8" s="105">
        <v>22623.7</v>
      </c>
      <c r="BD8" s="105">
        <v>169.60400000000001</v>
      </c>
      <c r="BE8" s="106">
        <v>2410.12</v>
      </c>
      <c r="BF8" s="106">
        <v>0.62199300000000002</v>
      </c>
      <c r="BG8" s="106">
        <v>20687.2</v>
      </c>
      <c r="BH8" s="106">
        <v>184.32</v>
      </c>
      <c r="BI8" s="105">
        <v>2571.0300000000002</v>
      </c>
      <c r="BJ8" s="105">
        <v>0.34590500000000002</v>
      </c>
      <c r="BK8" s="105">
        <v>22563.200000000001</v>
      </c>
      <c r="BL8" s="105">
        <v>170.99100000000001</v>
      </c>
      <c r="BM8" s="106">
        <v>2389.5</v>
      </c>
      <c r="BN8" s="106">
        <v>0.39794099999999999</v>
      </c>
      <c r="BO8" s="106">
        <v>18876.900000000001</v>
      </c>
      <c r="BP8" s="106">
        <v>161.77500000000001</v>
      </c>
      <c r="BQ8" s="105">
        <v>2416.4699999999998</v>
      </c>
      <c r="BR8" s="105">
        <v>0.73579300000000003</v>
      </c>
      <c r="BS8" s="105">
        <v>21375</v>
      </c>
      <c r="BT8" s="105">
        <v>177.13499999999999</v>
      </c>
      <c r="BU8" s="107">
        <v>2434.4499999999998</v>
      </c>
      <c r="BV8" s="107">
        <v>0</v>
      </c>
      <c r="BW8" s="107">
        <v>20023.900000000001</v>
      </c>
      <c r="BX8" s="107" t="s">
        <v>59</v>
      </c>
    </row>
    <row r="9" spans="2:76">
      <c r="C9" s="2">
        <f>AD24/13*O9</f>
        <v>107.06627050124443</v>
      </c>
      <c r="D9" s="104">
        <v>344</v>
      </c>
      <c r="E9" s="22">
        <f t="shared" si="5"/>
        <v>0.47256333503686943</v>
      </c>
      <c r="F9" s="11">
        <f t="shared" si="0"/>
        <v>1.633204351317807E-2</v>
      </c>
      <c r="G9" s="104">
        <v>2.2370000000000001E-2</v>
      </c>
      <c r="H9" s="104">
        <v>1E-4</v>
      </c>
      <c r="I9" s="2">
        <v>411.11649999999997</v>
      </c>
      <c r="J9" s="104">
        <v>1.1999999999999999E-3</v>
      </c>
      <c r="K9" s="2">
        <f t="shared" si="3"/>
        <v>43228.086270501248</v>
      </c>
      <c r="L9" s="11">
        <f t="shared" si="4"/>
        <v>343.88167326672124</v>
      </c>
      <c r="M9" s="101">
        <f t="shared" si="6"/>
        <v>1.3334198169939812E-2</v>
      </c>
      <c r="N9" s="100">
        <f t="shared" si="1"/>
        <v>1.2190464479619925E-4</v>
      </c>
      <c r="O9" s="104">
        <f t="shared" si="2"/>
        <v>43121.020000000004</v>
      </c>
      <c r="Q9" s="106">
        <v>2993.87</v>
      </c>
      <c r="R9" s="106">
        <v>1.2494000000000001</v>
      </c>
      <c r="S9" s="106">
        <v>4250.51</v>
      </c>
      <c r="T9" s="106">
        <v>98.326499999999996</v>
      </c>
      <c r="U9" s="105">
        <v>3174.6</v>
      </c>
      <c r="V9" s="105">
        <v>0.99747699999999995</v>
      </c>
      <c r="W9" s="105">
        <v>4302.1400000000003</v>
      </c>
      <c r="X9" s="105">
        <v>106.256</v>
      </c>
      <c r="Y9" s="106">
        <v>2960.52</v>
      </c>
      <c r="Z9" s="106">
        <v>1.3647499999999999</v>
      </c>
      <c r="AA9" s="106">
        <v>4284.76</v>
      </c>
      <c r="AB9" s="106">
        <v>105.913</v>
      </c>
      <c r="AC9" s="105">
        <v>3016.43</v>
      </c>
      <c r="AD9" s="105">
        <v>1.72387</v>
      </c>
      <c r="AE9" s="105">
        <v>3883.31</v>
      </c>
      <c r="AF9" s="105">
        <v>98.986199999999997</v>
      </c>
      <c r="AG9" s="106">
        <v>2987</v>
      </c>
      <c r="AH9" s="106">
        <v>1.0335399999999999</v>
      </c>
      <c r="AI9" s="106">
        <v>4282.28</v>
      </c>
      <c r="AJ9" s="106">
        <v>105.379</v>
      </c>
      <c r="AK9" s="105">
        <v>2974.88</v>
      </c>
      <c r="AL9" s="105">
        <v>1.4673700000000001</v>
      </c>
      <c r="AM9" s="105">
        <v>4090.38</v>
      </c>
      <c r="AN9" s="105">
        <v>104.44799999999999</v>
      </c>
      <c r="AO9" s="106">
        <v>2934.53</v>
      </c>
      <c r="AP9" s="106">
        <v>1.1204400000000001</v>
      </c>
      <c r="AQ9" s="106">
        <v>4450.13</v>
      </c>
      <c r="AR9" s="106">
        <v>106.27</v>
      </c>
      <c r="AS9" s="105">
        <v>4330.8900000000003</v>
      </c>
      <c r="AT9" s="105">
        <v>1.7304900000000001</v>
      </c>
      <c r="AU9" s="105">
        <v>4053.27</v>
      </c>
      <c r="AV9" s="105">
        <v>105.804</v>
      </c>
      <c r="AW9" s="106">
        <v>2894.81</v>
      </c>
      <c r="AX9" s="106">
        <v>1.4585300000000001</v>
      </c>
      <c r="AY9" s="106">
        <v>1525.03</v>
      </c>
      <c r="AZ9" s="106">
        <v>66.406499999999994</v>
      </c>
      <c r="BA9" s="105">
        <v>2806.83</v>
      </c>
      <c r="BB9" s="105">
        <v>19.024699999999999</v>
      </c>
      <c r="BC9" s="105">
        <v>1660.17</v>
      </c>
      <c r="BD9" s="105">
        <v>64.486199999999997</v>
      </c>
      <c r="BE9" s="106">
        <v>2879.92</v>
      </c>
      <c r="BF9" s="106">
        <v>5.4819500000000003</v>
      </c>
      <c r="BG9" s="106">
        <v>1493.08</v>
      </c>
      <c r="BH9" s="106">
        <v>74.927700000000002</v>
      </c>
      <c r="BI9" s="105">
        <v>3079.07</v>
      </c>
      <c r="BJ9" s="105">
        <v>1.83832</v>
      </c>
      <c r="BK9" s="105">
        <v>1788.33</v>
      </c>
      <c r="BL9" s="105">
        <v>79.093100000000007</v>
      </c>
      <c r="BM9" s="106">
        <v>2853.11</v>
      </c>
      <c r="BN9" s="106">
        <v>0</v>
      </c>
      <c r="BO9" s="106">
        <v>1366.94</v>
      </c>
      <c r="BP9" s="106">
        <v>73.776200000000003</v>
      </c>
      <c r="BQ9" s="105">
        <v>2884.74</v>
      </c>
      <c r="BR9" s="105">
        <v>3.87154</v>
      </c>
      <c r="BS9" s="105">
        <v>1690.69</v>
      </c>
      <c r="BT9" s="105">
        <v>76.793999999999997</v>
      </c>
      <c r="BU9" s="107">
        <v>2851.45</v>
      </c>
      <c r="BV9" s="107">
        <v>0</v>
      </c>
      <c r="BW9" s="107">
        <v>4174.97</v>
      </c>
      <c r="BX9" s="107">
        <v>831.66800000000001</v>
      </c>
    </row>
    <row r="10" spans="2:76">
      <c r="B10" s="2">
        <f>AD22/13*O10</f>
        <v>229.77161055478842</v>
      </c>
      <c r="C10" s="2">
        <f>AD23/13*O10</f>
        <v>182.03395369846157</v>
      </c>
      <c r="D10" s="97">
        <v>122245</v>
      </c>
      <c r="E10" s="22">
        <f t="shared" si="5"/>
        <v>0.49537855004745568</v>
      </c>
      <c r="F10" s="11">
        <f t="shared" si="0"/>
        <v>2.2815215010586261E-2</v>
      </c>
      <c r="G10" s="104">
        <v>3.125E-2</v>
      </c>
      <c r="H10" s="104">
        <v>1.3999999999999999E-4</v>
      </c>
      <c r="I10" s="2">
        <v>443.96499999999997</v>
      </c>
      <c r="J10" s="104">
        <v>3.0000000000000001E-3</v>
      </c>
      <c r="K10" s="2">
        <f t="shared" si="3"/>
        <v>59549.185564253254</v>
      </c>
      <c r="L10" s="11">
        <f t="shared" si="4"/>
        <v>373.09749926698782</v>
      </c>
      <c r="M10" s="101">
        <f t="shared" si="6"/>
        <v>1.3148998755576147E-2</v>
      </c>
      <c r="N10" s="100">
        <f t="shared" si="1"/>
        <v>1.0174456288799314E-4</v>
      </c>
      <c r="O10" s="104">
        <f t="shared" si="2"/>
        <v>59137.380000000005</v>
      </c>
      <c r="Q10" s="106">
        <v>3232.6</v>
      </c>
      <c r="R10" s="106">
        <v>0.73239799999999999</v>
      </c>
      <c r="S10" s="106">
        <v>6011.41</v>
      </c>
      <c r="T10" s="106">
        <v>109.456</v>
      </c>
      <c r="U10" s="105">
        <v>3429.13</v>
      </c>
      <c r="V10" s="105">
        <v>0.99808699999999995</v>
      </c>
      <c r="W10" s="105">
        <v>5653.41</v>
      </c>
      <c r="X10" s="105">
        <v>108.35599999999999</v>
      </c>
      <c r="Y10" s="106">
        <v>3196.52</v>
      </c>
      <c r="Z10" s="106">
        <v>0.74219199999999996</v>
      </c>
      <c r="AA10" s="106">
        <v>6005.8</v>
      </c>
      <c r="AB10" s="106">
        <v>118.625</v>
      </c>
      <c r="AC10" s="105">
        <v>3257.68</v>
      </c>
      <c r="AD10" s="105">
        <v>0.95798700000000003</v>
      </c>
      <c r="AE10" s="105">
        <v>5569.18</v>
      </c>
      <c r="AF10" s="105">
        <v>109.52500000000001</v>
      </c>
      <c r="AG10" s="106">
        <v>3224.9</v>
      </c>
      <c r="AH10" s="106">
        <v>0.80868799999999996</v>
      </c>
      <c r="AI10" s="106">
        <v>5707.34</v>
      </c>
      <c r="AJ10" s="106">
        <v>113.855</v>
      </c>
      <c r="AK10" s="105">
        <v>3212.18</v>
      </c>
      <c r="AL10" s="105">
        <v>0.91558799999999996</v>
      </c>
      <c r="AM10" s="105">
        <v>5436.17</v>
      </c>
      <c r="AN10" s="105">
        <v>114.288</v>
      </c>
      <c r="AO10" s="106">
        <v>3169.47</v>
      </c>
      <c r="AP10" s="106">
        <v>0.74073699999999998</v>
      </c>
      <c r="AQ10" s="106">
        <v>5812.02</v>
      </c>
      <c r="AR10" s="106">
        <v>110.68899999999999</v>
      </c>
      <c r="AS10" s="105">
        <v>4674.59</v>
      </c>
      <c r="AT10" s="105">
        <v>1.0583100000000001</v>
      </c>
      <c r="AU10" s="105">
        <v>5748.86</v>
      </c>
      <c r="AV10" s="105">
        <v>125.76600000000001</v>
      </c>
      <c r="AW10" s="106">
        <v>3133.2</v>
      </c>
      <c r="AX10" s="106">
        <v>1.2780800000000001</v>
      </c>
      <c r="AY10" s="106">
        <v>2207.5300000000002</v>
      </c>
      <c r="AZ10" s="106">
        <v>70.345500000000001</v>
      </c>
      <c r="BA10" s="105">
        <v>3027.5</v>
      </c>
      <c r="BB10" s="105">
        <v>1.0668299999999999</v>
      </c>
      <c r="BC10" s="105">
        <v>2279.2800000000002</v>
      </c>
      <c r="BD10" s="105">
        <v>71.727800000000002</v>
      </c>
      <c r="BE10" s="106">
        <v>3112.39</v>
      </c>
      <c r="BF10" s="106">
        <v>9.1438699999999997</v>
      </c>
      <c r="BG10" s="106">
        <v>2119.39</v>
      </c>
      <c r="BH10" s="106">
        <v>86.653599999999997</v>
      </c>
      <c r="BI10" s="105">
        <v>3332.57</v>
      </c>
      <c r="BJ10" s="105">
        <v>1.8201700000000001</v>
      </c>
      <c r="BK10" s="105">
        <v>2371.48</v>
      </c>
      <c r="BL10" s="105">
        <v>74.496300000000005</v>
      </c>
      <c r="BM10" s="106">
        <v>3080.3</v>
      </c>
      <c r="BN10" s="106">
        <v>1.76102</v>
      </c>
      <c r="BO10" s="106">
        <v>2041.39</v>
      </c>
      <c r="BP10" s="106">
        <v>77.2727</v>
      </c>
      <c r="BQ10" s="105">
        <v>3115.12</v>
      </c>
      <c r="BR10" s="105">
        <v>6.7221599999999997</v>
      </c>
      <c r="BS10" s="105">
        <v>2174.12</v>
      </c>
      <c r="BT10" s="105">
        <v>78.712500000000006</v>
      </c>
      <c r="BU10" s="107">
        <v>3137.8</v>
      </c>
      <c r="BV10" s="107">
        <v>6.16838</v>
      </c>
      <c r="BW10" s="107">
        <v>1850.39</v>
      </c>
      <c r="BX10" s="107">
        <v>185.374</v>
      </c>
    </row>
    <row r="11" spans="2:76">
      <c r="C11" s="2">
        <f>AD24/13*O11</f>
        <v>438.15655972101621</v>
      </c>
      <c r="D11" s="104">
        <v>344</v>
      </c>
      <c r="E11" s="22">
        <f t="shared" si="5"/>
        <v>0.589997809739359</v>
      </c>
      <c r="F11" s="11">
        <f t="shared" si="0"/>
        <v>9.4619259691903337E-2</v>
      </c>
      <c r="G11" s="104">
        <v>0.12959999999999999</v>
      </c>
      <c r="H11" s="104">
        <v>5.9999999999999995E-4</v>
      </c>
      <c r="I11" s="2">
        <v>778.90449999999998</v>
      </c>
      <c r="J11" s="104">
        <v>2.3999999999999998E-3</v>
      </c>
      <c r="K11" s="2">
        <f t="shared" si="3"/>
        <v>176906.03655972096</v>
      </c>
      <c r="L11" s="11">
        <f t="shared" si="4"/>
        <v>512.1954654217177</v>
      </c>
      <c r="M11" s="101">
        <f t="shared" si="6"/>
        <v>9.4189942299517659E-3</v>
      </c>
      <c r="N11" s="100">
        <f t="shared" si="1"/>
        <v>5.146762252756273E-5</v>
      </c>
      <c r="O11" s="104">
        <f t="shared" si="2"/>
        <v>176467.87999999995</v>
      </c>
      <c r="Q11" s="106">
        <v>5669.3</v>
      </c>
      <c r="R11" s="106">
        <v>0.34955999999999998</v>
      </c>
      <c r="S11" s="106">
        <v>17690.900000000001</v>
      </c>
      <c r="T11" s="106">
        <v>156.852</v>
      </c>
      <c r="U11" s="105">
        <v>6014.07</v>
      </c>
      <c r="V11" s="105">
        <v>0.43623800000000001</v>
      </c>
      <c r="W11" s="105">
        <v>16921.400000000001</v>
      </c>
      <c r="X11" s="105">
        <v>153.851</v>
      </c>
      <c r="Y11" s="106">
        <v>5606.21</v>
      </c>
      <c r="Z11" s="106">
        <v>0.37362699999999999</v>
      </c>
      <c r="AA11" s="106">
        <v>17878</v>
      </c>
      <c r="AB11" s="106">
        <v>162.58699999999999</v>
      </c>
      <c r="AC11" s="105">
        <v>5716.6</v>
      </c>
      <c r="AD11" s="105">
        <v>0.45787699999999998</v>
      </c>
      <c r="AE11" s="105">
        <v>16129</v>
      </c>
      <c r="AF11" s="105">
        <v>151.21100000000001</v>
      </c>
      <c r="AG11" s="106">
        <v>5657.44</v>
      </c>
      <c r="AH11" s="106">
        <v>0.38892399999999999</v>
      </c>
      <c r="AI11" s="106">
        <v>17065</v>
      </c>
      <c r="AJ11" s="106">
        <v>157.524</v>
      </c>
      <c r="AK11" s="105">
        <v>5630.93</v>
      </c>
      <c r="AL11" s="105">
        <v>0.42687199999999997</v>
      </c>
      <c r="AM11" s="105">
        <v>16586.099999999999</v>
      </c>
      <c r="AN11" s="105">
        <v>158.87799999999999</v>
      </c>
      <c r="AO11" s="106">
        <v>5568.75</v>
      </c>
      <c r="AP11" s="106">
        <v>0.36442600000000003</v>
      </c>
      <c r="AQ11" s="106">
        <v>17734.099999999999</v>
      </c>
      <c r="AR11" s="106">
        <v>160.51900000000001</v>
      </c>
      <c r="AS11" s="105">
        <v>8221.3799999999992</v>
      </c>
      <c r="AT11" s="105">
        <v>0.59438599999999997</v>
      </c>
      <c r="AU11" s="105">
        <v>16395.400000000001</v>
      </c>
      <c r="AV11" s="105">
        <v>167.07</v>
      </c>
      <c r="AW11" s="106">
        <v>5493.55</v>
      </c>
      <c r="AX11" s="106">
        <v>0.54026300000000005</v>
      </c>
      <c r="AY11" s="106">
        <v>6829.24</v>
      </c>
      <c r="AZ11" s="106">
        <v>97.937100000000001</v>
      </c>
      <c r="BA11" s="105">
        <v>5315.36</v>
      </c>
      <c r="BB11" s="105">
        <v>0.73326800000000003</v>
      </c>
      <c r="BC11" s="105">
        <v>6949.04</v>
      </c>
      <c r="BD11" s="105">
        <v>96.855400000000003</v>
      </c>
      <c r="BE11" s="106">
        <v>5486.02</v>
      </c>
      <c r="BF11" s="106">
        <v>2.23143</v>
      </c>
      <c r="BG11" s="106">
        <v>6375.18</v>
      </c>
      <c r="BH11" s="106">
        <v>103.386</v>
      </c>
      <c r="BI11" s="105">
        <v>5847.49</v>
      </c>
      <c r="BJ11" s="105">
        <v>0.73528899999999997</v>
      </c>
      <c r="BK11" s="105">
        <v>7092.83</v>
      </c>
      <c r="BL11" s="105">
        <v>102.122</v>
      </c>
      <c r="BM11" s="106">
        <v>5429.49</v>
      </c>
      <c r="BN11" s="106">
        <v>0.91005400000000003</v>
      </c>
      <c r="BO11" s="106">
        <v>5980.58</v>
      </c>
      <c r="BP11" s="106">
        <v>95.123999999999995</v>
      </c>
      <c r="BQ11" s="105">
        <v>5487.89</v>
      </c>
      <c r="BR11" s="105">
        <v>1.80497</v>
      </c>
      <c r="BS11" s="105">
        <v>6841.11</v>
      </c>
      <c r="BT11" s="105">
        <v>109.081</v>
      </c>
      <c r="BU11" s="107">
        <v>5505.85</v>
      </c>
      <c r="BV11" s="107">
        <v>0</v>
      </c>
      <c r="BW11" s="107">
        <v>6575.89</v>
      </c>
      <c r="BX11" s="107">
        <v>181.40299999999999</v>
      </c>
    </row>
    <row r="12" spans="2:76">
      <c r="B12" s="2">
        <f>AD22/13*O12</f>
        <v>205.26394891479165</v>
      </c>
      <c r="C12" s="2">
        <f>AD23/13*O12</f>
        <v>162.61803659076926</v>
      </c>
      <c r="D12" s="97">
        <v>122245</v>
      </c>
      <c r="E12" s="22">
        <f t="shared" si="5"/>
        <v>0.62096079433452578</v>
      </c>
      <c r="F12" s="11">
        <f t="shared" si="0"/>
        <v>3.0962984595166828E-2</v>
      </c>
      <c r="G12" s="104">
        <v>4.2410000000000003E-2</v>
      </c>
      <c r="H12" s="104">
        <v>2.3000000000000001E-4</v>
      </c>
      <c r="I12" s="2">
        <v>867.38</v>
      </c>
      <c r="J12" s="104">
        <v>3.0000000000000001E-3</v>
      </c>
      <c r="K12" s="2">
        <f t="shared" si="3"/>
        <v>53197.611985505566</v>
      </c>
      <c r="L12" s="11">
        <f t="shared" si="4"/>
        <v>341.99899674735889</v>
      </c>
      <c r="M12" s="101">
        <f t="shared" si="6"/>
        <v>8.6554717811302469E-3</v>
      </c>
      <c r="N12" s="100">
        <f t="shared" si="1"/>
        <v>7.3096082401498405E-5</v>
      </c>
      <c r="O12" s="104">
        <f t="shared" si="2"/>
        <v>52829.73</v>
      </c>
      <c r="Q12" s="106">
        <v>6315.17</v>
      </c>
      <c r="R12" s="106">
        <v>0.95929399999999998</v>
      </c>
      <c r="S12" s="106">
        <v>5394.29</v>
      </c>
      <c r="T12" s="106">
        <v>103.184</v>
      </c>
      <c r="U12" s="105">
        <v>6699.74</v>
      </c>
      <c r="V12" s="105">
        <v>0.983236</v>
      </c>
      <c r="W12" s="105">
        <v>5051.87</v>
      </c>
      <c r="X12" s="105">
        <v>101.59399999999999</v>
      </c>
      <c r="Y12" s="106">
        <v>6241.68</v>
      </c>
      <c r="Z12" s="106">
        <v>0.99070400000000003</v>
      </c>
      <c r="AA12" s="106">
        <v>5416.58</v>
      </c>
      <c r="AB12" s="106">
        <v>108.65</v>
      </c>
      <c r="AC12" s="105">
        <v>6364.87</v>
      </c>
      <c r="AD12" s="105">
        <v>1.03609</v>
      </c>
      <c r="AE12" s="105">
        <v>4705.9399999999996</v>
      </c>
      <c r="AF12" s="105">
        <v>99.953299999999999</v>
      </c>
      <c r="AG12" s="106">
        <v>6301.78</v>
      </c>
      <c r="AH12" s="106">
        <v>0.96360999999999997</v>
      </c>
      <c r="AI12" s="106">
        <v>5015.66</v>
      </c>
      <c r="AJ12" s="106">
        <v>101.111</v>
      </c>
      <c r="AK12" s="105">
        <v>6268.97</v>
      </c>
      <c r="AL12" s="105">
        <v>1.20061</v>
      </c>
      <c r="AM12" s="105">
        <v>5021.88</v>
      </c>
      <c r="AN12" s="105">
        <v>107.616</v>
      </c>
      <c r="AO12" s="106">
        <v>6199.26</v>
      </c>
      <c r="AP12" s="106">
        <v>0.92774100000000004</v>
      </c>
      <c r="AQ12" s="106">
        <v>5475.67</v>
      </c>
      <c r="AR12" s="106">
        <v>110.023</v>
      </c>
      <c r="AS12" s="105">
        <v>9152.9699999999993</v>
      </c>
      <c r="AT12" s="105">
        <v>1.5556300000000001</v>
      </c>
      <c r="AU12" s="105">
        <v>4675.8500000000004</v>
      </c>
      <c r="AV12" s="105">
        <v>114.63</v>
      </c>
      <c r="AW12" s="106">
        <v>6117.59</v>
      </c>
      <c r="AX12" s="106">
        <v>2.0160999999999998</v>
      </c>
      <c r="AY12" s="106">
        <v>2103.62</v>
      </c>
      <c r="AZ12" s="106">
        <v>62.731499999999997</v>
      </c>
      <c r="BA12" s="105">
        <v>5925.64</v>
      </c>
      <c r="BB12" s="105">
        <v>1.9528000000000001</v>
      </c>
      <c r="BC12" s="105">
        <v>2085.5500000000002</v>
      </c>
      <c r="BD12" s="105">
        <v>62.257899999999999</v>
      </c>
      <c r="BE12" s="106">
        <v>6105.36</v>
      </c>
      <c r="BF12" s="106">
        <v>5.6412800000000001</v>
      </c>
      <c r="BG12" s="106">
        <v>1904.95</v>
      </c>
      <c r="BH12" s="106">
        <v>72.434799999999996</v>
      </c>
      <c r="BI12" s="105">
        <v>6508.67</v>
      </c>
      <c r="BJ12" s="105">
        <v>1.8683099999999999</v>
      </c>
      <c r="BK12" s="105">
        <v>2292.36</v>
      </c>
      <c r="BL12" s="105">
        <v>70.729399999999998</v>
      </c>
      <c r="BM12" s="106">
        <v>6053.37</v>
      </c>
      <c r="BN12" s="106">
        <v>2.6090499999999999</v>
      </c>
      <c r="BO12" s="106">
        <v>1631.65</v>
      </c>
      <c r="BP12" s="106">
        <v>61.377299999999998</v>
      </c>
      <c r="BQ12" s="105">
        <v>6120.58</v>
      </c>
      <c r="BR12" s="105">
        <v>3.8594599999999999</v>
      </c>
      <c r="BS12" s="105">
        <v>2053.86</v>
      </c>
      <c r="BT12" s="105">
        <v>72.951400000000007</v>
      </c>
      <c r="BU12" s="107">
        <v>6143.4</v>
      </c>
      <c r="BV12" s="107">
        <v>0</v>
      </c>
      <c r="BW12" s="107">
        <v>1953.55</v>
      </c>
      <c r="BX12" s="107">
        <v>141.81100000000001</v>
      </c>
    </row>
    <row r="13" spans="2:76">
      <c r="B13" s="2">
        <f>AD22/13*O13</f>
        <v>685.0873362821867</v>
      </c>
      <c r="D13" s="104">
        <v>122</v>
      </c>
      <c r="E13" s="22">
        <f t="shared" si="5"/>
        <v>0.72769949624005248</v>
      </c>
      <c r="F13" s="11">
        <f t="shared" si="0"/>
        <v>0.10673870190552676</v>
      </c>
      <c r="G13" s="104">
        <v>0.1462</v>
      </c>
      <c r="H13" s="104">
        <v>5.9999999999999995E-4</v>
      </c>
      <c r="I13" s="2">
        <v>964.072</v>
      </c>
      <c r="J13" s="104">
        <v>1.7999999999999999E-2</v>
      </c>
      <c r="K13" s="2">
        <f t="shared" si="3"/>
        <v>177009.17733628218</v>
      </c>
      <c r="L13" s="11">
        <f t="shared" si="4"/>
        <v>493.55477770531206</v>
      </c>
      <c r="M13" s="101">
        <f t="shared" si="6"/>
        <v>8.3544004973411367E-3</v>
      </c>
      <c r="N13" s="100">
        <f t="shared" si="1"/>
        <v>4.1501865323001074E-5</v>
      </c>
      <c r="O13" s="104">
        <f t="shared" si="2"/>
        <v>176324.09</v>
      </c>
      <c r="Q13" s="106">
        <v>7019.16</v>
      </c>
      <c r="R13" s="106">
        <v>0.34843200000000002</v>
      </c>
      <c r="S13" s="106">
        <v>17505.400000000001</v>
      </c>
      <c r="T13" s="106">
        <v>152.96</v>
      </c>
      <c r="U13" s="105">
        <v>7446.11</v>
      </c>
      <c r="V13" s="105">
        <v>0.42049599999999998</v>
      </c>
      <c r="W13" s="105">
        <v>17145.8</v>
      </c>
      <c r="X13" s="105">
        <v>152.809</v>
      </c>
      <c r="Y13" s="106">
        <v>6936.3</v>
      </c>
      <c r="Z13" s="106">
        <v>0.38075599999999998</v>
      </c>
      <c r="AA13" s="106">
        <v>17496.8</v>
      </c>
      <c r="AB13" s="106">
        <v>158.06800000000001</v>
      </c>
      <c r="AC13" s="105">
        <v>7073.46</v>
      </c>
      <c r="AD13" s="105">
        <v>0.44488</v>
      </c>
      <c r="AE13" s="105">
        <v>15967.2</v>
      </c>
      <c r="AF13" s="105">
        <v>146.489</v>
      </c>
      <c r="AG13" s="106">
        <v>7005.76</v>
      </c>
      <c r="AH13" s="106">
        <v>0.34692099999999998</v>
      </c>
      <c r="AI13" s="106">
        <v>17348.7</v>
      </c>
      <c r="AJ13" s="106">
        <v>145.071</v>
      </c>
      <c r="AK13" s="105">
        <v>6970.31</v>
      </c>
      <c r="AL13" s="105">
        <v>0.45349499999999998</v>
      </c>
      <c r="AM13" s="105">
        <v>16095.2</v>
      </c>
      <c r="AN13" s="105">
        <v>150.78800000000001</v>
      </c>
      <c r="AO13" s="106">
        <v>6888.56</v>
      </c>
      <c r="AP13" s="106">
        <v>0.37165599999999999</v>
      </c>
      <c r="AQ13" s="106">
        <v>17621.900000000001</v>
      </c>
      <c r="AR13" s="106">
        <v>156.773</v>
      </c>
      <c r="AS13" s="105">
        <v>10169.5</v>
      </c>
      <c r="AT13" s="105">
        <v>0.59310399999999996</v>
      </c>
      <c r="AU13" s="105">
        <v>16095.3</v>
      </c>
      <c r="AV13" s="105">
        <v>161.572</v>
      </c>
      <c r="AW13" s="106">
        <v>6795.68</v>
      </c>
      <c r="AX13" s="106">
        <v>0.55524499999999999</v>
      </c>
      <c r="AY13" s="106">
        <v>6810.35</v>
      </c>
      <c r="AZ13" s="106">
        <v>96.411699999999996</v>
      </c>
      <c r="BA13" s="105">
        <v>6599.89</v>
      </c>
      <c r="BB13" s="105">
        <v>0.68128200000000005</v>
      </c>
      <c r="BC13" s="105">
        <v>7257.19</v>
      </c>
      <c r="BD13" s="105">
        <v>96.055800000000005</v>
      </c>
      <c r="BE13" s="106">
        <v>6795.67</v>
      </c>
      <c r="BF13" s="106">
        <v>0.53237769999999995</v>
      </c>
      <c r="BG13" s="106">
        <v>7000.32</v>
      </c>
      <c r="BH13" s="106">
        <v>91.971000000000004</v>
      </c>
      <c r="BI13" s="105">
        <v>7230.32</v>
      </c>
      <c r="BJ13" s="105">
        <v>0.66681999999999997</v>
      </c>
      <c r="BK13" s="105">
        <v>7197.3</v>
      </c>
      <c r="BL13" s="105">
        <v>100.93</v>
      </c>
      <c r="BM13" s="106">
        <v>6721.96</v>
      </c>
      <c r="BN13" s="106">
        <v>0.84843199999999996</v>
      </c>
      <c r="BO13" s="106">
        <v>5785.9</v>
      </c>
      <c r="BP13" s="106">
        <v>91.191100000000006</v>
      </c>
      <c r="BQ13" s="105">
        <v>6799.06</v>
      </c>
      <c r="BR13" s="105">
        <v>1.0765199999999999</v>
      </c>
      <c r="BS13" s="105">
        <v>6996.73</v>
      </c>
      <c r="BT13" s="105">
        <v>102.251</v>
      </c>
      <c r="BU13" s="107">
        <v>6838.58</v>
      </c>
      <c r="BV13" s="107">
        <v>9.2882099999999994</v>
      </c>
      <c r="BW13" s="107">
        <v>6743.76</v>
      </c>
      <c r="BX13" s="107">
        <v>165.15</v>
      </c>
    </row>
    <row r="14" spans="2:76">
      <c r="B14" s="2">
        <f>AD22/13*O14</f>
        <v>592.19359879782314</v>
      </c>
      <c r="D14" s="104">
        <v>122</v>
      </c>
      <c r="E14" s="22">
        <f t="shared" si="5"/>
        <v>0.82553113820544632</v>
      </c>
      <c r="F14" s="11">
        <f t="shared" si="0"/>
        <v>9.7831641965393887E-2</v>
      </c>
      <c r="G14" s="104">
        <v>0.13400000000000001</v>
      </c>
      <c r="H14" s="104">
        <v>5.9999999999999995E-4</v>
      </c>
      <c r="I14" s="2">
        <v>1112.076</v>
      </c>
      <c r="J14" s="104">
        <v>3.0000000000000001E-3</v>
      </c>
      <c r="K14" s="2">
        <f t="shared" si="3"/>
        <v>153007.79359879784</v>
      </c>
      <c r="L14" s="11">
        <f t="shared" si="4"/>
        <v>469.43086593106551</v>
      </c>
      <c r="M14" s="101">
        <f t="shared" si="6"/>
        <v>7.8790822483410187E-3</v>
      </c>
      <c r="N14" s="100">
        <f t="shared" si="1"/>
        <v>4.2819776682932993E-5</v>
      </c>
      <c r="O14" s="104">
        <f t="shared" si="2"/>
        <v>152415.6</v>
      </c>
      <c r="Q14" s="106">
        <v>8096.59</v>
      </c>
      <c r="R14" s="106">
        <v>0.384127</v>
      </c>
      <c r="S14" s="106">
        <v>15353.5</v>
      </c>
      <c r="T14" s="106">
        <v>143.417</v>
      </c>
      <c r="U14" s="105">
        <v>8589.2099999999991</v>
      </c>
      <c r="V14" s="105">
        <v>0.44904500000000003</v>
      </c>
      <c r="W14" s="105">
        <v>14700.8</v>
      </c>
      <c r="X14" s="105">
        <v>143.19999999999999</v>
      </c>
      <c r="Y14" s="106">
        <v>8001.5</v>
      </c>
      <c r="Z14" s="106">
        <v>0.43749300000000002</v>
      </c>
      <c r="AA14" s="106">
        <v>15491.8</v>
      </c>
      <c r="AB14" s="106">
        <v>150.47399999999999</v>
      </c>
      <c r="AC14" s="105">
        <v>8159.64</v>
      </c>
      <c r="AD14" s="105">
        <v>0.508745</v>
      </c>
      <c r="AE14" s="105">
        <v>13520.4</v>
      </c>
      <c r="AF14" s="105">
        <v>136.131</v>
      </c>
      <c r="AG14" s="106">
        <v>8080.68</v>
      </c>
      <c r="AH14" s="106">
        <v>0.42779400000000001</v>
      </c>
      <c r="AI14" s="106">
        <v>14749.4</v>
      </c>
      <c r="AJ14" s="106">
        <v>144.399</v>
      </c>
      <c r="AK14" s="105">
        <v>8040.32</v>
      </c>
      <c r="AL14" s="105">
        <v>0.49238300000000002</v>
      </c>
      <c r="AM14" s="105">
        <v>13902.2</v>
      </c>
      <c r="AN14" s="105">
        <v>140.78</v>
      </c>
      <c r="AO14" s="106">
        <v>7943.27</v>
      </c>
      <c r="AP14" s="106">
        <v>0.40075300000000003</v>
      </c>
      <c r="AQ14" s="106">
        <v>15524.1</v>
      </c>
      <c r="AR14" s="106">
        <v>146.84399999999999</v>
      </c>
      <c r="AS14" s="105">
        <v>11727.4</v>
      </c>
      <c r="AT14" s="105">
        <v>0.65122800000000003</v>
      </c>
      <c r="AU14" s="105">
        <v>13887.4</v>
      </c>
      <c r="AV14" s="105">
        <v>158.209</v>
      </c>
      <c r="AW14" s="106">
        <v>7835.91</v>
      </c>
      <c r="AX14" s="106">
        <v>0.588059</v>
      </c>
      <c r="AY14" s="106">
        <v>5926.48</v>
      </c>
      <c r="AZ14" s="106">
        <v>86.1387</v>
      </c>
      <c r="BA14" s="105">
        <v>7610.68</v>
      </c>
      <c r="BB14" s="105">
        <v>0.66589399999999999</v>
      </c>
      <c r="BC14" s="105">
        <v>6236.39</v>
      </c>
      <c r="BD14" s="105">
        <v>90.512799999999999</v>
      </c>
      <c r="BE14" s="106">
        <v>7817.65</v>
      </c>
      <c r="BF14" s="106">
        <v>1.36219</v>
      </c>
      <c r="BG14" s="106">
        <v>5598.15</v>
      </c>
      <c r="BH14" s="106">
        <v>94.412099999999995</v>
      </c>
      <c r="BI14" s="105">
        <v>8338.94</v>
      </c>
      <c r="BJ14" s="105">
        <v>0.71131800000000001</v>
      </c>
      <c r="BK14" s="105">
        <v>6386.53</v>
      </c>
      <c r="BL14" s="105">
        <v>94.191100000000006</v>
      </c>
      <c r="BM14" s="106">
        <v>7748.6</v>
      </c>
      <c r="BN14" s="106">
        <v>0.90260499999999999</v>
      </c>
      <c r="BO14" s="106">
        <v>5002.72</v>
      </c>
      <c r="BP14" s="106">
        <v>87.230800000000002</v>
      </c>
      <c r="BQ14" s="105">
        <v>7833.4</v>
      </c>
      <c r="BR14" s="105">
        <v>1.07647</v>
      </c>
      <c r="BS14" s="105">
        <v>6135.73</v>
      </c>
      <c r="BT14" s="105">
        <v>99.227000000000004</v>
      </c>
      <c r="BU14" s="107">
        <v>7883.22</v>
      </c>
      <c r="BV14" s="107">
        <v>0</v>
      </c>
      <c r="BW14" s="107">
        <v>5678.37</v>
      </c>
      <c r="BX14" s="107">
        <v>157.94</v>
      </c>
    </row>
    <row r="15" spans="2:76">
      <c r="B15" s="2">
        <f>AD22/13*O15</f>
        <v>57.828340805052385</v>
      </c>
      <c r="C15" s="2">
        <f>AD23/13*O15</f>
        <v>45.813847442461537</v>
      </c>
      <c r="D15" s="97">
        <v>122245</v>
      </c>
      <c r="E15" s="22">
        <f t="shared" si="5"/>
        <v>0.83586186756223979</v>
      </c>
      <c r="F15" s="11">
        <f t="shared" si="0"/>
        <v>1.0330729356793458E-2</v>
      </c>
      <c r="G15" s="104">
        <v>1.4149999999999999E-2</v>
      </c>
      <c r="H15" s="104">
        <v>9.0000000000000006E-5</v>
      </c>
      <c r="I15" s="2">
        <v>1212.9480000000001</v>
      </c>
      <c r="J15" s="104">
        <v>1.1000000000000001E-3</v>
      </c>
      <c r="K15" s="2">
        <f t="shared" si="3"/>
        <v>14987.189188247512</v>
      </c>
      <c r="L15" s="11">
        <f t="shared" si="4"/>
        <v>205.21727217685651</v>
      </c>
      <c r="M15" s="101">
        <f t="shared" si="6"/>
        <v>7.3085400220330712E-3</v>
      </c>
      <c r="N15" s="100">
        <f t="shared" si="1"/>
        <v>1.1097660276218713E-4</v>
      </c>
      <c r="O15" s="104">
        <f t="shared" si="2"/>
        <v>14883.546999999999</v>
      </c>
      <c r="Q15" s="106">
        <v>8831.8799999999992</v>
      </c>
      <c r="R15" s="106">
        <v>2.95912</v>
      </c>
      <c r="S15" s="106">
        <v>1424.6</v>
      </c>
      <c r="T15" s="106">
        <v>60.505899999999997</v>
      </c>
      <c r="U15" s="105">
        <v>9368.64</v>
      </c>
      <c r="V15" s="105">
        <v>2.8393000000000002</v>
      </c>
      <c r="W15" s="105">
        <v>1387.12</v>
      </c>
      <c r="X15" s="105">
        <v>59.664700000000003</v>
      </c>
      <c r="Y15" s="106">
        <v>8727.07</v>
      </c>
      <c r="Z15" s="106">
        <v>2.7888099999999998</v>
      </c>
      <c r="AA15" s="106">
        <v>1520.8</v>
      </c>
      <c r="AB15" s="106">
        <v>65.210499999999996</v>
      </c>
      <c r="AC15" s="105">
        <v>8898.31</v>
      </c>
      <c r="AD15" s="105">
        <v>2.2060200000000001</v>
      </c>
      <c r="AE15" s="105">
        <v>1301.58</v>
      </c>
      <c r="AF15" s="105">
        <v>55.997300000000003</v>
      </c>
      <c r="AG15" s="106">
        <v>8815.64</v>
      </c>
      <c r="AH15" s="106">
        <v>2.4224800000000002</v>
      </c>
      <c r="AI15" s="106">
        <v>1478.2</v>
      </c>
      <c r="AJ15" s="106">
        <v>63.318199999999997</v>
      </c>
      <c r="AK15" s="105">
        <v>8769.35</v>
      </c>
      <c r="AL15" s="105">
        <v>3.8815200000000001</v>
      </c>
      <c r="AM15" s="105">
        <v>1310.1300000000001</v>
      </c>
      <c r="AN15" s="105">
        <v>61.255099999999999</v>
      </c>
      <c r="AO15" s="106">
        <v>8662.2099999999991</v>
      </c>
      <c r="AP15" s="106">
        <v>2.0815399999999999</v>
      </c>
      <c r="AQ15" s="106">
        <v>1656.95</v>
      </c>
      <c r="AR15" s="106">
        <v>71.805700000000002</v>
      </c>
      <c r="AS15" s="105">
        <v>12792.1</v>
      </c>
      <c r="AT15" s="105">
        <v>6.9168900000000004</v>
      </c>
      <c r="AU15" s="105">
        <v>1361.62</v>
      </c>
      <c r="AV15" s="105">
        <v>61.403700000000001</v>
      </c>
      <c r="AW15" s="106">
        <v>8546.3700000000008</v>
      </c>
      <c r="AX15" s="106">
        <v>4.4041699999999997</v>
      </c>
      <c r="AY15" s="106">
        <v>536.63499999999999</v>
      </c>
      <c r="AZ15" s="106">
        <v>39.896900000000002</v>
      </c>
      <c r="BA15" s="105">
        <v>8297.9599999999991</v>
      </c>
      <c r="BB15" s="105">
        <v>2.823</v>
      </c>
      <c r="BC15" s="105">
        <v>589.41099999999994</v>
      </c>
      <c r="BD15" s="105">
        <v>38.175199999999997</v>
      </c>
      <c r="BE15" s="106">
        <v>8521.2999999999993</v>
      </c>
      <c r="BF15" s="106">
        <v>4.4835700000000003</v>
      </c>
      <c r="BG15" s="106">
        <v>689.30799999999999</v>
      </c>
      <c r="BH15" s="106">
        <v>53.3414</v>
      </c>
      <c r="BI15" s="105">
        <v>9094.85</v>
      </c>
      <c r="BJ15" s="105">
        <v>10.155099999999999</v>
      </c>
      <c r="BK15" s="105">
        <v>583.15499999999997</v>
      </c>
      <c r="BL15" s="105">
        <v>35.735700000000001</v>
      </c>
      <c r="BM15" s="106">
        <v>8450.2000000000007</v>
      </c>
      <c r="BN15" s="106">
        <v>0</v>
      </c>
      <c r="BO15" s="106">
        <v>457.11200000000002</v>
      </c>
      <c r="BP15" s="106">
        <v>33.085700000000003</v>
      </c>
      <c r="BQ15" s="105">
        <v>8540.19</v>
      </c>
      <c r="BR15" s="105">
        <v>4.8499999999999996</v>
      </c>
      <c r="BS15" s="105">
        <v>586.92600000000004</v>
      </c>
      <c r="BT15" s="105">
        <v>50.509500000000003</v>
      </c>
      <c r="BU15" s="107">
        <v>7608.92</v>
      </c>
      <c r="BV15" s="107">
        <v>0</v>
      </c>
      <c r="BW15" s="107">
        <v>8723.76</v>
      </c>
      <c r="BX15" s="107">
        <v>3546.14</v>
      </c>
    </row>
    <row r="16" spans="2:76">
      <c r="C16" s="2">
        <f>AD24/13*O16</f>
        <v>38.705127846414307</v>
      </c>
      <c r="D16" s="104">
        <v>344</v>
      </c>
      <c r="E16" s="22">
        <f t="shared" si="5"/>
        <v>0.84777688544936836</v>
      </c>
      <c r="F16" s="11">
        <f t="shared" si="0"/>
        <v>1.191501788712857E-2</v>
      </c>
      <c r="G16" s="104">
        <v>1.6320000000000001E-2</v>
      </c>
      <c r="H16" s="104">
        <v>9.0000000000000006E-5</v>
      </c>
      <c r="I16" s="2">
        <v>1299.1420000000001</v>
      </c>
      <c r="J16" s="104">
        <v>8.0000000000000002E-3</v>
      </c>
      <c r="K16" s="2">
        <f t="shared" si="3"/>
        <v>15627.224127846415</v>
      </c>
      <c r="L16" s="11">
        <f t="shared" si="4"/>
        <v>180.64724113752749</v>
      </c>
      <c r="M16" s="101">
        <f t="shared" si="6"/>
        <v>6.6073690742429339E-3</v>
      </c>
      <c r="N16" s="100">
        <f t="shared" si="1"/>
        <v>8.4797248545370965E-5</v>
      </c>
      <c r="O16" s="104">
        <f t="shared" si="2"/>
        <v>15588.519</v>
      </c>
      <c r="Q16" s="106">
        <v>9458.92</v>
      </c>
      <c r="R16" s="106">
        <v>2.2947199999999999</v>
      </c>
      <c r="S16" s="106">
        <v>1523.02</v>
      </c>
      <c r="T16" s="106">
        <v>49.9069</v>
      </c>
      <c r="U16" s="105">
        <v>10034.299999999999</v>
      </c>
      <c r="V16" s="105">
        <v>2.0243099999999998</v>
      </c>
      <c r="W16" s="105">
        <v>1383.16</v>
      </c>
      <c r="X16" s="105">
        <v>50.324300000000001</v>
      </c>
      <c r="Y16" s="106">
        <v>9346.83</v>
      </c>
      <c r="Z16" s="106">
        <v>1.93797</v>
      </c>
      <c r="AA16" s="106">
        <v>1615.91</v>
      </c>
      <c r="AB16" s="106">
        <v>55.978200000000001</v>
      </c>
      <c r="AC16" s="105">
        <v>9532.5300000000007</v>
      </c>
      <c r="AD16" s="105">
        <v>7.1246700000000001</v>
      </c>
      <c r="AE16" s="105">
        <v>1349.22</v>
      </c>
      <c r="AF16" s="105">
        <v>48.0458</v>
      </c>
      <c r="AG16" s="106">
        <v>9442.3700000000008</v>
      </c>
      <c r="AH16" s="106">
        <v>2.06332</v>
      </c>
      <c r="AI16" s="106">
        <v>1484.42</v>
      </c>
      <c r="AJ16" s="106">
        <v>56.584800000000001</v>
      </c>
      <c r="AK16" s="105">
        <v>9392.5499999999993</v>
      </c>
      <c r="AL16" s="105">
        <v>1.73756</v>
      </c>
      <c r="AM16" s="105">
        <v>1335.55</v>
      </c>
      <c r="AN16" s="105">
        <v>54.398899999999998</v>
      </c>
      <c r="AO16" s="106">
        <v>9276.9500000000007</v>
      </c>
      <c r="AP16" s="106">
        <v>1.8028599999999999</v>
      </c>
      <c r="AQ16" s="106">
        <v>1642.68</v>
      </c>
      <c r="AR16" s="106">
        <v>56.132100000000001</v>
      </c>
      <c r="AS16" s="105">
        <v>13697</v>
      </c>
      <c r="AT16" s="105">
        <v>2.3163100000000001</v>
      </c>
      <c r="AU16" s="105">
        <v>1508.42</v>
      </c>
      <c r="AV16" s="105">
        <v>58.616399999999999</v>
      </c>
      <c r="AW16" s="106">
        <v>9151.9</v>
      </c>
      <c r="AX16" s="106">
        <v>2.9929399999999999</v>
      </c>
      <c r="AY16" s="106">
        <v>581.60799999999995</v>
      </c>
      <c r="AZ16" s="106">
        <v>37.905299999999997</v>
      </c>
      <c r="BA16" s="105">
        <v>8888.6</v>
      </c>
      <c r="BB16" s="105">
        <v>5.9124699999999999</v>
      </c>
      <c r="BC16" s="105">
        <v>648.32100000000003</v>
      </c>
      <c r="BD16" s="105">
        <v>33.638199999999998</v>
      </c>
      <c r="BE16" s="106">
        <v>9120.26</v>
      </c>
      <c r="BF16" s="106">
        <v>3.2323300000000001</v>
      </c>
      <c r="BG16" s="106">
        <v>720.48099999999999</v>
      </c>
      <c r="BH16" s="106">
        <v>53.227200000000003</v>
      </c>
      <c r="BI16" s="105">
        <v>9737.24</v>
      </c>
      <c r="BJ16" s="105">
        <v>11.612299999999999</v>
      </c>
      <c r="BK16" s="105">
        <v>595.29899999999998</v>
      </c>
      <c r="BL16" s="105">
        <v>32.264499999999998</v>
      </c>
      <c r="BM16" s="106">
        <v>9047.25</v>
      </c>
      <c r="BN16" s="106">
        <v>13.3667</v>
      </c>
      <c r="BO16" s="106">
        <v>553.84100000000001</v>
      </c>
      <c r="BP16" s="106">
        <v>32.673699999999997</v>
      </c>
      <c r="BQ16" s="105">
        <v>9146.49</v>
      </c>
      <c r="BR16" s="105">
        <v>4.2666500000000003</v>
      </c>
      <c r="BS16" s="105">
        <v>646.58900000000006</v>
      </c>
      <c r="BT16" s="105">
        <v>43.708300000000001</v>
      </c>
      <c r="BU16" s="107">
        <v>9190.7000000000007</v>
      </c>
      <c r="BV16" s="107">
        <v>8.2155500000000004</v>
      </c>
      <c r="BW16" s="107">
        <v>745.18200000000002</v>
      </c>
      <c r="BX16" s="107">
        <v>101.456</v>
      </c>
    </row>
    <row r="17" spans="2:76">
      <c r="B17" s="2">
        <f>AD22/13*O17</f>
        <v>783.53348613353899</v>
      </c>
      <c r="D17" s="104">
        <v>122</v>
      </c>
      <c r="E17" s="22">
        <f t="shared" si="5"/>
        <v>0.99999999999999989</v>
      </c>
      <c r="F17" s="11">
        <f t="shared" si="0"/>
        <v>0.15222311455063153</v>
      </c>
      <c r="G17" s="104">
        <v>0.20849999999999999</v>
      </c>
      <c r="H17" s="104">
        <v>8.9999999999999998E-4</v>
      </c>
      <c r="I17" s="2">
        <v>1408.0129999999999</v>
      </c>
      <c r="J17" s="104">
        <v>3.0000000000000001E-3</v>
      </c>
      <c r="K17" s="2">
        <f>O17+B17+C17</f>
        <v>202445.1634861335</v>
      </c>
      <c r="L17" s="11">
        <f t="shared" si="4"/>
        <v>492.35674223691706</v>
      </c>
      <c r="M17" s="101">
        <f>K17/G17/O$4</f>
        <v>6.699898543212777E-3</v>
      </c>
      <c r="N17" s="100">
        <f t="shared" si="1"/>
        <v>3.3226022343259462E-5</v>
      </c>
      <c r="O17" s="104">
        <f t="shared" si="2"/>
        <v>201661.62999999998</v>
      </c>
      <c r="Q17" s="106">
        <v>10250.200000000001</v>
      </c>
      <c r="R17" s="106">
        <v>0.32973200000000003</v>
      </c>
      <c r="S17" s="106">
        <v>19993.5</v>
      </c>
      <c r="T17" s="106">
        <v>153.137</v>
      </c>
      <c r="U17" s="105">
        <v>10874.6</v>
      </c>
      <c r="V17" s="105">
        <v>0.38908900000000002</v>
      </c>
      <c r="W17" s="105">
        <v>19272.5</v>
      </c>
      <c r="X17" s="105">
        <v>150.44399999999999</v>
      </c>
      <c r="Y17" s="106">
        <v>10128.9</v>
      </c>
      <c r="Z17" s="106">
        <v>0.34411799999999998</v>
      </c>
      <c r="AA17" s="106">
        <v>19966.099999999999</v>
      </c>
      <c r="AB17" s="106">
        <v>154.27199999999999</v>
      </c>
      <c r="AC17" s="105">
        <v>10329.5</v>
      </c>
      <c r="AD17" s="105">
        <v>0.38706099999999999</v>
      </c>
      <c r="AE17" s="105">
        <v>17997.099999999999</v>
      </c>
      <c r="AF17" s="105">
        <v>145.04400000000001</v>
      </c>
      <c r="AG17" s="106">
        <v>10232.700000000001</v>
      </c>
      <c r="AH17" s="106">
        <v>0.34579500000000002</v>
      </c>
      <c r="AI17" s="106">
        <v>19303.599999999999</v>
      </c>
      <c r="AJ17" s="106">
        <v>150.49199999999999</v>
      </c>
      <c r="AK17" s="105">
        <v>10179.799999999999</v>
      </c>
      <c r="AL17" s="105">
        <v>0.40412799999999999</v>
      </c>
      <c r="AM17" s="105">
        <v>18611.8</v>
      </c>
      <c r="AN17" s="105">
        <v>149.12799999999999</v>
      </c>
      <c r="AO17" s="106">
        <v>10053</v>
      </c>
      <c r="AP17" s="106">
        <v>0.331258</v>
      </c>
      <c r="AQ17" s="106">
        <v>20504.5</v>
      </c>
      <c r="AR17" s="106">
        <v>158.27699999999999</v>
      </c>
      <c r="AS17" s="105">
        <v>14848.4</v>
      </c>
      <c r="AT17" s="105">
        <v>0.57988899999999999</v>
      </c>
      <c r="AU17" s="105">
        <v>18191</v>
      </c>
      <c r="AV17" s="105">
        <v>158.648</v>
      </c>
      <c r="AW17" s="106">
        <v>9915.93</v>
      </c>
      <c r="AX17" s="106">
        <v>0.52700400000000003</v>
      </c>
      <c r="AY17" s="106">
        <v>8174.57</v>
      </c>
      <c r="AZ17" s="106">
        <v>95.966300000000004</v>
      </c>
      <c r="BA17" s="105">
        <v>9629.76</v>
      </c>
      <c r="BB17" s="105">
        <v>0.50154900000000002</v>
      </c>
      <c r="BC17" s="105">
        <v>8507.9599999999991</v>
      </c>
      <c r="BD17" s="105">
        <v>97.563500000000005</v>
      </c>
      <c r="BE17" s="106">
        <v>9889.2800000000007</v>
      </c>
      <c r="BF17" s="106">
        <v>1.0277499999999999</v>
      </c>
      <c r="BG17" s="106">
        <v>7707.67</v>
      </c>
      <c r="BH17" s="106">
        <v>97.685599999999994</v>
      </c>
      <c r="BI17" s="105">
        <v>10551.1</v>
      </c>
      <c r="BJ17" s="105">
        <v>0.59213199999999999</v>
      </c>
      <c r="BK17" s="105">
        <v>8444.83</v>
      </c>
      <c r="BL17" s="105">
        <v>99.410300000000007</v>
      </c>
      <c r="BM17" s="106">
        <v>9801.49</v>
      </c>
      <c r="BN17" s="106">
        <v>0.67099699999999995</v>
      </c>
      <c r="BO17" s="106">
        <v>6707.08</v>
      </c>
      <c r="BP17" s="106">
        <v>88.512600000000006</v>
      </c>
      <c r="BQ17" s="105">
        <v>9909.31</v>
      </c>
      <c r="BR17" s="105">
        <v>0.861128</v>
      </c>
      <c r="BS17" s="105">
        <v>8279.42</v>
      </c>
      <c r="BT17" s="105">
        <v>101.97</v>
      </c>
      <c r="BU17" s="107">
        <v>9974.66</v>
      </c>
      <c r="BV17" s="107">
        <v>4.3146300000000002</v>
      </c>
      <c r="BW17" s="107">
        <v>7809.52</v>
      </c>
      <c r="BX17" s="107">
        <v>210.75399999999999</v>
      </c>
    </row>
    <row r="18" spans="2:76">
      <c r="G18" s="104">
        <f>SUM(G6:G17)</f>
        <v>1.3696999999999999</v>
      </c>
      <c r="I18" s="2"/>
      <c r="L18" s="11"/>
      <c r="M18" s="11"/>
      <c r="Q18" s="106"/>
      <c r="R18" s="106"/>
      <c r="S18" s="106"/>
      <c r="T18" s="106"/>
      <c r="U18" s="105"/>
      <c r="V18" s="105"/>
      <c r="W18" s="105"/>
      <c r="X18" s="105"/>
      <c r="Y18" s="106"/>
      <c r="Z18" s="106"/>
      <c r="AA18" s="106"/>
      <c r="AB18" s="106"/>
      <c r="AC18" s="105"/>
      <c r="AD18" s="105"/>
      <c r="AE18" s="105"/>
      <c r="AF18" s="105"/>
      <c r="AG18" s="106"/>
      <c r="AH18" s="106"/>
      <c r="AI18" s="106"/>
      <c r="AJ18" s="106"/>
      <c r="AK18" s="105"/>
      <c r="AL18" s="105"/>
      <c r="AM18" s="105"/>
      <c r="AN18" s="105"/>
      <c r="AO18" s="106"/>
      <c r="AP18" s="106"/>
      <c r="AQ18" s="106"/>
      <c r="AR18" s="106"/>
      <c r="AS18" s="105"/>
      <c r="AT18" s="105"/>
      <c r="AU18" s="105"/>
      <c r="AV18" s="105"/>
      <c r="AW18" s="106"/>
      <c r="AX18" s="106"/>
      <c r="AY18" s="106"/>
      <c r="AZ18" s="106"/>
      <c r="BA18" s="105"/>
      <c r="BB18" s="105"/>
      <c r="BC18" s="105"/>
      <c r="BD18" s="105"/>
      <c r="BE18" s="106"/>
      <c r="BF18" s="106"/>
      <c r="BG18" s="106"/>
      <c r="BH18" s="106"/>
      <c r="BI18" s="105"/>
      <c r="BJ18" s="105"/>
      <c r="BK18" s="105"/>
      <c r="BL18" s="105"/>
      <c r="BM18" s="106"/>
      <c r="BN18" s="106"/>
      <c r="BO18" s="106"/>
      <c r="BP18" s="106"/>
      <c r="BQ18" s="105"/>
      <c r="BR18" s="105"/>
      <c r="BS18" s="105"/>
      <c r="BT18" s="105"/>
      <c r="BU18" s="107"/>
      <c r="BV18" s="107"/>
      <c r="BW18" s="107"/>
      <c r="BX18" s="107"/>
    </row>
    <row r="20" spans="2:76">
      <c r="I20" s="104" t="s">
        <v>168</v>
      </c>
      <c r="Q20" s="3">
        <v>5000000</v>
      </c>
      <c r="R20" s="2">
        <f>SQRT(Q20)</f>
        <v>2236.0679774997898</v>
      </c>
    </row>
    <row r="21" spans="2:76">
      <c r="E21" s="104" t="s">
        <v>167</v>
      </c>
      <c r="G21" s="104" t="s">
        <v>61</v>
      </c>
      <c r="I21" s="72" t="s">
        <v>84</v>
      </c>
      <c r="J21" s="72"/>
      <c r="K21" s="72"/>
      <c r="L21" s="72"/>
      <c r="M21" s="72"/>
      <c r="N21" s="72"/>
      <c r="O21" s="72"/>
      <c r="P21" s="72"/>
      <c r="Q21" s="104" t="s">
        <v>155</v>
      </c>
      <c r="R21" s="2"/>
      <c r="Z21" s="104" t="s">
        <v>156</v>
      </c>
      <c r="AD21" s="100" t="s">
        <v>161</v>
      </c>
      <c r="AE21" s="100"/>
    </row>
    <row r="22" spans="2:76">
      <c r="E22" s="1">
        <f>M6/AD22</f>
        <v>0.45035306784619838</v>
      </c>
      <c r="F22" s="1">
        <f>E22*SQRT((N6/M6)^2+(AE22/AD22)^2)</f>
        <v>3.4488571151592216E-3</v>
      </c>
      <c r="G22" s="104">
        <v>0.28410000000000002</v>
      </c>
      <c r="H22" s="104">
        <v>1.2999999999999999E-3</v>
      </c>
      <c r="I22" s="72" t="s">
        <v>13</v>
      </c>
      <c r="J22" s="72">
        <v>122</v>
      </c>
      <c r="K22" s="72" t="s">
        <v>65</v>
      </c>
      <c r="L22" s="72">
        <v>90217</v>
      </c>
      <c r="M22" s="72" t="s">
        <v>66</v>
      </c>
      <c r="N22" s="72">
        <v>9562</v>
      </c>
      <c r="O22" s="72" t="s">
        <v>67</v>
      </c>
      <c r="P22" s="72">
        <v>6234</v>
      </c>
      <c r="Q22" s="104">
        <f>L22-(N22+P22)/2</f>
        <v>82319</v>
      </c>
      <c r="R22" s="2">
        <f>Q22/G22</f>
        <v>289753.60788454767</v>
      </c>
      <c r="T22" s="104">
        <f t="shared" ref="T22:T33" si="7">SUM(L36,L50,L64,L78,L92,L120,L134,L148,L162,L176,L190,L204,L218,L232)</f>
        <v>74952</v>
      </c>
      <c r="U22" s="2">
        <f>SQRT(T22)</f>
        <v>273.77362911719604</v>
      </c>
      <c r="V22" s="104">
        <f t="shared" ref="V22:V33" si="8">SUM(N36,N50,N64,N78,N92,N120,N134,N148,N162,N176,N190,N204,N218,N232)</f>
        <v>4051</v>
      </c>
      <c r="W22" s="2">
        <f>SQRT(V22)</f>
        <v>63.647466563878254</v>
      </c>
      <c r="X22" s="104">
        <f t="shared" ref="X22:X33" si="9">SUM(P36,P50,P64,P78,P92,P120,P134,P148,P162,P176,P190,P204,P218,P232)</f>
        <v>2354</v>
      </c>
      <c r="Y22" s="2">
        <f>SQRT(X22)</f>
        <v>48.518037882832814</v>
      </c>
      <c r="Z22" s="104">
        <f>T22-(V22+X22)/2</f>
        <v>71749.5</v>
      </c>
      <c r="AA22" s="2">
        <f>SQRT(U22^2+(W22/2)^2+(Y22/2)^2)</f>
        <v>276.68257986364085</v>
      </c>
      <c r="AB22" s="3">
        <f t="shared" ref="AB22:AB33" si="10">Q$20*G22</f>
        <v>1420500</v>
      </c>
      <c r="AC22" s="69">
        <f t="shared" ref="AC22:AC33" si="11">AB22*SQRT((R$20/Q$20)^2+(H22/G22)^2)</f>
        <v>6530.9696102493072</v>
      </c>
      <c r="AD22" s="102">
        <f>Z22/(Q$20*G22)</f>
        <v>5.0510031678986274E-2</v>
      </c>
      <c r="AE22" s="103">
        <f t="shared" ref="AE22:AE33" si="12">AD22*SQRT((AC$22/AB$22)^2+(AA22/Z22)^2)</f>
        <v>3.030978443122281E-4</v>
      </c>
      <c r="AF22" s="1" t="e">
        <f>AD22/#REF!</f>
        <v>#REF!</v>
      </c>
    </row>
    <row r="23" spans="2:76">
      <c r="E23" s="1">
        <f t="shared" ref="E23:E33" si="13">M7/AD23</f>
        <v>0.46144904765034017</v>
      </c>
      <c r="F23" s="1">
        <f t="shared" ref="F23:F33" si="14">E23*SQRT((N7/M7)^2+(AE23/AD23)^2)</f>
        <v>5.4505187955280181E-3</v>
      </c>
      <c r="G23" s="104">
        <v>7.4999999999999997E-2</v>
      </c>
      <c r="H23" s="104">
        <v>4.0000000000000002E-4</v>
      </c>
      <c r="I23" s="72" t="s">
        <v>13</v>
      </c>
      <c r="J23" s="72">
        <v>245</v>
      </c>
      <c r="K23" s="72" t="s">
        <v>65</v>
      </c>
      <c r="L23" s="72">
        <v>21806</v>
      </c>
      <c r="M23" s="72" t="s">
        <v>66</v>
      </c>
      <c r="N23" s="72">
        <v>5155</v>
      </c>
      <c r="O23" s="72" t="s">
        <v>67</v>
      </c>
      <c r="P23" s="72">
        <v>4170</v>
      </c>
      <c r="Q23" s="104">
        <f t="shared" ref="Q23:Q33" si="15">L23-(N23+P23)/2</f>
        <v>17143.5</v>
      </c>
      <c r="R23" s="2">
        <f t="shared" ref="R23:R33" si="16">Q23/G23</f>
        <v>228580</v>
      </c>
      <c r="T23" s="104">
        <f t="shared" si="7"/>
        <v>16883</v>
      </c>
      <c r="U23" s="2">
        <f t="shared" ref="U23:W33" si="17">SQRT(T23)</f>
        <v>129.93459893346343</v>
      </c>
      <c r="V23" s="104">
        <f t="shared" si="8"/>
        <v>1980</v>
      </c>
      <c r="W23" s="2">
        <f t="shared" si="17"/>
        <v>44.497190922573978</v>
      </c>
      <c r="X23" s="104">
        <f t="shared" si="9"/>
        <v>1774</v>
      </c>
      <c r="Y23" s="2">
        <f t="shared" ref="Y23:Y32" si="18">SQRT(X23)</f>
        <v>42.118879377305376</v>
      </c>
      <c r="Z23" s="104">
        <f t="shared" ref="Z23:Z33" si="19">T23-(V23+X23)/2</f>
        <v>15006</v>
      </c>
      <c r="AA23" s="2">
        <f t="shared" ref="AA23:AA33" si="20">SQRT(U23^2+(W23/2)^2+(Y23/2)^2)</f>
        <v>133.49719098168319</v>
      </c>
      <c r="AB23" s="3">
        <f t="shared" si="10"/>
        <v>375000</v>
      </c>
      <c r="AC23" s="69">
        <f t="shared" si="11"/>
        <v>2007.0189336426304</v>
      </c>
      <c r="AD23" s="102">
        <f t="shared" ref="AD23:AD33" si="21">Z23/(Q$20*G23)</f>
        <v>4.0016000000000003E-2</v>
      </c>
      <c r="AE23" s="103">
        <f t="shared" si="12"/>
        <v>4.0072337933534468E-4</v>
      </c>
      <c r="AF23" s="1" t="e">
        <f>AD23/#REF!</f>
        <v>#REF!</v>
      </c>
    </row>
    <row r="24" spans="2:76">
      <c r="E24" s="1">
        <f t="shared" si="13"/>
        <v>0.47523321261348472</v>
      </c>
      <c r="F24" s="1">
        <f t="shared" si="14"/>
        <v>3.9150027059390337E-3</v>
      </c>
      <c r="G24" s="104">
        <v>0.26579999999999998</v>
      </c>
      <c r="H24" s="104">
        <v>1.1999999999999999E-3</v>
      </c>
      <c r="I24" s="72" t="s">
        <v>13</v>
      </c>
      <c r="J24" s="72">
        <v>344</v>
      </c>
      <c r="K24" s="72" t="s">
        <v>65</v>
      </c>
      <c r="L24" s="72">
        <v>51546</v>
      </c>
      <c r="M24" s="72" t="s">
        <v>66</v>
      </c>
      <c r="N24" s="72">
        <v>2840</v>
      </c>
      <c r="O24" s="72" t="s">
        <v>67</v>
      </c>
      <c r="P24" s="72">
        <v>2212</v>
      </c>
      <c r="Q24" s="104">
        <f t="shared" si="15"/>
        <v>49020</v>
      </c>
      <c r="R24" s="2">
        <f t="shared" si="16"/>
        <v>184424.37923250566</v>
      </c>
      <c r="T24" s="104">
        <f t="shared" si="7"/>
        <v>43874</v>
      </c>
      <c r="U24" s="2">
        <f t="shared" si="17"/>
        <v>209.4612135933524</v>
      </c>
      <c r="V24" s="104">
        <f t="shared" si="8"/>
        <v>1132</v>
      </c>
      <c r="W24" s="2">
        <f t="shared" si="17"/>
        <v>33.645207682521445</v>
      </c>
      <c r="X24" s="104">
        <f t="shared" si="9"/>
        <v>821</v>
      </c>
      <c r="Y24" s="2">
        <f t="shared" si="18"/>
        <v>28.653097563788805</v>
      </c>
      <c r="Z24" s="104">
        <f t="shared" si="19"/>
        <v>42897.5</v>
      </c>
      <c r="AA24" s="2">
        <f t="shared" si="20"/>
        <v>210.62347922299639</v>
      </c>
      <c r="AB24" s="3">
        <f t="shared" si="10"/>
        <v>1329000</v>
      </c>
      <c r="AC24" s="69">
        <f t="shared" si="11"/>
        <v>6029.3654890046264</v>
      </c>
      <c r="AD24" s="102">
        <f t="shared" si="21"/>
        <v>3.2278028592927013E-2</v>
      </c>
      <c r="AE24" s="103">
        <f t="shared" si="12"/>
        <v>2.1711813691674186E-4</v>
      </c>
      <c r="AF24" s="1" t="e">
        <f>AD24/#REF!</f>
        <v>#REF!</v>
      </c>
    </row>
    <row r="25" spans="2:76">
      <c r="E25" s="1">
        <f t="shared" si="13"/>
        <v>0.45686324561426495</v>
      </c>
      <c r="F25" s="1">
        <f t="shared" si="14"/>
        <v>1.0434164822993992E-2</v>
      </c>
      <c r="G25" s="104">
        <v>2.2370000000000001E-2</v>
      </c>
      <c r="H25" s="104">
        <v>1E-4</v>
      </c>
      <c r="I25" s="72" t="s">
        <v>13</v>
      </c>
      <c r="J25" s="72">
        <v>411</v>
      </c>
      <c r="K25" s="72" t="s">
        <v>65</v>
      </c>
      <c r="L25" s="72">
        <v>5669</v>
      </c>
      <c r="M25" s="72" t="s">
        <v>66</v>
      </c>
      <c r="N25" s="72">
        <v>2021</v>
      </c>
      <c r="O25" s="72" t="s">
        <v>67</v>
      </c>
      <c r="P25" s="72">
        <v>1995</v>
      </c>
      <c r="Q25" s="104">
        <f t="shared" si="15"/>
        <v>3661</v>
      </c>
      <c r="R25" s="2">
        <f t="shared" si="16"/>
        <v>163656.68305766652</v>
      </c>
      <c r="T25" s="104">
        <f t="shared" si="7"/>
        <v>4050</v>
      </c>
      <c r="U25" s="2">
        <f t="shared" si="17"/>
        <v>63.63961030678928</v>
      </c>
      <c r="V25" s="104">
        <f t="shared" si="8"/>
        <v>808</v>
      </c>
      <c r="W25" s="2">
        <f t="shared" si="17"/>
        <v>28.42534080710379</v>
      </c>
      <c r="X25" s="104">
        <f t="shared" si="9"/>
        <v>763</v>
      </c>
      <c r="Y25" s="2">
        <f t="shared" si="18"/>
        <v>27.622454633866266</v>
      </c>
      <c r="Z25" s="104">
        <f t="shared" si="19"/>
        <v>3264.5</v>
      </c>
      <c r="AA25" s="2">
        <f t="shared" si="20"/>
        <v>66.653957121839355</v>
      </c>
      <c r="AB25" s="3">
        <f t="shared" si="10"/>
        <v>111850</v>
      </c>
      <c r="AC25" s="69">
        <f t="shared" si="11"/>
        <v>502.4958552067867</v>
      </c>
      <c r="AD25" s="102">
        <f t="shared" si="21"/>
        <v>2.9186410371032635E-2</v>
      </c>
      <c r="AE25" s="103">
        <f t="shared" si="12"/>
        <v>6.1084417113624833E-4</v>
      </c>
      <c r="AF25" s="1" t="e">
        <f>AD25/#REF!</f>
        <v>#REF!</v>
      </c>
    </row>
    <row r="26" spans="2:76">
      <c r="E26" s="1">
        <f t="shared" si="13"/>
        <v>0.51511371582268339</v>
      </c>
      <c r="F26" s="1">
        <f t="shared" si="14"/>
        <v>1.0371860602957025E-2</v>
      </c>
      <c r="G26" s="104">
        <v>3.125E-2</v>
      </c>
      <c r="H26" s="104">
        <v>1.3999999999999999E-4</v>
      </c>
      <c r="I26" s="72" t="s">
        <v>13</v>
      </c>
      <c r="J26" s="72">
        <v>444</v>
      </c>
      <c r="K26" s="72" t="s">
        <v>65</v>
      </c>
      <c r="L26" s="72">
        <v>6510</v>
      </c>
      <c r="M26" s="72" t="s">
        <v>66</v>
      </c>
      <c r="N26" s="72">
        <v>2019</v>
      </c>
      <c r="O26" s="72" t="s">
        <v>67</v>
      </c>
      <c r="P26" s="72">
        <v>2048</v>
      </c>
      <c r="Q26" s="104">
        <f t="shared" si="15"/>
        <v>4476.5</v>
      </c>
      <c r="R26" s="2">
        <f t="shared" si="16"/>
        <v>143248</v>
      </c>
      <c r="T26" s="104">
        <f t="shared" si="7"/>
        <v>4770</v>
      </c>
      <c r="U26" s="2">
        <f t="shared" si="17"/>
        <v>69.06518659932803</v>
      </c>
      <c r="V26" s="104">
        <f t="shared" si="8"/>
        <v>799</v>
      </c>
      <c r="W26" s="2">
        <f t="shared" si="17"/>
        <v>28.26658805020514</v>
      </c>
      <c r="X26" s="104">
        <f t="shared" si="9"/>
        <v>764</v>
      </c>
      <c r="Y26" s="2">
        <f t="shared" si="18"/>
        <v>27.640549922170507</v>
      </c>
      <c r="Z26" s="104">
        <f t="shared" si="19"/>
        <v>3988.5</v>
      </c>
      <c r="AA26" s="2">
        <f t="shared" si="20"/>
        <v>71.838360226274659</v>
      </c>
      <c r="AB26" s="3">
        <f t="shared" si="10"/>
        <v>156250</v>
      </c>
      <c r="AC26" s="69">
        <f t="shared" si="11"/>
        <v>703.47907751403659</v>
      </c>
      <c r="AD26" s="102">
        <f t="shared" si="21"/>
        <v>2.5526400000000001E-2</v>
      </c>
      <c r="AE26" s="103">
        <f t="shared" si="12"/>
        <v>4.7450823330989111E-4</v>
      </c>
      <c r="AF26" s="1" t="e">
        <f>AD26/#REF!</f>
        <v>#REF!</v>
      </c>
    </row>
    <row r="27" spans="2:76">
      <c r="E27" s="1">
        <f t="shared" si="13"/>
        <v>0.52305324029554756</v>
      </c>
      <c r="F27" s="1">
        <f t="shared" si="14"/>
        <v>6.2561349121806366E-3</v>
      </c>
      <c r="G27" s="104">
        <v>0.12959999999999999</v>
      </c>
      <c r="H27" s="104">
        <v>5.9999999999999995E-4</v>
      </c>
      <c r="I27" s="72" t="s">
        <v>13</v>
      </c>
      <c r="J27" s="72">
        <v>779</v>
      </c>
      <c r="K27" s="72" t="s">
        <v>65</v>
      </c>
      <c r="L27" s="72">
        <v>14784</v>
      </c>
      <c r="M27" s="72" t="s">
        <v>66</v>
      </c>
      <c r="N27" s="72">
        <v>1487</v>
      </c>
      <c r="O27" s="72" t="s">
        <v>67</v>
      </c>
      <c r="P27" s="72">
        <v>1451</v>
      </c>
      <c r="Q27" s="104">
        <f t="shared" si="15"/>
        <v>13315</v>
      </c>
      <c r="R27" s="2">
        <f t="shared" si="16"/>
        <v>102739.1975308642</v>
      </c>
      <c r="T27" s="104">
        <f t="shared" si="7"/>
        <v>12247</v>
      </c>
      <c r="U27" s="2">
        <f t="shared" si="17"/>
        <v>110.66616465749593</v>
      </c>
      <c r="V27" s="104">
        <f t="shared" si="8"/>
        <v>589</v>
      </c>
      <c r="W27" s="2">
        <f t="shared" si="17"/>
        <v>24.269322199023193</v>
      </c>
      <c r="X27" s="104">
        <f t="shared" si="9"/>
        <v>567</v>
      </c>
      <c r="Y27" s="2">
        <f t="shared" si="18"/>
        <v>23.811761799581316</v>
      </c>
      <c r="Z27" s="104">
        <f t="shared" si="19"/>
        <v>11669</v>
      </c>
      <c r="AA27" s="2">
        <f t="shared" si="20"/>
        <v>111.96428001822724</v>
      </c>
      <c r="AB27" s="3">
        <f t="shared" si="10"/>
        <v>648000</v>
      </c>
      <c r="AC27" s="69">
        <f t="shared" si="11"/>
        <v>3013.9642997222113</v>
      </c>
      <c r="AD27" s="102">
        <f t="shared" si="21"/>
        <v>1.8007716049382717E-2</v>
      </c>
      <c r="AE27" s="103">
        <f t="shared" si="12"/>
        <v>1.9159637054029895E-4</v>
      </c>
      <c r="AF27" s="1" t="e">
        <f>AD27/#REF!</f>
        <v>#REF!</v>
      </c>
    </row>
    <row r="28" spans="2:76">
      <c r="E28" s="1">
        <f t="shared" si="13"/>
        <v>0.51004384915622325</v>
      </c>
      <c r="F28" s="1">
        <f t="shared" si="14"/>
        <v>1.0573023664150133E-2</v>
      </c>
      <c r="G28" s="104">
        <v>4.2410000000000003E-2</v>
      </c>
      <c r="H28" s="104">
        <v>2.3000000000000001E-4</v>
      </c>
      <c r="I28" s="72" t="s">
        <v>13</v>
      </c>
      <c r="J28" s="72">
        <v>867</v>
      </c>
      <c r="K28" s="72" t="s">
        <v>65</v>
      </c>
      <c r="L28" s="72">
        <v>5405</v>
      </c>
      <c r="M28" s="72" t="s">
        <v>66</v>
      </c>
      <c r="N28" s="72">
        <v>1224</v>
      </c>
      <c r="O28" s="72" t="s">
        <v>67</v>
      </c>
      <c r="P28" s="72">
        <v>1347</v>
      </c>
      <c r="Q28" s="104">
        <f t="shared" si="15"/>
        <v>4119.5</v>
      </c>
      <c r="R28" s="2">
        <f t="shared" si="16"/>
        <v>97135.109643951888</v>
      </c>
      <c r="T28" s="104">
        <f t="shared" si="7"/>
        <v>4111</v>
      </c>
      <c r="U28" s="2">
        <f t="shared" si="17"/>
        <v>64.117080407641765</v>
      </c>
      <c r="V28" s="104">
        <f t="shared" si="8"/>
        <v>504</v>
      </c>
      <c r="W28" s="2">
        <f t="shared" si="17"/>
        <v>22.449944320643649</v>
      </c>
      <c r="X28" s="104">
        <f t="shared" si="9"/>
        <v>521</v>
      </c>
      <c r="Y28" s="2">
        <f t="shared" si="18"/>
        <v>22.825424421026653</v>
      </c>
      <c r="Z28" s="104">
        <f t="shared" si="19"/>
        <v>3598.5</v>
      </c>
      <c r="AA28" s="2">
        <f t="shared" si="20"/>
        <v>66.085172315732066</v>
      </c>
      <c r="AB28" s="3">
        <f t="shared" si="10"/>
        <v>212050.00000000003</v>
      </c>
      <c r="AC28" s="69">
        <f t="shared" si="11"/>
        <v>1153.9033930533353</v>
      </c>
      <c r="AD28" s="102">
        <f t="shared" si="21"/>
        <v>1.6970054232492333E-2</v>
      </c>
      <c r="AE28" s="103">
        <f t="shared" si="12"/>
        <v>3.2126719314941934E-4</v>
      </c>
      <c r="AF28" s="1" t="e">
        <f>AD28/#REF!</f>
        <v>#REF!</v>
      </c>
    </row>
    <row r="29" spans="2:76">
      <c r="E29" s="1">
        <f t="shared" si="13"/>
        <v>0.52034820973513152</v>
      </c>
      <c r="F29" s="1">
        <f t="shared" si="14"/>
        <v>6.0503004173449049E-3</v>
      </c>
      <c r="G29" s="104">
        <v>0.1462</v>
      </c>
      <c r="H29" s="104">
        <v>5.9999999999999995E-4</v>
      </c>
      <c r="I29" s="72" t="s">
        <v>13</v>
      </c>
      <c r="J29" s="72">
        <v>964</v>
      </c>
      <c r="K29" s="72" t="s">
        <v>65</v>
      </c>
      <c r="L29" s="72">
        <v>14443</v>
      </c>
      <c r="M29" s="72" t="s">
        <v>66</v>
      </c>
      <c r="N29" s="72">
        <v>935</v>
      </c>
      <c r="O29" s="72" t="s">
        <v>67</v>
      </c>
      <c r="P29" s="72">
        <v>916</v>
      </c>
      <c r="Q29" s="104">
        <f t="shared" si="15"/>
        <v>13517.5</v>
      </c>
      <c r="R29" s="2">
        <f t="shared" si="16"/>
        <v>92458.960328317378</v>
      </c>
      <c r="T29" s="104">
        <f t="shared" si="7"/>
        <v>12120</v>
      </c>
      <c r="U29" s="2">
        <f t="shared" si="17"/>
        <v>110.09087155618307</v>
      </c>
      <c r="V29" s="104">
        <f t="shared" si="8"/>
        <v>395</v>
      </c>
      <c r="W29" s="2">
        <f t="shared" si="17"/>
        <v>19.874606914351791</v>
      </c>
      <c r="X29" s="104">
        <f t="shared" si="9"/>
        <v>372</v>
      </c>
      <c r="Y29" s="2">
        <f t="shared" si="18"/>
        <v>19.28730152198591</v>
      </c>
      <c r="Z29" s="104">
        <f t="shared" si="19"/>
        <v>11736.5</v>
      </c>
      <c r="AA29" s="2">
        <f t="shared" si="20"/>
        <v>110.95832551007608</v>
      </c>
      <c r="AB29" s="3">
        <f t="shared" si="10"/>
        <v>731000</v>
      </c>
      <c r="AC29" s="69">
        <f t="shared" si="11"/>
        <v>3017.7594668893012</v>
      </c>
      <c r="AD29" s="102">
        <f t="shared" si="21"/>
        <v>1.6055403556771545E-2</v>
      </c>
      <c r="AE29" s="103">
        <f t="shared" si="12"/>
        <v>1.6878719410608716E-4</v>
      </c>
      <c r="AF29" s="1" t="e">
        <f>AD29/#REF!</f>
        <v>#REF!</v>
      </c>
    </row>
    <row r="30" spans="2:76">
      <c r="E30" s="1">
        <f t="shared" si="13"/>
        <v>0.52871802357539011</v>
      </c>
      <c r="F30" s="1">
        <f t="shared" si="14"/>
        <v>6.5962982694203962E-3</v>
      </c>
      <c r="G30" s="104">
        <v>0.13400000000000001</v>
      </c>
      <c r="H30" s="104">
        <v>5.9999999999999995E-4</v>
      </c>
      <c r="I30" s="72" t="s">
        <v>13</v>
      </c>
      <c r="J30" s="72">
        <v>1112</v>
      </c>
      <c r="K30" s="72" t="s">
        <v>65</v>
      </c>
      <c r="L30" s="72">
        <v>12138</v>
      </c>
      <c r="M30" s="72" t="s">
        <v>66</v>
      </c>
      <c r="N30" s="72">
        <v>795</v>
      </c>
      <c r="O30" s="72" t="s">
        <v>67</v>
      </c>
      <c r="P30" s="72">
        <v>866</v>
      </c>
      <c r="Q30" s="104">
        <f t="shared" si="15"/>
        <v>11307.5</v>
      </c>
      <c r="R30" s="2">
        <f t="shared" si="16"/>
        <v>84384.32835820895</v>
      </c>
      <c r="T30" s="104">
        <f t="shared" si="7"/>
        <v>10305</v>
      </c>
      <c r="U30" s="2">
        <f t="shared" si="17"/>
        <v>101.51354589413178</v>
      </c>
      <c r="V30" s="104">
        <f t="shared" si="8"/>
        <v>332</v>
      </c>
      <c r="W30" s="2">
        <f t="shared" si="17"/>
        <v>18.220867158288598</v>
      </c>
      <c r="X30" s="104">
        <f t="shared" si="9"/>
        <v>309</v>
      </c>
      <c r="Y30" s="2">
        <f t="shared" si="18"/>
        <v>17.578395831246947</v>
      </c>
      <c r="Z30" s="104">
        <f t="shared" si="19"/>
        <v>9984.5</v>
      </c>
      <c r="AA30" s="2">
        <f t="shared" si="20"/>
        <v>102.29980449639187</v>
      </c>
      <c r="AB30" s="3">
        <f t="shared" si="10"/>
        <v>670000</v>
      </c>
      <c r="AC30" s="69">
        <f t="shared" si="11"/>
        <v>3014.9262014185351</v>
      </c>
      <c r="AD30" s="102">
        <f t="shared" si="21"/>
        <v>1.490223880597015E-2</v>
      </c>
      <c r="AE30" s="103">
        <f t="shared" si="12"/>
        <v>1.6735427461123827E-4</v>
      </c>
      <c r="AF30" s="1" t="e">
        <f>AD30/#REF!</f>
        <v>#REF!</v>
      </c>
    </row>
    <row r="31" spans="2:76">
      <c r="E31" s="1">
        <f t="shared" si="13"/>
        <v>0.52682547789998957</v>
      </c>
      <c r="F31" s="1">
        <f>E31*SQRT((N15/M15)^2+(AE31/AD31)^2)</f>
        <v>2.1276316952269964E-2</v>
      </c>
      <c r="G31" s="104">
        <v>1.4149999999999999E-2</v>
      </c>
      <c r="H31" s="104">
        <v>9.0000000000000006E-5</v>
      </c>
      <c r="I31" s="72" t="s">
        <v>13</v>
      </c>
      <c r="J31" s="72">
        <v>1213</v>
      </c>
      <c r="K31" s="72" t="s">
        <v>65</v>
      </c>
      <c r="L31" s="72">
        <v>1695</v>
      </c>
      <c r="M31" s="72" t="s">
        <v>66</v>
      </c>
      <c r="N31" s="72">
        <v>618</v>
      </c>
      <c r="O31" s="72" t="s">
        <v>67</v>
      </c>
      <c r="P31" s="72">
        <v>518</v>
      </c>
      <c r="Q31" s="104">
        <f t="shared" si="15"/>
        <v>1127</v>
      </c>
      <c r="R31" s="2">
        <f t="shared" si="16"/>
        <v>79646.643109540644</v>
      </c>
      <c r="T31" s="104">
        <f t="shared" si="7"/>
        <v>1213</v>
      </c>
      <c r="U31" s="2">
        <f t="shared" si="17"/>
        <v>34.828149534535996</v>
      </c>
      <c r="V31" s="104">
        <f t="shared" si="8"/>
        <v>239</v>
      </c>
      <c r="W31" s="2">
        <f t="shared" si="17"/>
        <v>15.459624833740307</v>
      </c>
      <c r="X31" s="104">
        <f t="shared" si="9"/>
        <v>224</v>
      </c>
      <c r="Y31" s="2">
        <f t="shared" si="18"/>
        <v>14.966629547095765</v>
      </c>
      <c r="Z31" s="104">
        <f t="shared" si="19"/>
        <v>981.5</v>
      </c>
      <c r="AA31" s="2">
        <f t="shared" si="20"/>
        <v>36.452023263462344</v>
      </c>
      <c r="AB31" s="3">
        <f t="shared" si="10"/>
        <v>70750</v>
      </c>
      <c r="AC31" s="69">
        <f t="shared" si="11"/>
        <v>451.11097581415595</v>
      </c>
      <c r="AD31" s="102">
        <f t="shared" si="21"/>
        <v>1.387279151943463E-2</v>
      </c>
      <c r="AE31" s="103">
        <f t="shared" si="12"/>
        <v>5.191559163642541E-4</v>
      </c>
      <c r="AF31" s="1" t="e">
        <f>AD31/#REF!</f>
        <v>#REF!</v>
      </c>
    </row>
    <row r="32" spans="2:76">
      <c r="E32" s="1">
        <f t="shared" si="13"/>
        <v>0.49945467017899342</v>
      </c>
      <c r="F32" s="1">
        <f t="shared" si="14"/>
        <v>1.7201932833510538E-2</v>
      </c>
      <c r="G32" s="104">
        <v>1.6320000000000001E-2</v>
      </c>
      <c r="H32" s="104">
        <v>9.0000000000000006E-5</v>
      </c>
      <c r="I32" s="72" t="s">
        <v>13</v>
      </c>
      <c r="J32" s="72">
        <v>1299</v>
      </c>
      <c r="K32" s="72" t="s">
        <v>65</v>
      </c>
      <c r="L32" s="72">
        <v>1370</v>
      </c>
      <c r="M32" s="72" t="s">
        <v>66</v>
      </c>
      <c r="N32" s="72">
        <v>198</v>
      </c>
      <c r="O32" s="72" t="s">
        <v>67</v>
      </c>
      <c r="P32" s="72">
        <v>118</v>
      </c>
      <c r="Q32" s="104">
        <f t="shared" si="15"/>
        <v>1212</v>
      </c>
      <c r="R32" s="2">
        <f t="shared" si="16"/>
        <v>74264.705882352937</v>
      </c>
      <c r="T32" s="104">
        <f t="shared" si="7"/>
        <v>1137</v>
      </c>
      <c r="U32" s="2">
        <f t="shared" si="17"/>
        <v>33.719430600174732</v>
      </c>
      <c r="V32" s="104">
        <f t="shared" si="8"/>
        <v>62</v>
      </c>
      <c r="W32" s="2">
        <f t="shared" si="17"/>
        <v>7.8740078740118111</v>
      </c>
      <c r="X32" s="104">
        <f t="shared" si="9"/>
        <v>53</v>
      </c>
      <c r="Y32" s="2">
        <f t="shared" si="18"/>
        <v>7.2801098892805181</v>
      </c>
      <c r="Z32" s="104">
        <f t="shared" si="19"/>
        <v>1079.5</v>
      </c>
      <c r="AA32" s="2">
        <f t="shared" si="20"/>
        <v>34.143081290358083</v>
      </c>
      <c r="AB32" s="3">
        <f t="shared" si="10"/>
        <v>81600</v>
      </c>
      <c r="AC32" s="69">
        <f t="shared" si="11"/>
        <v>451.47725524105863</v>
      </c>
      <c r="AD32" s="102">
        <f t="shared" si="21"/>
        <v>1.3229166666666667E-2</v>
      </c>
      <c r="AE32" s="103">
        <f t="shared" si="12"/>
        <v>4.2281774717808744E-4</v>
      </c>
      <c r="AF32" s="1" t="e">
        <f>AD32/#REF!</f>
        <v>#REF!</v>
      </c>
    </row>
    <row r="33" spans="5:32">
      <c r="E33" s="1">
        <f t="shared" si="13"/>
        <v>0.53798384281747824</v>
      </c>
      <c r="F33" s="1">
        <f t="shared" si="14"/>
        <v>5.9612500908815839E-3</v>
      </c>
      <c r="G33" s="104">
        <v>0.20849999999999999</v>
      </c>
      <c r="H33" s="104">
        <v>8.9999999999999998E-4</v>
      </c>
      <c r="I33" s="72" t="s">
        <v>13</v>
      </c>
      <c r="J33" s="72">
        <v>1408</v>
      </c>
      <c r="K33" s="72" t="s">
        <v>65</v>
      </c>
      <c r="L33" s="72">
        <v>14736</v>
      </c>
      <c r="M33" s="72" t="s">
        <v>66</v>
      </c>
      <c r="N33" s="72">
        <v>34</v>
      </c>
      <c r="O33" s="72" t="s">
        <v>67</v>
      </c>
      <c r="P33" s="72">
        <v>77</v>
      </c>
      <c r="Q33" s="104">
        <f t="shared" si="15"/>
        <v>14680.5</v>
      </c>
      <c r="R33" s="2">
        <f t="shared" si="16"/>
        <v>70410.07194244604</v>
      </c>
      <c r="T33" s="104">
        <f t="shared" si="7"/>
        <v>12986</v>
      </c>
      <c r="U33" s="2">
        <f t="shared" si="17"/>
        <v>113.95613191048562</v>
      </c>
      <c r="V33" s="104">
        <f t="shared" si="8"/>
        <v>6</v>
      </c>
      <c r="W33" s="2">
        <f t="shared" si="17"/>
        <v>2.4494897427831779</v>
      </c>
      <c r="X33" s="104">
        <f t="shared" si="9"/>
        <v>0</v>
      </c>
      <c r="Y33" s="2">
        <f>SQRT(X33)</f>
        <v>0</v>
      </c>
      <c r="Z33" s="104">
        <f t="shared" si="19"/>
        <v>12983</v>
      </c>
      <c r="AA33" s="2">
        <f t="shared" si="20"/>
        <v>113.96271320041481</v>
      </c>
      <c r="AB33" s="3">
        <f t="shared" si="10"/>
        <v>1042500</v>
      </c>
      <c r="AC33" s="69">
        <f t="shared" si="11"/>
        <v>4524.0867863028452</v>
      </c>
      <c r="AD33" s="102">
        <f t="shared" si="21"/>
        <v>1.2453717026378897E-2</v>
      </c>
      <c r="AE33" s="103">
        <f t="shared" si="12"/>
        <v>1.2340429190247542E-4</v>
      </c>
      <c r="AF33" s="1" t="e">
        <f>AD33/#REF!</f>
        <v>#REF!</v>
      </c>
    </row>
    <row r="35" spans="5:32">
      <c r="I35" s="104" t="s">
        <v>68</v>
      </c>
    </row>
    <row r="36" spans="5:32">
      <c r="I36" s="104" t="s">
        <v>13</v>
      </c>
      <c r="J36" s="104">
        <v>122</v>
      </c>
      <c r="K36" s="104" t="s">
        <v>65</v>
      </c>
      <c r="L36" s="104">
        <v>9221</v>
      </c>
      <c r="M36" s="104" t="s">
        <v>66</v>
      </c>
      <c r="N36" s="104">
        <v>396</v>
      </c>
      <c r="O36" s="104" t="s">
        <v>67</v>
      </c>
      <c r="P36" s="104">
        <v>233</v>
      </c>
    </row>
    <row r="37" spans="5:32">
      <c r="I37" s="104" t="s">
        <v>13</v>
      </c>
      <c r="J37" s="104">
        <v>245</v>
      </c>
      <c r="K37" s="104" t="s">
        <v>65</v>
      </c>
      <c r="L37" s="104">
        <v>1927</v>
      </c>
      <c r="M37" s="104" t="s">
        <v>66</v>
      </c>
      <c r="N37" s="104">
        <v>201</v>
      </c>
      <c r="O37" s="104" t="s">
        <v>67</v>
      </c>
      <c r="P37" s="104">
        <v>171</v>
      </c>
    </row>
    <row r="38" spans="5:32">
      <c r="I38" s="104" t="s">
        <v>13</v>
      </c>
      <c r="J38" s="104">
        <v>344</v>
      </c>
      <c r="K38" s="104" t="s">
        <v>65</v>
      </c>
      <c r="L38" s="104">
        <v>4992</v>
      </c>
      <c r="M38" s="104" t="s">
        <v>66</v>
      </c>
      <c r="N38" s="104">
        <v>100</v>
      </c>
      <c r="O38" s="104" t="s">
        <v>67</v>
      </c>
      <c r="P38" s="104">
        <v>77</v>
      </c>
    </row>
    <row r="39" spans="5:32">
      <c r="I39" s="104" t="s">
        <v>13</v>
      </c>
      <c r="J39" s="104">
        <v>411</v>
      </c>
      <c r="K39" s="104" t="s">
        <v>65</v>
      </c>
      <c r="L39" s="104">
        <v>455</v>
      </c>
      <c r="M39" s="104" t="s">
        <v>66</v>
      </c>
      <c r="N39" s="104">
        <v>72</v>
      </c>
      <c r="O39" s="104" t="s">
        <v>67</v>
      </c>
      <c r="P39" s="104">
        <v>80</v>
      </c>
    </row>
    <row r="40" spans="5:32">
      <c r="I40" s="104" t="s">
        <v>13</v>
      </c>
      <c r="J40" s="104">
        <v>444</v>
      </c>
      <c r="K40" s="104" t="s">
        <v>65</v>
      </c>
      <c r="L40" s="104">
        <v>493</v>
      </c>
      <c r="M40" s="104" t="s">
        <v>66</v>
      </c>
      <c r="N40" s="104">
        <v>64</v>
      </c>
      <c r="O40" s="104" t="s">
        <v>67</v>
      </c>
      <c r="P40" s="104">
        <v>63</v>
      </c>
    </row>
    <row r="41" spans="5:32">
      <c r="I41" s="104" t="s">
        <v>13</v>
      </c>
      <c r="J41" s="104">
        <v>779</v>
      </c>
      <c r="K41" s="104" t="s">
        <v>65</v>
      </c>
      <c r="L41" s="104">
        <v>1369</v>
      </c>
      <c r="M41" s="104" t="s">
        <v>66</v>
      </c>
      <c r="N41" s="104">
        <v>62</v>
      </c>
      <c r="O41" s="104" t="s">
        <v>67</v>
      </c>
      <c r="P41" s="104">
        <v>57</v>
      </c>
    </row>
    <row r="42" spans="5:32">
      <c r="I42" s="104" t="s">
        <v>13</v>
      </c>
      <c r="J42" s="104">
        <v>867</v>
      </c>
      <c r="K42" s="104" t="s">
        <v>65</v>
      </c>
      <c r="L42" s="104">
        <v>437</v>
      </c>
      <c r="M42" s="104" t="s">
        <v>66</v>
      </c>
      <c r="N42" s="104">
        <v>55</v>
      </c>
      <c r="O42" s="104" t="s">
        <v>67</v>
      </c>
      <c r="P42" s="104">
        <v>60</v>
      </c>
    </row>
    <row r="43" spans="5:32">
      <c r="I43" s="104" t="s">
        <v>13</v>
      </c>
      <c r="J43" s="104">
        <v>964</v>
      </c>
      <c r="K43" s="104" t="s">
        <v>65</v>
      </c>
      <c r="L43" s="104">
        <v>1351</v>
      </c>
      <c r="M43" s="104" t="s">
        <v>66</v>
      </c>
      <c r="N43" s="104">
        <v>55</v>
      </c>
      <c r="O43" s="104" t="s">
        <v>67</v>
      </c>
      <c r="P43" s="104">
        <v>37</v>
      </c>
    </row>
    <row r="44" spans="5:32">
      <c r="I44" s="104" t="s">
        <v>13</v>
      </c>
      <c r="J44" s="104">
        <v>1112</v>
      </c>
      <c r="K44" s="104" t="s">
        <v>65</v>
      </c>
      <c r="L44" s="104">
        <v>1078</v>
      </c>
      <c r="M44" s="104" t="s">
        <v>66</v>
      </c>
      <c r="N44" s="104">
        <v>40</v>
      </c>
      <c r="O44" s="104" t="s">
        <v>67</v>
      </c>
      <c r="P44" s="104">
        <v>38</v>
      </c>
    </row>
    <row r="45" spans="5:32">
      <c r="I45" s="104" t="s">
        <v>13</v>
      </c>
      <c r="J45" s="104">
        <v>1213</v>
      </c>
      <c r="K45" s="104" t="s">
        <v>65</v>
      </c>
      <c r="L45" s="104">
        <v>135</v>
      </c>
      <c r="M45" s="104" t="s">
        <v>66</v>
      </c>
      <c r="N45" s="104">
        <v>21</v>
      </c>
      <c r="O45" s="104" t="s">
        <v>67</v>
      </c>
      <c r="P45" s="104">
        <v>16</v>
      </c>
    </row>
    <row r="46" spans="5:32">
      <c r="I46" s="104" t="s">
        <v>13</v>
      </c>
      <c r="J46" s="104">
        <v>1299</v>
      </c>
      <c r="K46" s="104" t="s">
        <v>65</v>
      </c>
      <c r="L46" s="104">
        <v>111</v>
      </c>
      <c r="M46" s="104" t="s">
        <v>66</v>
      </c>
      <c r="N46" s="104">
        <v>6</v>
      </c>
      <c r="O46" s="104" t="s">
        <v>67</v>
      </c>
      <c r="P46" s="104">
        <v>7</v>
      </c>
    </row>
    <row r="47" spans="5:32">
      <c r="I47" s="104" t="s">
        <v>13</v>
      </c>
      <c r="J47" s="104">
        <v>1408</v>
      </c>
      <c r="K47" s="104" t="s">
        <v>65</v>
      </c>
      <c r="L47" s="104">
        <v>1404</v>
      </c>
      <c r="M47" s="104" t="s">
        <v>66</v>
      </c>
      <c r="N47" s="104">
        <v>0</v>
      </c>
      <c r="O47" s="104" t="s">
        <v>67</v>
      </c>
      <c r="P47" s="104">
        <v>0</v>
      </c>
    </row>
    <row r="49" spans="9:16">
      <c r="I49" s="104" t="s">
        <v>69</v>
      </c>
    </row>
    <row r="50" spans="9:16">
      <c r="I50" s="104" t="s">
        <v>13</v>
      </c>
      <c r="J50" s="104">
        <v>122</v>
      </c>
      <c r="K50" s="104" t="s">
        <v>65</v>
      </c>
      <c r="L50" s="104">
        <v>9156</v>
      </c>
      <c r="M50" s="104" t="s">
        <v>66</v>
      </c>
      <c r="N50" s="104">
        <v>382</v>
      </c>
      <c r="O50" s="104" t="s">
        <v>67</v>
      </c>
      <c r="P50" s="104">
        <v>207</v>
      </c>
    </row>
    <row r="51" spans="9:16">
      <c r="I51" s="104" t="s">
        <v>13</v>
      </c>
      <c r="J51" s="104">
        <v>245</v>
      </c>
      <c r="K51" s="104" t="s">
        <v>65</v>
      </c>
      <c r="L51" s="104">
        <v>1957</v>
      </c>
      <c r="M51" s="104" t="s">
        <v>66</v>
      </c>
      <c r="N51" s="104">
        <v>216</v>
      </c>
      <c r="O51" s="104" t="s">
        <v>67</v>
      </c>
      <c r="P51" s="104">
        <v>184</v>
      </c>
    </row>
    <row r="52" spans="9:16">
      <c r="I52" s="104" t="s">
        <v>13</v>
      </c>
      <c r="J52" s="104">
        <v>344</v>
      </c>
      <c r="K52" s="104" t="s">
        <v>65</v>
      </c>
      <c r="L52" s="104">
        <v>5061</v>
      </c>
      <c r="M52" s="104" t="s">
        <v>66</v>
      </c>
      <c r="N52" s="104">
        <v>84</v>
      </c>
      <c r="O52" s="104" t="s">
        <v>67</v>
      </c>
      <c r="P52" s="104">
        <v>62</v>
      </c>
    </row>
    <row r="53" spans="9:16">
      <c r="I53" s="104" t="s">
        <v>13</v>
      </c>
      <c r="J53" s="104">
        <v>411</v>
      </c>
      <c r="K53" s="104" t="s">
        <v>65</v>
      </c>
      <c r="L53" s="104">
        <v>467</v>
      </c>
      <c r="M53" s="104" t="s">
        <v>66</v>
      </c>
      <c r="N53" s="104">
        <v>67</v>
      </c>
      <c r="O53" s="104" t="s">
        <v>67</v>
      </c>
      <c r="P53" s="104">
        <v>72</v>
      </c>
    </row>
    <row r="54" spans="9:16">
      <c r="I54" s="104" t="s">
        <v>13</v>
      </c>
      <c r="J54" s="104">
        <v>444</v>
      </c>
      <c r="K54" s="104" t="s">
        <v>65</v>
      </c>
      <c r="L54" s="104">
        <v>536</v>
      </c>
      <c r="M54" s="104" t="s">
        <v>66</v>
      </c>
      <c r="N54" s="104">
        <v>81</v>
      </c>
      <c r="O54" s="104" t="s">
        <v>67</v>
      </c>
      <c r="P54" s="104">
        <v>81</v>
      </c>
    </row>
    <row r="55" spans="9:16">
      <c r="I55" s="104" t="s">
        <v>13</v>
      </c>
      <c r="J55" s="104">
        <v>779</v>
      </c>
      <c r="K55" s="104" t="s">
        <v>65</v>
      </c>
      <c r="L55" s="104">
        <v>1330</v>
      </c>
      <c r="M55" s="104" t="s">
        <v>66</v>
      </c>
      <c r="N55" s="104">
        <v>54</v>
      </c>
      <c r="O55" s="104" t="s">
        <v>67</v>
      </c>
      <c r="P55" s="104">
        <v>61</v>
      </c>
    </row>
    <row r="56" spans="9:16">
      <c r="I56" s="104" t="s">
        <v>13</v>
      </c>
      <c r="J56" s="104">
        <v>867</v>
      </c>
      <c r="K56" s="104" t="s">
        <v>65</v>
      </c>
      <c r="L56" s="104">
        <v>427</v>
      </c>
      <c r="M56" s="104" t="s">
        <v>66</v>
      </c>
      <c r="N56" s="104">
        <v>68</v>
      </c>
      <c r="O56" s="104" t="s">
        <v>67</v>
      </c>
      <c r="P56" s="104">
        <v>41</v>
      </c>
    </row>
    <row r="57" spans="9:16">
      <c r="I57" s="104" t="s">
        <v>13</v>
      </c>
      <c r="J57" s="104">
        <v>964</v>
      </c>
      <c r="K57" s="104" t="s">
        <v>65</v>
      </c>
      <c r="L57" s="104">
        <v>1373</v>
      </c>
      <c r="M57" s="104" t="s">
        <v>66</v>
      </c>
      <c r="N57" s="104">
        <v>40</v>
      </c>
      <c r="O57" s="104" t="s">
        <v>67</v>
      </c>
      <c r="P57" s="104">
        <v>32</v>
      </c>
    </row>
    <row r="58" spans="9:16">
      <c r="I58" s="104" t="s">
        <v>13</v>
      </c>
      <c r="J58" s="104">
        <v>1112</v>
      </c>
      <c r="K58" s="104" t="s">
        <v>65</v>
      </c>
      <c r="L58" s="104">
        <v>1088</v>
      </c>
      <c r="M58" s="104" t="s">
        <v>66</v>
      </c>
      <c r="N58" s="104">
        <v>46</v>
      </c>
      <c r="O58" s="104" t="s">
        <v>67</v>
      </c>
      <c r="P58" s="104">
        <v>34</v>
      </c>
    </row>
    <row r="59" spans="9:16">
      <c r="I59" s="104" t="s">
        <v>13</v>
      </c>
      <c r="J59" s="104">
        <v>1213</v>
      </c>
      <c r="K59" s="104" t="s">
        <v>65</v>
      </c>
      <c r="L59" s="104">
        <v>130</v>
      </c>
      <c r="M59" s="104" t="s">
        <v>66</v>
      </c>
      <c r="N59" s="104">
        <v>31</v>
      </c>
      <c r="O59" s="104" t="s">
        <v>67</v>
      </c>
      <c r="P59" s="104">
        <v>26</v>
      </c>
    </row>
    <row r="60" spans="9:16">
      <c r="I60" s="104" t="s">
        <v>13</v>
      </c>
      <c r="J60" s="104">
        <v>1299</v>
      </c>
      <c r="K60" s="104" t="s">
        <v>65</v>
      </c>
      <c r="L60" s="104">
        <v>139</v>
      </c>
      <c r="M60" s="104" t="s">
        <v>66</v>
      </c>
      <c r="N60" s="104">
        <v>5</v>
      </c>
      <c r="O60" s="104" t="s">
        <v>67</v>
      </c>
      <c r="P60" s="104">
        <v>6</v>
      </c>
    </row>
    <row r="61" spans="9:16">
      <c r="I61" s="104" t="s">
        <v>13</v>
      </c>
      <c r="J61" s="104">
        <v>1408</v>
      </c>
      <c r="K61" s="104" t="s">
        <v>65</v>
      </c>
      <c r="L61" s="104">
        <v>1433</v>
      </c>
      <c r="M61" s="104" t="s">
        <v>66</v>
      </c>
      <c r="N61" s="104">
        <v>0</v>
      </c>
      <c r="O61" s="104" t="s">
        <v>67</v>
      </c>
      <c r="P61" s="104">
        <v>0</v>
      </c>
    </row>
    <row r="63" spans="9:16">
      <c r="I63" s="104" t="s">
        <v>70</v>
      </c>
    </row>
    <row r="64" spans="9:16">
      <c r="I64" s="104" t="s">
        <v>13</v>
      </c>
      <c r="J64" s="104">
        <v>122</v>
      </c>
      <c r="K64" s="104" t="s">
        <v>65</v>
      </c>
      <c r="L64" s="104">
        <v>9281</v>
      </c>
      <c r="M64" s="104" t="s">
        <v>66</v>
      </c>
      <c r="N64" s="104">
        <v>401</v>
      </c>
      <c r="O64" s="104" t="s">
        <v>67</v>
      </c>
      <c r="P64" s="104">
        <v>247</v>
      </c>
    </row>
    <row r="65" spans="9:16">
      <c r="I65" s="104" t="s">
        <v>13</v>
      </c>
      <c r="J65" s="104">
        <v>245</v>
      </c>
      <c r="K65" s="104" t="s">
        <v>65</v>
      </c>
      <c r="L65" s="104">
        <v>1930</v>
      </c>
      <c r="M65" s="104" t="s">
        <v>66</v>
      </c>
      <c r="N65" s="104">
        <v>192</v>
      </c>
      <c r="O65" s="104" t="s">
        <v>67</v>
      </c>
      <c r="P65" s="104">
        <v>177</v>
      </c>
    </row>
    <row r="66" spans="9:16">
      <c r="I66" s="104" t="s">
        <v>13</v>
      </c>
      <c r="J66" s="104">
        <v>344</v>
      </c>
      <c r="K66" s="104" t="s">
        <v>65</v>
      </c>
      <c r="L66" s="104">
        <v>5025</v>
      </c>
      <c r="M66" s="104" t="s">
        <v>66</v>
      </c>
      <c r="N66" s="104">
        <v>93</v>
      </c>
      <c r="O66" s="104" t="s">
        <v>67</v>
      </c>
      <c r="P66" s="104">
        <v>68</v>
      </c>
    </row>
    <row r="67" spans="9:16">
      <c r="I67" s="104" t="s">
        <v>13</v>
      </c>
      <c r="J67" s="104">
        <v>411</v>
      </c>
      <c r="K67" s="104" t="s">
        <v>65</v>
      </c>
      <c r="L67" s="104">
        <v>454</v>
      </c>
      <c r="M67" s="104" t="s">
        <v>66</v>
      </c>
      <c r="N67" s="104">
        <v>62</v>
      </c>
      <c r="O67" s="104" t="s">
        <v>67</v>
      </c>
      <c r="P67" s="104">
        <v>83</v>
      </c>
    </row>
    <row r="68" spans="9:16">
      <c r="I68" s="104" t="s">
        <v>13</v>
      </c>
      <c r="J68" s="104">
        <v>444</v>
      </c>
      <c r="K68" s="104" t="s">
        <v>65</v>
      </c>
      <c r="L68" s="104">
        <v>524</v>
      </c>
      <c r="M68" s="104" t="s">
        <v>66</v>
      </c>
      <c r="N68" s="104">
        <v>85</v>
      </c>
      <c r="O68" s="104" t="s">
        <v>67</v>
      </c>
      <c r="P68" s="104">
        <v>90</v>
      </c>
    </row>
    <row r="69" spans="9:16">
      <c r="I69" s="104" t="s">
        <v>13</v>
      </c>
      <c r="J69" s="104">
        <v>779</v>
      </c>
      <c r="K69" s="104" t="s">
        <v>65</v>
      </c>
      <c r="L69" s="104">
        <v>1260</v>
      </c>
      <c r="M69" s="104" t="s">
        <v>66</v>
      </c>
      <c r="N69" s="104">
        <v>49</v>
      </c>
      <c r="O69" s="104" t="s">
        <v>67</v>
      </c>
      <c r="P69" s="104">
        <v>58</v>
      </c>
    </row>
    <row r="70" spans="9:16">
      <c r="I70" s="104" t="s">
        <v>13</v>
      </c>
      <c r="J70" s="104">
        <v>867</v>
      </c>
      <c r="K70" s="104" t="s">
        <v>65</v>
      </c>
      <c r="L70" s="104">
        <v>429</v>
      </c>
      <c r="M70" s="104" t="s">
        <v>66</v>
      </c>
      <c r="N70" s="104">
        <v>48</v>
      </c>
      <c r="O70" s="104" t="s">
        <v>67</v>
      </c>
      <c r="P70" s="104">
        <v>52</v>
      </c>
    </row>
    <row r="71" spans="9:16">
      <c r="I71" s="104" t="s">
        <v>13</v>
      </c>
      <c r="J71" s="104">
        <v>964</v>
      </c>
      <c r="K71" s="104" t="s">
        <v>65</v>
      </c>
      <c r="L71" s="104">
        <v>1275</v>
      </c>
      <c r="M71" s="104" t="s">
        <v>66</v>
      </c>
      <c r="N71" s="104">
        <v>38</v>
      </c>
      <c r="O71" s="104" t="s">
        <v>67</v>
      </c>
      <c r="P71" s="104">
        <v>45</v>
      </c>
    </row>
    <row r="72" spans="9:16">
      <c r="I72" s="104" t="s">
        <v>13</v>
      </c>
      <c r="J72" s="104">
        <v>1112</v>
      </c>
      <c r="K72" s="104" t="s">
        <v>65</v>
      </c>
      <c r="L72" s="104">
        <v>1095</v>
      </c>
      <c r="M72" s="104" t="s">
        <v>66</v>
      </c>
      <c r="N72" s="104">
        <v>34</v>
      </c>
      <c r="O72" s="104" t="s">
        <v>67</v>
      </c>
      <c r="P72" s="104">
        <v>37</v>
      </c>
    </row>
    <row r="73" spans="9:16">
      <c r="I73" s="104" t="s">
        <v>13</v>
      </c>
      <c r="J73" s="104">
        <v>1213</v>
      </c>
      <c r="K73" s="104" t="s">
        <v>65</v>
      </c>
      <c r="L73" s="104">
        <v>118</v>
      </c>
      <c r="M73" s="104" t="s">
        <v>66</v>
      </c>
      <c r="N73" s="104">
        <v>26</v>
      </c>
      <c r="O73" s="104" t="s">
        <v>67</v>
      </c>
      <c r="P73" s="104">
        <v>20</v>
      </c>
    </row>
    <row r="74" spans="9:16">
      <c r="I74" s="104" t="s">
        <v>13</v>
      </c>
      <c r="J74" s="104">
        <v>1299</v>
      </c>
      <c r="K74" s="104" t="s">
        <v>65</v>
      </c>
      <c r="L74" s="104">
        <v>119</v>
      </c>
      <c r="M74" s="104" t="s">
        <v>66</v>
      </c>
      <c r="N74" s="104">
        <v>7</v>
      </c>
      <c r="O74" s="104" t="s">
        <v>67</v>
      </c>
      <c r="P74" s="104">
        <v>7</v>
      </c>
    </row>
    <row r="75" spans="9:16">
      <c r="I75" s="104" t="s">
        <v>13</v>
      </c>
      <c r="J75" s="104">
        <v>1408</v>
      </c>
      <c r="K75" s="104" t="s">
        <v>65</v>
      </c>
      <c r="L75" s="104">
        <v>1395</v>
      </c>
      <c r="M75" s="104" t="s">
        <v>66</v>
      </c>
      <c r="N75" s="104">
        <v>1</v>
      </c>
      <c r="O75" s="104" t="s">
        <v>67</v>
      </c>
      <c r="P75" s="104">
        <v>0</v>
      </c>
    </row>
    <row r="77" spans="9:16">
      <c r="I77" s="104" t="s">
        <v>71</v>
      </c>
    </row>
    <row r="78" spans="9:16">
      <c r="I78" s="104" t="s">
        <v>13</v>
      </c>
      <c r="J78" s="104">
        <v>122</v>
      </c>
      <c r="K78" s="104" t="s">
        <v>65</v>
      </c>
      <c r="L78" s="104">
        <v>9119</v>
      </c>
      <c r="M78" s="104" t="s">
        <v>66</v>
      </c>
      <c r="N78" s="104">
        <v>376</v>
      </c>
      <c r="O78" s="104" t="s">
        <v>67</v>
      </c>
      <c r="P78" s="104">
        <v>212</v>
      </c>
    </row>
    <row r="79" spans="9:16">
      <c r="I79" s="104" t="s">
        <v>13</v>
      </c>
      <c r="J79" s="104">
        <v>245</v>
      </c>
      <c r="K79" s="104" t="s">
        <v>65</v>
      </c>
      <c r="L79" s="104">
        <v>1980</v>
      </c>
      <c r="M79" s="104" t="s">
        <v>66</v>
      </c>
      <c r="N79" s="104">
        <v>181</v>
      </c>
      <c r="O79" s="104" t="s">
        <v>67</v>
      </c>
      <c r="P79" s="104">
        <v>162</v>
      </c>
    </row>
    <row r="80" spans="9:16">
      <c r="I80" s="104" t="s">
        <v>13</v>
      </c>
      <c r="J80" s="104">
        <v>344</v>
      </c>
      <c r="K80" s="104" t="s">
        <v>65</v>
      </c>
      <c r="L80" s="104">
        <v>5060</v>
      </c>
      <c r="M80" s="104" t="s">
        <v>66</v>
      </c>
      <c r="N80" s="104">
        <v>107</v>
      </c>
      <c r="O80" s="104" t="s">
        <v>67</v>
      </c>
      <c r="P80" s="104">
        <v>79</v>
      </c>
    </row>
    <row r="81" spans="9:16">
      <c r="I81" s="104" t="s">
        <v>13</v>
      </c>
      <c r="J81" s="104">
        <v>411</v>
      </c>
      <c r="K81" s="104" t="s">
        <v>65</v>
      </c>
      <c r="L81" s="104">
        <v>419</v>
      </c>
      <c r="M81" s="104" t="s">
        <v>66</v>
      </c>
      <c r="N81" s="104">
        <v>73</v>
      </c>
      <c r="O81" s="104" t="s">
        <v>67</v>
      </c>
      <c r="P81" s="104">
        <v>74</v>
      </c>
    </row>
    <row r="82" spans="9:16">
      <c r="I82" s="104" t="s">
        <v>13</v>
      </c>
      <c r="J82" s="104">
        <v>444</v>
      </c>
      <c r="K82" s="104" t="s">
        <v>65</v>
      </c>
      <c r="L82" s="104">
        <v>507</v>
      </c>
      <c r="M82" s="104" t="s">
        <v>66</v>
      </c>
      <c r="N82" s="104">
        <v>62</v>
      </c>
      <c r="O82" s="104" t="s">
        <v>67</v>
      </c>
      <c r="P82" s="104">
        <v>75</v>
      </c>
    </row>
    <row r="83" spans="9:16">
      <c r="I83" s="104" t="s">
        <v>13</v>
      </c>
      <c r="J83" s="104">
        <v>779</v>
      </c>
      <c r="K83" s="104" t="s">
        <v>65</v>
      </c>
      <c r="L83" s="104">
        <v>1344</v>
      </c>
      <c r="M83" s="104" t="s">
        <v>66</v>
      </c>
      <c r="N83" s="104">
        <v>56</v>
      </c>
      <c r="O83" s="104" t="s">
        <v>67</v>
      </c>
      <c r="P83" s="104">
        <v>44</v>
      </c>
    </row>
    <row r="84" spans="9:16">
      <c r="I84" s="104" t="s">
        <v>13</v>
      </c>
      <c r="J84" s="104">
        <v>867</v>
      </c>
      <c r="K84" s="104" t="s">
        <v>65</v>
      </c>
      <c r="L84" s="104">
        <v>459</v>
      </c>
      <c r="M84" s="104" t="s">
        <v>66</v>
      </c>
      <c r="N84" s="104">
        <v>42</v>
      </c>
      <c r="O84" s="104" t="s">
        <v>67</v>
      </c>
      <c r="P84" s="104">
        <v>79</v>
      </c>
    </row>
    <row r="85" spans="9:16">
      <c r="I85" s="104" t="s">
        <v>13</v>
      </c>
      <c r="J85" s="104">
        <v>964</v>
      </c>
      <c r="K85" s="104" t="s">
        <v>65</v>
      </c>
      <c r="L85" s="104">
        <v>1323</v>
      </c>
      <c r="M85" s="104" t="s">
        <v>66</v>
      </c>
      <c r="N85" s="104">
        <v>37</v>
      </c>
      <c r="O85" s="104" t="s">
        <v>67</v>
      </c>
      <c r="P85" s="104">
        <v>39</v>
      </c>
    </row>
    <row r="86" spans="9:16">
      <c r="I86" s="104" t="s">
        <v>13</v>
      </c>
      <c r="J86" s="104">
        <v>1112</v>
      </c>
      <c r="K86" s="104" t="s">
        <v>65</v>
      </c>
      <c r="L86" s="104">
        <v>1156</v>
      </c>
      <c r="M86" s="104" t="s">
        <v>66</v>
      </c>
      <c r="N86" s="104">
        <v>31</v>
      </c>
      <c r="O86" s="104" t="s">
        <v>67</v>
      </c>
      <c r="P86" s="104">
        <v>27</v>
      </c>
    </row>
    <row r="87" spans="9:16">
      <c r="I87" s="104" t="s">
        <v>13</v>
      </c>
      <c r="J87" s="104">
        <v>1213</v>
      </c>
      <c r="K87" s="104" t="s">
        <v>65</v>
      </c>
      <c r="L87" s="104">
        <v>130</v>
      </c>
      <c r="M87" s="104" t="s">
        <v>66</v>
      </c>
      <c r="N87" s="104">
        <v>25</v>
      </c>
      <c r="O87" s="104" t="s">
        <v>67</v>
      </c>
      <c r="P87" s="104">
        <v>29</v>
      </c>
    </row>
    <row r="88" spans="9:16">
      <c r="I88" s="104" t="s">
        <v>13</v>
      </c>
      <c r="J88" s="104">
        <v>1299</v>
      </c>
      <c r="K88" s="104" t="s">
        <v>65</v>
      </c>
      <c r="L88" s="104">
        <v>122</v>
      </c>
      <c r="M88" s="104" t="s">
        <v>66</v>
      </c>
      <c r="N88" s="104">
        <v>5</v>
      </c>
      <c r="O88" s="104" t="s">
        <v>67</v>
      </c>
      <c r="P88" s="104">
        <v>1</v>
      </c>
    </row>
    <row r="89" spans="9:16">
      <c r="I89" s="104" t="s">
        <v>13</v>
      </c>
      <c r="J89" s="104">
        <v>1408</v>
      </c>
      <c r="K89" s="104" t="s">
        <v>65</v>
      </c>
      <c r="L89" s="104">
        <v>1342</v>
      </c>
      <c r="M89" s="104" t="s">
        <v>66</v>
      </c>
      <c r="N89" s="104">
        <v>0</v>
      </c>
      <c r="O89" s="104" t="s">
        <v>67</v>
      </c>
      <c r="P89" s="104">
        <v>0</v>
      </c>
    </row>
    <row r="91" spans="9:16">
      <c r="I91" s="104" t="s">
        <v>72</v>
      </c>
    </row>
    <row r="92" spans="9:16">
      <c r="I92" s="104" t="s">
        <v>13</v>
      </c>
      <c r="J92" s="104">
        <v>122</v>
      </c>
      <c r="K92" s="104" t="s">
        <v>65</v>
      </c>
      <c r="L92" s="104">
        <v>9333</v>
      </c>
      <c r="M92" s="104" t="s">
        <v>66</v>
      </c>
      <c r="N92" s="104">
        <v>389</v>
      </c>
      <c r="O92" s="104" t="s">
        <v>67</v>
      </c>
      <c r="P92" s="104">
        <v>238</v>
      </c>
    </row>
    <row r="93" spans="9:16">
      <c r="I93" s="104" t="s">
        <v>13</v>
      </c>
      <c r="J93" s="104">
        <v>245</v>
      </c>
      <c r="K93" s="104" t="s">
        <v>65</v>
      </c>
      <c r="L93" s="104">
        <v>1927</v>
      </c>
      <c r="M93" s="104" t="s">
        <v>66</v>
      </c>
      <c r="N93" s="104">
        <v>210</v>
      </c>
      <c r="O93" s="104" t="s">
        <v>67</v>
      </c>
      <c r="P93" s="104">
        <v>179</v>
      </c>
    </row>
    <row r="94" spans="9:16">
      <c r="I94" s="104" t="s">
        <v>13</v>
      </c>
      <c r="J94" s="104">
        <v>344</v>
      </c>
      <c r="K94" s="104" t="s">
        <v>65</v>
      </c>
      <c r="L94" s="104">
        <v>4907</v>
      </c>
      <c r="M94" s="104" t="s">
        <v>66</v>
      </c>
      <c r="N94" s="104">
        <v>87</v>
      </c>
      <c r="O94" s="104" t="s">
        <v>67</v>
      </c>
      <c r="P94" s="104">
        <v>64</v>
      </c>
    </row>
    <row r="95" spans="9:16">
      <c r="I95" s="104" t="s">
        <v>13</v>
      </c>
      <c r="J95" s="104">
        <v>411</v>
      </c>
      <c r="K95" s="104" t="s">
        <v>65</v>
      </c>
      <c r="L95" s="104">
        <v>447</v>
      </c>
      <c r="M95" s="104" t="s">
        <v>66</v>
      </c>
      <c r="N95" s="104">
        <v>77</v>
      </c>
      <c r="O95" s="104" t="s">
        <v>67</v>
      </c>
      <c r="P95" s="104">
        <v>71</v>
      </c>
    </row>
    <row r="96" spans="9:16">
      <c r="I96" s="104" t="s">
        <v>13</v>
      </c>
      <c r="J96" s="104">
        <v>444</v>
      </c>
      <c r="K96" s="104" t="s">
        <v>65</v>
      </c>
      <c r="L96" s="104">
        <v>557</v>
      </c>
      <c r="M96" s="104" t="s">
        <v>66</v>
      </c>
      <c r="N96" s="104">
        <v>79</v>
      </c>
      <c r="O96" s="104" t="s">
        <v>67</v>
      </c>
      <c r="P96" s="104">
        <v>71</v>
      </c>
    </row>
    <row r="97" spans="9:16">
      <c r="I97" s="104" t="s">
        <v>13</v>
      </c>
      <c r="J97" s="104">
        <v>779</v>
      </c>
      <c r="K97" s="104" t="s">
        <v>65</v>
      </c>
      <c r="L97" s="104">
        <v>1359</v>
      </c>
      <c r="M97" s="104" t="s">
        <v>66</v>
      </c>
      <c r="N97" s="104">
        <v>71</v>
      </c>
      <c r="O97" s="104" t="s">
        <v>67</v>
      </c>
      <c r="P97" s="104">
        <v>62</v>
      </c>
    </row>
    <row r="98" spans="9:16">
      <c r="I98" s="104" t="s">
        <v>13</v>
      </c>
      <c r="J98" s="104">
        <v>867</v>
      </c>
      <c r="K98" s="104" t="s">
        <v>65</v>
      </c>
      <c r="L98" s="104">
        <v>422</v>
      </c>
      <c r="M98" s="104" t="s">
        <v>66</v>
      </c>
      <c r="N98" s="104">
        <v>45</v>
      </c>
      <c r="O98" s="104" t="s">
        <v>67</v>
      </c>
      <c r="P98" s="104">
        <v>50</v>
      </c>
    </row>
    <row r="99" spans="9:16">
      <c r="I99" s="104" t="s">
        <v>13</v>
      </c>
      <c r="J99" s="104">
        <v>964</v>
      </c>
      <c r="K99" s="104" t="s">
        <v>65</v>
      </c>
      <c r="L99" s="104">
        <v>1266</v>
      </c>
      <c r="M99" s="104" t="s">
        <v>66</v>
      </c>
      <c r="N99" s="104">
        <v>26</v>
      </c>
      <c r="O99" s="104" t="s">
        <v>67</v>
      </c>
      <c r="P99" s="104">
        <v>33</v>
      </c>
    </row>
    <row r="100" spans="9:16">
      <c r="I100" s="104" t="s">
        <v>13</v>
      </c>
      <c r="J100" s="104">
        <v>1112</v>
      </c>
      <c r="K100" s="104" t="s">
        <v>65</v>
      </c>
      <c r="L100" s="104">
        <v>1129</v>
      </c>
      <c r="M100" s="104" t="s">
        <v>66</v>
      </c>
      <c r="N100" s="104">
        <v>35</v>
      </c>
      <c r="O100" s="104" t="s">
        <v>67</v>
      </c>
      <c r="P100" s="104">
        <v>26</v>
      </c>
    </row>
    <row r="101" spans="9:16">
      <c r="I101" s="104" t="s">
        <v>13</v>
      </c>
      <c r="J101" s="104">
        <v>1213</v>
      </c>
      <c r="K101" s="104" t="s">
        <v>65</v>
      </c>
      <c r="L101" s="104">
        <v>143</v>
      </c>
      <c r="M101" s="104" t="s">
        <v>66</v>
      </c>
      <c r="N101" s="104">
        <v>28</v>
      </c>
      <c r="O101" s="104" t="s">
        <v>67</v>
      </c>
      <c r="P101" s="104">
        <v>25</v>
      </c>
    </row>
    <row r="102" spans="9:16">
      <c r="I102" s="104" t="s">
        <v>13</v>
      </c>
      <c r="J102" s="104">
        <v>1299</v>
      </c>
      <c r="K102" s="104" t="s">
        <v>65</v>
      </c>
      <c r="L102" s="104">
        <v>124</v>
      </c>
      <c r="M102" s="104" t="s">
        <v>66</v>
      </c>
      <c r="N102" s="104">
        <v>2</v>
      </c>
      <c r="O102" s="104" t="s">
        <v>67</v>
      </c>
      <c r="P102" s="104">
        <v>6</v>
      </c>
    </row>
    <row r="103" spans="9:16">
      <c r="I103" s="104" t="s">
        <v>13</v>
      </c>
      <c r="J103" s="104">
        <v>1408</v>
      </c>
      <c r="K103" s="104" t="s">
        <v>65</v>
      </c>
      <c r="L103" s="104">
        <v>1356</v>
      </c>
      <c r="M103" s="104" t="s">
        <v>66</v>
      </c>
      <c r="N103" s="104">
        <v>1</v>
      </c>
      <c r="O103" s="104" t="s">
        <v>67</v>
      </c>
      <c r="P103" s="104">
        <v>0</v>
      </c>
    </row>
    <row r="105" spans="9:16">
      <c r="I105" s="57" t="s">
        <v>73</v>
      </c>
      <c r="J105" s="57"/>
      <c r="K105" s="57"/>
      <c r="L105" s="57"/>
      <c r="M105" s="57"/>
      <c r="N105" s="57"/>
      <c r="O105" s="57"/>
      <c r="P105" s="57"/>
    </row>
    <row r="106" spans="9:16">
      <c r="I106" s="57" t="s">
        <v>13</v>
      </c>
      <c r="J106" s="57">
        <v>122</v>
      </c>
      <c r="K106" s="57" t="s">
        <v>65</v>
      </c>
      <c r="L106" s="57">
        <v>9370</v>
      </c>
      <c r="M106" s="57" t="s">
        <v>66</v>
      </c>
      <c r="N106" s="57">
        <v>399</v>
      </c>
      <c r="O106" s="57" t="s">
        <v>67</v>
      </c>
      <c r="P106" s="57">
        <v>222</v>
      </c>
    </row>
    <row r="107" spans="9:16">
      <c r="I107" s="57" t="s">
        <v>13</v>
      </c>
      <c r="J107" s="57">
        <v>245</v>
      </c>
      <c r="K107" s="57" t="s">
        <v>65</v>
      </c>
      <c r="L107" s="57">
        <v>1901</v>
      </c>
      <c r="M107" s="57" t="s">
        <v>66</v>
      </c>
      <c r="N107" s="57">
        <v>183</v>
      </c>
      <c r="O107" s="57" t="s">
        <v>67</v>
      </c>
      <c r="P107" s="57">
        <v>165</v>
      </c>
    </row>
    <row r="108" spans="9:16">
      <c r="I108" s="57" t="s">
        <v>13</v>
      </c>
      <c r="J108" s="57">
        <v>344</v>
      </c>
      <c r="K108" s="57" t="s">
        <v>65</v>
      </c>
      <c r="L108" s="57">
        <v>5002</v>
      </c>
      <c r="M108" s="57" t="s">
        <v>66</v>
      </c>
      <c r="N108" s="57">
        <v>86</v>
      </c>
      <c r="O108" s="57" t="s">
        <v>67</v>
      </c>
      <c r="P108" s="57">
        <v>97</v>
      </c>
    </row>
    <row r="109" spans="9:16">
      <c r="I109" s="57" t="s">
        <v>13</v>
      </c>
      <c r="J109" s="57">
        <v>411</v>
      </c>
      <c r="K109" s="57" t="s">
        <v>65</v>
      </c>
      <c r="L109" s="57">
        <v>402</v>
      </c>
      <c r="M109" s="57" t="s">
        <v>66</v>
      </c>
      <c r="N109" s="57">
        <v>71</v>
      </c>
      <c r="O109" s="57" t="s">
        <v>67</v>
      </c>
      <c r="P109" s="57">
        <v>80</v>
      </c>
    </row>
    <row r="110" spans="9:16">
      <c r="I110" s="57" t="s">
        <v>13</v>
      </c>
      <c r="J110" s="57">
        <v>444</v>
      </c>
      <c r="K110" s="57" t="s">
        <v>65</v>
      </c>
      <c r="L110" s="57">
        <v>527</v>
      </c>
      <c r="M110" s="57" t="s">
        <v>66</v>
      </c>
      <c r="N110" s="57">
        <v>69</v>
      </c>
      <c r="O110" s="57" t="s">
        <v>67</v>
      </c>
      <c r="P110" s="57">
        <v>85</v>
      </c>
    </row>
    <row r="111" spans="9:16">
      <c r="I111" s="57" t="s">
        <v>13</v>
      </c>
      <c r="J111" s="57">
        <v>779</v>
      </c>
      <c r="K111" s="57" t="s">
        <v>65</v>
      </c>
      <c r="L111" s="57">
        <v>1376</v>
      </c>
      <c r="M111" s="57" t="s">
        <v>66</v>
      </c>
      <c r="N111" s="57">
        <v>54</v>
      </c>
      <c r="O111" s="57" t="s">
        <v>67</v>
      </c>
      <c r="P111" s="57">
        <v>44</v>
      </c>
    </row>
    <row r="112" spans="9:16">
      <c r="I112" s="57" t="s">
        <v>13</v>
      </c>
      <c r="J112" s="57">
        <v>867</v>
      </c>
      <c r="K112" s="57" t="s">
        <v>65</v>
      </c>
      <c r="L112" s="57">
        <v>471</v>
      </c>
      <c r="M112" s="57" t="s">
        <v>66</v>
      </c>
      <c r="N112" s="57">
        <v>42</v>
      </c>
      <c r="O112" s="57" t="s">
        <v>67</v>
      </c>
      <c r="P112" s="57">
        <v>56</v>
      </c>
    </row>
    <row r="113" spans="9:16">
      <c r="I113" s="57" t="s">
        <v>13</v>
      </c>
      <c r="J113" s="57">
        <v>964</v>
      </c>
      <c r="K113" s="57" t="s">
        <v>65</v>
      </c>
      <c r="L113" s="57">
        <v>1388</v>
      </c>
      <c r="M113" s="57" t="s">
        <v>66</v>
      </c>
      <c r="N113" s="57">
        <v>40</v>
      </c>
      <c r="O113" s="57" t="s">
        <v>67</v>
      </c>
      <c r="P113" s="57">
        <v>31</v>
      </c>
    </row>
    <row r="114" spans="9:16">
      <c r="I114" s="57" t="s">
        <v>13</v>
      </c>
      <c r="J114" s="57">
        <v>1112</v>
      </c>
      <c r="K114" s="57" t="s">
        <v>65</v>
      </c>
      <c r="L114" s="57">
        <v>1065</v>
      </c>
      <c r="M114" s="57" t="s">
        <v>66</v>
      </c>
      <c r="N114" s="57">
        <v>37</v>
      </c>
      <c r="O114" s="57" t="s">
        <v>67</v>
      </c>
      <c r="P114" s="57">
        <v>29</v>
      </c>
    </row>
    <row r="115" spans="9:16">
      <c r="I115" s="57" t="s">
        <v>13</v>
      </c>
      <c r="J115" s="57">
        <v>1213</v>
      </c>
      <c r="K115" s="57" t="s">
        <v>65</v>
      </c>
      <c r="L115" s="57">
        <v>131</v>
      </c>
      <c r="M115" s="57" t="s">
        <v>66</v>
      </c>
      <c r="N115" s="57">
        <v>16</v>
      </c>
      <c r="O115" s="57" t="s">
        <v>67</v>
      </c>
      <c r="P115" s="57">
        <v>21</v>
      </c>
    </row>
    <row r="116" spans="9:16">
      <c r="I116" s="57" t="s">
        <v>13</v>
      </c>
      <c r="J116" s="57">
        <v>1299</v>
      </c>
      <c r="K116" s="57" t="s">
        <v>65</v>
      </c>
      <c r="L116" s="57">
        <v>114</v>
      </c>
      <c r="M116" s="57" t="s">
        <v>66</v>
      </c>
      <c r="N116" s="57">
        <v>4</v>
      </c>
      <c r="O116" s="57" t="s">
        <v>67</v>
      </c>
      <c r="P116" s="57">
        <v>8</v>
      </c>
    </row>
    <row r="117" spans="9:16">
      <c r="I117" s="57" t="s">
        <v>13</v>
      </c>
      <c r="J117" s="57">
        <v>1408</v>
      </c>
      <c r="K117" s="57" t="s">
        <v>65</v>
      </c>
      <c r="L117" s="57">
        <v>1362</v>
      </c>
      <c r="M117" s="57" t="s">
        <v>66</v>
      </c>
      <c r="N117" s="57">
        <v>0</v>
      </c>
      <c r="O117" s="57" t="s">
        <v>67</v>
      </c>
      <c r="P117" s="57">
        <v>0</v>
      </c>
    </row>
    <row r="119" spans="9:16">
      <c r="I119" s="104" t="s">
        <v>74</v>
      </c>
    </row>
    <row r="120" spans="9:16">
      <c r="I120" s="104" t="s">
        <v>13</v>
      </c>
      <c r="J120" s="104">
        <v>122</v>
      </c>
      <c r="K120" s="104" t="s">
        <v>65</v>
      </c>
      <c r="L120" s="104">
        <v>9232</v>
      </c>
      <c r="M120" s="104" t="s">
        <v>66</v>
      </c>
      <c r="N120" s="104">
        <v>422</v>
      </c>
      <c r="O120" s="104" t="s">
        <v>67</v>
      </c>
      <c r="P120" s="104">
        <v>274</v>
      </c>
    </row>
    <row r="121" spans="9:16">
      <c r="I121" s="104" t="s">
        <v>13</v>
      </c>
      <c r="J121" s="104">
        <v>245</v>
      </c>
      <c r="K121" s="104" t="s">
        <v>65</v>
      </c>
      <c r="L121" s="104">
        <v>1874</v>
      </c>
      <c r="M121" s="104" t="s">
        <v>66</v>
      </c>
      <c r="N121" s="104">
        <v>173</v>
      </c>
      <c r="O121" s="104" t="s">
        <v>67</v>
      </c>
      <c r="P121" s="104">
        <v>170</v>
      </c>
    </row>
    <row r="122" spans="9:16">
      <c r="I122" s="104" t="s">
        <v>13</v>
      </c>
      <c r="J122" s="104">
        <v>344</v>
      </c>
      <c r="K122" s="104" t="s">
        <v>65</v>
      </c>
      <c r="L122" s="104">
        <v>4930</v>
      </c>
      <c r="M122" s="104" t="s">
        <v>66</v>
      </c>
      <c r="N122" s="104">
        <v>95</v>
      </c>
      <c r="O122" s="104" t="s">
        <v>67</v>
      </c>
      <c r="P122" s="104">
        <v>83</v>
      </c>
    </row>
    <row r="123" spans="9:16">
      <c r="I123" s="104" t="s">
        <v>13</v>
      </c>
      <c r="J123" s="104">
        <v>411</v>
      </c>
      <c r="K123" s="104" t="s">
        <v>65</v>
      </c>
      <c r="L123" s="104">
        <v>427</v>
      </c>
      <c r="M123" s="104" t="s">
        <v>66</v>
      </c>
      <c r="N123" s="104">
        <v>61</v>
      </c>
      <c r="O123" s="104" t="s">
        <v>67</v>
      </c>
      <c r="P123" s="104">
        <v>66</v>
      </c>
    </row>
    <row r="124" spans="9:16">
      <c r="I124" s="104" t="s">
        <v>13</v>
      </c>
      <c r="J124" s="104">
        <v>444</v>
      </c>
      <c r="K124" s="104" t="s">
        <v>65</v>
      </c>
      <c r="L124" s="104">
        <v>546</v>
      </c>
      <c r="M124" s="104" t="s">
        <v>66</v>
      </c>
      <c r="N124" s="104">
        <v>90</v>
      </c>
      <c r="O124" s="104" t="s">
        <v>67</v>
      </c>
      <c r="P124" s="104">
        <v>75</v>
      </c>
    </row>
    <row r="125" spans="9:16">
      <c r="I125" s="104" t="s">
        <v>13</v>
      </c>
      <c r="J125" s="104">
        <v>779</v>
      </c>
      <c r="K125" s="104" t="s">
        <v>65</v>
      </c>
      <c r="L125" s="104">
        <v>1386</v>
      </c>
      <c r="M125" s="104" t="s">
        <v>66</v>
      </c>
      <c r="N125" s="104">
        <v>69</v>
      </c>
      <c r="O125" s="104" t="s">
        <v>67</v>
      </c>
      <c r="P125" s="104">
        <v>60</v>
      </c>
    </row>
    <row r="126" spans="9:16">
      <c r="I126" s="104" t="s">
        <v>13</v>
      </c>
      <c r="J126" s="104">
        <v>867</v>
      </c>
      <c r="K126" s="104" t="s">
        <v>65</v>
      </c>
      <c r="L126" s="104">
        <v>500</v>
      </c>
      <c r="M126" s="104" t="s">
        <v>66</v>
      </c>
      <c r="N126" s="104">
        <v>55</v>
      </c>
      <c r="O126" s="104" t="s">
        <v>67</v>
      </c>
      <c r="P126" s="104">
        <v>45</v>
      </c>
    </row>
    <row r="127" spans="9:16">
      <c r="I127" s="104" t="s">
        <v>13</v>
      </c>
      <c r="J127" s="104">
        <v>964</v>
      </c>
      <c r="K127" s="104" t="s">
        <v>65</v>
      </c>
      <c r="L127" s="104">
        <v>1291</v>
      </c>
      <c r="M127" s="104" t="s">
        <v>66</v>
      </c>
      <c r="N127" s="104">
        <v>35</v>
      </c>
      <c r="O127" s="104" t="s">
        <v>67</v>
      </c>
      <c r="P127" s="104">
        <v>49</v>
      </c>
    </row>
    <row r="128" spans="9:16">
      <c r="I128" s="104" t="s">
        <v>13</v>
      </c>
      <c r="J128" s="104">
        <v>1112</v>
      </c>
      <c r="K128" s="104" t="s">
        <v>65</v>
      </c>
      <c r="L128" s="104">
        <v>1089</v>
      </c>
      <c r="M128" s="104" t="s">
        <v>66</v>
      </c>
      <c r="N128" s="104">
        <v>31</v>
      </c>
      <c r="O128" s="104" t="s">
        <v>67</v>
      </c>
      <c r="P128" s="104">
        <v>29</v>
      </c>
    </row>
    <row r="129" spans="9:16">
      <c r="I129" s="104" t="s">
        <v>13</v>
      </c>
      <c r="J129" s="104">
        <v>1213</v>
      </c>
      <c r="K129" s="104" t="s">
        <v>65</v>
      </c>
      <c r="L129" s="104">
        <v>131</v>
      </c>
      <c r="M129" s="104" t="s">
        <v>66</v>
      </c>
      <c r="N129" s="104">
        <v>23</v>
      </c>
      <c r="O129" s="104" t="s">
        <v>67</v>
      </c>
      <c r="P129" s="104">
        <v>26</v>
      </c>
    </row>
    <row r="130" spans="9:16">
      <c r="I130" s="104" t="s">
        <v>13</v>
      </c>
      <c r="J130" s="104">
        <v>1299</v>
      </c>
      <c r="K130" s="104" t="s">
        <v>65</v>
      </c>
      <c r="L130" s="104">
        <v>131</v>
      </c>
      <c r="M130" s="104" t="s">
        <v>66</v>
      </c>
      <c r="N130" s="104">
        <v>8</v>
      </c>
      <c r="O130" s="104" t="s">
        <v>67</v>
      </c>
      <c r="P130" s="104">
        <v>4</v>
      </c>
    </row>
    <row r="131" spans="9:16">
      <c r="I131" s="104" t="s">
        <v>13</v>
      </c>
      <c r="J131" s="104">
        <v>1408</v>
      </c>
      <c r="K131" s="104" t="s">
        <v>65</v>
      </c>
      <c r="L131" s="104">
        <v>1416</v>
      </c>
      <c r="M131" s="104" t="s">
        <v>66</v>
      </c>
      <c r="N131" s="104">
        <v>0</v>
      </c>
      <c r="O131" s="104" t="s">
        <v>67</v>
      </c>
      <c r="P131" s="104">
        <v>0</v>
      </c>
    </row>
    <row r="133" spans="9:16">
      <c r="I133" s="104" t="s">
        <v>75</v>
      </c>
    </row>
    <row r="134" spans="9:16">
      <c r="I134" s="104" t="s">
        <v>13</v>
      </c>
      <c r="J134" s="104">
        <v>122</v>
      </c>
      <c r="K134" s="104" t="s">
        <v>65</v>
      </c>
      <c r="L134" s="104">
        <v>9134</v>
      </c>
      <c r="M134" s="104" t="s">
        <v>66</v>
      </c>
      <c r="N134" s="104">
        <v>377</v>
      </c>
      <c r="O134" s="104" t="s">
        <v>67</v>
      </c>
      <c r="P134" s="104">
        <v>226</v>
      </c>
    </row>
    <row r="135" spans="9:16">
      <c r="I135" s="104" t="s">
        <v>13</v>
      </c>
      <c r="J135" s="104">
        <v>245</v>
      </c>
      <c r="K135" s="104" t="s">
        <v>65</v>
      </c>
      <c r="L135" s="104">
        <v>1943</v>
      </c>
      <c r="M135" s="104" t="s">
        <v>66</v>
      </c>
      <c r="N135" s="104">
        <v>191</v>
      </c>
      <c r="O135" s="104" t="s">
        <v>67</v>
      </c>
      <c r="P135" s="104">
        <v>169</v>
      </c>
    </row>
    <row r="136" spans="9:16">
      <c r="I136" s="104" t="s">
        <v>13</v>
      </c>
      <c r="J136" s="104">
        <v>344</v>
      </c>
      <c r="K136" s="104" t="s">
        <v>65</v>
      </c>
      <c r="L136" s="104">
        <v>4964</v>
      </c>
      <c r="M136" s="104" t="s">
        <v>66</v>
      </c>
      <c r="N136" s="104">
        <v>115</v>
      </c>
      <c r="O136" s="104" t="s">
        <v>67</v>
      </c>
      <c r="P136" s="104">
        <v>81</v>
      </c>
    </row>
    <row r="137" spans="9:16">
      <c r="I137" s="104" t="s">
        <v>13</v>
      </c>
      <c r="J137" s="104">
        <v>411</v>
      </c>
      <c r="K137" s="104" t="s">
        <v>65</v>
      </c>
      <c r="L137" s="104">
        <v>441</v>
      </c>
      <c r="M137" s="104" t="s">
        <v>66</v>
      </c>
      <c r="N137" s="104">
        <v>79</v>
      </c>
      <c r="O137" s="104" t="s">
        <v>67</v>
      </c>
      <c r="P137" s="104">
        <v>55</v>
      </c>
    </row>
    <row r="138" spans="9:16">
      <c r="I138" s="104" t="s">
        <v>13</v>
      </c>
      <c r="J138" s="104">
        <v>444</v>
      </c>
      <c r="K138" s="104" t="s">
        <v>65</v>
      </c>
      <c r="L138" s="104">
        <v>547</v>
      </c>
      <c r="M138" s="104" t="s">
        <v>66</v>
      </c>
      <c r="N138" s="104">
        <v>84</v>
      </c>
      <c r="O138" s="104" t="s">
        <v>67</v>
      </c>
      <c r="P138" s="104">
        <v>84</v>
      </c>
    </row>
    <row r="139" spans="9:16">
      <c r="I139" s="104" t="s">
        <v>13</v>
      </c>
      <c r="J139" s="104">
        <v>779</v>
      </c>
      <c r="K139" s="104" t="s">
        <v>65</v>
      </c>
      <c r="L139" s="104">
        <v>1368</v>
      </c>
      <c r="M139" s="104" t="s">
        <v>66</v>
      </c>
      <c r="N139" s="104">
        <v>61</v>
      </c>
      <c r="O139" s="104" t="s">
        <v>67</v>
      </c>
      <c r="P139" s="104">
        <v>52</v>
      </c>
    </row>
    <row r="140" spans="9:16">
      <c r="I140" s="104" t="s">
        <v>13</v>
      </c>
      <c r="J140" s="104">
        <v>867</v>
      </c>
      <c r="K140" s="104" t="s">
        <v>65</v>
      </c>
      <c r="L140" s="104">
        <v>448</v>
      </c>
      <c r="M140" s="104" t="s">
        <v>66</v>
      </c>
      <c r="N140" s="104">
        <v>51</v>
      </c>
      <c r="O140" s="104" t="s">
        <v>67</v>
      </c>
      <c r="P140" s="104">
        <v>70</v>
      </c>
    </row>
    <row r="141" spans="9:16">
      <c r="I141" s="104" t="s">
        <v>13</v>
      </c>
      <c r="J141" s="104">
        <v>964</v>
      </c>
      <c r="K141" s="104" t="s">
        <v>65</v>
      </c>
      <c r="L141" s="104">
        <v>1279</v>
      </c>
      <c r="M141" s="104" t="s">
        <v>66</v>
      </c>
      <c r="N141" s="104">
        <v>49</v>
      </c>
      <c r="O141" s="104" t="s">
        <v>67</v>
      </c>
      <c r="P141" s="104">
        <v>52</v>
      </c>
    </row>
    <row r="142" spans="9:16">
      <c r="I142" s="104" t="s">
        <v>13</v>
      </c>
      <c r="J142" s="104">
        <v>1112</v>
      </c>
      <c r="K142" s="104" t="s">
        <v>65</v>
      </c>
      <c r="L142" s="104">
        <v>1147</v>
      </c>
      <c r="M142" s="104" t="s">
        <v>66</v>
      </c>
      <c r="N142" s="104">
        <v>35</v>
      </c>
      <c r="O142" s="104" t="s">
        <v>67</v>
      </c>
      <c r="P142" s="104">
        <v>36</v>
      </c>
    </row>
    <row r="143" spans="9:16">
      <c r="I143" s="104" t="s">
        <v>13</v>
      </c>
      <c r="J143" s="104">
        <v>1213</v>
      </c>
      <c r="K143" s="104" t="s">
        <v>65</v>
      </c>
      <c r="L143" s="104">
        <v>123</v>
      </c>
      <c r="M143" s="104" t="s">
        <v>66</v>
      </c>
      <c r="N143" s="104">
        <v>23</v>
      </c>
      <c r="O143" s="104" t="s">
        <v>67</v>
      </c>
      <c r="P143" s="104">
        <v>25</v>
      </c>
    </row>
    <row r="144" spans="9:16">
      <c r="I144" s="104" t="s">
        <v>13</v>
      </c>
      <c r="J144" s="104">
        <v>1299</v>
      </c>
      <c r="K144" s="104" t="s">
        <v>65</v>
      </c>
      <c r="L144" s="104">
        <v>109</v>
      </c>
      <c r="M144" s="104" t="s">
        <v>66</v>
      </c>
      <c r="N144" s="104">
        <v>5</v>
      </c>
      <c r="O144" s="104" t="s">
        <v>67</v>
      </c>
      <c r="P144" s="104">
        <v>3</v>
      </c>
    </row>
    <row r="145" spans="9:16">
      <c r="I145" s="104" t="s">
        <v>13</v>
      </c>
      <c r="J145" s="104">
        <v>1408</v>
      </c>
      <c r="K145" s="104" t="s">
        <v>65</v>
      </c>
      <c r="L145" s="104">
        <v>1329</v>
      </c>
      <c r="M145" s="104" t="s">
        <v>66</v>
      </c>
      <c r="N145" s="104">
        <v>0</v>
      </c>
      <c r="O145" s="104" t="s">
        <v>67</v>
      </c>
      <c r="P145" s="104">
        <v>0</v>
      </c>
    </row>
    <row r="147" spans="9:16">
      <c r="I147" s="104" t="s">
        <v>76</v>
      </c>
    </row>
    <row r="148" spans="9:16">
      <c r="I148" s="104" t="s">
        <v>13</v>
      </c>
      <c r="J148" s="104">
        <v>122</v>
      </c>
      <c r="K148" s="104" t="s">
        <v>65</v>
      </c>
      <c r="L148" s="104">
        <v>1587</v>
      </c>
      <c r="M148" s="104" t="s">
        <v>66</v>
      </c>
      <c r="N148" s="104">
        <v>197</v>
      </c>
      <c r="O148" s="104" t="s">
        <v>67</v>
      </c>
      <c r="P148" s="104">
        <v>98</v>
      </c>
    </row>
    <row r="149" spans="9:16">
      <c r="I149" s="104" t="s">
        <v>13</v>
      </c>
      <c r="J149" s="104">
        <v>245</v>
      </c>
      <c r="K149" s="104" t="s">
        <v>65</v>
      </c>
      <c r="L149" s="104">
        <v>477</v>
      </c>
      <c r="M149" s="104" t="s">
        <v>66</v>
      </c>
      <c r="N149" s="104">
        <v>95</v>
      </c>
      <c r="O149" s="104" t="s">
        <v>67</v>
      </c>
      <c r="P149" s="104">
        <v>79</v>
      </c>
    </row>
    <row r="150" spans="9:16">
      <c r="I150" s="104" t="s">
        <v>13</v>
      </c>
      <c r="J150" s="104">
        <v>344</v>
      </c>
      <c r="K150" s="104" t="s">
        <v>65</v>
      </c>
      <c r="L150" s="104">
        <v>1269</v>
      </c>
      <c r="M150" s="104" t="s">
        <v>66</v>
      </c>
      <c r="N150" s="104">
        <v>61</v>
      </c>
      <c r="O150" s="104" t="s">
        <v>67</v>
      </c>
      <c r="P150" s="104">
        <v>49</v>
      </c>
    </row>
    <row r="151" spans="9:16">
      <c r="I151" s="104" t="s">
        <v>13</v>
      </c>
      <c r="J151" s="104">
        <v>411</v>
      </c>
      <c r="K151" s="104" t="s">
        <v>65</v>
      </c>
      <c r="L151" s="104">
        <v>116</v>
      </c>
      <c r="M151" s="104" t="s">
        <v>66</v>
      </c>
      <c r="N151" s="104">
        <v>44</v>
      </c>
      <c r="O151" s="104" t="s">
        <v>67</v>
      </c>
      <c r="P151" s="104">
        <v>47</v>
      </c>
    </row>
    <row r="152" spans="9:16">
      <c r="I152" s="104" t="s">
        <v>13</v>
      </c>
      <c r="J152" s="104">
        <v>444</v>
      </c>
      <c r="K152" s="104" t="s">
        <v>65</v>
      </c>
      <c r="L152" s="104">
        <v>147</v>
      </c>
      <c r="M152" s="104" t="s">
        <v>66</v>
      </c>
      <c r="N152" s="104">
        <v>34</v>
      </c>
      <c r="O152" s="104" t="s">
        <v>67</v>
      </c>
      <c r="P152" s="104">
        <v>35</v>
      </c>
    </row>
    <row r="153" spans="9:16">
      <c r="I153" s="104" t="s">
        <v>13</v>
      </c>
      <c r="J153" s="104">
        <v>779</v>
      </c>
      <c r="K153" s="104" t="s">
        <v>65</v>
      </c>
      <c r="L153" s="104">
        <v>406</v>
      </c>
      <c r="M153" s="104" t="s">
        <v>66</v>
      </c>
      <c r="N153" s="104">
        <v>25</v>
      </c>
      <c r="O153" s="104" t="s">
        <v>67</v>
      </c>
      <c r="P153" s="104">
        <v>15</v>
      </c>
    </row>
    <row r="154" spans="9:16">
      <c r="I154" s="104" t="s">
        <v>13</v>
      </c>
      <c r="J154" s="104">
        <v>867</v>
      </c>
      <c r="K154" s="104" t="s">
        <v>65</v>
      </c>
      <c r="L154" s="104">
        <v>140</v>
      </c>
      <c r="M154" s="104" t="s">
        <v>66</v>
      </c>
      <c r="N154" s="104">
        <v>14</v>
      </c>
      <c r="O154" s="104" t="s">
        <v>67</v>
      </c>
      <c r="P154" s="104">
        <v>16</v>
      </c>
    </row>
    <row r="155" spans="9:16">
      <c r="I155" s="104" t="s">
        <v>13</v>
      </c>
      <c r="J155" s="104">
        <v>964</v>
      </c>
      <c r="K155" s="104" t="s">
        <v>65</v>
      </c>
      <c r="L155" s="104">
        <v>444</v>
      </c>
      <c r="M155" s="104" t="s">
        <v>66</v>
      </c>
      <c r="N155" s="104">
        <v>22</v>
      </c>
      <c r="O155" s="104" t="s">
        <v>67</v>
      </c>
      <c r="P155" s="104">
        <v>13</v>
      </c>
    </row>
    <row r="156" spans="9:16">
      <c r="I156" s="104" t="s">
        <v>13</v>
      </c>
      <c r="J156" s="104">
        <v>1112</v>
      </c>
      <c r="K156" s="104" t="s">
        <v>65</v>
      </c>
      <c r="L156" s="104">
        <v>354</v>
      </c>
      <c r="M156" s="104" t="s">
        <v>66</v>
      </c>
      <c r="N156" s="104">
        <v>18</v>
      </c>
      <c r="O156" s="104" t="s">
        <v>67</v>
      </c>
      <c r="P156" s="104">
        <v>11</v>
      </c>
    </row>
    <row r="157" spans="9:16">
      <c r="I157" s="104" t="s">
        <v>13</v>
      </c>
      <c r="J157" s="104">
        <v>1213</v>
      </c>
      <c r="K157" s="104" t="s">
        <v>65</v>
      </c>
      <c r="L157" s="104">
        <v>38</v>
      </c>
      <c r="M157" s="104" t="s">
        <v>66</v>
      </c>
      <c r="N157" s="104">
        <v>10</v>
      </c>
      <c r="O157" s="104" t="s">
        <v>67</v>
      </c>
      <c r="P157" s="104">
        <v>9</v>
      </c>
    </row>
    <row r="158" spans="9:16">
      <c r="I158" s="104" t="s">
        <v>13</v>
      </c>
      <c r="J158" s="104">
        <v>1299</v>
      </c>
      <c r="K158" s="104" t="s">
        <v>65</v>
      </c>
      <c r="L158" s="104">
        <v>40</v>
      </c>
      <c r="M158" s="104" t="s">
        <v>66</v>
      </c>
      <c r="N158" s="104">
        <v>2</v>
      </c>
      <c r="O158" s="104" t="s">
        <v>67</v>
      </c>
      <c r="P158" s="104">
        <v>3</v>
      </c>
    </row>
    <row r="159" spans="9:16">
      <c r="I159" s="104" t="s">
        <v>13</v>
      </c>
      <c r="J159" s="104">
        <v>1408</v>
      </c>
      <c r="K159" s="104" t="s">
        <v>65</v>
      </c>
      <c r="L159" s="104">
        <v>482</v>
      </c>
      <c r="M159" s="104" t="s">
        <v>66</v>
      </c>
      <c r="N159" s="104">
        <v>1</v>
      </c>
      <c r="O159" s="104" t="s">
        <v>67</v>
      </c>
      <c r="P159" s="104">
        <v>0</v>
      </c>
    </row>
    <row r="161" spans="9:16">
      <c r="I161" s="104" t="s">
        <v>77</v>
      </c>
    </row>
    <row r="162" spans="9:16">
      <c r="I162" s="104" t="s">
        <v>13</v>
      </c>
      <c r="J162" s="104">
        <v>122</v>
      </c>
      <c r="K162" s="104" t="s">
        <v>65</v>
      </c>
      <c r="L162" s="104">
        <v>1512</v>
      </c>
      <c r="M162" s="104" t="s">
        <v>66</v>
      </c>
      <c r="N162" s="104">
        <v>181</v>
      </c>
      <c r="O162" s="104" t="s">
        <v>67</v>
      </c>
      <c r="P162" s="104">
        <v>109</v>
      </c>
    </row>
    <row r="163" spans="9:16">
      <c r="I163" s="104" t="s">
        <v>13</v>
      </c>
      <c r="J163" s="104">
        <v>245</v>
      </c>
      <c r="K163" s="104" t="s">
        <v>65</v>
      </c>
      <c r="L163" s="104">
        <v>478</v>
      </c>
      <c r="M163" s="104" t="s">
        <v>66</v>
      </c>
      <c r="N163" s="104">
        <v>90</v>
      </c>
      <c r="O163" s="104" t="s">
        <v>67</v>
      </c>
      <c r="P163" s="104">
        <v>75</v>
      </c>
    </row>
    <row r="164" spans="9:16">
      <c r="I164" s="104" t="s">
        <v>13</v>
      </c>
      <c r="J164" s="104">
        <v>344</v>
      </c>
      <c r="K164" s="104" t="s">
        <v>65</v>
      </c>
      <c r="L164" s="104">
        <v>1227</v>
      </c>
      <c r="M164" s="104" t="s">
        <v>66</v>
      </c>
      <c r="N164" s="104">
        <v>71</v>
      </c>
      <c r="O164" s="104" t="s">
        <v>67</v>
      </c>
      <c r="P164" s="104">
        <v>40</v>
      </c>
    </row>
    <row r="165" spans="9:16">
      <c r="I165" s="104" t="s">
        <v>13</v>
      </c>
      <c r="J165" s="104">
        <v>411</v>
      </c>
      <c r="K165" s="104" t="s">
        <v>65</v>
      </c>
      <c r="L165" s="104">
        <v>141</v>
      </c>
      <c r="M165" s="104" t="s">
        <v>66</v>
      </c>
      <c r="N165" s="104">
        <v>43</v>
      </c>
      <c r="O165" s="104" t="s">
        <v>67</v>
      </c>
      <c r="P165" s="104">
        <v>46</v>
      </c>
    </row>
    <row r="166" spans="9:16">
      <c r="I166" s="104" t="s">
        <v>13</v>
      </c>
      <c r="J166" s="104">
        <v>444</v>
      </c>
      <c r="K166" s="104" t="s">
        <v>65</v>
      </c>
      <c r="L166" s="104">
        <v>157</v>
      </c>
      <c r="M166" s="104" t="s">
        <v>66</v>
      </c>
      <c r="N166" s="104">
        <v>43</v>
      </c>
      <c r="O166" s="104" t="s">
        <v>67</v>
      </c>
      <c r="P166" s="104">
        <v>27</v>
      </c>
    </row>
    <row r="167" spans="9:16">
      <c r="I167" s="104" t="s">
        <v>13</v>
      </c>
      <c r="J167" s="104">
        <v>779</v>
      </c>
      <c r="K167" s="104" t="s">
        <v>65</v>
      </c>
      <c r="L167" s="104">
        <v>410</v>
      </c>
      <c r="M167" s="104" t="s">
        <v>66</v>
      </c>
      <c r="N167" s="104">
        <v>23</v>
      </c>
      <c r="O167" s="104" t="s">
        <v>67</v>
      </c>
      <c r="P167" s="104">
        <v>24</v>
      </c>
    </row>
    <row r="168" spans="9:16">
      <c r="I168" s="104" t="s">
        <v>13</v>
      </c>
      <c r="J168" s="104">
        <v>867</v>
      </c>
      <c r="K168" s="104" t="s">
        <v>65</v>
      </c>
      <c r="L168" s="104">
        <v>157</v>
      </c>
      <c r="M168" s="104" t="s">
        <v>66</v>
      </c>
      <c r="N168" s="104">
        <v>29</v>
      </c>
      <c r="O168" s="104" t="s">
        <v>67</v>
      </c>
      <c r="P168" s="104">
        <v>19</v>
      </c>
    </row>
    <row r="169" spans="9:16">
      <c r="I169" s="104" t="s">
        <v>13</v>
      </c>
      <c r="J169" s="104">
        <v>964</v>
      </c>
      <c r="K169" s="104" t="s">
        <v>65</v>
      </c>
      <c r="L169" s="104">
        <v>420</v>
      </c>
      <c r="M169" s="104" t="s">
        <v>66</v>
      </c>
      <c r="N169" s="104">
        <v>22</v>
      </c>
      <c r="O169" s="104" t="s">
        <v>67</v>
      </c>
      <c r="P169" s="104">
        <v>17</v>
      </c>
    </row>
    <row r="170" spans="9:16">
      <c r="I170" s="104" t="s">
        <v>13</v>
      </c>
      <c r="J170" s="104">
        <v>1112</v>
      </c>
      <c r="K170" s="104" t="s">
        <v>65</v>
      </c>
      <c r="L170" s="104">
        <v>368</v>
      </c>
      <c r="M170" s="104" t="s">
        <v>66</v>
      </c>
      <c r="N170" s="104">
        <v>10</v>
      </c>
      <c r="O170" s="104" t="s">
        <v>67</v>
      </c>
      <c r="P170" s="104">
        <v>17</v>
      </c>
    </row>
    <row r="171" spans="9:16">
      <c r="I171" s="104" t="s">
        <v>13</v>
      </c>
      <c r="J171" s="104">
        <v>1213</v>
      </c>
      <c r="K171" s="104" t="s">
        <v>65</v>
      </c>
      <c r="L171" s="104">
        <v>32</v>
      </c>
      <c r="M171" s="104" t="s">
        <v>66</v>
      </c>
      <c r="N171" s="104">
        <v>4</v>
      </c>
      <c r="O171" s="104" t="s">
        <v>67</v>
      </c>
      <c r="P171" s="104">
        <v>8</v>
      </c>
    </row>
    <row r="172" spans="9:16">
      <c r="I172" s="104" t="s">
        <v>13</v>
      </c>
      <c r="J172" s="104">
        <v>1299</v>
      </c>
      <c r="K172" s="104" t="s">
        <v>65</v>
      </c>
      <c r="L172" s="104">
        <v>39</v>
      </c>
      <c r="M172" s="104" t="s">
        <v>66</v>
      </c>
      <c r="N172" s="104">
        <v>3</v>
      </c>
      <c r="O172" s="104" t="s">
        <v>67</v>
      </c>
      <c r="P172" s="104">
        <v>3</v>
      </c>
    </row>
    <row r="173" spans="9:16">
      <c r="I173" s="104" t="s">
        <v>13</v>
      </c>
      <c r="J173" s="104">
        <v>1408</v>
      </c>
      <c r="K173" s="104" t="s">
        <v>65</v>
      </c>
      <c r="L173" s="104">
        <v>479</v>
      </c>
      <c r="M173" s="104" t="s">
        <v>66</v>
      </c>
      <c r="N173" s="104">
        <v>1</v>
      </c>
      <c r="O173" s="104" t="s">
        <v>67</v>
      </c>
      <c r="P173" s="104">
        <v>0</v>
      </c>
    </row>
    <row r="175" spans="9:16">
      <c r="I175" s="104" t="s">
        <v>78</v>
      </c>
    </row>
    <row r="176" spans="9:16">
      <c r="I176" s="104" t="s">
        <v>13</v>
      </c>
      <c r="J176" s="104">
        <v>122</v>
      </c>
      <c r="K176" s="104" t="s">
        <v>65</v>
      </c>
      <c r="L176" s="104">
        <v>1504</v>
      </c>
      <c r="M176" s="104" t="s">
        <v>66</v>
      </c>
      <c r="N176" s="104">
        <v>192</v>
      </c>
      <c r="O176" s="104" t="s">
        <v>67</v>
      </c>
      <c r="P176" s="104">
        <v>107</v>
      </c>
    </row>
    <row r="177" spans="9:16">
      <c r="I177" s="104" t="s">
        <v>13</v>
      </c>
      <c r="J177" s="104">
        <v>245</v>
      </c>
      <c r="K177" s="104" t="s">
        <v>65</v>
      </c>
      <c r="L177" s="104">
        <v>429</v>
      </c>
      <c r="M177" s="104" t="s">
        <v>66</v>
      </c>
      <c r="N177" s="104">
        <v>79</v>
      </c>
      <c r="O177" s="104" t="s">
        <v>67</v>
      </c>
      <c r="P177" s="104">
        <v>77</v>
      </c>
    </row>
    <row r="178" spans="9:16">
      <c r="I178" s="104" t="s">
        <v>13</v>
      </c>
      <c r="J178" s="104">
        <v>344</v>
      </c>
      <c r="K178" s="104" t="s">
        <v>65</v>
      </c>
      <c r="L178" s="104">
        <v>1280</v>
      </c>
      <c r="M178" s="104" t="s">
        <v>66</v>
      </c>
      <c r="N178" s="104">
        <v>51</v>
      </c>
      <c r="O178" s="104" t="s">
        <v>67</v>
      </c>
      <c r="P178" s="104">
        <v>37</v>
      </c>
    </row>
    <row r="179" spans="9:16">
      <c r="I179" s="104" t="s">
        <v>13</v>
      </c>
      <c r="J179" s="104">
        <v>411</v>
      </c>
      <c r="K179" s="104" t="s">
        <v>65</v>
      </c>
      <c r="L179" s="104">
        <v>147</v>
      </c>
      <c r="M179" s="104" t="s">
        <v>66</v>
      </c>
      <c r="N179" s="104">
        <v>55</v>
      </c>
      <c r="O179" s="104" t="s">
        <v>67</v>
      </c>
      <c r="P179" s="104">
        <v>35</v>
      </c>
    </row>
    <row r="180" spans="9:16">
      <c r="I180" s="104" t="s">
        <v>13</v>
      </c>
      <c r="J180" s="104">
        <v>444</v>
      </c>
      <c r="K180" s="104" t="s">
        <v>65</v>
      </c>
      <c r="L180" s="104">
        <v>140</v>
      </c>
      <c r="M180" s="104" t="s">
        <v>66</v>
      </c>
      <c r="N180" s="104">
        <v>37</v>
      </c>
      <c r="O180" s="104" t="s">
        <v>67</v>
      </c>
      <c r="P180" s="104">
        <v>35</v>
      </c>
    </row>
    <row r="181" spans="9:16">
      <c r="I181" s="104" t="s">
        <v>13</v>
      </c>
      <c r="J181" s="104">
        <v>779</v>
      </c>
      <c r="K181" s="104" t="s">
        <v>65</v>
      </c>
      <c r="L181" s="104">
        <v>439</v>
      </c>
      <c r="M181" s="104" t="s">
        <v>66</v>
      </c>
      <c r="N181" s="104">
        <v>20</v>
      </c>
      <c r="O181" s="104" t="s">
        <v>67</v>
      </c>
      <c r="P181" s="104">
        <v>25</v>
      </c>
    </row>
    <row r="182" spans="9:16">
      <c r="I182" s="104" t="s">
        <v>13</v>
      </c>
      <c r="J182" s="104">
        <v>867</v>
      </c>
      <c r="K182" s="104" t="s">
        <v>65</v>
      </c>
      <c r="L182" s="104">
        <v>152</v>
      </c>
      <c r="M182" s="104" t="s">
        <v>66</v>
      </c>
      <c r="N182" s="104">
        <v>13</v>
      </c>
      <c r="O182" s="104" t="s">
        <v>67</v>
      </c>
      <c r="P182" s="104">
        <v>16</v>
      </c>
    </row>
    <row r="183" spans="9:16">
      <c r="I183" s="104" t="s">
        <v>13</v>
      </c>
      <c r="J183" s="104">
        <v>964</v>
      </c>
      <c r="K183" s="104" t="s">
        <v>65</v>
      </c>
      <c r="L183" s="104">
        <v>430</v>
      </c>
      <c r="M183" s="104" t="s">
        <v>66</v>
      </c>
      <c r="N183" s="104">
        <v>14</v>
      </c>
      <c r="O183" s="104" t="s">
        <v>67</v>
      </c>
      <c r="P183" s="104">
        <v>8</v>
      </c>
    </row>
    <row r="184" spans="9:16">
      <c r="I184" s="104" t="s">
        <v>13</v>
      </c>
      <c r="J184" s="104">
        <v>1112</v>
      </c>
      <c r="K184" s="104" t="s">
        <v>65</v>
      </c>
      <c r="L184" s="104">
        <v>352</v>
      </c>
      <c r="M184" s="104" t="s">
        <v>66</v>
      </c>
      <c r="N184" s="104">
        <v>12</v>
      </c>
      <c r="O184" s="104" t="s">
        <v>67</v>
      </c>
      <c r="P184" s="104">
        <v>12</v>
      </c>
    </row>
    <row r="185" spans="9:16">
      <c r="I185" s="104" t="s">
        <v>13</v>
      </c>
      <c r="J185" s="104">
        <v>1213</v>
      </c>
      <c r="K185" s="104" t="s">
        <v>65</v>
      </c>
      <c r="L185" s="104">
        <v>39</v>
      </c>
      <c r="M185" s="104" t="s">
        <v>66</v>
      </c>
      <c r="N185" s="104">
        <v>10</v>
      </c>
      <c r="O185" s="104" t="s">
        <v>67</v>
      </c>
      <c r="P185" s="104">
        <v>6</v>
      </c>
    </row>
    <row r="186" spans="9:16">
      <c r="I186" s="104" t="s">
        <v>13</v>
      </c>
      <c r="J186" s="104">
        <v>1299</v>
      </c>
      <c r="K186" s="104" t="s">
        <v>65</v>
      </c>
      <c r="L186" s="104">
        <v>49</v>
      </c>
      <c r="M186" s="104" t="s">
        <v>66</v>
      </c>
      <c r="N186" s="104">
        <v>3</v>
      </c>
      <c r="O186" s="104" t="s">
        <v>67</v>
      </c>
      <c r="P186" s="104">
        <v>4</v>
      </c>
    </row>
    <row r="187" spans="9:16">
      <c r="I187" s="104" t="s">
        <v>13</v>
      </c>
      <c r="J187" s="104">
        <v>1408</v>
      </c>
      <c r="K187" s="104" t="s">
        <v>65</v>
      </c>
      <c r="L187" s="104">
        <v>472</v>
      </c>
      <c r="M187" s="104" t="s">
        <v>66</v>
      </c>
      <c r="N187" s="104">
        <v>0</v>
      </c>
      <c r="O187" s="104" t="s">
        <v>67</v>
      </c>
      <c r="P187" s="104">
        <v>0</v>
      </c>
    </row>
    <row r="189" spans="9:16">
      <c r="I189" s="104" t="s">
        <v>79</v>
      </c>
    </row>
    <row r="190" spans="9:16">
      <c r="I190" s="104" t="s">
        <v>13</v>
      </c>
      <c r="J190" s="104">
        <v>122</v>
      </c>
      <c r="K190" s="104" t="s">
        <v>65</v>
      </c>
      <c r="L190" s="104">
        <v>1501</v>
      </c>
      <c r="M190" s="104" t="s">
        <v>66</v>
      </c>
      <c r="N190" s="104">
        <v>193</v>
      </c>
      <c r="O190" s="104" t="s">
        <v>67</v>
      </c>
      <c r="P190" s="104">
        <v>114</v>
      </c>
    </row>
    <row r="191" spans="9:16">
      <c r="I191" s="104" t="s">
        <v>13</v>
      </c>
      <c r="J191" s="104">
        <v>245</v>
      </c>
      <c r="K191" s="104" t="s">
        <v>65</v>
      </c>
      <c r="L191" s="104">
        <v>474</v>
      </c>
      <c r="M191" s="104" t="s">
        <v>66</v>
      </c>
      <c r="N191" s="104">
        <v>87</v>
      </c>
      <c r="O191" s="104" t="s">
        <v>67</v>
      </c>
      <c r="P191" s="104">
        <v>85</v>
      </c>
    </row>
    <row r="192" spans="9:16">
      <c r="I192" s="104" t="s">
        <v>13</v>
      </c>
      <c r="J192" s="104">
        <v>344</v>
      </c>
      <c r="K192" s="104" t="s">
        <v>65</v>
      </c>
      <c r="L192" s="104">
        <v>1246</v>
      </c>
      <c r="M192" s="104" t="s">
        <v>66</v>
      </c>
      <c r="N192" s="104">
        <v>72</v>
      </c>
      <c r="O192" s="104" t="s">
        <v>67</v>
      </c>
      <c r="P192" s="104">
        <v>35</v>
      </c>
    </row>
    <row r="193" spans="9:16">
      <c r="I193" s="104" t="s">
        <v>13</v>
      </c>
      <c r="J193" s="104">
        <v>411</v>
      </c>
      <c r="K193" s="104" t="s">
        <v>65</v>
      </c>
      <c r="L193" s="104">
        <v>123</v>
      </c>
      <c r="M193" s="104" t="s">
        <v>66</v>
      </c>
      <c r="N193" s="104">
        <v>40</v>
      </c>
      <c r="O193" s="104" t="s">
        <v>67</v>
      </c>
      <c r="P193" s="104">
        <v>35</v>
      </c>
    </row>
    <row r="194" spans="9:16">
      <c r="I194" s="104" t="s">
        <v>13</v>
      </c>
      <c r="J194" s="104">
        <v>444</v>
      </c>
      <c r="K194" s="104" t="s">
        <v>65</v>
      </c>
      <c r="L194" s="104">
        <v>153</v>
      </c>
      <c r="M194" s="104" t="s">
        <v>66</v>
      </c>
      <c r="N194" s="104">
        <v>39</v>
      </c>
      <c r="O194" s="104" t="s">
        <v>67</v>
      </c>
      <c r="P194" s="104">
        <v>33</v>
      </c>
    </row>
    <row r="195" spans="9:16">
      <c r="I195" s="104" t="s">
        <v>13</v>
      </c>
      <c r="J195" s="104">
        <v>779</v>
      </c>
      <c r="K195" s="104" t="s">
        <v>65</v>
      </c>
      <c r="L195" s="104">
        <v>376</v>
      </c>
      <c r="M195" s="104" t="s">
        <v>66</v>
      </c>
      <c r="N195" s="104">
        <v>27</v>
      </c>
      <c r="O195" s="104" t="s">
        <v>67</v>
      </c>
      <c r="P195" s="104">
        <v>21</v>
      </c>
    </row>
    <row r="196" spans="9:16">
      <c r="I196" s="104" t="s">
        <v>13</v>
      </c>
      <c r="J196" s="104">
        <v>867</v>
      </c>
      <c r="K196" s="104" t="s">
        <v>65</v>
      </c>
      <c r="L196" s="104">
        <v>138</v>
      </c>
      <c r="M196" s="104" t="s">
        <v>66</v>
      </c>
      <c r="N196" s="104">
        <v>24</v>
      </c>
      <c r="O196" s="104" t="s">
        <v>67</v>
      </c>
      <c r="P196" s="104">
        <v>16</v>
      </c>
    </row>
    <row r="197" spans="9:16">
      <c r="I197" s="104" t="s">
        <v>13</v>
      </c>
      <c r="J197" s="104">
        <v>964</v>
      </c>
      <c r="K197" s="104" t="s">
        <v>65</v>
      </c>
      <c r="L197" s="104">
        <v>398</v>
      </c>
      <c r="M197" s="104" t="s">
        <v>66</v>
      </c>
      <c r="N197" s="104">
        <v>13</v>
      </c>
      <c r="O197" s="104" t="s">
        <v>67</v>
      </c>
      <c r="P197" s="104">
        <v>14</v>
      </c>
    </row>
    <row r="198" spans="9:16">
      <c r="I198" s="104" t="s">
        <v>13</v>
      </c>
      <c r="J198" s="104">
        <v>1112</v>
      </c>
      <c r="K198" s="104" t="s">
        <v>65</v>
      </c>
      <c r="L198" s="104">
        <v>360</v>
      </c>
      <c r="M198" s="104" t="s">
        <v>66</v>
      </c>
      <c r="N198" s="104">
        <v>10</v>
      </c>
      <c r="O198" s="104" t="s">
        <v>67</v>
      </c>
      <c r="P198" s="104">
        <v>13</v>
      </c>
    </row>
    <row r="199" spans="9:16">
      <c r="I199" s="104" t="s">
        <v>13</v>
      </c>
      <c r="J199" s="104">
        <v>1213</v>
      </c>
      <c r="K199" s="104" t="s">
        <v>65</v>
      </c>
      <c r="L199" s="104">
        <v>53</v>
      </c>
      <c r="M199" s="104" t="s">
        <v>66</v>
      </c>
      <c r="N199" s="104">
        <v>5</v>
      </c>
      <c r="O199" s="104" t="s">
        <v>67</v>
      </c>
      <c r="P199" s="104">
        <v>8</v>
      </c>
    </row>
    <row r="200" spans="9:16">
      <c r="I200" s="104" t="s">
        <v>13</v>
      </c>
      <c r="J200" s="104">
        <v>1299</v>
      </c>
      <c r="K200" s="104" t="s">
        <v>65</v>
      </c>
      <c r="L200" s="104">
        <v>35</v>
      </c>
      <c r="M200" s="104" t="s">
        <v>66</v>
      </c>
      <c r="N200" s="104">
        <v>4</v>
      </c>
      <c r="O200" s="104" t="s">
        <v>67</v>
      </c>
      <c r="P200" s="104">
        <v>1</v>
      </c>
    </row>
    <row r="201" spans="9:16">
      <c r="I201" s="104" t="s">
        <v>13</v>
      </c>
      <c r="J201" s="104">
        <v>1408</v>
      </c>
      <c r="K201" s="104" t="s">
        <v>65</v>
      </c>
      <c r="L201" s="104">
        <v>474</v>
      </c>
      <c r="M201" s="104" t="s">
        <v>66</v>
      </c>
      <c r="N201" s="104">
        <v>1</v>
      </c>
      <c r="O201" s="104" t="s">
        <v>67</v>
      </c>
      <c r="P201" s="104">
        <v>0</v>
      </c>
    </row>
    <row r="203" spans="9:16">
      <c r="I203" s="104" t="s">
        <v>80</v>
      </c>
    </row>
    <row r="204" spans="9:16">
      <c r="I204" s="104" t="s">
        <v>13</v>
      </c>
      <c r="J204" s="104">
        <v>122</v>
      </c>
      <c r="K204" s="104" t="s">
        <v>65</v>
      </c>
      <c r="L204" s="104">
        <v>1448</v>
      </c>
      <c r="M204" s="104" t="s">
        <v>66</v>
      </c>
      <c r="N204" s="104">
        <v>182</v>
      </c>
      <c r="O204" s="104" t="s">
        <v>67</v>
      </c>
      <c r="P204" s="104">
        <v>110</v>
      </c>
    </row>
    <row r="205" spans="9:16">
      <c r="I205" s="104" t="s">
        <v>13</v>
      </c>
      <c r="J205" s="104">
        <v>245</v>
      </c>
      <c r="K205" s="104" t="s">
        <v>65</v>
      </c>
      <c r="L205" s="104">
        <v>493</v>
      </c>
      <c r="M205" s="104" t="s">
        <v>66</v>
      </c>
      <c r="N205" s="104">
        <v>97</v>
      </c>
      <c r="O205" s="104" t="s">
        <v>67</v>
      </c>
      <c r="P205" s="104">
        <v>67</v>
      </c>
    </row>
    <row r="206" spans="9:16">
      <c r="I206" s="104" t="s">
        <v>13</v>
      </c>
      <c r="J206" s="104">
        <v>344</v>
      </c>
      <c r="K206" s="104" t="s">
        <v>65</v>
      </c>
      <c r="L206" s="104">
        <v>1281</v>
      </c>
      <c r="M206" s="104" t="s">
        <v>66</v>
      </c>
      <c r="N206" s="104">
        <v>69</v>
      </c>
      <c r="O206" s="104" t="s">
        <v>67</v>
      </c>
      <c r="P206" s="104">
        <v>42</v>
      </c>
    </row>
    <row r="207" spans="9:16">
      <c r="I207" s="104" t="s">
        <v>13</v>
      </c>
      <c r="J207" s="104">
        <v>411</v>
      </c>
      <c r="K207" s="104" t="s">
        <v>65</v>
      </c>
      <c r="L207" s="104">
        <v>144</v>
      </c>
      <c r="M207" s="104" t="s">
        <v>66</v>
      </c>
      <c r="N207" s="104">
        <v>52</v>
      </c>
      <c r="O207" s="104" t="s">
        <v>67</v>
      </c>
      <c r="P207" s="104">
        <v>38</v>
      </c>
    </row>
    <row r="208" spans="9:16">
      <c r="I208" s="104" t="s">
        <v>13</v>
      </c>
      <c r="J208" s="104">
        <v>444</v>
      </c>
      <c r="K208" s="104" t="s">
        <v>65</v>
      </c>
      <c r="L208" s="104">
        <v>148</v>
      </c>
      <c r="M208" s="104" t="s">
        <v>66</v>
      </c>
      <c r="N208" s="104">
        <v>29</v>
      </c>
      <c r="O208" s="104" t="s">
        <v>67</v>
      </c>
      <c r="P208" s="104">
        <v>37</v>
      </c>
    </row>
    <row r="209" spans="9:16">
      <c r="I209" s="104" t="s">
        <v>13</v>
      </c>
      <c r="J209" s="104">
        <v>779</v>
      </c>
      <c r="K209" s="104" t="s">
        <v>65</v>
      </c>
      <c r="L209" s="104">
        <v>409</v>
      </c>
      <c r="M209" s="104" t="s">
        <v>66</v>
      </c>
      <c r="N209" s="104">
        <v>23</v>
      </c>
      <c r="O209" s="104" t="s">
        <v>67</v>
      </c>
      <c r="P209" s="104">
        <v>30</v>
      </c>
    </row>
    <row r="210" spans="9:16">
      <c r="I210" s="104" t="s">
        <v>13</v>
      </c>
      <c r="J210" s="104">
        <v>867</v>
      </c>
      <c r="K210" s="104" t="s">
        <v>65</v>
      </c>
      <c r="L210" s="104">
        <v>134</v>
      </c>
      <c r="M210" s="104" t="s">
        <v>66</v>
      </c>
      <c r="N210" s="104">
        <v>16</v>
      </c>
      <c r="O210" s="104" t="s">
        <v>67</v>
      </c>
      <c r="P210" s="104">
        <v>17</v>
      </c>
    </row>
    <row r="211" spans="9:16">
      <c r="I211" s="104" t="s">
        <v>13</v>
      </c>
      <c r="J211" s="104">
        <v>964</v>
      </c>
      <c r="K211" s="104" t="s">
        <v>65</v>
      </c>
      <c r="L211" s="104">
        <v>418</v>
      </c>
      <c r="M211" s="104" t="s">
        <v>66</v>
      </c>
      <c r="N211" s="104">
        <v>12</v>
      </c>
      <c r="O211" s="104" t="s">
        <v>67</v>
      </c>
      <c r="P211" s="104">
        <v>12</v>
      </c>
    </row>
    <row r="212" spans="9:16">
      <c r="I212" s="104" t="s">
        <v>13</v>
      </c>
      <c r="J212" s="104">
        <v>1112</v>
      </c>
      <c r="K212" s="104" t="s">
        <v>65</v>
      </c>
      <c r="L212" s="104">
        <v>354</v>
      </c>
      <c r="M212" s="104" t="s">
        <v>66</v>
      </c>
      <c r="N212" s="104">
        <v>10</v>
      </c>
      <c r="O212" s="104" t="s">
        <v>67</v>
      </c>
      <c r="P212" s="104">
        <v>7</v>
      </c>
    </row>
    <row r="213" spans="9:16">
      <c r="I213" s="104" t="s">
        <v>13</v>
      </c>
      <c r="J213" s="104">
        <v>1213</v>
      </c>
      <c r="K213" s="104" t="s">
        <v>65</v>
      </c>
      <c r="L213" s="104">
        <v>50</v>
      </c>
      <c r="M213" s="104" t="s">
        <v>66</v>
      </c>
      <c r="N213" s="104">
        <v>9</v>
      </c>
      <c r="O213" s="104" t="s">
        <v>67</v>
      </c>
      <c r="P213" s="104">
        <v>6</v>
      </c>
    </row>
    <row r="214" spans="9:16">
      <c r="I214" s="104" t="s">
        <v>13</v>
      </c>
      <c r="J214" s="104">
        <v>1299</v>
      </c>
      <c r="K214" s="104" t="s">
        <v>65</v>
      </c>
      <c r="L214" s="104">
        <v>33</v>
      </c>
      <c r="M214" s="104" t="s">
        <v>66</v>
      </c>
      <c r="N214" s="104">
        <v>2</v>
      </c>
      <c r="O214" s="104" t="s">
        <v>67</v>
      </c>
      <c r="P214" s="104">
        <v>2</v>
      </c>
    </row>
    <row r="215" spans="9:16">
      <c r="I215" s="104" t="s">
        <v>13</v>
      </c>
      <c r="J215" s="104">
        <v>1408</v>
      </c>
      <c r="K215" s="104" t="s">
        <v>65</v>
      </c>
      <c r="L215" s="104">
        <v>444</v>
      </c>
      <c r="M215" s="104" t="s">
        <v>66</v>
      </c>
      <c r="N215" s="104">
        <v>0</v>
      </c>
      <c r="O215" s="104" t="s">
        <v>67</v>
      </c>
      <c r="P215" s="104">
        <v>0</v>
      </c>
    </row>
    <row r="217" spans="9:16">
      <c r="I217" s="104" t="s">
        <v>81</v>
      </c>
    </row>
    <row r="218" spans="9:16">
      <c r="I218" s="104" t="s">
        <v>13</v>
      </c>
      <c r="J218" s="104">
        <v>122</v>
      </c>
      <c r="K218" s="104" t="s">
        <v>65</v>
      </c>
      <c r="L218" s="104">
        <v>1402</v>
      </c>
      <c r="M218" s="104" t="s">
        <v>66</v>
      </c>
      <c r="N218" s="104">
        <v>178</v>
      </c>
      <c r="O218" s="104" t="s">
        <v>67</v>
      </c>
      <c r="P218" s="104">
        <v>90</v>
      </c>
    </row>
    <row r="219" spans="9:16">
      <c r="I219" s="104" t="s">
        <v>13</v>
      </c>
      <c r="J219" s="104">
        <v>245</v>
      </c>
      <c r="K219" s="104" t="s">
        <v>65</v>
      </c>
      <c r="L219" s="104">
        <v>481</v>
      </c>
      <c r="M219" s="104" t="s">
        <v>66</v>
      </c>
      <c r="N219" s="104">
        <v>86</v>
      </c>
      <c r="O219" s="104" t="s">
        <v>67</v>
      </c>
      <c r="P219" s="104">
        <v>87</v>
      </c>
    </row>
    <row r="220" spans="9:16">
      <c r="I220" s="104" t="s">
        <v>13</v>
      </c>
      <c r="J220" s="104">
        <v>344</v>
      </c>
      <c r="K220" s="104" t="s">
        <v>65</v>
      </c>
      <c r="L220" s="104">
        <v>1343</v>
      </c>
      <c r="M220" s="104" t="s">
        <v>66</v>
      </c>
      <c r="N220" s="104">
        <v>66</v>
      </c>
      <c r="O220" s="104" t="s">
        <v>67</v>
      </c>
      <c r="P220" s="104">
        <v>44</v>
      </c>
    </row>
    <row r="221" spans="9:16">
      <c r="I221" s="104" t="s">
        <v>13</v>
      </c>
      <c r="J221" s="104">
        <v>411</v>
      </c>
      <c r="K221" s="104" t="s">
        <v>65</v>
      </c>
      <c r="L221" s="104">
        <v>144</v>
      </c>
      <c r="M221" s="104" t="s">
        <v>66</v>
      </c>
      <c r="N221" s="104">
        <v>42</v>
      </c>
      <c r="O221" s="104" t="s">
        <v>67</v>
      </c>
      <c r="P221" s="104">
        <v>30</v>
      </c>
    </row>
    <row r="222" spans="9:16">
      <c r="I222" s="104" t="s">
        <v>13</v>
      </c>
      <c r="J222" s="104">
        <v>444</v>
      </c>
      <c r="K222" s="104" t="s">
        <v>65</v>
      </c>
      <c r="L222" s="104">
        <v>139</v>
      </c>
      <c r="M222" s="104" t="s">
        <v>66</v>
      </c>
      <c r="N222" s="104">
        <v>32</v>
      </c>
      <c r="O222" s="104" t="s">
        <v>67</v>
      </c>
      <c r="P222" s="104">
        <v>24</v>
      </c>
    </row>
    <row r="223" spans="9:16">
      <c r="I223" s="104" t="s">
        <v>13</v>
      </c>
      <c r="J223" s="104">
        <v>779</v>
      </c>
      <c r="K223" s="104" t="s">
        <v>65</v>
      </c>
      <c r="L223" s="104">
        <v>397</v>
      </c>
      <c r="M223" s="104" t="s">
        <v>66</v>
      </c>
      <c r="N223" s="104">
        <v>22</v>
      </c>
      <c r="O223" s="104" t="s">
        <v>67</v>
      </c>
      <c r="P223" s="104">
        <v>28</v>
      </c>
    </row>
    <row r="224" spans="9:16">
      <c r="I224" s="104" t="s">
        <v>13</v>
      </c>
      <c r="J224" s="104">
        <v>867</v>
      </c>
      <c r="K224" s="104" t="s">
        <v>65</v>
      </c>
      <c r="L224" s="104">
        <v>141</v>
      </c>
      <c r="M224" s="104" t="s">
        <v>66</v>
      </c>
      <c r="N224" s="104">
        <v>21</v>
      </c>
      <c r="O224" s="104" t="s">
        <v>67</v>
      </c>
      <c r="P224" s="104">
        <v>14</v>
      </c>
    </row>
    <row r="225" spans="9:16">
      <c r="I225" s="104" t="s">
        <v>13</v>
      </c>
      <c r="J225" s="104">
        <v>964</v>
      </c>
      <c r="K225" s="104" t="s">
        <v>65</v>
      </c>
      <c r="L225" s="104">
        <v>424</v>
      </c>
      <c r="M225" s="104" t="s">
        <v>66</v>
      </c>
      <c r="N225" s="104">
        <v>14</v>
      </c>
      <c r="O225" s="104" t="s">
        <v>67</v>
      </c>
      <c r="P225" s="104">
        <v>16</v>
      </c>
    </row>
    <row r="226" spans="9:16">
      <c r="I226" s="104" t="s">
        <v>13</v>
      </c>
      <c r="J226" s="104">
        <v>1112</v>
      </c>
      <c r="K226" s="104" t="s">
        <v>65</v>
      </c>
      <c r="L226" s="104">
        <v>352</v>
      </c>
      <c r="M226" s="104" t="s">
        <v>66</v>
      </c>
      <c r="N226" s="104">
        <v>12</v>
      </c>
      <c r="O226" s="104" t="s">
        <v>67</v>
      </c>
      <c r="P226" s="104">
        <v>12</v>
      </c>
    </row>
    <row r="227" spans="9:16">
      <c r="I227" s="104" t="s">
        <v>13</v>
      </c>
      <c r="J227" s="104">
        <v>1213</v>
      </c>
      <c r="K227" s="104" t="s">
        <v>65</v>
      </c>
      <c r="L227" s="104">
        <v>42</v>
      </c>
      <c r="M227" s="104" t="s">
        <v>66</v>
      </c>
      <c r="N227" s="104">
        <v>11</v>
      </c>
      <c r="O227" s="104" t="s">
        <v>67</v>
      </c>
      <c r="P227" s="104">
        <v>7</v>
      </c>
    </row>
    <row r="228" spans="9:16">
      <c r="I228" s="104" t="s">
        <v>13</v>
      </c>
      <c r="J228" s="104">
        <v>1299</v>
      </c>
      <c r="K228" s="104" t="s">
        <v>65</v>
      </c>
      <c r="L228" s="104">
        <v>51</v>
      </c>
      <c r="M228" s="104" t="s">
        <v>66</v>
      </c>
      <c r="N228" s="104">
        <v>2</v>
      </c>
      <c r="O228" s="104" t="s">
        <v>67</v>
      </c>
      <c r="P228" s="104">
        <v>5</v>
      </c>
    </row>
    <row r="229" spans="9:16">
      <c r="I229" s="104" t="s">
        <v>13</v>
      </c>
      <c r="J229" s="104">
        <v>1408</v>
      </c>
      <c r="K229" s="104" t="s">
        <v>65</v>
      </c>
      <c r="L229" s="104">
        <v>474</v>
      </c>
      <c r="M229" s="104" t="s">
        <v>66</v>
      </c>
      <c r="N229" s="104">
        <v>1</v>
      </c>
      <c r="O229" s="104" t="s">
        <v>67</v>
      </c>
      <c r="P229" s="104">
        <v>0</v>
      </c>
    </row>
    <row r="231" spans="9:16">
      <c r="I231" s="104" t="s">
        <v>82</v>
      </c>
    </row>
    <row r="232" spans="9:16">
      <c r="I232" s="104" t="s">
        <v>13</v>
      </c>
      <c r="J232" s="104">
        <v>122</v>
      </c>
      <c r="K232" s="104" t="s">
        <v>65</v>
      </c>
      <c r="L232" s="104">
        <v>1522</v>
      </c>
      <c r="M232" s="104" t="s">
        <v>66</v>
      </c>
      <c r="N232" s="104">
        <v>185</v>
      </c>
      <c r="O232" s="104" t="s">
        <v>67</v>
      </c>
      <c r="P232" s="104">
        <v>89</v>
      </c>
    </row>
    <row r="233" spans="9:16">
      <c r="I233" s="104" t="s">
        <v>13</v>
      </c>
      <c r="J233" s="104">
        <v>245</v>
      </c>
      <c r="K233" s="104" t="s">
        <v>65</v>
      </c>
      <c r="L233" s="104">
        <v>513</v>
      </c>
      <c r="M233" s="104" t="s">
        <v>66</v>
      </c>
      <c r="N233" s="104">
        <v>82</v>
      </c>
      <c r="O233" s="104" t="s">
        <v>67</v>
      </c>
      <c r="P233" s="104">
        <v>92</v>
      </c>
    </row>
    <row r="234" spans="9:16">
      <c r="I234" s="104" t="s">
        <v>13</v>
      </c>
      <c r="J234" s="104">
        <v>344</v>
      </c>
      <c r="K234" s="104" t="s">
        <v>65</v>
      </c>
      <c r="L234" s="104">
        <v>1289</v>
      </c>
      <c r="M234" s="104" t="s">
        <v>66</v>
      </c>
      <c r="N234" s="104">
        <v>61</v>
      </c>
      <c r="O234" s="104" t="s">
        <v>67</v>
      </c>
      <c r="P234" s="104">
        <v>60</v>
      </c>
    </row>
    <row r="235" spans="9:16">
      <c r="I235" s="104" t="s">
        <v>13</v>
      </c>
      <c r="J235" s="104">
        <v>411</v>
      </c>
      <c r="K235" s="104" t="s">
        <v>65</v>
      </c>
      <c r="L235" s="104">
        <v>125</v>
      </c>
      <c r="M235" s="104" t="s">
        <v>66</v>
      </c>
      <c r="N235" s="104">
        <v>41</v>
      </c>
      <c r="O235" s="104" t="s">
        <v>67</v>
      </c>
      <c r="P235" s="104">
        <v>31</v>
      </c>
    </row>
    <row r="236" spans="9:16">
      <c r="I236" s="104" t="s">
        <v>13</v>
      </c>
      <c r="J236" s="104">
        <v>444</v>
      </c>
      <c r="K236" s="104" t="s">
        <v>65</v>
      </c>
      <c r="L236" s="104">
        <v>176</v>
      </c>
      <c r="M236" s="104" t="s">
        <v>66</v>
      </c>
      <c r="N236" s="104">
        <v>40</v>
      </c>
      <c r="O236" s="104" t="s">
        <v>67</v>
      </c>
      <c r="P236" s="104">
        <v>34</v>
      </c>
    </row>
    <row r="237" spans="9:16">
      <c r="I237" s="104" t="s">
        <v>13</v>
      </c>
      <c r="J237" s="104">
        <v>779</v>
      </c>
      <c r="K237" s="104" t="s">
        <v>65</v>
      </c>
      <c r="L237" s="104">
        <v>394</v>
      </c>
      <c r="M237" s="104" t="s">
        <v>66</v>
      </c>
      <c r="N237" s="104">
        <v>27</v>
      </c>
      <c r="O237" s="104" t="s">
        <v>67</v>
      </c>
      <c r="P237" s="104">
        <v>30</v>
      </c>
    </row>
    <row r="238" spans="9:16">
      <c r="I238" s="104" t="s">
        <v>13</v>
      </c>
      <c r="J238" s="104">
        <v>867</v>
      </c>
      <c r="K238" s="104" t="s">
        <v>65</v>
      </c>
      <c r="L238" s="104">
        <v>127</v>
      </c>
      <c r="M238" s="104" t="s">
        <v>66</v>
      </c>
      <c r="N238" s="104">
        <v>23</v>
      </c>
      <c r="O238" s="104" t="s">
        <v>67</v>
      </c>
      <c r="P238" s="104">
        <v>26</v>
      </c>
    </row>
    <row r="239" spans="9:16">
      <c r="I239" s="104" t="s">
        <v>13</v>
      </c>
      <c r="J239" s="104">
        <v>964</v>
      </c>
      <c r="K239" s="104" t="s">
        <v>65</v>
      </c>
      <c r="L239" s="104">
        <v>428</v>
      </c>
      <c r="M239" s="104" t="s">
        <v>66</v>
      </c>
      <c r="N239" s="104">
        <v>18</v>
      </c>
      <c r="O239" s="104" t="s">
        <v>67</v>
      </c>
      <c r="P239" s="104">
        <v>5</v>
      </c>
    </row>
    <row r="240" spans="9:16">
      <c r="I240" s="104" t="s">
        <v>13</v>
      </c>
      <c r="J240" s="104">
        <v>1112</v>
      </c>
      <c r="K240" s="104" t="s">
        <v>65</v>
      </c>
      <c r="L240" s="104">
        <v>383</v>
      </c>
      <c r="M240" s="104" t="s">
        <v>66</v>
      </c>
      <c r="N240" s="104">
        <v>8</v>
      </c>
      <c r="O240" s="104" t="s">
        <v>67</v>
      </c>
      <c r="P240" s="104">
        <v>10</v>
      </c>
    </row>
    <row r="241" spans="1:16">
      <c r="I241" s="104" t="s">
        <v>13</v>
      </c>
      <c r="J241" s="104">
        <v>1213</v>
      </c>
      <c r="K241" s="104" t="s">
        <v>65</v>
      </c>
      <c r="L241" s="104">
        <v>49</v>
      </c>
      <c r="M241" s="104" t="s">
        <v>66</v>
      </c>
      <c r="N241" s="104">
        <v>13</v>
      </c>
      <c r="O241" s="104" t="s">
        <v>67</v>
      </c>
      <c r="P241" s="104">
        <v>13</v>
      </c>
    </row>
    <row r="242" spans="1:16">
      <c r="I242" s="104" t="s">
        <v>13</v>
      </c>
      <c r="J242" s="104">
        <v>1299</v>
      </c>
      <c r="K242" s="104" t="s">
        <v>65</v>
      </c>
      <c r="L242" s="104">
        <v>35</v>
      </c>
      <c r="M242" s="104" t="s">
        <v>66</v>
      </c>
      <c r="N242" s="104">
        <v>8</v>
      </c>
      <c r="O242" s="104" t="s">
        <v>67</v>
      </c>
      <c r="P242" s="104">
        <v>1</v>
      </c>
    </row>
    <row r="243" spans="1:16">
      <c r="I243" s="104" t="s">
        <v>13</v>
      </c>
      <c r="J243" s="104">
        <v>1408</v>
      </c>
      <c r="K243" s="104" t="s">
        <v>65</v>
      </c>
      <c r="L243" s="104">
        <v>486</v>
      </c>
      <c r="M243" s="104" t="s">
        <v>66</v>
      </c>
      <c r="N243" s="104">
        <v>0</v>
      </c>
      <c r="O243" s="104" t="s">
        <v>67</v>
      </c>
      <c r="P243" s="104">
        <v>0</v>
      </c>
    </row>
    <row r="245" spans="1:16">
      <c r="I245" s="57" t="s">
        <v>83</v>
      </c>
      <c r="J245" s="57"/>
      <c r="K245" s="57"/>
      <c r="L245" s="57"/>
      <c r="M245" s="57"/>
      <c r="N245" s="57"/>
      <c r="O245" s="57"/>
      <c r="P245" s="57"/>
    </row>
    <row r="246" spans="1:16">
      <c r="A246" s="110" t="s">
        <v>176</v>
      </c>
      <c r="I246" s="57" t="s">
        <v>13</v>
      </c>
      <c r="J246" s="57">
        <v>122</v>
      </c>
      <c r="K246" s="57" t="s">
        <v>65</v>
      </c>
      <c r="L246" s="57">
        <v>1500</v>
      </c>
      <c r="M246" s="57" t="s">
        <v>66</v>
      </c>
      <c r="N246" s="57">
        <v>192</v>
      </c>
      <c r="O246" s="57" t="s">
        <v>67</v>
      </c>
      <c r="P246" s="57">
        <v>109</v>
      </c>
    </row>
    <row r="247" spans="1:16">
      <c r="A247" s="72" t="s">
        <v>13</v>
      </c>
      <c r="B247" s="72">
        <v>245</v>
      </c>
      <c r="C247" s="72" t="s">
        <v>170</v>
      </c>
      <c r="D247" s="72">
        <v>8.8446499999999997E-2</v>
      </c>
      <c r="I247" s="57" t="s">
        <v>13</v>
      </c>
      <c r="J247" s="57">
        <v>245</v>
      </c>
      <c r="K247" s="57" t="s">
        <v>65</v>
      </c>
      <c r="L247" s="57">
        <v>474</v>
      </c>
      <c r="M247" s="57" t="s">
        <v>66</v>
      </c>
      <c r="N247" s="57">
        <v>97</v>
      </c>
      <c r="O247" s="57" t="s">
        <v>67</v>
      </c>
      <c r="P247" s="57">
        <v>64</v>
      </c>
    </row>
    <row r="248" spans="1:16">
      <c r="A248" s="72" t="s">
        <v>13</v>
      </c>
      <c r="B248" s="72">
        <v>344</v>
      </c>
      <c r="C248" s="72" t="s">
        <v>170</v>
      </c>
      <c r="D248" s="72">
        <v>3.0419100000000001E-2</v>
      </c>
      <c r="I248" s="57" t="s">
        <v>13</v>
      </c>
      <c r="J248" s="57">
        <v>344</v>
      </c>
      <c r="K248" s="57" t="s">
        <v>65</v>
      </c>
      <c r="L248" s="57">
        <v>1331</v>
      </c>
      <c r="M248" s="57" t="s">
        <v>66</v>
      </c>
      <c r="N248" s="57">
        <v>60</v>
      </c>
      <c r="O248" s="57" t="s">
        <v>67</v>
      </c>
      <c r="P248" s="57">
        <v>50</v>
      </c>
    </row>
    <row r="249" spans="1:16">
      <c r="A249" s="72" t="s">
        <v>13</v>
      </c>
      <c r="B249" s="72">
        <v>411</v>
      </c>
      <c r="C249" s="72" t="s">
        <v>170</v>
      </c>
      <c r="D249" s="72">
        <v>3.6562200000000003E-2</v>
      </c>
      <c r="I249" s="57" t="s">
        <v>13</v>
      </c>
      <c r="J249" s="57">
        <v>411</v>
      </c>
      <c r="K249" s="57" t="s">
        <v>65</v>
      </c>
      <c r="L249" s="57">
        <v>127</v>
      </c>
      <c r="M249" s="57" t="s">
        <v>66</v>
      </c>
      <c r="N249" s="57">
        <v>50</v>
      </c>
      <c r="O249" s="57" t="s">
        <v>67</v>
      </c>
      <c r="P249" s="57">
        <v>35</v>
      </c>
    </row>
    <row r="250" spans="1:16">
      <c r="A250" s="72" t="s">
        <v>13</v>
      </c>
      <c r="B250" s="72">
        <v>444</v>
      </c>
      <c r="C250" s="72" t="s">
        <v>170</v>
      </c>
      <c r="D250" s="72">
        <v>-5.2457800000000002E-3</v>
      </c>
      <c r="I250" s="57" t="s">
        <v>13</v>
      </c>
      <c r="J250" s="57">
        <v>444</v>
      </c>
      <c r="K250" s="57" t="s">
        <v>65</v>
      </c>
      <c r="L250" s="57">
        <v>155</v>
      </c>
      <c r="M250" s="57" t="s">
        <v>66</v>
      </c>
      <c r="N250" s="57">
        <v>43</v>
      </c>
      <c r="O250" s="57" t="s">
        <v>67</v>
      </c>
      <c r="P250" s="57">
        <v>32</v>
      </c>
    </row>
    <row r="251" spans="1:16">
      <c r="A251" s="72" t="s">
        <v>13</v>
      </c>
      <c r="B251" s="72">
        <v>779</v>
      </c>
      <c r="C251" s="72" t="s">
        <v>170</v>
      </c>
      <c r="D251" s="72">
        <v>-3.73053E-2</v>
      </c>
      <c r="I251" s="57" t="s">
        <v>13</v>
      </c>
      <c r="J251" s="57">
        <v>779</v>
      </c>
      <c r="K251" s="57" t="s">
        <v>65</v>
      </c>
      <c r="L251" s="57">
        <v>392</v>
      </c>
      <c r="M251" s="57" t="s">
        <v>66</v>
      </c>
      <c r="N251" s="57">
        <v>30</v>
      </c>
      <c r="O251" s="57" t="s">
        <v>67</v>
      </c>
      <c r="P251" s="57">
        <v>20</v>
      </c>
    </row>
    <row r="252" spans="1:16">
      <c r="A252" s="72" t="s">
        <v>13</v>
      </c>
      <c r="B252" s="72">
        <v>867</v>
      </c>
      <c r="C252" s="72" t="s">
        <v>170</v>
      </c>
      <c r="D252" s="72">
        <v>-2.0654699999999998E-3</v>
      </c>
      <c r="I252" s="57" t="s">
        <v>13</v>
      </c>
      <c r="J252" s="57">
        <v>867</v>
      </c>
      <c r="K252" s="57" t="s">
        <v>65</v>
      </c>
      <c r="L252" s="57">
        <v>136</v>
      </c>
      <c r="M252" s="57" t="s">
        <v>66</v>
      </c>
      <c r="N252" s="57">
        <v>22</v>
      </c>
      <c r="O252" s="57" t="s">
        <v>67</v>
      </c>
      <c r="P252" s="57">
        <v>26</v>
      </c>
    </row>
    <row r="253" spans="1:16">
      <c r="A253" s="72" t="s">
        <v>13</v>
      </c>
      <c r="B253" s="72">
        <v>964</v>
      </c>
      <c r="C253" s="72" t="s">
        <v>170</v>
      </c>
      <c r="D253" s="72">
        <v>-3.4796000000000001E-2</v>
      </c>
      <c r="I253" s="57" t="s">
        <v>13</v>
      </c>
      <c r="J253" s="57">
        <v>964</v>
      </c>
      <c r="K253" s="57" t="s">
        <v>65</v>
      </c>
      <c r="L253" s="57">
        <v>438</v>
      </c>
      <c r="M253" s="57" t="s">
        <v>66</v>
      </c>
      <c r="N253" s="57">
        <v>9</v>
      </c>
      <c r="O253" s="57" t="s">
        <v>67</v>
      </c>
      <c r="P253" s="57">
        <v>15</v>
      </c>
    </row>
    <row r="254" spans="1:16">
      <c r="A254" s="72" t="s">
        <v>13</v>
      </c>
      <c r="B254" s="72">
        <v>1112</v>
      </c>
      <c r="C254" s="72" t="s">
        <v>170</v>
      </c>
      <c r="D254" s="72">
        <v>-6.0057100000000002E-2</v>
      </c>
      <c r="I254" s="57" t="s">
        <v>13</v>
      </c>
      <c r="J254" s="57">
        <v>1112</v>
      </c>
      <c r="K254" s="57" t="s">
        <v>65</v>
      </c>
      <c r="L254" s="57">
        <v>360</v>
      </c>
      <c r="M254" s="57" t="s">
        <v>66</v>
      </c>
      <c r="N254" s="57">
        <v>12</v>
      </c>
      <c r="O254" s="57" t="s">
        <v>67</v>
      </c>
      <c r="P254" s="57">
        <v>15</v>
      </c>
    </row>
    <row r="255" spans="1:16">
      <c r="A255" s="72" t="s">
        <v>13</v>
      </c>
      <c r="B255" s="72">
        <v>1213</v>
      </c>
      <c r="C255" s="72" t="s">
        <v>170</v>
      </c>
      <c r="D255" s="72">
        <v>-8.7247099999999994E-2</v>
      </c>
      <c r="I255" s="57" t="s">
        <v>13</v>
      </c>
      <c r="J255" s="57">
        <v>1213</v>
      </c>
      <c r="K255" s="57" t="s">
        <v>65</v>
      </c>
      <c r="L255" s="57">
        <v>44</v>
      </c>
      <c r="M255" s="57" t="s">
        <v>66</v>
      </c>
      <c r="N255" s="57">
        <v>7</v>
      </c>
      <c r="O255" s="57" t="s">
        <v>67</v>
      </c>
      <c r="P255" s="57">
        <v>4</v>
      </c>
    </row>
    <row r="256" spans="1:16">
      <c r="A256" s="72" t="s">
        <v>13</v>
      </c>
      <c r="B256" s="72">
        <v>1299</v>
      </c>
      <c r="C256" s="72" t="s">
        <v>170</v>
      </c>
      <c r="D256" s="72">
        <v>4.5819299999999997E-3</v>
      </c>
      <c r="I256" s="57" t="s">
        <v>13</v>
      </c>
      <c r="J256" s="57">
        <v>1299</v>
      </c>
      <c r="K256" s="57" t="s">
        <v>65</v>
      </c>
      <c r="L256" s="57">
        <v>36</v>
      </c>
      <c r="M256" s="57" t="s">
        <v>66</v>
      </c>
      <c r="N256" s="57">
        <v>5</v>
      </c>
      <c r="O256" s="57" t="s">
        <v>67</v>
      </c>
      <c r="P256" s="57">
        <v>2</v>
      </c>
    </row>
    <row r="257" spans="1:43">
      <c r="A257" s="72" t="s">
        <v>13</v>
      </c>
      <c r="B257" s="72">
        <v>1408</v>
      </c>
      <c r="C257" s="72" t="s">
        <v>170</v>
      </c>
      <c r="D257" s="72">
        <v>-5.7824399999999998E-2</v>
      </c>
      <c r="I257" s="57" t="s">
        <v>13</v>
      </c>
      <c r="J257" s="57">
        <v>1408</v>
      </c>
      <c r="K257" s="57" t="s">
        <v>65</v>
      </c>
      <c r="L257" s="57">
        <v>477</v>
      </c>
      <c r="M257" s="57" t="s">
        <v>66</v>
      </c>
      <c r="N257" s="57">
        <v>1</v>
      </c>
      <c r="O257" s="57" t="s">
        <v>67</v>
      </c>
      <c r="P257" s="57">
        <v>0</v>
      </c>
    </row>
    <row r="258" spans="1:43">
      <c r="C258" s="104" t="s">
        <v>172</v>
      </c>
      <c r="D258" s="11">
        <f>AVERAGE(C261:C271)</f>
        <v>-1.1321038181818181E-2</v>
      </c>
    </row>
    <row r="259" spans="1:43">
      <c r="B259" s="109">
        <f>SQRT(SUMSQ(C261:C271)/COUNTA(C261:C271))</f>
        <v>4.9820311585121221E-2</v>
      </c>
      <c r="C259" s="104" t="s">
        <v>171</v>
      </c>
      <c r="D259" s="104">
        <f>COUNT(C261:C271)</f>
        <v>11</v>
      </c>
    </row>
    <row r="260" spans="1:43">
      <c r="C260" s="11"/>
      <c r="D260" s="22"/>
      <c r="E260" s="104">
        <v>1</v>
      </c>
      <c r="F260" s="104" t="s">
        <v>85</v>
      </c>
      <c r="G260" s="104">
        <v>122</v>
      </c>
      <c r="H260" s="104" t="s">
        <v>97</v>
      </c>
      <c r="I260" s="104" t="s">
        <v>98</v>
      </c>
      <c r="J260" s="104">
        <v>2.9999999999999997E-4</v>
      </c>
      <c r="K260" s="104" t="s">
        <v>97</v>
      </c>
      <c r="L260" s="104" t="s">
        <v>110</v>
      </c>
      <c r="M260" s="95">
        <f t="shared" ref="M260:M271" si="22">AD22</f>
        <v>5.0510031678986274E-2</v>
      </c>
      <c r="N260" s="104" t="s">
        <v>97</v>
      </c>
      <c r="O260" s="104" t="s">
        <v>122</v>
      </c>
      <c r="P260" s="95">
        <f t="shared" ref="P260:P271" si="23">AE22</f>
        <v>3.030978443122281E-4</v>
      </c>
      <c r="Q260" s="104" t="s">
        <v>97</v>
      </c>
      <c r="S260" s="104" t="s">
        <v>85</v>
      </c>
      <c r="T260" s="104">
        <v>122</v>
      </c>
      <c r="U260" s="104" t="s">
        <v>97</v>
      </c>
      <c r="V260" s="104" t="s">
        <v>98</v>
      </c>
      <c r="W260" s="104">
        <v>2.9999999999999997E-4</v>
      </c>
      <c r="X260" s="104" t="s">
        <v>97</v>
      </c>
      <c r="Y260" s="104" t="s">
        <v>110</v>
      </c>
      <c r="Z260" s="95">
        <f>M6</f>
        <v>2.2747347723640135E-2</v>
      </c>
      <c r="AA260" s="104" t="s">
        <v>97</v>
      </c>
      <c r="AB260" s="104" t="s">
        <v>122</v>
      </c>
      <c r="AC260" s="95">
        <f t="shared" ref="AC260:AC271" si="24">N6</f>
        <v>1.0823012850945098E-4</v>
      </c>
      <c r="AD260" s="104" t="s">
        <v>97</v>
      </c>
      <c r="AF260" s="104" t="s">
        <v>85</v>
      </c>
      <c r="AG260" s="104">
        <v>122</v>
      </c>
      <c r="AH260" s="104" t="s">
        <v>97</v>
      </c>
      <c r="AI260" s="104" t="s">
        <v>98</v>
      </c>
      <c r="AJ260" s="104">
        <v>2.9999999999999997E-4</v>
      </c>
      <c r="AK260" s="104" t="s">
        <v>97</v>
      </c>
      <c r="AL260" s="104" t="s">
        <v>110</v>
      </c>
      <c r="AM260" s="95">
        <f>E22</f>
        <v>0.45035306784619838</v>
      </c>
      <c r="AN260" s="104" t="s">
        <v>97</v>
      </c>
      <c r="AO260" s="104" t="s">
        <v>122</v>
      </c>
      <c r="AP260" s="95">
        <f>F22</f>
        <v>3.4488571151592216E-3</v>
      </c>
      <c r="AQ260" s="104" t="s">
        <v>97</v>
      </c>
    </row>
    <row r="261" spans="1:43">
      <c r="B261" s="104" t="s">
        <v>170</v>
      </c>
      <c r="C261" s="11">
        <f>D247</f>
        <v>8.8446499999999997E-2</v>
      </c>
      <c r="D261" s="22">
        <f>(C261-D$258)^2</f>
        <v>9.9535616748605473E-3</v>
      </c>
      <c r="E261" s="104">
        <v>1</v>
      </c>
      <c r="F261" s="104" t="s">
        <v>85</v>
      </c>
      <c r="G261" s="104">
        <v>245</v>
      </c>
      <c r="H261" s="104" t="s">
        <v>97</v>
      </c>
      <c r="I261" s="104" t="s">
        <v>98</v>
      </c>
      <c r="J261" s="104">
        <v>8.0000000000000004E-4</v>
      </c>
      <c r="K261" s="104" t="s">
        <v>97</v>
      </c>
      <c r="L261" s="104" t="s">
        <v>110</v>
      </c>
      <c r="M261" s="95">
        <f>AD23</f>
        <v>4.0016000000000003E-2</v>
      </c>
      <c r="N261" s="104" t="s">
        <v>97</v>
      </c>
      <c r="O261" s="104" t="s">
        <v>122</v>
      </c>
      <c r="P261" s="95">
        <f t="shared" si="23"/>
        <v>4.0072337933534468E-4</v>
      </c>
      <c r="Q261" s="104" t="s">
        <v>97</v>
      </c>
      <c r="S261" s="104" t="s">
        <v>85</v>
      </c>
      <c r="T261" s="104">
        <v>245</v>
      </c>
      <c r="U261" s="104" t="s">
        <v>97</v>
      </c>
      <c r="V261" s="104" t="s">
        <v>98</v>
      </c>
      <c r="W261" s="104">
        <v>8.0000000000000004E-4</v>
      </c>
      <c r="X261" s="104" t="s">
        <v>97</v>
      </c>
      <c r="Y261" s="104" t="s">
        <v>110</v>
      </c>
      <c r="Z261" s="95">
        <f t="shared" ref="Z261:Z271" si="25">M7</f>
        <v>1.8465345090776013E-2</v>
      </c>
      <c r="AA261" s="104" t="s">
        <v>97</v>
      </c>
      <c r="AB261" s="104" t="s">
        <v>122</v>
      </c>
      <c r="AC261" s="95">
        <f t="shared" si="24"/>
        <v>1.1566377444766696E-4</v>
      </c>
      <c r="AD261" s="104" t="s">
        <v>97</v>
      </c>
      <c r="AF261" s="104" t="s">
        <v>85</v>
      </c>
      <c r="AG261" s="104">
        <v>245</v>
      </c>
      <c r="AH261" s="104" t="s">
        <v>97</v>
      </c>
      <c r="AI261" s="104" t="s">
        <v>98</v>
      </c>
      <c r="AJ261" s="104">
        <v>8.0000000000000004E-4</v>
      </c>
      <c r="AK261" s="104" t="s">
        <v>97</v>
      </c>
      <c r="AL261" s="104" t="s">
        <v>110</v>
      </c>
      <c r="AM261" s="95">
        <f t="shared" ref="AM261:AM271" si="26">E23</f>
        <v>0.46144904765034017</v>
      </c>
      <c r="AN261" s="104" t="s">
        <v>97</v>
      </c>
      <c r="AO261" s="104" t="s">
        <v>122</v>
      </c>
      <c r="AP261" s="95">
        <f t="shared" ref="AP261:AP271" si="27">F23</f>
        <v>5.4505187955280181E-3</v>
      </c>
      <c r="AQ261" s="104" t="s">
        <v>97</v>
      </c>
    </row>
    <row r="262" spans="1:43">
      <c r="B262" s="104" t="s">
        <v>170</v>
      </c>
      <c r="C262" s="11">
        <f t="shared" ref="C262:C270" si="28">D248</f>
        <v>3.0419100000000001E-2</v>
      </c>
      <c r="D262" s="22">
        <f t="shared" ref="D262:D271" si="29">(C262-D$258)^2</f>
        <v>1.742239135437276E-3</v>
      </c>
      <c r="E262" s="104">
        <v>1</v>
      </c>
      <c r="F262" s="104" t="s">
        <v>86</v>
      </c>
      <c r="G262" s="104">
        <v>344</v>
      </c>
      <c r="H262" s="104" t="s">
        <v>97</v>
      </c>
      <c r="I262" s="104" t="s">
        <v>99</v>
      </c>
      <c r="J262" s="104">
        <v>1.1999999999999999E-3</v>
      </c>
      <c r="K262" s="104" t="s">
        <v>97</v>
      </c>
      <c r="L262" s="104" t="s">
        <v>111</v>
      </c>
      <c r="M262" s="95">
        <f t="shared" si="22"/>
        <v>3.2278028592927013E-2</v>
      </c>
      <c r="N262" s="104" t="s">
        <v>97</v>
      </c>
      <c r="O262" s="104" t="s">
        <v>123</v>
      </c>
      <c r="P262" s="95">
        <f t="shared" si="23"/>
        <v>2.1711813691674186E-4</v>
      </c>
      <c r="Q262" s="104" t="s">
        <v>97</v>
      </c>
      <c r="S262" s="104" t="s">
        <v>86</v>
      </c>
      <c r="T262" s="104">
        <v>344</v>
      </c>
      <c r="U262" s="104" t="s">
        <v>97</v>
      </c>
      <c r="V262" s="104" t="s">
        <v>99</v>
      </c>
      <c r="W262" s="104">
        <v>1.1999999999999999E-3</v>
      </c>
      <c r="X262" s="104" t="s">
        <v>97</v>
      </c>
      <c r="Y262" s="104" t="s">
        <v>111</v>
      </c>
      <c r="Z262" s="95">
        <f t="shared" si="25"/>
        <v>1.5339591225046622E-2</v>
      </c>
      <c r="AA262" s="104" t="s">
        <v>97</v>
      </c>
      <c r="AB262" s="104" t="s">
        <v>123</v>
      </c>
      <c r="AC262" s="95">
        <f t="shared" si="24"/>
        <v>7.2955752527013179E-5</v>
      </c>
      <c r="AD262" s="104" t="s">
        <v>97</v>
      </c>
      <c r="AF262" s="104" t="s">
        <v>86</v>
      </c>
      <c r="AG262" s="104">
        <v>344</v>
      </c>
      <c r="AH262" s="104" t="s">
        <v>97</v>
      </c>
      <c r="AI262" s="104" t="s">
        <v>99</v>
      </c>
      <c r="AJ262" s="104">
        <v>1.1999999999999999E-3</v>
      </c>
      <c r="AK262" s="104" t="s">
        <v>97</v>
      </c>
      <c r="AL262" s="104" t="s">
        <v>111</v>
      </c>
      <c r="AM262" s="95">
        <f t="shared" si="26"/>
        <v>0.47523321261348472</v>
      </c>
      <c r="AN262" s="104" t="s">
        <v>97</v>
      </c>
      <c r="AO262" s="104" t="s">
        <v>123</v>
      </c>
      <c r="AP262" s="95">
        <f t="shared" si="27"/>
        <v>3.9150027059390337E-3</v>
      </c>
      <c r="AQ262" s="104" t="s">
        <v>97</v>
      </c>
    </row>
    <row r="263" spans="1:43">
      <c r="B263" s="104" t="s">
        <v>170</v>
      </c>
      <c r="C263" s="11">
        <f t="shared" si="28"/>
        <v>3.6562200000000003E-2</v>
      </c>
      <c r="D263" s="22">
        <f t="shared" si="29"/>
        <v>2.2928044987767303E-3</v>
      </c>
      <c r="E263" s="104">
        <v>1</v>
      </c>
      <c r="F263" s="104" t="s">
        <v>87</v>
      </c>
      <c r="G263" s="104">
        <v>411</v>
      </c>
      <c r="H263" s="104" t="s">
        <v>97</v>
      </c>
      <c r="I263" s="104" t="s">
        <v>100</v>
      </c>
      <c r="J263" s="104">
        <v>1.1999999999999999E-3</v>
      </c>
      <c r="K263" s="104" t="s">
        <v>97</v>
      </c>
      <c r="L263" s="104" t="s">
        <v>112</v>
      </c>
      <c r="M263" s="95">
        <f t="shared" si="22"/>
        <v>2.9186410371032635E-2</v>
      </c>
      <c r="N263" s="104" t="s">
        <v>97</v>
      </c>
      <c r="O263" s="104" t="s">
        <v>124</v>
      </c>
      <c r="P263" s="95">
        <f t="shared" si="23"/>
        <v>6.1084417113624833E-4</v>
      </c>
      <c r="Q263" s="104" t="s">
        <v>97</v>
      </c>
      <c r="S263" s="104" t="s">
        <v>87</v>
      </c>
      <c r="T263" s="104">
        <v>411</v>
      </c>
      <c r="U263" s="104" t="s">
        <v>97</v>
      </c>
      <c r="V263" s="104" t="s">
        <v>100</v>
      </c>
      <c r="W263" s="104">
        <v>1.1999999999999999E-3</v>
      </c>
      <c r="X263" s="104" t="s">
        <v>97</v>
      </c>
      <c r="Y263" s="104" t="s">
        <v>112</v>
      </c>
      <c r="Z263" s="95">
        <f t="shared" si="25"/>
        <v>1.3334198169939812E-2</v>
      </c>
      <c r="AA263" s="104" t="s">
        <v>97</v>
      </c>
      <c r="AB263" s="104" t="s">
        <v>124</v>
      </c>
      <c r="AC263" s="95">
        <f t="shared" si="24"/>
        <v>1.2190464479619925E-4</v>
      </c>
      <c r="AD263" s="104" t="s">
        <v>97</v>
      </c>
      <c r="AF263" s="104" t="s">
        <v>87</v>
      </c>
      <c r="AG263" s="104">
        <v>411</v>
      </c>
      <c r="AH263" s="104" t="s">
        <v>97</v>
      </c>
      <c r="AI263" s="104" t="s">
        <v>100</v>
      </c>
      <c r="AJ263" s="104">
        <v>1.1999999999999999E-3</v>
      </c>
      <c r="AK263" s="104" t="s">
        <v>97</v>
      </c>
      <c r="AL263" s="104" t="s">
        <v>112</v>
      </c>
      <c r="AM263" s="95">
        <f t="shared" si="26"/>
        <v>0.45686324561426495</v>
      </c>
      <c r="AN263" s="104" t="s">
        <v>97</v>
      </c>
      <c r="AO263" s="104" t="s">
        <v>124</v>
      </c>
      <c r="AP263" s="95">
        <f t="shared" si="27"/>
        <v>1.0434164822993992E-2</v>
      </c>
      <c r="AQ263" s="104" t="s">
        <v>97</v>
      </c>
    </row>
    <row r="264" spans="1:43">
      <c r="B264" s="104" t="s">
        <v>170</v>
      </c>
      <c r="C264" s="11">
        <f t="shared" si="28"/>
        <v>-5.2457800000000002E-3</v>
      </c>
      <c r="D264" s="22">
        <f t="shared" si="29"/>
        <v>3.6908761975748739E-5</v>
      </c>
      <c r="E264" s="104">
        <v>1</v>
      </c>
      <c r="F264" s="104" t="s">
        <v>88</v>
      </c>
      <c r="G264" s="104">
        <v>444</v>
      </c>
      <c r="H264" s="104" t="s">
        <v>97</v>
      </c>
      <c r="I264" s="104" t="s">
        <v>101</v>
      </c>
      <c r="J264" s="104">
        <v>3.0000000000000001E-3</v>
      </c>
      <c r="K264" s="104" t="s">
        <v>97</v>
      </c>
      <c r="L264" s="104" t="s">
        <v>113</v>
      </c>
      <c r="M264" s="95">
        <f t="shared" si="22"/>
        <v>2.5526400000000001E-2</v>
      </c>
      <c r="N264" s="104" t="s">
        <v>97</v>
      </c>
      <c r="O264" s="104" t="s">
        <v>125</v>
      </c>
      <c r="P264" s="95">
        <f t="shared" si="23"/>
        <v>4.7450823330989111E-4</v>
      </c>
      <c r="Q264" s="104" t="s">
        <v>97</v>
      </c>
      <c r="S264" s="104" t="s">
        <v>88</v>
      </c>
      <c r="T264" s="104">
        <v>444</v>
      </c>
      <c r="U264" s="104" t="s">
        <v>97</v>
      </c>
      <c r="V264" s="104" t="s">
        <v>101</v>
      </c>
      <c r="W264" s="104">
        <v>3.0000000000000001E-3</v>
      </c>
      <c r="X264" s="104" t="s">
        <v>97</v>
      </c>
      <c r="Y264" s="104" t="s">
        <v>113</v>
      </c>
      <c r="Z264" s="95">
        <f t="shared" si="25"/>
        <v>1.3148998755576147E-2</v>
      </c>
      <c r="AA264" s="104" t="s">
        <v>97</v>
      </c>
      <c r="AB264" s="104" t="s">
        <v>125</v>
      </c>
      <c r="AC264" s="95">
        <f t="shared" si="24"/>
        <v>1.0174456288799314E-4</v>
      </c>
      <c r="AD264" s="104" t="s">
        <v>97</v>
      </c>
      <c r="AF264" s="104" t="s">
        <v>88</v>
      </c>
      <c r="AG264" s="104">
        <v>444</v>
      </c>
      <c r="AH264" s="104" t="s">
        <v>97</v>
      </c>
      <c r="AI264" s="104" t="s">
        <v>101</v>
      </c>
      <c r="AJ264" s="104">
        <v>3.0000000000000001E-3</v>
      </c>
      <c r="AK264" s="104" t="s">
        <v>97</v>
      </c>
      <c r="AL264" s="104" t="s">
        <v>113</v>
      </c>
      <c r="AM264" s="95">
        <f t="shared" si="26"/>
        <v>0.51511371582268339</v>
      </c>
      <c r="AN264" s="104" t="s">
        <v>97</v>
      </c>
      <c r="AO264" s="104" t="s">
        <v>125</v>
      </c>
      <c r="AP264" s="95">
        <f t="shared" si="27"/>
        <v>1.0371860602957025E-2</v>
      </c>
      <c r="AQ264" s="104" t="s">
        <v>97</v>
      </c>
    </row>
    <row r="265" spans="1:43">
      <c r="B265" s="104" t="s">
        <v>170</v>
      </c>
      <c r="C265" s="11">
        <f t="shared" si="28"/>
        <v>-3.73053E-2</v>
      </c>
      <c r="D265" s="22">
        <f t="shared" si="29"/>
        <v>6.7518186223582155E-4</v>
      </c>
      <c r="E265" s="104">
        <v>1</v>
      </c>
      <c r="F265" s="104" t="s">
        <v>89</v>
      </c>
      <c r="G265" s="104">
        <v>779</v>
      </c>
      <c r="H265" s="104" t="s">
        <v>97</v>
      </c>
      <c r="I265" s="104" t="s">
        <v>102</v>
      </c>
      <c r="J265" s="104">
        <v>2.3999999999999998E-3</v>
      </c>
      <c r="K265" s="104" t="s">
        <v>97</v>
      </c>
      <c r="L265" s="104" t="s">
        <v>114</v>
      </c>
      <c r="M265" s="95">
        <f t="shared" si="22"/>
        <v>1.8007716049382717E-2</v>
      </c>
      <c r="N265" s="104" t="s">
        <v>97</v>
      </c>
      <c r="O265" s="104" t="s">
        <v>126</v>
      </c>
      <c r="P265" s="95">
        <f t="shared" si="23"/>
        <v>1.9159637054029895E-4</v>
      </c>
      <c r="Q265" s="104" t="s">
        <v>97</v>
      </c>
      <c r="S265" s="104" t="s">
        <v>89</v>
      </c>
      <c r="T265" s="104">
        <v>779</v>
      </c>
      <c r="U265" s="104" t="s">
        <v>97</v>
      </c>
      <c r="V265" s="104" t="s">
        <v>102</v>
      </c>
      <c r="W265" s="104">
        <v>2.3999999999999998E-3</v>
      </c>
      <c r="X265" s="104" t="s">
        <v>97</v>
      </c>
      <c r="Y265" s="104" t="s">
        <v>114</v>
      </c>
      <c r="Z265" s="95">
        <f t="shared" si="25"/>
        <v>9.4189942299517659E-3</v>
      </c>
      <c r="AA265" s="104" t="s">
        <v>97</v>
      </c>
      <c r="AB265" s="104" t="s">
        <v>126</v>
      </c>
      <c r="AC265" s="95">
        <f t="shared" si="24"/>
        <v>5.146762252756273E-5</v>
      </c>
      <c r="AD265" s="104" t="s">
        <v>97</v>
      </c>
      <c r="AF265" s="104" t="s">
        <v>89</v>
      </c>
      <c r="AG265" s="104">
        <v>779</v>
      </c>
      <c r="AH265" s="104" t="s">
        <v>97</v>
      </c>
      <c r="AI265" s="104" t="s">
        <v>102</v>
      </c>
      <c r="AJ265" s="104">
        <v>2.3999999999999998E-3</v>
      </c>
      <c r="AK265" s="104" t="s">
        <v>97</v>
      </c>
      <c r="AL265" s="104" t="s">
        <v>114</v>
      </c>
      <c r="AM265" s="95">
        <f t="shared" si="26"/>
        <v>0.52305324029554756</v>
      </c>
      <c r="AN265" s="104" t="s">
        <v>97</v>
      </c>
      <c r="AO265" s="104" t="s">
        <v>126</v>
      </c>
      <c r="AP265" s="95">
        <f t="shared" si="27"/>
        <v>6.2561349121806366E-3</v>
      </c>
      <c r="AQ265" s="104" t="s">
        <v>97</v>
      </c>
    </row>
    <row r="266" spans="1:43">
      <c r="B266" s="104" t="s">
        <v>170</v>
      </c>
      <c r="C266" s="11">
        <f t="shared" si="28"/>
        <v>-2.0654699999999998E-3</v>
      </c>
      <c r="D266" s="22">
        <f t="shared" si="29"/>
        <v>8.5665542368285104E-5</v>
      </c>
      <c r="E266" s="104">
        <v>1</v>
      </c>
      <c r="F266" s="104" t="s">
        <v>90</v>
      </c>
      <c r="G266" s="104">
        <v>867</v>
      </c>
      <c r="H266" s="104" t="s">
        <v>97</v>
      </c>
      <c r="I266" s="104" t="s">
        <v>103</v>
      </c>
      <c r="J266" s="104">
        <v>3.0000000000000001E-3</v>
      </c>
      <c r="K266" s="104" t="s">
        <v>97</v>
      </c>
      <c r="L266" s="104" t="s">
        <v>115</v>
      </c>
      <c r="M266" s="95">
        <f t="shared" si="22"/>
        <v>1.6970054232492333E-2</v>
      </c>
      <c r="N266" s="104" t="s">
        <v>97</v>
      </c>
      <c r="O266" s="104" t="s">
        <v>127</v>
      </c>
      <c r="P266" s="95">
        <f t="shared" si="23"/>
        <v>3.2126719314941934E-4</v>
      </c>
      <c r="Q266" s="104" t="s">
        <v>97</v>
      </c>
      <c r="S266" s="104" t="s">
        <v>90</v>
      </c>
      <c r="T266" s="104">
        <v>867</v>
      </c>
      <c r="U266" s="104" t="s">
        <v>97</v>
      </c>
      <c r="V266" s="104" t="s">
        <v>103</v>
      </c>
      <c r="W266" s="104">
        <v>3.0000000000000001E-3</v>
      </c>
      <c r="X266" s="104" t="s">
        <v>97</v>
      </c>
      <c r="Y266" s="104" t="s">
        <v>115</v>
      </c>
      <c r="Z266" s="95">
        <f t="shared" si="25"/>
        <v>8.6554717811302469E-3</v>
      </c>
      <c r="AA266" s="104" t="s">
        <v>97</v>
      </c>
      <c r="AB266" s="104" t="s">
        <v>127</v>
      </c>
      <c r="AC266" s="95">
        <f t="shared" si="24"/>
        <v>7.3096082401498405E-5</v>
      </c>
      <c r="AD266" s="104" t="s">
        <v>97</v>
      </c>
      <c r="AF266" s="104" t="s">
        <v>90</v>
      </c>
      <c r="AG266" s="104">
        <v>867</v>
      </c>
      <c r="AH266" s="104" t="s">
        <v>97</v>
      </c>
      <c r="AI266" s="104" t="s">
        <v>103</v>
      </c>
      <c r="AJ266" s="104">
        <v>3.0000000000000001E-3</v>
      </c>
      <c r="AK266" s="104" t="s">
        <v>97</v>
      </c>
      <c r="AL266" s="104" t="s">
        <v>115</v>
      </c>
      <c r="AM266" s="95">
        <f t="shared" si="26"/>
        <v>0.51004384915622325</v>
      </c>
      <c r="AN266" s="104" t="s">
        <v>97</v>
      </c>
      <c r="AO266" s="104" t="s">
        <v>127</v>
      </c>
      <c r="AP266" s="95">
        <f t="shared" si="27"/>
        <v>1.0573023664150133E-2</v>
      </c>
      <c r="AQ266" s="104" t="s">
        <v>97</v>
      </c>
    </row>
    <row r="267" spans="1:43">
      <c r="B267" s="104" t="s">
        <v>170</v>
      </c>
      <c r="C267" s="11">
        <f t="shared" si="28"/>
        <v>-3.4796000000000001E-2</v>
      </c>
      <c r="D267" s="22">
        <f t="shared" si="29"/>
        <v>5.5107383236509429E-4</v>
      </c>
      <c r="E267" s="104">
        <v>1</v>
      </c>
      <c r="F267" s="104" t="s">
        <v>91</v>
      </c>
      <c r="G267" s="104">
        <v>964</v>
      </c>
      <c r="H267" s="104" t="s">
        <v>97</v>
      </c>
      <c r="I267" s="104" t="s">
        <v>104</v>
      </c>
      <c r="J267" s="104">
        <v>1.7999999999999999E-2</v>
      </c>
      <c r="K267" s="104" t="s">
        <v>97</v>
      </c>
      <c r="L267" s="104" t="s">
        <v>116</v>
      </c>
      <c r="M267" s="95">
        <f t="shared" si="22"/>
        <v>1.6055403556771545E-2</v>
      </c>
      <c r="N267" s="104" t="s">
        <v>97</v>
      </c>
      <c r="O267" s="104" t="s">
        <v>128</v>
      </c>
      <c r="P267" s="95">
        <f t="shared" si="23"/>
        <v>1.6878719410608716E-4</v>
      </c>
      <c r="Q267" s="104" t="s">
        <v>97</v>
      </c>
      <c r="S267" s="104" t="s">
        <v>91</v>
      </c>
      <c r="T267" s="104">
        <v>964</v>
      </c>
      <c r="U267" s="104" t="s">
        <v>97</v>
      </c>
      <c r="V267" s="104" t="s">
        <v>104</v>
      </c>
      <c r="W267" s="104">
        <v>1.7999999999999999E-2</v>
      </c>
      <c r="X267" s="104" t="s">
        <v>97</v>
      </c>
      <c r="Y267" s="104" t="s">
        <v>116</v>
      </c>
      <c r="Z267" s="95">
        <f t="shared" si="25"/>
        <v>8.3544004973411367E-3</v>
      </c>
      <c r="AA267" s="104" t="s">
        <v>97</v>
      </c>
      <c r="AB267" s="104" t="s">
        <v>128</v>
      </c>
      <c r="AC267" s="95">
        <f t="shared" si="24"/>
        <v>4.1501865323001074E-5</v>
      </c>
      <c r="AD267" s="104" t="s">
        <v>97</v>
      </c>
      <c r="AF267" s="104" t="s">
        <v>91</v>
      </c>
      <c r="AG267" s="104">
        <v>964</v>
      </c>
      <c r="AH267" s="104" t="s">
        <v>97</v>
      </c>
      <c r="AI267" s="104" t="s">
        <v>104</v>
      </c>
      <c r="AJ267" s="104">
        <v>1.7999999999999999E-2</v>
      </c>
      <c r="AK267" s="104" t="s">
        <v>97</v>
      </c>
      <c r="AL267" s="104" t="s">
        <v>116</v>
      </c>
      <c r="AM267" s="95">
        <f t="shared" si="26"/>
        <v>0.52034820973513152</v>
      </c>
      <c r="AN267" s="104" t="s">
        <v>97</v>
      </c>
      <c r="AO267" s="104" t="s">
        <v>128</v>
      </c>
      <c r="AP267" s="95">
        <f t="shared" si="27"/>
        <v>6.0503004173449049E-3</v>
      </c>
      <c r="AQ267" s="104" t="s">
        <v>97</v>
      </c>
    </row>
    <row r="268" spans="1:43">
      <c r="B268" s="104" t="s">
        <v>170</v>
      </c>
      <c r="C268" s="11">
        <f t="shared" si="28"/>
        <v>-6.0057100000000002E-2</v>
      </c>
      <c r="D268" s="22">
        <f t="shared" si="29"/>
        <v>2.3752037215456403E-3</v>
      </c>
      <c r="E268" s="104">
        <v>1</v>
      </c>
      <c r="F268" s="104" t="s">
        <v>92</v>
      </c>
      <c r="G268" s="104">
        <v>1112</v>
      </c>
      <c r="H268" s="104" t="s">
        <v>97</v>
      </c>
      <c r="I268" s="104" t="s">
        <v>105</v>
      </c>
      <c r="J268" s="104">
        <v>3.0000000000000001E-3</v>
      </c>
      <c r="K268" s="104" t="s">
        <v>97</v>
      </c>
      <c r="L268" s="104" t="s">
        <v>117</v>
      </c>
      <c r="M268" s="95">
        <f t="shared" si="22"/>
        <v>1.490223880597015E-2</v>
      </c>
      <c r="N268" s="104" t="s">
        <v>97</v>
      </c>
      <c r="O268" s="104" t="s">
        <v>129</v>
      </c>
      <c r="P268" s="95">
        <f t="shared" si="23"/>
        <v>1.6735427461123827E-4</v>
      </c>
      <c r="Q268" s="104" t="s">
        <v>97</v>
      </c>
      <c r="S268" s="104" t="s">
        <v>92</v>
      </c>
      <c r="T268" s="104">
        <v>1112</v>
      </c>
      <c r="U268" s="104" t="s">
        <v>97</v>
      </c>
      <c r="V268" s="104" t="s">
        <v>105</v>
      </c>
      <c r="W268" s="104">
        <v>3.0000000000000001E-3</v>
      </c>
      <c r="X268" s="104" t="s">
        <v>97</v>
      </c>
      <c r="Y268" s="104" t="s">
        <v>117</v>
      </c>
      <c r="Z268" s="95">
        <f t="shared" si="25"/>
        <v>7.8790822483410187E-3</v>
      </c>
      <c r="AA268" s="104" t="s">
        <v>97</v>
      </c>
      <c r="AB268" s="104" t="s">
        <v>129</v>
      </c>
      <c r="AC268" s="95">
        <f t="shared" si="24"/>
        <v>4.2819776682932993E-5</v>
      </c>
      <c r="AD268" s="104" t="s">
        <v>97</v>
      </c>
      <c r="AF268" s="104" t="s">
        <v>92</v>
      </c>
      <c r="AG268" s="104">
        <v>1112</v>
      </c>
      <c r="AH268" s="104" t="s">
        <v>97</v>
      </c>
      <c r="AI268" s="104" t="s">
        <v>105</v>
      </c>
      <c r="AJ268" s="104">
        <v>3.0000000000000001E-3</v>
      </c>
      <c r="AK268" s="104" t="s">
        <v>97</v>
      </c>
      <c r="AL268" s="104" t="s">
        <v>117</v>
      </c>
      <c r="AM268" s="95">
        <f t="shared" si="26"/>
        <v>0.52871802357539011</v>
      </c>
      <c r="AN268" s="104" t="s">
        <v>97</v>
      </c>
      <c r="AO268" s="104" t="s">
        <v>129</v>
      </c>
      <c r="AP268" s="95">
        <f t="shared" si="27"/>
        <v>6.5962982694203962E-3</v>
      </c>
      <c r="AQ268" s="104" t="s">
        <v>97</v>
      </c>
    </row>
    <row r="269" spans="1:43">
      <c r="B269" s="104" t="s">
        <v>170</v>
      </c>
      <c r="C269" s="11">
        <f t="shared" si="28"/>
        <v>-8.7247099999999994E-2</v>
      </c>
      <c r="D269" s="22">
        <f t="shared" si="29"/>
        <v>5.7647668632183667E-3</v>
      </c>
      <c r="E269" s="104">
        <v>1</v>
      </c>
      <c r="F269" s="104" t="s">
        <v>93</v>
      </c>
      <c r="G269" s="104">
        <v>1213</v>
      </c>
      <c r="H269" s="104" t="s">
        <v>97</v>
      </c>
      <c r="I269" s="104" t="s">
        <v>106</v>
      </c>
      <c r="J269" s="104">
        <v>1.1000000000000001E-3</v>
      </c>
      <c r="K269" s="104" t="s">
        <v>97</v>
      </c>
      <c r="L269" s="104" t="s">
        <v>118</v>
      </c>
      <c r="M269" s="95">
        <f t="shared" si="22"/>
        <v>1.387279151943463E-2</v>
      </c>
      <c r="N269" s="104" t="s">
        <v>97</v>
      </c>
      <c r="O269" s="104" t="s">
        <v>130</v>
      </c>
      <c r="P269" s="95">
        <f t="shared" si="23"/>
        <v>5.191559163642541E-4</v>
      </c>
      <c r="Q269" s="104" t="s">
        <v>97</v>
      </c>
      <c r="S269" s="104" t="s">
        <v>93</v>
      </c>
      <c r="T269" s="104">
        <v>1213</v>
      </c>
      <c r="U269" s="104" t="s">
        <v>97</v>
      </c>
      <c r="V269" s="104" t="s">
        <v>106</v>
      </c>
      <c r="W269" s="104">
        <v>1.1000000000000001E-3</v>
      </c>
      <c r="X269" s="104" t="s">
        <v>97</v>
      </c>
      <c r="Y269" s="104" t="s">
        <v>118</v>
      </c>
      <c r="Z269" s="95">
        <f t="shared" si="25"/>
        <v>7.3085400220330712E-3</v>
      </c>
      <c r="AA269" s="104" t="s">
        <v>97</v>
      </c>
      <c r="AB269" s="104" t="s">
        <v>130</v>
      </c>
      <c r="AC269" s="95">
        <f t="shared" si="24"/>
        <v>1.1097660276218713E-4</v>
      </c>
      <c r="AD269" s="104" t="s">
        <v>97</v>
      </c>
      <c r="AF269" s="104" t="s">
        <v>93</v>
      </c>
      <c r="AG269" s="104">
        <v>1213</v>
      </c>
      <c r="AH269" s="104" t="s">
        <v>97</v>
      </c>
      <c r="AI269" s="104" t="s">
        <v>106</v>
      </c>
      <c r="AJ269" s="104">
        <v>1.1000000000000001E-3</v>
      </c>
      <c r="AK269" s="104" t="s">
        <v>97</v>
      </c>
      <c r="AL269" s="104" t="s">
        <v>118</v>
      </c>
      <c r="AM269" s="95">
        <f t="shared" si="26"/>
        <v>0.52682547789998957</v>
      </c>
      <c r="AN269" s="104" t="s">
        <v>97</v>
      </c>
      <c r="AO269" s="104" t="s">
        <v>130</v>
      </c>
      <c r="AP269" s="95">
        <f t="shared" si="27"/>
        <v>2.1276316952269964E-2</v>
      </c>
      <c r="AQ269" s="104" t="s">
        <v>97</v>
      </c>
    </row>
    <row r="270" spans="1:43">
      <c r="B270" s="104" t="s">
        <v>170</v>
      </c>
      <c r="C270" s="11">
        <f t="shared" si="28"/>
        <v>4.5819299999999997E-3</v>
      </c>
      <c r="D270" s="22">
        <f t="shared" si="29"/>
        <v>2.5290439699192152E-4</v>
      </c>
      <c r="E270" s="104">
        <v>1</v>
      </c>
      <c r="F270" s="104" t="s">
        <v>94</v>
      </c>
      <c r="G270" s="104">
        <v>1299</v>
      </c>
      <c r="H270" s="104" t="s">
        <v>97</v>
      </c>
      <c r="I270" s="104" t="s">
        <v>107</v>
      </c>
      <c r="J270" s="104">
        <v>8.0000000000000002E-3</v>
      </c>
      <c r="K270" s="104" t="s">
        <v>97</v>
      </c>
      <c r="L270" s="104" t="s">
        <v>119</v>
      </c>
      <c r="M270" s="95">
        <f t="shared" si="22"/>
        <v>1.3229166666666667E-2</v>
      </c>
      <c r="N270" s="104" t="s">
        <v>97</v>
      </c>
      <c r="O270" s="104" t="s">
        <v>131</v>
      </c>
      <c r="P270" s="95">
        <f t="shared" si="23"/>
        <v>4.2281774717808744E-4</v>
      </c>
      <c r="Q270" s="104" t="s">
        <v>97</v>
      </c>
      <c r="S270" s="104" t="s">
        <v>94</v>
      </c>
      <c r="T270" s="104">
        <v>1299</v>
      </c>
      <c r="U270" s="104" t="s">
        <v>97</v>
      </c>
      <c r="V270" s="104" t="s">
        <v>107</v>
      </c>
      <c r="W270" s="104">
        <v>8.0000000000000002E-3</v>
      </c>
      <c r="X270" s="104" t="s">
        <v>97</v>
      </c>
      <c r="Y270" s="104" t="s">
        <v>119</v>
      </c>
      <c r="Z270" s="95">
        <f t="shared" si="25"/>
        <v>6.6073690742429339E-3</v>
      </c>
      <c r="AA270" s="104" t="s">
        <v>97</v>
      </c>
      <c r="AB270" s="104" t="s">
        <v>131</v>
      </c>
      <c r="AC270" s="95">
        <f t="shared" si="24"/>
        <v>8.4797248545370965E-5</v>
      </c>
      <c r="AD270" s="104" t="s">
        <v>97</v>
      </c>
      <c r="AF270" s="104" t="s">
        <v>94</v>
      </c>
      <c r="AG270" s="104">
        <v>1299</v>
      </c>
      <c r="AH270" s="104" t="s">
        <v>97</v>
      </c>
      <c r="AI270" s="104" t="s">
        <v>107</v>
      </c>
      <c r="AJ270" s="104">
        <v>8.0000000000000002E-3</v>
      </c>
      <c r="AK270" s="104" t="s">
        <v>97</v>
      </c>
      <c r="AL270" s="104" t="s">
        <v>119</v>
      </c>
      <c r="AM270" s="95">
        <f t="shared" si="26"/>
        <v>0.49945467017899342</v>
      </c>
      <c r="AN270" s="104" t="s">
        <v>97</v>
      </c>
      <c r="AO270" s="104" t="s">
        <v>131</v>
      </c>
      <c r="AP270" s="95">
        <f t="shared" si="27"/>
        <v>1.7201932833510538E-2</v>
      </c>
      <c r="AQ270" s="104" t="s">
        <v>97</v>
      </c>
    </row>
    <row r="271" spans="1:43">
      <c r="B271" s="104" t="s">
        <v>170</v>
      </c>
      <c r="C271" s="11">
        <f>D257</f>
        <v>-5.7824399999999998E-2</v>
      </c>
      <c r="D271" s="22">
        <f t="shared" si="29"/>
        <v>2.1625626603927308E-3</v>
      </c>
      <c r="E271" s="104">
        <v>1</v>
      </c>
      <c r="F271" s="104" t="s">
        <v>95</v>
      </c>
      <c r="G271" s="104">
        <v>1408</v>
      </c>
      <c r="H271" s="104" t="s">
        <v>97</v>
      </c>
      <c r="I271" s="104" t="s">
        <v>108</v>
      </c>
      <c r="J271" s="104">
        <v>3.0000000000000001E-3</v>
      </c>
      <c r="K271" s="104" t="s">
        <v>97</v>
      </c>
      <c r="L271" s="104" t="s">
        <v>120</v>
      </c>
      <c r="M271" s="95">
        <f t="shared" si="22"/>
        <v>1.2453717026378897E-2</v>
      </c>
      <c r="N271" s="104" t="s">
        <v>97</v>
      </c>
      <c r="O271" s="104" t="s">
        <v>132</v>
      </c>
      <c r="P271" s="95">
        <f t="shared" si="23"/>
        <v>1.2340429190247542E-4</v>
      </c>
      <c r="Q271" s="104" t="s">
        <v>97</v>
      </c>
      <c r="S271" s="104" t="s">
        <v>95</v>
      </c>
      <c r="T271" s="104">
        <v>1408</v>
      </c>
      <c r="U271" s="104" t="s">
        <v>97</v>
      </c>
      <c r="V271" s="104" t="s">
        <v>108</v>
      </c>
      <c r="W271" s="104">
        <v>3.0000000000000001E-3</v>
      </c>
      <c r="X271" s="104" t="s">
        <v>97</v>
      </c>
      <c r="Y271" s="104" t="s">
        <v>120</v>
      </c>
      <c r="Z271" s="95">
        <f t="shared" si="25"/>
        <v>6.699898543212777E-3</v>
      </c>
      <c r="AA271" s="104" t="s">
        <v>97</v>
      </c>
      <c r="AB271" s="104" t="s">
        <v>132</v>
      </c>
      <c r="AC271" s="111">
        <f t="shared" si="24"/>
        <v>3.3226022343259462E-5</v>
      </c>
      <c r="AD271" s="104" t="s">
        <v>97</v>
      </c>
      <c r="AF271" s="104" t="s">
        <v>95</v>
      </c>
      <c r="AG271" s="104">
        <v>1408</v>
      </c>
      <c r="AH271" s="104" t="s">
        <v>97</v>
      </c>
      <c r="AI271" s="104" t="s">
        <v>108</v>
      </c>
      <c r="AJ271" s="104">
        <v>3.0000000000000001E-3</v>
      </c>
      <c r="AK271" s="104" t="s">
        <v>97</v>
      </c>
      <c r="AL271" s="104" t="s">
        <v>120</v>
      </c>
      <c r="AM271" s="95">
        <f t="shared" si="26"/>
        <v>0.53798384281747824</v>
      </c>
      <c r="AN271" s="104" t="s">
        <v>97</v>
      </c>
      <c r="AO271" s="104" t="s">
        <v>132</v>
      </c>
      <c r="AP271" s="95">
        <f t="shared" si="27"/>
        <v>5.9612500908815839E-3</v>
      </c>
      <c r="AQ271" s="104" t="s">
        <v>97</v>
      </c>
    </row>
    <row r="272" spans="1:43">
      <c r="F272" s="104" t="s">
        <v>96</v>
      </c>
      <c r="I272" s="104" t="s">
        <v>109</v>
      </c>
      <c r="L272" s="104" t="s">
        <v>121</v>
      </c>
      <c r="O272" s="104" t="s">
        <v>133</v>
      </c>
      <c r="S272" s="104" t="s">
        <v>96</v>
      </c>
      <c r="V272" s="104" t="s">
        <v>109</v>
      </c>
      <c r="Y272" s="104" t="s">
        <v>121</v>
      </c>
      <c r="AB272" s="104" t="s">
        <v>133</v>
      </c>
      <c r="AF272" s="104" t="s">
        <v>96</v>
      </c>
      <c r="AI272" s="104" t="s">
        <v>109</v>
      </c>
      <c r="AL272" s="104" t="s">
        <v>121</v>
      </c>
      <c r="AO272" s="104" t="s">
        <v>133</v>
      </c>
    </row>
    <row r="273" spans="3:37">
      <c r="C273" s="75" t="s">
        <v>173</v>
      </c>
      <c r="D273" s="83">
        <f>SQRT((1/D259)*SUM(D261:D271))</f>
        <v>4.8516981984913062E-2</v>
      </c>
      <c r="G273" s="104" t="s">
        <v>163</v>
      </c>
      <c r="T273" s="104" t="s">
        <v>166</v>
      </c>
      <c r="AG273" s="104" t="s">
        <v>175</v>
      </c>
    </row>
    <row r="274" spans="3:37">
      <c r="C274" s="104" t="s">
        <v>174</v>
      </c>
      <c r="D274" s="11">
        <v>4.8500000000000001E-2</v>
      </c>
      <c r="H274" s="15" t="str">
        <f t="shared" ref="H274:H285" si="30">F260&amp;G260&amp;H260</f>
        <v>energy[0][0]=122;</v>
      </c>
      <c r="I274" s="15" t="str">
        <f>I260&amp;J260&amp;K260</f>
        <v>energyerr[0][0]=0.0003;</v>
      </c>
      <c r="J274" s="15" t="str">
        <f>L260&amp;TEXT(ROUND(M260,4),"0.0000")&amp;N260</f>
        <v>eff[0][0]=0.0505;</v>
      </c>
      <c r="K274" s="15" t="str">
        <f>O260&amp;TEXT(ROUND(P260,4),"0.0000")&amp;Q260</f>
        <v>efferr[0][0]=0.0003;</v>
      </c>
      <c r="L274" s="15"/>
      <c r="M274" s="15"/>
      <c r="N274" s="15"/>
      <c r="O274" s="15"/>
      <c r="P274" s="15"/>
      <c r="Q274" s="15"/>
      <c r="R274" s="15"/>
      <c r="S274" s="15"/>
      <c r="T274" s="15"/>
      <c r="U274" s="15" t="str">
        <f t="shared" ref="U274:U285" si="31">S260&amp;T260&amp;U260</f>
        <v>energy[0][0]=122;</v>
      </c>
      <c r="V274" s="15" t="str">
        <f t="shared" ref="V274:V285" si="32">V260&amp;W260&amp;X260</f>
        <v>energyerr[0][0]=0.0003;</v>
      </c>
      <c r="W274" s="15" t="str">
        <f>Y260&amp;TEXT(ROUND(Z260,4),"0.0000")&amp;AA260</f>
        <v>eff[0][0]=0.0227;</v>
      </c>
      <c r="X274" s="15" t="str">
        <f>AB260&amp;TEXT(ROUND(AC260,5),"0.00000")&amp;AD260</f>
        <v>efferr[0][0]=0.00011;</v>
      </c>
      <c r="Y274" s="15"/>
      <c r="Z274" s="15"/>
      <c r="AA274" s="15"/>
      <c r="AB274" s="15"/>
      <c r="AC274" s="15"/>
      <c r="AD274" s="15"/>
      <c r="AE274" s="15"/>
      <c r="AF274" s="15"/>
      <c r="AG274" s="15"/>
      <c r="AH274" s="15" t="str">
        <f t="shared" ref="AH274:AH285" si="33">AF260&amp;AG260&amp;AH260</f>
        <v>energy[0][0]=122;</v>
      </c>
      <c r="AI274" s="15" t="str">
        <f t="shared" ref="AI274:AI285" si="34">AI260&amp;AJ260&amp;AK260</f>
        <v>energyerr[0][0]=0.0003;</v>
      </c>
      <c r="AJ274" s="15" t="str">
        <f>AL260&amp;TEXT(ROUND(AM260,4),"0.0000")&amp;AN260</f>
        <v>eff[0][0]=0.4504;</v>
      </c>
      <c r="AK274" s="15" t="str">
        <f>AO260&amp;TEXT(ROUND(AP260,4),"0.0000")&amp;AQ260</f>
        <v>efferr[0][0]=0.0034;</v>
      </c>
    </row>
    <row r="275" spans="3:37">
      <c r="H275" s="29" t="str">
        <f t="shared" si="30"/>
        <v>energy[0][0]=245;</v>
      </c>
      <c r="I275" s="29" t="str">
        <f t="shared" ref="I275:I285" si="35">I261&amp;J261&amp;K261</f>
        <v>energyerr[0][0]=0.0008;</v>
      </c>
      <c r="J275" s="29" t="str">
        <f>L261&amp;TEXT(ROUND(M261,7),"0.0000000")&amp;N261</f>
        <v>eff[0][0]=0.0400160;</v>
      </c>
      <c r="K275" s="29" t="str">
        <f>O261&amp;TEXT(ROUND(P261,7),"0.0000000")&amp;Q261</f>
        <v>efferr[0][0]=0.0004007;</v>
      </c>
      <c r="U275" s="29" t="str">
        <f t="shared" si="31"/>
        <v>energy[0][0]=245;</v>
      </c>
      <c r="V275" s="29" t="str">
        <f t="shared" si="32"/>
        <v>energyerr[0][0]=0.0008;</v>
      </c>
      <c r="W275" s="29" t="str">
        <f>Y261&amp;TEXT(ROUND(Z261,7),"0.0000000")&amp;AA261</f>
        <v>eff[0][0]=0.0184653;</v>
      </c>
      <c r="X275" s="29" t="str">
        <f>AB261&amp;TEXT(ROUND(AC261,7),"0.0000000")&amp;AD261</f>
        <v>efferr[0][0]=0.0001157;</v>
      </c>
      <c r="AH275" s="29" t="str">
        <f t="shared" si="33"/>
        <v>energy[0][0]=245;</v>
      </c>
      <c r="AI275" s="29" t="str">
        <f t="shared" si="34"/>
        <v>energyerr[0][0]=0.0008;</v>
      </c>
      <c r="AJ275" s="29" t="str">
        <f>AL261&amp;TEXT(ROUND(AM261,7),"0.0000000")&amp;AN261</f>
        <v>eff[0][0]=0.4614490;</v>
      </c>
      <c r="AK275" s="29" t="str">
        <f>AO261&amp;TEXT(ROUND(AP261,7),"0.0000000")&amp;AQ261</f>
        <v>efferr[0][0]=0.0054505;</v>
      </c>
    </row>
    <row r="276" spans="3:37">
      <c r="H276" s="29" t="str">
        <f t="shared" si="30"/>
        <v>energy[0][1]=344;</v>
      </c>
      <c r="I276" s="29" t="str">
        <f t="shared" si="35"/>
        <v>energyerr[0][1]=0.0012;</v>
      </c>
      <c r="J276" s="29" t="str">
        <f t="shared" ref="J276:J285" si="36">L262&amp;TEXT(ROUND(M262,7),"0.0000000")&amp;N262</f>
        <v>eff[0][1]=0.0322780;</v>
      </c>
      <c r="K276" s="29" t="str">
        <f t="shared" ref="K276:K285" si="37">O262&amp;TEXT(ROUND(P262,7),"0.0000000")&amp;Q262</f>
        <v>efferr[0][1]=0.0002171;</v>
      </c>
      <c r="U276" s="29" t="str">
        <f t="shared" si="31"/>
        <v>energy[0][1]=344;</v>
      </c>
      <c r="V276" s="29" t="str">
        <f t="shared" si="32"/>
        <v>energyerr[0][1]=0.0012;</v>
      </c>
      <c r="W276" s="29" t="str">
        <f t="shared" ref="W276:W285" si="38">Y262&amp;TEXT(ROUND(Z262,7),"0.0000000")&amp;AA262</f>
        <v>eff[0][1]=0.0153396;</v>
      </c>
      <c r="X276" s="29" t="str">
        <f t="shared" ref="X276:X285" si="39">AB262&amp;TEXT(ROUND(AC262,7),"0.0000000")&amp;AD262</f>
        <v>efferr[0][1]=0.0000730;</v>
      </c>
      <c r="AH276" s="29" t="str">
        <f t="shared" si="33"/>
        <v>energy[0][1]=344;</v>
      </c>
      <c r="AI276" s="29" t="str">
        <f t="shared" si="34"/>
        <v>energyerr[0][1]=0.0012;</v>
      </c>
      <c r="AJ276" s="29" t="str">
        <f t="shared" ref="AJ276:AJ285" si="40">AL262&amp;TEXT(ROUND(AM262,7),"0.0000000")&amp;AN262</f>
        <v>eff[0][1]=0.4752332;</v>
      </c>
      <c r="AK276" s="29" t="str">
        <f t="shared" ref="AK276:AK285" si="41">AO262&amp;TEXT(ROUND(AP262,7),"0.0000000")&amp;AQ262</f>
        <v>efferr[0][1]=0.0039150;</v>
      </c>
    </row>
    <row r="277" spans="3:37">
      <c r="H277" s="29" t="str">
        <f t="shared" si="30"/>
        <v>energy[0][2]=411;</v>
      </c>
      <c r="I277" s="29" t="str">
        <f t="shared" si="35"/>
        <v>energyerr[0][2]=0.0012;</v>
      </c>
      <c r="J277" s="29" t="str">
        <f t="shared" si="36"/>
        <v>eff[0][2]=0.0291864;</v>
      </c>
      <c r="K277" s="29" t="str">
        <f t="shared" si="37"/>
        <v>efferr[0][2]=0.0006108;</v>
      </c>
      <c r="U277" s="29" t="str">
        <f t="shared" si="31"/>
        <v>energy[0][2]=411;</v>
      </c>
      <c r="V277" s="29" t="str">
        <f t="shared" si="32"/>
        <v>energyerr[0][2]=0.0012;</v>
      </c>
      <c r="W277" s="29" t="str">
        <f t="shared" si="38"/>
        <v>eff[0][2]=0.0133342;</v>
      </c>
      <c r="X277" s="29" t="str">
        <f t="shared" si="39"/>
        <v>efferr[0][2]=0.0001219;</v>
      </c>
      <c r="AH277" s="29" t="str">
        <f t="shared" si="33"/>
        <v>energy[0][2]=411;</v>
      </c>
      <c r="AI277" s="29" t="str">
        <f t="shared" si="34"/>
        <v>energyerr[0][2]=0.0012;</v>
      </c>
      <c r="AJ277" s="29" t="str">
        <f t="shared" si="40"/>
        <v>eff[0][2]=0.4568632;</v>
      </c>
      <c r="AK277" s="29" t="str">
        <f t="shared" si="41"/>
        <v>efferr[0][2]=0.0104342;</v>
      </c>
    </row>
    <row r="278" spans="3:37">
      <c r="H278" s="29" t="str">
        <f t="shared" si="30"/>
        <v>energy[0][3]=444;</v>
      </c>
      <c r="I278" s="29" t="str">
        <f t="shared" si="35"/>
        <v>energyerr[0][3]=0.003;</v>
      </c>
      <c r="J278" s="29" t="str">
        <f t="shared" si="36"/>
        <v>eff[0][3]=0.0255264;</v>
      </c>
      <c r="K278" s="29" t="str">
        <f t="shared" si="37"/>
        <v>efferr[0][3]=0.0004745;</v>
      </c>
      <c r="U278" s="29" t="str">
        <f t="shared" si="31"/>
        <v>energy[0][3]=444;</v>
      </c>
      <c r="V278" s="29" t="str">
        <f t="shared" si="32"/>
        <v>energyerr[0][3]=0.003;</v>
      </c>
      <c r="W278" s="29" t="str">
        <f t="shared" si="38"/>
        <v>eff[0][3]=0.0131490;</v>
      </c>
      <c r="X278" s="29" t="str">
        <f t="shared" si="39"/>
        <v>efferr[0][3]=0.0001017;</v>
      </c>
      <c r="AH278" s="29" t="str">
        <f t="shared" si="33"/>
        <v>energy[0][3]=444;</v>
      </c>
      <c r="AI278" s="29" t="str">
        <f t="shared" si="34"/>
        <v>energyerr[0][3]=0.003;</v>
      </c>
      <c r="AJ278" s="29" t="str">
        <f t="shared" si="40"/>
        <v>eff[0][3]=0.5151137;</v>
      </c>
      <c r="AK278" s="29" t="str">
        <f t="shared" si="41"/>
        <v>efferr[0][3]=0.0103719;</v>
      </c>
    </row>
    <row r="279" spans="3:37">
      <c r="H279" s="29" t="str">
        <f t="shared" si="30"/>
        <v>energy[0][4]=779;</v>
      </c>
      <c r="I279" s="29" t="str">
        <f t="shared" si="35"/>
        <v>energyerr[0][4]=0.0024;</v>
      </c>
      <c r="J279" s="29" t="str">
        <f t="shared" si="36"/>
        <v>eff[0][4]=0.0180077;</v>
      </c>
      <c r="K279" s="29" t="str">
        <f t="shared" si="37"/>
        <v>efferr[0][4]=0.0001916;</v>
      </c>
      <c r="U279" s="29" t="str">
        <f t="shared" si="31"/>
        <v>energy[0][4]=779;</v>
      </c>
      <c r="V279" s="29" t="str">
        <f t="shared" si="32"/>
        <v>energyerr[0][4]=0.0024;</v>
      </c>
      <c r="W279" s="29" t="str">
        <f t="shared" si="38"/>
        <v>eff[0][4]=0.0094190;</v>
      </c>
      <c r="X279" s="29" t="str">
        <f t="shared" si="39"/>
        <v>efferr[0][4]=0.0000515;</v>
      </c>
      <c r="AH279" s="29" t="str">
        <f t="shared" si="33"/>
        <v>energy[0][4]=779;</v>
      </c>
      <c r="AI279" s="29" t="str">
        <f t="shared" si="34"/>
        <v>energyerr[0][4]=0.0024;</v>
      </c>
      <c r="AJ279" s="29" t="str">
        <f t="shared" si="40"/>
        <v>eff[0][4]=0.5230532;</v>
      </c>
      <c r="AK279" s="29" t="str">
        <f t="shared" si="41"/>
        <v>efferr[0][4]=0.0062561;</v>
      </c>
    </row>
    <row r="280" spans="3:37">
      <c r="H280" s="29" t="str">
        <f t="shared" si="30"/>
        <v>energy[0][5]=867;</v>
      </c>
      <c r="I280" s="29" t="str">
        <f t="shared" si="35"/>
        <v>energyerr[0][5]=0.003;</v>
      </c>
      <c r="J280" s="29" t="str">
        <f t="shared" si="36"/>
        <v>eff[0][5]=0.0169701;</v>
      </c>
      <c r="K280" s="29" t="str">
        <f t="shared" si="37"/>
        <v>efferr[0][5]=0.0003213;</v>
      </c>
      <c r="U280" s="29" t="str">
        <f t="shared" si="31"/>
        <v>energy[0][5]=867;</v>
      </c>
      <c r="V280" s="29" t="str">
        <f t="shared" si="32"/>
        <v>energyerr[0][5]=0.003;</v>
      </c>
      <c r="W280" s="29" t="str">
        <f t="shared" si="38"/>
        <v>eff[0][5]=0.0086555;</v>
      </c>
      <c r="X280" s="29" t="str">
        <f t="shared" si="39"/>
        <v>efferr[0][5]=0.0000731;</v>
      </c>
      <c r="AH280" s="29" t="str">
        <f t="shared" si="33"/>
        <v>energy[0][5]=867;</v>
      </c>
      <c r="AI280" s="29" t="str">
        <f t="shared" si="34"/>
        <v>energyerr[0][5]=0.003;</v>
      </c>
      <c r="AJ280" s="29" t="str">
        <f t="shared" si="40"/>
        <v>eff[0][5]=0.5100438;</v>
      </c>
      <c r="AK280" s="29" t="str">
        <f t="shared" si="41"/>
        <v>efferr[0][5]=0.0105730;</v>
      </c>
    </row>
    <row r="281" spans="3:37">
      <c r="H281" s="29" t="str">
        <f t="shared" si="30"/>
        <v>energy[0][6]=964;</v>
      </c>
      <c r="I281" s="29" t="str">
        <f t="shared" si="35"/>
        <v>energyerr[0][6]=0.018;</v>
      </c>
      <c r="J281" s="29" t="str">
        <f t="shared" si="36"/>
        <v>eff[0][6]=0.0160554;</v>
      </c>
      <c r="K281" s="29" t="str">
        <f t="shared" si="37"/>
        <v>efferr[0][6]=0.0001688;</v>
      </c>
      <c r="U281" s="29" t="str">
        <f t="shared" si="31"/>
        <v>energy[0][6]=964;</v>
      </c>
      <c r="V281" s="29" t="str">
        <f t="shared" si="32"/>
        <v>energyerr[0][6]=0.018;</v>
      </c>
      <c r="W281" s="29" t="str">
        <f t="shared" si="38"/>
        <v>eff[0][6]=0.0083544;</v>
      </c>
      <c r="X281" s="29" t="str">
        <f t="shared" si="39"/>
        <v>efferr[0][6]=0.0000415;</v>
      </c>
      <c r="AH281" s="29" t="str">
        <f t="shared" si="33"/>
        <v>energy[0][6]=964;</v>
      </c>
      <c r="AI281" s="29" t="str">
        <f t="shared" si="34"/>
        <v>energyerr[0][6]=0.018;</v>
      </c>
      <c r="AJ281" s="29" t="str">
        <f t="shared" si="40"/>
        <v>eff[0][6]=0.5203482;</v>
      </c>
      <c r="AK281" s="29" t="str">
        <f t="shared" si="41"/>
        <v>efferr[0][6]=0.0060503;</v>
      </c>
    </row>
    <row r="282" spans="3:37">
      <c r="H282" s="29" t="str">
        <f t="shared" si="30"/>
        <v>energy[0][7]=1112;</v>
      </c>
      <c r="I282" s="29" t="str">
        <f t="shared" si="35"/>
        <v>energyerr[0][7]=0.003;</v>
      </c>
      <c r="J282" s="29" t="str">
        <f t="shared" si="36"/>
        <v>eff[0][7]=0.0149022;</v>
      </c>
      <c r="K282" s="29" t="str">
        <f t="shared" si="37"/>
        <v>efferr[0][7]=0.0001674;</v>
      </c>
      <c r="U282" s="29" t="str">
        <f t="shared" si="31"/>
        <v>energy[0][7]=1112;</v>
      </c>
      <c r="V282" s="29" t="str">
        <f t="shared" si="32"/>
        <v>energyerr[0][7]=0.003;</v>
      </c>
      <c r="W282" s="29" t="str">
        <f t="shared" si="38"/>
        <v>eff[0][7]=0.0078791;</v>
      </c>
      <c r="X282" s="29" t="str">
        <f t="shared" si="39"/>
        <v>efferr[0][7]=0.0000428;</v>
      </c>
      <c r="AH282" s="29" t="str">
        <f t="shared" si="33"/>
        <v>energy[0][7]=1112;</v>
      </c>
      <c r="AI282" s="29" t="str">
        <f t="shared" si="34"/>
        <v>energyerr[0][7]=0.003;</v>
      </c>
      <c r="AJ282" s="29" t="str">
        <f t="shared" si="40"/>
        <v>eff[0][7]=0.5287180;</v>
      </c>
      <c r="AK282" s="29" t="str">
        <f t="shared" si="41"/>
        <v>efferr[0][7]=0.0065963;</v>
      </c>
    </row>
    <row r="283" spans="3:37">
      <c r="H283" s="29" t="str">
        <f t="shared" si="30"/>
        <v>energy[0][8]=1213;</v>
      </c>
      <c r="I283" s="29" t="str">
        <f t="shared" si="35"/>
        <v>energyerr[0][8]=0.0011;</v>
      </c>
      <c r="J283" s="29" t="str">
        <f t="shared" si="36"/>
        <v>eff[0][8]=0.0138728;</v>
      </c>
      <c r="K283" s="29" t="str">
        <f t="shared" si="37"/>
        <v>efferr[0][8]=0.0005192;</v>
      </c>
      <c r="U283" s="29" t="str">
        <f t="shared" si="31"/>
        <v>energy[0][8]=1213;</v>
      </c>
      <c r="V283" s="29" t="str">
        <f t="shared" si="32"/>
        <v>energyerr[0][8]=0.0011;</v>
      </c>
      <c r="W283" s="29" t="str">
        <f t="shared" si="38"/>
        <v>eff[0][8]=0.0073085;</v>
      </c>
      <c r="X283" s="29" t="str">
        <f t="shared" si="39"/>
        <v>efferr[0][8]=0.0001110;</v>
      </c>
      <c r="AH283" s="29" t="str">
        <f t="shared" si="33"/>
        <v>energy[0][8]=1213;</v>
      </c>
      <c r="AI283" s="29" t="str">
        <f t="shared" si="34"/>
        <v>energyerr[0][8]=0.0011;</v>
      </c>
      <c r="AJ283" s="29" t="str">
        <f t="shared" si="40"/>
        <v>eff[0][8]=0.5268255;</v>
      </c>
      <c r="AK283" s="29" t="str">
        <f t="shared" si="41"/>
        <v>efferr[0][8]=0.0212763;</v>
      </c>
    </row>
    <row r="284" spans="3:37">
      <c r="H284" s="29" t="str">
        <f t="shared" si="30"/>
        <v>energy[0][9]=1299;</v>
      </c>
      <c r="I284" s="29" t="str">
        <f t="shared" si="35"/>
        <v>energyerr[0][9]=0.008;</v>
      </c>
      <c r="J284" s="29" t="str">
        <f t="shared" si="36"/>
        <v>eff[0][9]=0.0132292;</v>
      </c>
      <c r="K284" s="29" t="str">
        <f t="shared" si="37"/>
        <v>efferr[0][9]=0.0004228;</v>
      </c>
      <c r="U284" s="29" t="str">
        <f t="shared" si="31"/>
        <v>energy[0][9]=1299;</v>
      </c>
      <c r="V284" s="29" t="str">
        <f t="shared" si="32"/>
        <v>energyerr[0][9]=0.008;</v>
      </c>
      <c r="W284" s="29" t="str">
        <f t="shared" si="38"/>
        <v>eff[0][9]=0.0066074;</v>
      </c>
      <c r="X284" s="29" t="str">
        <f t="shared" si="39"/>
        <v>efferr[0][9]=0.0000848;</v>
      </c>
      <c r="AH284" s="29" t="str">
        <f t="shared" si="33"/>
        <v>energy[0][9]=1299;</v>
      </c>
      <c r="AI284" s="29" t="str">
        <f t="shared" si="34"/>
        <v>energyerr[0][9]=0.008;</v>
      </c>
      <c r="AJ284" s="29" t="str">
        <f t="shared" si="40"/>
        <v>eff[0][9]=0.4994547;</v>
      </c>
      <c r="AK284" s="29" t="str">
        <f t="shared" si="41"/>
        <v>efferr[0][9]=0.0172019;</v>
      </c>
    </row>
    <row r="285" spans="3:37">
      <c r="H285" s="29" t="str">
        <f t="shared" si="30"/>
        <v>energy[0][10]=1408;</v>
      </c>
      <c r="I285" s="29" t="str">
        <f t="shared" si="35"/>
        <v>energyerr[0][10]=0.003;</v>
      </c>
      <c r="J285" s="29" t="str">
        <f t="shared" si="36"/>
        <v>eff[0][10]=0.0124537;</v>
      </c>
      <c r="K285" s="29" t="str">
        <f t="shared" si="37"/>
        <v>efferr[0][10]=0.0001234;</v>
      </c>
      <c r="U285" s="29" t="str">
        <f t="shared" si="31"/>
        <v>energy[0][10]=1408;</v>
      </c>
      <c r="V285" s="29" t="str">
        <f t="shared" si="32"/>
        <v>energyerr[0][10]=0.003;</v>
      </c>
      <c r="W285" s="29" t="str">
        <f t="shared" si="38"/>
        <v>eff[0][10]=0.0066999;</v>
      </c>
      <c r="X285" s="29" t="str">
        <f t="shared" si="39"/>
        <v>efferr[0][10]=0.0000332;</v>
      </c>
      <c r="AH285" s="29" t="str">
        <f t="shared" si="33"/>
        <v>energy[0][10]=1408;</v>
      </c>
      <c r="AI285" s="29" t="str">
        <f t="shared" si="34"/>
        <v>energyerr[0][10]=0.003;</v>
      </c>
      <c r="AJ285" s="29" t="str">
        <f t="shared" si="40"/>
        <v>eff[0][10]=0.5379838;</v>
      </c>
      <c r="AK285" s="29" t="str">
        <f t="shared" si="41"/>
        <v>efferr[0][10]=0.0059613;</v>
      </c>
    </row>
    <row r="287" spans="3:37">
      <c r="G287" s="104" t="s">
        <v>162</v>
      </c>
      <c r="J287" s="104" t="s">
        <v>165</v>
      </c>
    </row>
    <row r="288" spans="3:37">
      <c r="G288" s="72" t="s">
        <v>7</v>
      </c>
      <c r="H288" s="72" t="s">
        <v>134</v>
      </c>
      <c r="I288" s="72"/>
      <c r="J288" s="72"/>
      <c r="K288" s="72"/>
      <c r="L288" s="72"/>
    </row>
    <row r="289" spans="7:12">
      <c r="G289" s="72" t="s">
        <v>135</v>
      </c>
      <c r="H289" s="72">
        <v>3.9441067999999998E-4</v>
      </c>
      <c r="I289" s="72" t="s">
        <v>4</v>
      </c>
      <c r="J289" s="98">
        <v>3.7179315000000001E-7</v>
      </c>
      <c r="K289" s="72"/>
      <c r="L289" s="72"/>
    </row>
    <row r="290" spans="7:12">
      <c r="G290" s="72" t="s">
        <v>136</v>
      </c>
      <c r="H290" s="72">
        <v>-1.1373026E-2</v>
      </c>
      <c r="I290" s="72" t="s">
        <v>4</v>
      </c>
      <c r="J290" s="98">
        <v>2.8865040999999999E-6</v>
      </c>
      <c r="K290" s="72"/>
      <c r="L290" s="72"/>
    </row>
    <row r="291" spans="7:12">
      <c r="G291" s="72" t="s">
        <v>137</v>
      </c>
      <c r="H291" s="72">
        <v>0.12360631</v>
      </c>
      <c r="I291" s="72" t="s">
        <v>4</v>
      </c>
      <c r="J291" s="98">
        <v>2.092689E-5</v>
      </c>
      <c r="K291" s="72"/>
      <c r="L291" s="72"/>
    </row>
    <row r="292" spans="7:12">
      <c r="G292" s="72" t="s">
        <v>138</v>
      </c>
      <c r="H292" s="72">
        <v>-0.60403045</v>
      </c>
      <c r="I292" s="72" t="s">
        <v>4</v>
      </c>
      <c r="J292" s="98">
        <v>1.4337652E-4</v>
      </c>
      <c r="K292" s="72"/>
      <c r="L292" s="72"/>
    </row>
    <row r="293" spans="7:12">
      <c r="G293" s="72" t="s">
        <v>139</v>
      </c>
      <c r="H293" s="72">
        <v>1.1483544999999999</v>
      </c>
      <c r="I293" s="72" t="s">
        <v>4</v>
      </c>
      <c r="J293" s="98">
        <v>9.3046910999999995E-4</v>
      </c>
      <c r="K293" s="72"/>
      <c r="L293" s="72"/>
    </row>
    <row r="294" spans="7:12">
      <c r="G294" s="72" t="s">
        <v>8</v>
      </c>
      <c r="H294" s="72">
        <v>-0.73420452000000003</v>
      </c>
      <c r="I294" s="72" t="s">
        <v>4</v>
      </c>
      <c r="J294" s="98">
        <v>5.5674562000000002E-3</v>
      </c>
      <c r="K294" s="72"/>
      <c r="L294" s="72"/>
    </row>
    <row r="295" spans="7:12">
      <c r="G295" s="72" t="s">
        <v>9</v>
      </c>
      <c r="H295" s="72">
        <v>-0.22095386</v>
      </c>
      <c r="I295" s="72" t="s">
        <v>4</v>
      </c>
      <c r="J295" s="98">
        <v>2.8736936000000001E-2</v>
      </c>
      <c r="K295" s="72"/>
      <c r="L295" s="72"/>
    </row>
    <row r="296" spans="7:12">
      <c r="G296" s="72" t="s">
        <v>10</v>
      </c>
      <c r="H296" s="72">
        <v>3.8865527000000002</v>
      </c>
      <c r="I296" s="72" t="s">
        <v>11</v>
      </c>
      <c r="J296" s="72">
        <v>4</v>
      </c>
      <c r="K296" s="72" t="s">
        <v>12</v>
      </c>
      <c r="L296" s="99">
        <v>0.42157694000000001</v>
      </c>
    </row>
    <row r="298" spans="7:12">
      <c r="G298" s="104" t="s">
        <v>140</v>
      </c>
      <c r="H298" s="104">
        <f>H289</f>
        <v>3.9441067999999998E-4</v>
      </c>
      <c r="I298" s="104" t="s">
        <v>97</v>
      </c>
      <c r="J298" s="104" t="s">
        <v>153</v>
      </c>
      <c r="K298" s="96">
        <f>J289</f>
        <v>3.7179315000000001E-7</v>
      </c>
      <c r="L298" s="104" t="s">
        <v>97</v>
      </c>
    </row>
    <row r="299" spans="7:12">
      <c r="G299" s="104" t="s">
        <v>141</v>
      </c>
      <c r="H299" s="104">
        <f t="shared" ref="H299:H304" si="42">H290</f>
        <v>-1.1373026E-2</v>
      </c>
      <c r="I299" s="104" t="s">
        <v>97</v>
      </c>
      <c r="J299" s="104" t="s">
        <v>147</v>
      </c>
      <c r="K299" s="96">
        <f t="shared" ref="K299:K304" si="43">J290</f>
        <v>2.8865040999999999E-6</v>
      </c>
      <c r="L299" s="104" t="s">
        <v>97</v>
      </c>
    </row>
    <row r="300" spans="7:12">
      <c r="G300" s="104" t="s">
        <v>142</v>
      </c>
      <c r="H300" s="104">
        <f t="shared" si="42"/>
        <v>0.12360631</v>
      </c>
      <c r="I300" s="104" t="s">
        <v>97</v>
      </c>
      <c r="J300" s="104" t="s">
        <v>148</v>
      </c>
      <c r="K300" s="96">
        <f t="shared" si="43"/>
        <v>2.092689E-5</v>
      </c>
      <c r="L300" s="104" t="s">
        <v>97</v>
      </c>
    </row>
    <row r="301" spans="7:12">
      <c r="G301" s="104" t="s">
        <v>143</v>
      </c>
      <c r="H301" s="104">
        <f t="shared" si="42"/>
        <v>-0.60403045</v>
      </c>
      <c r="I301" s="104" t="s">
        <v>97</v>
      </c>
      <c r="J301" s="104" t="s">
        <v>149</v>
      </c>
      <c r="K301" s="96">
        <f t="shared" si="43"/>
        <v>1.4337652E-4</v>
      </c>
      <c r="L301" s="104" t="s">
        <v>97</v>
      </c>
    </row>
    <row r="302" spans="7:12">
      <c r="G302" s="104" t="s">
        <v>144</v>
      </c>
      <c r="H302" s="104">
        <f t="shared" si="42"/>
        <v>1.1483544999999999</v>
      </c>
      <c r="I302" s="104" t="s">
        <v>97</v>
      </c>
      <c r="J302" s="104" t="s">
        <v>150</v>
      </c>
      <c r="K302" s="96">
        <f t="shared" si="43"/>
        <v>9.3046910999999995E-4</v>
      </c>
      <c r="L302" s="104" t="s">
        <v>97</v>
      </c>
    </row>
    <row r="303" spans="7:12">
      <c r="G303" s="104" t="s">
        <v>145</v>
      </c>
      <c r="H303" s="104">
        <f t="shared" si="42"/>
        <v>-0.73420452000000003</v>
      </c>
      <c r="I303" s="104" t="s">
        <v>97</v>
      </c>
      <c r="J303" s="104" t="s">
        <v>151</v>
      </c>
      <c r="K303" s="96">
        <f t="shared" si="43"/>
        <v>5.5674562000000002E-3</v>
      </c>
      <c r="L303" s="104" t="s">
        <v>97</v>
      </c>
    </row>
    <row r="304" spans="7:12">
      <c r="G304" s="104" t="s">
        <v>146</v>
      </c>
      <c r="H304" s="104">
        <f t="shared" si="42"/>
        <v>-0.22095386</v>
      </c>
      <c r="I304" s="104" t="s">
        <v>97</v>
      </c>
      <c r="J304" s="104" t="s">
        <v>152</v>
      </c>
      <c r="K304" s="96">
        <f t="shared" si="43"/>
        <v>2.8736936000000001E-2</v>
      </c>
      <c r="L304" s="104" t="s">
        <v>97</v>
      </c>
    </row>
    <row r="306" spans="7:9">
      <c r="G306" s="104" t="s">
        <v>164</v>
      </c>
    </row>
    <row r="307" spans="7:9">
      <c r="H307" s="29" t="str">
        <f>G298&amp;TEXT(ROUND(H298,8),"0.00000000")&amp;I298</f>
        <v>par[0][6]=0.00039441;</v>
      </c>
      <c r="I307" s="29" t="str">
        <f t="shared" ref="I307:I313" si="44">J298&amp;TEXT(ROUND(K298,8),"0.00000000")&amp;L298</f>
        <v>parerr[0][6]=0.00000037;</v>
      </c>
    </row>
    <row r="308" spans="7:9">
      <c r="H308" s="29" t="str">
        <f t="shared" ref="H308:H313" si="45">G299&amp;TEXT(ROUND(H299,8),"0.00000000")&amp;I299</f>
        <v>par[0][5]=-0.01137303;</v>
      </c>
      <c r="I308" s="29" t="str">
        <f t="shared" si="44"/>
        <v>parerr[0][5]=0.00000289;</v>
      </c>
    </row>
    <row r="309" spans="7:9">
      <c r="H309" s="29" t="str">
        <f t="shared" si="45"/>
        <v>par[0][4]=0.12360631;</v>
      </c>
      <c r="I309" s="29" t="str">
        <f t="shared" si="44"/>
        <v>parerr[0][4]=0.00002093;</v>
      </c>
    </row>
    <row r="310" spans="7:9">
      <c r="H310" s="29" t="str">
        <f t="shared" si="45"/>
        <v>par[0][3]=-0.60403045;</v>
      </c>
      <c r="I310" s="29" t="str">
        <f t="shared" si="44"/>
        <v>parerr[0][3]=0.00014338;</v>
      </c>
    </row>
    <row r="311" spans="7:9">
      <c r="H311" s="29" t="str">
        <f t="shared" si="45"/>
        <v>par[0][2]=1.14835450;</v>
      </c>
      <c r="I311" s="29" t="str">
        <f t="shared" si="44"/>
        <v>parerr[0][2]=0.00093047;</v>
      </c>
    </row>
    <row r="312" spans="7:9">
      <c r="H312" s="29" t="str">
        <f t="shared" si="45"/>
        <v>par[0][1]=-0.73420452;</v>
      </c>
      <c r="I312" s="29" t="str">
        <f t="shared" si="44"/>
        <v>parerr[0][1]=0.00556746;</v>
      </c>
    </row>
    <row r="313" spans="7:9">
      <c r="H313" s="29" t="str">
        <f t="shared" si="45"/>
        <v>par[0][0]=-0.22095386;</v>
      </c>
      <c r="I313" s="29" t="str">
        <f t="shared" si="44"/>
        <v>parerr[0][0]=0.02873694;</v>
      </c>
    </row>
  </sheetData>
  <mergeCells count="15">
    <mergeCell ref="BM4:BP4"/>
    <mergeCell ref="BQ4:BT4"/>
    <mergeCell ref="BU4:BX4"/>
    <mergeCell ref="AO4:AR4"/>
    <mergeCell ref="AS4:AV4"/>
    <mergeCell ref="AW4:AZ4"/>
    <mergeCell ref="BA4:BD4"/>
    <mergeCell ref="BE4:BH4"/>
    <mergeCell ref="BI4:BL4"/>
    <mergeCell ref="AK4:AN4"/>
    <mergeCell ref="Q4:T4"/>
    <mergeCell ref="U4:X4"/>
    <mergeCell ref="Y4:AB4"/>
    <mergeCell ref="AC4:AF4"/>
    <mergeCell ref="AG4:AJ4"/>
  </mergeCells>
  <phoneticPr fontId="1" type="noConversion"/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O87"/>
  <sheetViews>
    <sheetView tabSelected="1" zoomScaleNormal="100" workbookViewId="0">
      <selection activeCell="F3" sqref="F3"/>
    </sheetView>
  </sheetViews>
  <sheetFormatPr defaultColWidth="9.109375" defaultRowHeight="15.6"/>
  <cols>
    <col min="1" max="1" width="7" style="364" bestFit="1" customWidth="1"/>
    <col min="2" max="2" width="7.109375" style="364" bestFit="1" customWidth="1"/>
    <col min="3" max="3" width="10.21875" style="364" bestFit="1" customWidth="1"/>
    <col min="4" max="4" width="7.77734375" style="364" bestFit="1" customWidth="1"/>
    <col min="5" max="5" width="15.44140625" style="364" customWidth="1"/>
    <col min="6" max="6" width="11.44140625" style="364" bestFit="1" customWidth="1"/>
    <col min="7" max="8" width="8.44140625" style="364" bestFit="1" customWidth="1"/>
    <col min="9" max="9" width="6.44140625" style="364" bestFit="1" customWidth="1"/>
    <col min="10" max="13" width="9.21875" style="365" bestFit="1" customWidth="1"/>
    <col min="14" max="16384" width="9.109375" style="365"/>
  </cols>
  <sheetData>
    <row r="1" spans="1:15">
      <c r="A1" s="409" t="s">
        <v>306</v>
      </c>
    </row>
    <row r="2" spans="1:15" ht="18">
      <c r="A2" s="401" t="s">
        <v>15</v>
      </c>
      <c r="B2" s="402" t="s">
        <v>16</v>
      </c>
      <c r="C2" s="403" t="s">
        <v>23</v>
      </c>
      <c r="D2" s="403" t="s">
        <v>305</v>
      </c>
      <c r="E2" s="401" t="s">
        <v>20</v>
      </c>
      <c r="F2" s="402" t="s">
        <v>19</v>
      </c>
      <c r="G2" s="404" t="s">
        <v>5</v>
      </c>
      <c r="H2" s="404" t="s">
        <v>6</v>
      </c>
      <c r="M2" s="399" t="s">
        <v>4</v>
      </c>
    </row>
    <row r="3" spans="1:15" ht="18">
      <c r="A3" s="405">
        <v>4.1143999999999998</v>
      </c>
      <c r="B3" s="405">
        <v>2.3699999999999999E-2</v>
      </c>
      <c r="C3" s="408">
        <f>10^A3</f>
        <v>13013.67630107466</v>
      </c>
      <c r="D3" s="408">
        <f>C3*LN(10)*B3</f>
        <v>710.17280022493446</v>
      </c>
      <c r="E3" s="410">
        <f>$L$3/$L$4^2/$C3</f>
        <v>0.29030894370345578</v>
      </c>
      <c r="F3" s="406">
        <f>SQRT($M$3^2*($L$4^(-2)/$C3)^2+$M$4^2*(-2*$L$4^(-3)*$L$3/$C3)^2+($C3*LN(10)*$B3)^2*(($C3)^(-2)*$L$3/$L$4^2)^2)</f>
        <v>1.5854542484710951E-2</v>
      </c>
      <c r="G3" s="407">
        <f>E3-F3</f>
        <v>0.27445440121874481</v>
      </c>
      <c r="H3" s="407">
        <f>E3+F3</f>
        <v>0.30616348618816674</v>
      </c>
      <c r="J3" s="366"/>
      <c r="K3" s="369" t="s">
        <v>17</v>
      </c>
      <c r="L3" s="376">
        <v>6144.48</v>
      </c>
      <c r="M3" s="369">
        <v>3.7</v>
      </c>
      <c r="N3" s="411" t="s">
        <v>302</v>
      </c>
    </row>
    <row r="4" spans="1:15">
      <c r="A4" s="367"/>
      <c r="B4" s="362"/>
      <c r="C4" s="367"/>
      <c r="J4" s="368"/>
      <c r="K4" s="369" t="s">
        <v>18</v>
      </c>
      <c r="L4" s="369">
        <v>-1.2753000000000001</v>
      </c>
      <c r="M4" s="376">
        <v>1.2999999999999999E-3</v>
      </c>
      <c r="N4" s="411" t="s">
        <v>303</v>
      </c>
    </row>
    <row r="5" spans="1:15">
      <c r="A5" s="370"/>
      <c r="B5" s="371"/>
      <c r="C5" s="371"/>
      <c r="D5" s="363"/>
      <c r="E5" s="372"/>
      <c r="F5" s="373"/>
      <c r="G5" s="374"/>
      <c r="H5" s="375"/>
      <c r="I5" s="375"/>
      <c r="K5" s="369" t="s">
        <v>301</v>
      </c>
      <c r="L5" s="398">
        <f>L4^2</f>
        <v>1.6263900900000003</v>
      </c>
      <c r="M5" s="398">
        <f>2*ABS(L4)*M4</f>
        <v>3.3157799999999999E-3</v>
      </c>
      <c r="O5" s="400" t="s">
        <v>304</v>
      </c>
    </row>
    <row r="6" spans="1:15">
      <c r="A6" s="370"/>
      <c r="B6" s="371"/>
      <c r="C6" s="371"/>
      <c r="D6" s="377"/>
      <c r="E6" s="372"/>
      <c r="F6" s="373"/>
      <c r="G6" s="374"/>
      <c r="H6" s="375"/>
      <c r="I6" s="375"/>
      <c r="J6" s="368"/>
      <c r="L6" s="362"/>
    </row>
    <row r="7" spans="1:15">
      <c r="A7" s="378"/>
      <c r="B7" s="371"/>
      <c r="C7" s="371"/>
      <c r="D7" s="379"/>
      <c r="E7" s="380"/>
      <c r="F7" s="373"/>
      <c r="G7" s="374"/>
      <c r="H7" s="375"/>
      <c r="I7" s="375"/>
    </row>
    <row r="8" spans="1:15">
      <c r="A8" s="378"/>
      <c r="B8" s="371"/>
      <c r="C8" s="371"/>
      <c r="D8" s="363"/>
      <c r="E8" s="363"/>
      <c r="F8" s="373"/>
      <c r="G8" s="374"/>
      <c r="H8" s="381"/>
      <c r="I8" s="381"/>
    </row>
    <row r="9" spans="1:15">
      <c r="A9" s="370"/>
      <c r="B9" s="371"/>
      <c r="C9" s="371"/>
      <c r="D9" s="379"/>
      <c r="E9" s="383"/>
      <c r="F9" s="384"/>
      <c r="G9" s="374"/>
      <c r="H9" s="385"/>
      <c r="I9" s="386"/>
      <c r="J9" s="382"/>
      <c r="K9" s="382"/>
      <c r="L9" s="364"/>
    </row>
    <row r="10" spans="1:15">
      <c r="A10" s="370"/>
      <c r="B10" s="371"/>
      <c r="C10" s="371"/>
      <c r="D10" s="365"/>
      <c r="E10" s="365"/>
      <c r="F10" s="365"/>
      <c r="G10" s="365"/>
      <c r="H10" s="365"/>
      <c r="I10" s="365"/>
      <c r="J10" s="382"/>
      <c r="K10" s="382"/>
      <c r="L10" s="364"/>
    </row>
    <row r="11" spans="1:15">
      <c r="B11" s="387"/>
      <c r="J11" s="364"/>
      <c r="K11" s="382"/>
      <c r="L11" s="364"/>
    </row>
    <row r="12" spans="1:15">
      <c r="B12" s="371"/>
      <c r="C12" s="388"/>
      <c r="D12" s="386"/>
      <c r="E12" s="362"/>
      <c r="F12" s="373"/>
      <c r="G12" s="374"/>
      <c r="H12" s="375"/>
      <c r="I12" s="389"/>
      <c r="J12" s="364"/>
      <c r="K12" s="362"/>
      <c r="L12" s="364"/>
    </row>
    <row r="13" spans="1:15">
      <c r="B13" s="371"/>
      <c r="C13" s="388"/>
      <c r="D13" s="386"/>
      <c r="E13" s="362"/>
      <c r="F13" s="373"/>
      <c r="G13" s="374"/>
      <c r="H13" s="375"/>
      <c r="I13" s="389"/>
    </row>
    <row r="14" spans="1:15">
      <c r="B14" s="371"/>
      <c r="C14" s="388"/>
      <c r="D14" s="386"/>
      <c r="E14" s="362"/>
      <c r="F14" s="373"/>
      <c r="G14" s="374"/>
      <c r="H14" s="375"/>
      <c r="I14" s="389"/>
    </row>
    <row r="15" spans="1:15">
      <c r="B15" s="371"/>
      <c r="C15" s="388"/>
      <c r="D15" s="386"/>
      <c r="E15" s="362"/>
      <c r="F15" s="373"/>
      <c r="G15" s="374"/>
      <c r="H15" s="375"/>
      <c r="I15" s="389"/>
    </row>
    <row r="16" spans="1:15">
      <c r="A16" s="374"/>
      <c r="B16" s="371"/>
      <c r="C16" s="388"/>
      <c r="D16" s="386"/>
      <c r="E16" s="362"/>
      <c r="F16" s="384"/>
      <c r="G16" s="374"/>
      <c r="H16" s="390"/>
      <c r="I16" s="389"/>
    </row>
    <row r="17" spans="1:13">
      <c r="B17" s="387"/>
    </row>
    <row r="18" spans="1:13">
      <c r="B18" s="371"/>
      <c r="C18" s="371"/>
      <c r="D18" s="386"/>
      <c r="E18" s="362"/>
      <c r="F18" s="373"/>
      <c r="G18" s="374"/>
      <c r="H18" s="375"/>
      <c r="I18" s="389"/>
    </row>
    <row r="19" spans="1:13">
      <c r="B19" s="371"/>
      <c r="C19" s="371"/>
      <c r="D19" s="386"/>
      <c r="E19" s="362"/>
      <c r="F19" s="373"/>
      <c r="G19" s="374"/>
      <c r="H19" s="375"/>
      <c r="I19" s="389"/>
    </row>
    <row r="20" spans="1:13">
      <c r="B20" s="371"/>
      <c r="C20" s="371"/>
      <c r="D20" s="386"/>
      <c r="E20" s="362"/>
      <c r="F20" s="373"/>
      <c r="G20" s="374"/>
      <c r="H20" s="375"/>
      <c r="I20" s="389"/>
    </row>
    <row r="21" spans="1:13">
      <c r="A21" s="374"/>
      <c r="B21" s="371"/>
      <c r="C21" s="371"/>
      <c r="D21" s="386"/>
      <c r="E21" s="362"/>
      <c r="F21" s="373"/>
      <c r="G21" s="374"/>
      <c r="H21" s="375"/>
      <c r="I21" s="389"/>
      <c r="K21"/>
    </row>
    <row r="22" spans="1:13">
      <c r="B22" s="371"/>
      <c r="C22" s="371"/>
      <c r="D22" s="386"/>
      <c r="E22" s="362"/>
      <c r="F22" s="384"/>
      <c r="G22" s="374"/>
      <c r="H22" s="390"/>
      <c r="I22" s="389"/>
      <c r="L22" s="391"/>
      <c r="M22" s="392"/>
    </row>
    <row r="23" spans="1:13">
      <c r="A23" s="393"/>
      <c r="B23" s="387"/>
      <c r="J23" s="392"/>
      <c r="K23" s="392"/>
      <c r="L23" s="392"/>
      <c r="M23" s="392"/>
    </row>
    <row r="24" spans="1:13">
      <c r="A24" s="393"/>
      <c r="B24" s="371"/>
      <c r="C24" s="388"/>
      <c r="D24" s="362"/>
      <c r="E24" s="362"/>
      <c r="F24" s="373"/>
      <c r="G24" s="374"/>
      <c r="H24" s="375"/>
      <c r="I24" s="375"/>
      <c r="J24" s="392"/>
      <c r="K24" s="392"/>
      <c r="L24" s="392"/>
      <c r="M24" s="392"/>
    </row>
    <row r="25" spans="1:13">
      <c r="A25" s="393"/>
      <c r="B25" s="371"/>
      <c r="C25" s="388"/>
      <c r="D25" s="386"/>
      <c r="E25" s="362"/>
      <c r="F25" s="373"/>
      <c r="G25" s="374"/>
      <c r="H25" s="375"/>
      <c r="I25" s="386"/>
      <c r="J25" s="392"/>
      <c r="K25" s="392"/>
      <c r="L25" s="392"/>
      <c r="M25" s="392"/>
    </row>
    <row r="26" spans="1:13">
      <c r="A26" s="393"/>
      <c r="B26" s="371"/>
      <c r="C26" s="388"/>
      <c r="D26" s="386"/>
      <c r="E26" s="362"/>
      <c r="F26" s="373"/>
      <c r="G26" s="374"/>
      <c r="H26" s="375"/>
      <c r="I26" s="386"/>
      <c r="J26" s="392"/>
      <c r="K26" s="392"/>
      <c r="L26" s="392"/>
      <c r="M26" s="392"/>
    </row>
    <row r="27" spans="1:13">
      <c r="B27" s="371"/>
      <c r="C27" s="388"/>
      <c r="D27" s="386"/>
      <c r="E27" s="362"/>
      <c r="F27" s="373"/>
      <c r="G27" s="374"/>
      <c r="H27" s="375"/>
      <c r="I27" s="375"/>
      <c r="J27" s="392"/>
      <c r="K27" s="392"/>
      <c r="L27" s="392"/>
      <c r="M27" s="392"/>
    </row>
    <row r="28" spans="1:13">
      <c r="A28" s="364" t="s">
        <v>26</v>
      </c>
      <c r="C28" s="364" t="s">
        <v>294</v>
      </c>
      <c r="E28" s="364" t="s">
        <v>37</v>
      </c>
      <c r="F28" s="384"/>
      <c r="G28" s="374"/>
      <c r="H28" s="390"/>
      <c r="I28" s="375"/>
      <c r="J28" s="392"/>
      <c r="K28" s="392"/>
      <c r="L28" s="392"/>
      <c r="M28" s="392"/>
    </row>
    <row r="29" spans="1:13">
      <c r="A29" s="364">
        <v>2.4</v>
      </c>
      <c r="C29" s="384">
        <f t="shared" ref="C29:C34" si="0">10^A29</f>
        <v>251.18864315095806</v>
      </c>
      <c r="E29" s="394">
        <f t="shared" ref="E29:E60" si="1">$L$3/$C29</f>
        <v>24.461615473225521</v>
      </c>
      <c r="F29" s="362"/>
      <c r="G29" s="394"/>
      <c r="I29" s="362"/>
    </row>
    <row r="30" spans="1:13">
      <c r="A30" s="364">
        <v>2.4500000000000002</v>
      </c>
      <c r="C30" s="384">
        <f t="shared" si="0"/>
        <v>281.83829312644554</v>
      </c>
      <c r="E30" s="394">
        <f t="shared" si="1"/>
        <v>21.801437738779185</v>
      </c>
    </row>
    <row r="31" spans="1:13">
      <c r="A31" s="364">
        <v>2.5</v>
      </c>
      <c r="C31" s="384">
        <f t="shared" si="0"/>
        <v>316.22776601683825</v>
      </c>
      <c r="E31" s="394">
        <f t="shared" si="1"/>
        <v>19.430551837351384</v>
      </c>
    </row>
    <row r="32" spans="1:13">
      <c r="A32" s="364">
        <v>2.5499999999999998</v>
      </c>
      <c r="C32" s="384">
        <f t="shared" si="0"/>
        <v>354.81338923357566</v>
      </c>
      <c r="E32" s="394">
        <f t="shared" si="1"/>
        <v>17.317497553495802</v>
      </c>
    </row>
    <row r="33" spans="1:5">
      <c r="A33" s="364">
        <v>2.6</v>
      </c>
      <c r="C33" s="384">
        <f t="shared" si="0"/>
        <v>398.10717055349761</v>
      </c>
      <c r="E33" s="394">
        <f t="shared" si="1"/>
        <v>15.434235940681969</v>
      </c>
    </row>
    <row r="34" spans="1:5">
      <c r="A34" s="364">
        <v>2.65</v>
      </c>
      <c r="C34" s="384">
        <f t="shared" si="0"/>
        <v>446.68359215096331</v>
      </c>
      <c r="E34" s="394">
        <f t="shared" si="1"/>
        <v>13.755777261510385</v>
      </c>
    </row>
    <row r="35" spans="1:5">
      <c r="A35" s="364">
        <v>2.7</v>
      </c>
      <c r="C35" s="384">
        <f>10^A35</f>
        <v>501.18723362727269</v>
      </c>
      <c r="E35" s="394">
        <f t="shared" si="1"/>
        <v>12.259849389079971</v>
      </c>
    </row>
    <row r="36" spans="1:5">
      <c r="A36" s="364">
        <v>2.75</v>
      </c>
      <c r="B36" s="362"/>
      <c r="C36" s="384">
        <f t="shared" ref="C36:C46" si="2">10^A36</f>
        <v>562.34132519034927</v>
      </c>
      <c r="E36" s="394">
        <f t="shared" si="1"/>
        <v>10.926602269395955</v>
      </c>
    </row>
    <row r="37" spans="1:5" ht="13.5" customHeight="1">
      <c r="A37" s="364">
        <v>2.8</v>
      </c>
      <c r="B37" s="362"/>
      <c r="C37" s="384">
        <f t="shared" si="2"/>
        <v>630.95734448019323</v>
      </c>
      <c r="E37" s="394">
        <f t="shared" si="1"/>
        <v>9.7383445232134616</v>
      </c>
    </row>
    <row r="38" spans="1:5">
      <c r="A38" s="364">
        <v>2.85</v>
      </c>
      <c r="B38" s="362"/>
      <c r="C38" s="384">
        <f t="shared" si="2"/>
        <v>707.94578438413873</v>
      </c>
      <c r="E38" s="394">
        <f t="shared" si="1"/>
        <v>8.6793086921836107</v>
      </c>
    </row>
    <row r="39" spans="1:5">
      <c r="A39" s="364">
        <v>2.9</v>
      </c>
      <c r="B39" s="362"/>
      <c r="C39" s="384">
        <f t="shared" si="2"/>
        <v>794.32823472428208</v>
      </c>
      <c r="E39" s="394">
        <f t="shared" si="1"/>
        <v>7.7354420142610181</v>
      </c>
    </row>
    <row r="40" spans="1:5">
      <c r="A40" s="364">
        <v>2.95</v>
      </c>
      <c r="B40" s="362"/>
      <c r="C40" s="384">
        <f t="shared" si="2"/>
        <v>891.25093813374656</v>
      </c>
      <c r="E40" s="394">
        <f t="shared" si="1"/>
        <v>6.8942199520893199</v>
      </c>
    </row>
    <row r="41" spans="1:5">
      <c r="A41" s="364">
        <v>3</v>
      </c>
      <c r="B41" s="362"/>
      <c r="C41" s="384">
        <f t="shared" si="2"/>
        <v>1000</v>
      </c>
      <c r="E41" s="394">
        <f t="shared" si="1"/>
        <v>6.1444799999999997</v>
      </c>
    </row>
    <row r="42" spans="1:5">
      <c r="A42" s="364">
        <v>3.05</v>
      </c>
      <c r="C42" s="384">
        <f t="shared" si="2"/>
        <v>1122.0184543019636</v>
      </c>
      <c r="E42" s="394">
        <f t="shared" si="1"/>
        <v>5.4762735643440354</v>
      </c>
    </row>
    <row r="43" spans="1:5">
      <c r="A43" s="364">
        <v>3.1</v>
      </c>
      <c r="C43" s="384">
        <f t="shared" si="2"/>
        <v>1258.925411794168</v>
      </c>
      <c r="E43" s="394">
        <f t="shared" si="1"/>
        <v>4.8807339516986499</v>
      </c>
    </row>
    <row r="44" spans="1:5">
      <c r="A44" s="364">
        <v>3.15</v>
      </c>
      <c r="C44" s="384">
        <f t="shared" si="2"/>
        <v>1412.5375446227545</v>
      </c>
      <c r="E44" s="394">
        <f t="shared" si="1"/>
        <v>4.3499587132326472</v>
      </c>
    </row>
    <row r="45" spans="1:5">
      <c r="A45" s="364">
        <v>3.2</v>
      </c>
      <c r="C45" s="384">
        <f t="shared" si="2"/>
        <v>1584.8931924611156</v>
      </c>
      <c r="E45" s="394">
        <f t="shared" si="1"/>
        <v>3.8769047840116522</v>
      </c>
    </row>
    <row r="46" spans="1:5">
      <c r="A46" s="364">
        <v>3.25</v>
      </c>
      <c r="C46" s="384">
        <f t="shared" si="2"/>
        <v>1778.2794100389244</v>
      </c>
      <c r="E46" s="394">
        <f t="shared" si="1"/>
        <v>3.4552950258055928</v>
      </c>
    </row>
    <row r="47" spans="1:5">
      <c r="A47" s="364">
        <v>3.30000000000001</v>
      </c>
      <c r="C47" s="384">
        <f t="shared" ref="C47:C50" si="3">10^A47</f>
        <v>1995.2623149689266</v>
      </c>
      <c r="E47" s="394">
        <f t="shared" si="1"/>
        <v>3.0795349332780293</v>
      </c>
    </row>
    <row r="48" spans="1:5">
      <c r="A48" s="364">
        <v>3.35</v>
      </c>
      <c r="C48" s="384">
        <f t="shared" si="3"/>
        <v>2238.7211385683418</v>
      </c>
      <c r="E48" s="394">
        <f t="shared" si="1"/>
        <v>2.7446383982997471</v>
      </c>
    </row>
    <row r="49" spans="1:5">
      <c r="A49" s="364">
        <v>3.4000000000000101</v>
      </c>
      <c r="C49" s="384">
        <f t="shared" si="3"/>
        <v>2511.8864315096412</v>
      </c>
      <c r="E49" s="394">
        <f t="shared" si="1"/>
        <v>2.4461615473224931</v>
      </c>
    </row>
    <row r="50" spans="1:5">
      <c r="A50" s="364">
        <v>3.4500000000000099</v>
      </c>
      <c r="C50" s="384">
        <f t="shared" si="3"/>
        <v>2818.3829312645212</v>
      </c>
      <c r="E50" s="394">
        <f t="shared" si="1"/>
        <v>2.1801437738778673</v>
      </c>
    </row>
    <row r="51" spans="1:5">
      <c r="A51" s="364">
        <v>3.5000000000000102</v>
      </c>
      <c r="C51" s="384">
        <f t="shared" ref="C51:C52" si="4">10^A51</f>
        <v>3162.2776601684532</v>
      </c>
      <c r="E51" s="394">
        <f t="shared" si="1"/>
        <v>1.9430551837350949</v>
      </c>
    </row>
    <row r="52" spans="1:5">
      <c r="A52" s="364">
        <v>3.55000000000001</v>
      </c>
      <c r="C52" s="384">
        <f t="shared" si="4"/>
        <v>3548.1338923358421</v>
      </c>
      <c r="E52" s="394">
        <f t="shared" si="1"/>
        <v>1.7317497553495382</v>
      </c>
    </row>
    <row r="53" spans="1:5">
      <c r="A53" s="364">
        <v>3.6000000000000099</v>
      </c>
      <c r="C53" s="384">
        <f t="shared" ref="C53:C56" si="5">10^A53</f>
        <v>3981.0717055350688</v>
      </c>
      <c r="E53" s="394">
        <f t="shared" si="1"/>
        <v>1.5434235940681611</v>
      </c>
    </row>
    <row r="54" spans="1:5">
      <c r="A54" s="364">
        <v>3.6500000000000101</v>
      </c>
      <c r="C54" s="384">
        <f t="shared" si="5"/>
        <v>4466.8359215097371</v>
      </c>
      <c r="E54" s="394">
        <f t="shared" si="1"/>
        <v>1.3755777261510065</v>
      </c>
    </row>
    <row r="55" spans="1:5">
      <c r="A55" s="364">
        <v>3.7000000000000099</v>
      </c>
      <c r="C55" s="384">
        <f t="shared" si="5"/>
        <v>5011.8723362728397</v>
      </c>
      <c r="E55" s="394">
        <f t="shared" si="1"/>
        <v>1.2259849389079696</v>
      </c>
    </row>
    <row r="56" spans="1:5">
      <c r="A56" s="364">
        <v>3.7500000000000102</v>
      </c>
      <c r="C56" s="384">
        <f t="shared" si="5"/>
        <v>5623.4132519036293</v>
      </c>
      <c r="E56" s="394">
        <f t="shared" si="1"/>
        <v>1.0926602269395691</v>
      </c>
    </row>
    <row r="57" spans="1:5">
      <c r="A57" s="364">
        <v>3.80000000000001</v>
      </c>
      <c r="C57" s="384">
        <f>10^A57</f>
        <v>6309.5734448020849</v>
      </c>
      <c r="E57" s="394">
        <f t="shared" si="1"/>
        <v>0.97383445232132271</v>
      </c>
    </row>
    <row r="58" spans="1:5">
      <c r="A58" s="364">
        <v>3.8500000000000099</v>
      </c>
      <c r="C58" s="384">
        <f t="shared" ref="C58:C85" si="6">10^A58</f>
        <v>7079.4578438415465</v>
      </c>
      <c r="E58" s="394">
        <f t="shared" si="1"/>
        <v>0.86793086921834151</v>
      </c>
    </row>
    <row r="59" spans="1:5">
      <c r="A59" s="364">
        <v>3.9000000000000101</v>
      </c>
      <c r="C59" s="384">
        <f t="shared" si="6"/>
        <v>7943.2823472430127</v>
      </c>
      <c r="E59" s="394">
        <f t="shared" si="1"/>
        <v>0.77354420142608316</v>
      </c>
    </row>
    <row r="60" spans="1:5">
      <c r="A60" s="364">
        <v>3.9500000000000099</v>
      </c>
      <c r="C60" s="384">
        <f t="shared" si="6"/>
        <v>8912.5093813376734</v>
      </c>
      <c r="E60" s="394">
        <f t="shared" si="1"/>
        <v>0.68942199520891589</v>
      </c>
    </row>
    <row r="61" spans="1:5">
      <c r="A61" s="364">
        <v>4.0000000000000098</v>
      </c>
      <c r="C61" s="384">
        <f t="shared" si="6"/>
        <v>10000.00000000024</v>
      </c>
      <c r="E61" s="394">
        <f t="shared" ref="E61:E85" si="7">$L$3/$C61</f>
        <v>0.61444799999998523</v>
      </c>
    </row>
    <row r="62" spans="1:5">
      <c r="A62" s="364">
        <v>4.0500000000000096</v>
      </c>
      <c r="C62" s="384">
        <f t="shared" si="6"/>
        <v>11220.184543019897</v>
      </c>
      <c r="E62" s="394">
        <f t="shared" si="7"/>
        <v>0.54762735643439076</v>
      </c>
    </row>
    <row r="63" spans="1:5">
      <c r="A63" s="364">
        <v>4.1000000000000103</v>
      </c>
      <c r="C63" s="384">
        <f t="shared" si="6"/>
        <v>12589.254117941984</v>
      </c>
      <c r="E63" s="394">
        <f t="shared" si="7"/>
        <v>0.48807339516985321</v>
      </c>
    </row>
    <row r="64" spans="1:5">
      <c r="A64" s="364">
        <v>4.1500000000000101</v>
      </c>
      <c r="C64" s="384">
        <f t="shared" si="6"/>
        <v>14125.375446227887</v>
      </c>
      <c r="E64" s="394">
        <f t="shared" si="7"/>
        <v>0.43499587132325418</v>
      </c>
    </row>
    <row r="65" spans="1:5">
      <c r="A65" s="364">
        <v>4.2000000000000099</v>
      </c>
      <c r="C65" s="384">
        <f t="shared" si="6"/>
        <v>15848.931924611512</v>
      </c>
      <c r="E65" s="394">
        <f t="shared" si="7"/>
        <v>0.38769047840115656</v>
      </c>
    </row>
    <row r="66" spans="1:5">
      <c r="A66" s="364">
        <v>4.2500000000000098</v>
      </c>
      <c r="C66" s="384">
        <f t="shared" si="6"/>
        <v>17782.794100389645</v>
      </c>
      <c r="E66" s="394">
        <f t="shared" si="7"/>
        <v>0.34552950258055148</v>
      </c>
    </row>
    <row r="67" spans="1:5">
      <c r="A67" s="364">
        <v>4.3000000000000096</v>
      </c>
      <c r="C67" s="384">
        <f t="shared" si="6"/>
        <v>19952.623149689251</v>
      </c>
      <c r="E67" s="394">
        <f t="shared" si="7"/>
        <v>0.30795349332780314</v>
      </c>
    </row>
    <row r="68" spans="1:5">
      <c r="A68" s="364">
        <v>4.3500000000000103</v>
      </c>
      <c r="C68" s="384">
        <f t="shared" si="6"/>
        <v>22387.211385683939</v>
      </c>
      <c r="E68" s="394">
        <f t="shared" si="7"/>
        <v>0.2744638398299683</v>
      </c>
    </row>
    <row r="69" spans="1:5">
      <c r="A69" s="364">
        <v>4.4000000000000101</v>
      </c>
      <c r="C69" s="384">
        <f t="shared" si="6"/>
        <v>25118.864315096398</v>
      </c>
      <c r="E69" s="394">
        <f t="shared" si="7"/>
        <v>0.24461615473224946</v>
      </c>
    </row>
    <row r="70" spans="1:5">
      <c r="A70" s="364">
        <v>4.4500000000000099</v>
      </c>
      <c r="C70" s="384">
        <f t="shared" si="6"/>
        <v>28183.829312645194</v>
      </c>
      <c r="E70" s="394">
        <f t="shared" si="7"/>
        <v>0.2180143773877869</v>
      </c>
    </row>
    <row r="71" spans="1:5">
      <c r="A71" s="364">
        <v>4.5000000000000098</v>
      </c>
      <c r="C71" s="384">
        <f t="shared" si="6"/>
        <v>31622.776601684513</v>
      </c>
      <c r="E71" s="394">
        <f t="shared" si="7"/>
        <v>0.19430551837350959</v>
      </c>
    </row>
    <row r="72" spans="1:5">
      <c r="A72" s="364">
        <v>4.5500000000000096</v>
      </c>
      <c r="C72" s="384">
        <f t="shared" si="6"/>
        <v>35481.338923358337</v>
      </c>
      <c r="E72" s="394">
        <f t="shared" si="7"/>
        <v>0.17317497553495423</v>
      </c>
    </row>
    <row r="73" spans="1:5">
      <c r="A73" s="364">
        <v>4.6000000000000103</v>
      </c>
      <c r="C73" s="384">
        <f t="shared" si="6"/>
        <v>39810.717055350731</v>
      </c>
      <c r="E73" s="394">
        <f t="shared" si="7"/>
        <v>0.15434235940681593</v>
      </c>
    </row>
    <row r="74" spans="1:5">
      <c r="A74" s="364">
        <v>4.6500000000000101</v>
      </c>
      <c r="C74" s="384">
        <f t="shared" si="6"/>
        <v>44668.359215097422</v>
      </c>
      <c r="E74" s="394">
        <f t="shared" si="7"/>
        <v>0.13755777261510049</v>
      </c>
    </row>
    <row r="75" spans="1:5">
      <c r="A75" s="364">
        <v>4.7000000000000099</v>
      </c>
      <c r="C75" s="384">
        <f t="shared" si="6"/>
        <v>50118.723362728451</v>
      </c>
      <c r="E75" s="394">
        <f t="shared" si="7"/>
        <v>0.12259849389079681</v>
      </c>
    </row>
    <row r="76" spans="1:5">
      <c r="A76" s="364">
        <v>4.7500000000000098</v>
      </c>
      <c r="C76" s="384">
        <f t="shared" si="6"/>
        <v>56234.132519036255</v>
      </c>
      <c r="E76" s="394">
        <f t="shared" si="7"/>
        <v>0.10926602269395698</v>
      </c>
    </row>
    <row r="77" spans="1:5">
      <c r="A77" s="364">
        <v>4.8000000000000096</v>
      </c>
      <c r="C77" s="384">
        <f t="shared" si="6"/>
        <v>63095.734448020805</v>
      </c>
      <c r="E77" s="394">
        <f t="shared" si="7"/>
        <v>9.738344523213234E-2</v>
      </c>
    </row>
    <row r="78" spans="1:5">
      <c r="A78" s="364">
        <v>4.8500000000000103</v>
      </c>
      <c r="C78" s="384">
        <f t="shared" si="6"/>
        <v>70794.578438415541</v>
      </c>
      <c r="E78" s="394">
        <f t="shared" si="7"/>
        <v>8.6793086921834059E-2</v>
      </c>
    </row>
    <row r="79" spans="1:5">
      <c r="A79" s="364">
        <v>4.9000000000000101</v>
      </c>
      <c r="C79" s="384">
        <f t="shared" si="6"/>
        <v>79432.823472430071</v>
      </c>
      <c r="E79" s="394">
        <f t="shared" si="7"/>
        <v>7.7354420142608363E-2</v>
      </c>
    </row>
    <row r="80" spans="1:5">
      <c r="A80" s="364">
        <v>4.9500000000000099</v>
      </c>
      <c r="C80" s="384">
        <f t="shared" si="6"/>
        <v>89125.093813376676</v>
      </c>
      <c r="E80" s="394">
        <f t="shared" si="7"/>
        <v>6.8942199520891631E-2</v>
      </c>
    </row>
    <row r="81" spans="1:5">
      <c r="A81" s="364">
        <v>5.0000000000000098</v>
      </c>
      <c r="C81" s="384">
        <f t="shared" si="6"/>
        <v>100000.00000000233</v>
      </c>
      <c r="E81" s="394">
        <f t="shared" si="7"/>
        <v>6.1444799999998564E-2</v>
      </c>
    </row>
    <row r="82" spans="1:5">
      <c r="A82" s="364">
        <v>5.0500000000000096</v>
      </c>
      <c r="C82" s="384">
        <f t="shared" si="6"/>
        <v>112201.8454301989</v>
      </c>
      <c r="E82" s="394">
        <f t="shared" si="7"/>
        <v>5.4762735643439114E-2</v>
      </c>
    </row>
    <row r="83" spans="1:5">
      <c r="A83" s="364">
        <v>5.1000000000000103</v>
      </c>
      <c r="C83" s="384">
        <f t="shared" si="6"/>
        <v>125892.54117941976</v>
      </c>
      <c r="E83" s="394">
        <f t="shared" si="7"/>
        <v>4.8807339516985349E-2</v>
      </c>
    </row>
    <row r="84" spans="1:5">
      <c r="A84" s="364">
        <v>5.1500000000000101</v>
      </c>
      <c r="C84" s="384">
        <f t="shared" si="6"/>
        <v>141253.75446227877</v>
      </c>
      <c r="E84" s="394">
        <f t="shared" si="7"/>
        <v>4.3499587132325448E-2</v>
      </c>
    </row>
    <row r="85" spans="1:5">
      <c r="A85" s="364">
        <v>5.2000000000000099</v>
      </c>
      <c r="C85" s="384">
        <f t="shared" si="6"/>
        <v>158489.31924611502</v>
      </c>
      <c r="E85" s="394">
        <f t="shared" si="7"/>
        <v>3.8769047840115679E-2</v>
      </c>
    </row>
    <row r="87" spans="1:5">
      <c r="A87" s="395">
        <f>LOG10(C87)</f>
        <v>3.3113638802348992</v>
      </c>
      <c r="B87" s="396"/>
      <c r="C87" s="396">
        <f>$L$3/E87</f>
        <v>2048.16</v>
      </c>
      <c r="D87" s="396"/>
      <c r="E87" s="397">
        <v>3</v>
      </c>
    </row>
  </sheetData>
  <phoneticPr fontId="1" type="noConversion"/>
  <hyperlinks>
    <hyperlink ref="N3" r:id="rId1" xr:uid="{409EEC17-429C-4680-895B-77B8C4A489C3}"/>
    <hyperlink ref="N4" r:id="rId2" xr:uid="{B60B0EBA-35D1-4CA5-91BC-D6B4358832E3}"/>
    <hyperlink ref="O5" r:id="rId3" xr:uid="{070DBD8F-0E6E-4601-A2D8-8136487DFEF8}"/>
  </hyperlinks>
  <pageMargins left="0.7" right="0.7" top="0.75" bottom="0.75" header="0.3" footer="0.3"/>
  <pageSetup paperSize="9" orientation="portrait" horizontalDpi="4294967295" verticalDpi="4294967295" r:id="rId4"/>
  <drawing r:id="rId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31D26-ACD4-4AB9-946B-F4434B77E395}">
  <dimension ref="A1:AC347"/>
  <sheetViews>
    <sheetView zoomScale="90" zoomScaleNormal="90" workbookViewId="0">
      <selection activeCell="E37" sqref="E37"/>
    </sheetView>
  </sheetViews>
  <sheetFormatPr defaultColWidth="9.109375" defaultRowHeight="13.2"/>
  <cols>
    <col min="1" max="1" width="10.6640625" style="149" bestFit="1" customWidth="1"/>
    <col min="2" max="2" width="7.77734375" style="114" bestFit="1" customWidth="1"/>
    <col min="3" max="3" width="12.109375" style="114" customWidth="1"/>
    <col min="4" max="4" width="7.6640625" style="114" customWidth="1"/>
    <col min="5" max="7" width="7.109375" style="114" bestFit="1" customWidth="1"/>
    <col min="8" max="8" width="6.33203125" style="114" bestFit="1" customWidth="1"/>
    <col min="9" max="9" width="16.88671875" style="114" bestFit="1" customWidth="1"/>
    <col min="10" max="10" width="6.44140625" style="114" bestFit="1" customWidth="1"/>
    <col min="11" max="11" width="3" style="114" customWidth="1"/>
    <col min="12" max="12" width="19.88671875" style="114" bestFit="1" customWidth="1"/>
    <col min="13" max="13" width="5.6640625" style="114" bestFit="1" customWidth="1"/>
    <col min="14" max="14" width="11.77734375" style="114" bestFit="1" customWidth="1"/>
    <col min="15" max="15" width="11" style="114" bestFit="1" customWidth="1"/>
    <col min="16" max="16" width="6.77734375" style="114" bestFit="1" customWidth="1"/>
    <col min="17" max="17" width="5.6640625" style="114" bestFit="1" customWidth="1"/>
    <col min="18" max="19" width="6.77734375" style="114" bestFit="1" customWidth="1"/>
    <col min="20" max="21" width="9.109375" style="114"/>
    <col min="22" max="22" width="6.77734375" style="114" bestFit="1" customWidth="1"/>
    <col min="23" max="23" width="6" style="114" bestFit="1" customWidth="1"/>
    <col min="24" max="16384" width="9.109375" style="114"/>
  </cols>
  <sheetData>
    <row r="1" spans="2:24">
      <c r="C1" s="15"/>
      <c r="R1" s="115"/>
      <c r="S1" s="52"/>
    </row>
    <row r="2" spans="2:24">
      <c r="B2" s="12"/>
      <c r="C2" s="15"/>
      <c r="J2" s="15"/>
      <c r="N2" s="15"/>
      <c r="O2" s="15"/>
      <c r="P2" s="15"/>
      <c r="Q2" s="15"/>
      <c r="R2" s="15"/>
      <c r="S2" s="10"/>
      <c r="T2" s="10"/>
      <c r="U2" s="10"/>
      <c r="V2" s="10"/>
    </row>
    <row r="3" spans="2:24">
      <c r="B3" s="31"/>
      <c r="C3" s="10"/>
      <c r="D3" s="40" t="s">
        <v>17</v>
      </c>
      <c r="E3" s="49"/>
      <c r="J3" s="44"/>
      <c r="K3" s="15"/>
      <c r="L3" s="15"/>
      <c r="M3" s="15"/>
      <c r="N3" s="48"/>
      <c r="O3" s="10"/>
      <c r="P3" s="48"/>
      <c r="Q3" s="10"/>
      <c r="R3" s="44"/>
      <c r="S3" s="53"/>
      <c r="T3" s="53"/>
      <c r="U3" s="10"/>
      <c r="V3" s="44"/>
    </row>
    <row r="4" spans="2:24">
      <c r="B4" s="31"/>
      <c r="C4" s="15"/>
      <c r="D4" s="41">
        <v>6144.48</v>
      </c>
      <c r="E4" s="40">
        <v>3.7</v>
      </c>
      <c r="J4" s="152"/>
      <c r="K4" s="153"/>
      <c r="L4" s="153"/>
      <c r="M4" s="15"/>
      <c r="N4" s="54"/>
      <c r="O4" s="15"/>
      <c r="P4" s="15"/>
      <c r="Q4" s="154"/>
      <c r="R4" s="155"/>
      <c r="S4" s="54"/>
      <c r="T4" s="51"/>
      <c r="U4" s="156"/>
      <c r="V4" s="156"/>
      <c r="W4" s="113"/>
      <c r="X4" s="113"/>
    </row>
    <row r="5" spans="2:24">
      <c r="B5" s="31"/>
      <c r="C5" s="10"/>
      <c r="D5" s="40" t="s">
        <v>18</v>
      </c>
      <c r="E5" s="40"/>
      <c r="J5" s="152"/>
      <c r="K5" s="153"/>
      <c r="L5" s="153"/>
      <c r="M5" s="15"/>
      <c r="N5" s="157"/>
      <c r="O5" s="15"/>
      <c r="P5" s="15"/>
      <c r="Q5" s="154"/>
      <c r="R5" s="47"/>
      <c r="S5" s="54"/>
      <c r="T5" s="51"/>
      <c r="U5" s="158"/>
      <c r="V5" s="158"/>
      <c r="W5" s="113"/>
      <c r="X5" s="113"/>
    </row>
    <row r="6" spans="2:24">
      <c r="B6" s="31"/>
      <c r="C6" s="15"/>
      <c r="D6" s="40">
        <v>-1.2756000000000001</v>
      </c>
      <c r="E6" s="41">
        <v>1.2999999999999999E-3</v>
      </c>
      <c r="F6" s="1">
        <f>D6^2</f>
        <v>1.6271553600000002</v>
      </c>
      <c r="J6" s="152"/>
      <c r="K6" s="153"/>
      <c r="L6" s="153"/>
      <c r="M6" s="15"/>
      <c r="N6" s="53"/>
      <c r="O6" s="15"/>
      <c r="P6" s="15"/>
      <c r="Q6" s="154"/>
      <c r="R6" s="25"/>
      <c r="S6" s="159"/>
      <c r="T6" s="51"/>
      <c r="U6" s="158"/>
      <c r="V6" s="156"/>
      <c r="W6" s="113"/>
      <c r="X6" s="113"/>
    </row>
    <row r="7" spans="2:24">
      <c r="B7" s="31"/>
      <c r="C7" s="31"/>
      <c r="D7" s="40"/>
      <c r="E7" s="49"/>
      <c r="J7" s="21"/>
      <c r="K7" s="153"/>
      <c r="L7" s="153"/>
      <c r="M7" s="15"/>
      <c r="N7" s="160"/>
      <c r="O7" s="15"/>
      <c r="P7" s="15"/>
      <c r="Q7" s="154"/>
      <c r="R7" s="47"/>
      <c r="S7" s="54"/>
      <c r="T7" s="51"/>
      <c r="U7" s="161"/>
      <c r="V7" s="162"/>
      <c r="W7" s="113"/>
      <c r="X7" s="113"/>
    </row>
    <row r="8" spans="2:24" ht="15.6">
      <c r="B8" s="31"/>
      <c r="C8" s="31"/>
      <c r="D8" s="167" t="s">
        <v>35</v>
      </c>
      <c r="E8" s="49"/>
      <c r="J8" s="154"/>
      <c r="K8" s="153"/>
      <c r="L8" s="153"/>
      <c r="M8" s="15"/>
      <c r="N8" s="160"/>
      <c r="O8" s="15"/>
      <c r="P8" s="15"/>
      <c r="Q8" s="154"/>
      <c r="R8" s="47"/>
      <c r="S8" s="54"/>
      <c r="T8" s="51"/>
      <c r="U8" s="156"/>
      <c r="V8" s="156"/>
      <c r="W8" s="113"/>
      <c r="X8" s="113"/>
    </row>
    <row r="9" spans="2:24" ht="15.6">
      <c r="C9" s="15"/>
      <c r="D9" s="167" t="s">
        <v>36</v>
      </c>
      <c r="E9" s="49"/>
      <c r="J9" s="15"/>
      <c r="K9" s="15"/>
      <c r="L9" s="15"/>
      <c r="M9" s="15"/>
      <c r="N9" s="43"/>
      <c r="O9" s="43"/>
      <c r="P9" s="15"/>
      <c r="Q9" s="15"/>
      <c r="R9" s="15"/>
      <c r="S9" s="17"/>
      <c r="T9" s="17"/>
      <c r="U9" s="15"/>
      <c r="V9" s="16"/>
    </row>
    <row r="10" spans="2:24">
      <c r="B10" s="113"/>
      <c r="C10" s="15"/>
      <c r="D10" s="40"/>
      <c r="E10" s="49"/>
      <c r="J10" s="56"/>
      <c r="K10" s="14"/>
      <c r="L10" s="14"/>
      <c r="M10" s="153"/>
      <c r="N10" s="163"/>
      <c r="O10" s="19"/>
      <c r="P10" s="15"/>
      <c r="Q10" s="15"/>
      <c r="R10" s="15"/>
      <c r="S10" s="54"/>
      <c r="T10" s="15"/>
      <c r="U10" s="156"/>
      <c r="V10" s="56"/>
      <c r="W10" s="11"/>
      <c r="X10" s="11"/>
    </row>
    <row r="11" spans="2:24">
      <c r="B11" s="113"/>
      <c r="J11" s="56"/>
      <c r="K11" s="14"/>
      <c r="L11" s="14"/>
      <c r="M11" s="153"/>
      <c r="N11" s="163"/>
      <c r="O11" s="19"/>
      <c r="P11" s="15"/>
      <c r="Q11" s="15"/>
      <c r="R11" s="15"/>
      <c r="S11" s="54"/>
      <c r="T11" s="15"/>
      <c r="U11" s="156"/>
      <c r="V11" s="56"/>
      <c r="W11" s="11"/>
      <c r="X11" s="11"/>
    </row>
    <row r="12" spans="2:24">
      <c r="B12" s="113"/>
      <c r="J12" s="56"/>
      <c r="K12" s="14"/>
      <c r="L12" s="14"/>
      <c r="M12" s="153"/>
      <c r="N12" s="163"/>
      <c r="O12" s="19"/>
      <c r="P12" s="15"/>
      <c r="Q12" s="15"/>
      <c r="R12" s="15"/>
      <c r="S12" s="54"/>
      <c r="T12" s="15"/>
      <c r="U12" s="156"/>
      <c r="V12" s="56"/>
      <c r="W12" s="11"/>
      <c r="X12" s="11"/>
    </row>
    <row r="13" spans="2:24">
      <c r="B13" s="113"/>
      <c r="J13" s="56"/>
      <c r="K13" s="14"/>
      <c r="L13" s="14"/>
      <c r="M13" s="153"/>
      <c r="N13" s="163"/>
      <c r="O13" s="19"/>
      <c r="P13" s="15"/>
      <c r="Q13" s="15"/>
      <c r="R13" s="15"/>
      <c r="S13" s="54"/>
      <c r="T13" s="15"/>
      <c r="U13" s="156"/>
      <c r="V13" s="56"/>
      <c r="W13" s="11"/>
      <c r="X13" s="11"/>
    </row>
    <row r="14" spans="2:24">
      <c r="B14" s="113"/>
      <c r="J14" s="56"/>
      <c r="K14" s="14"/>
      <c r="L14" s="14"/>
      <c r="M14" s="153"/>
      <c r="N14" s="163"/>
      <c r="O14" s="19"/>
      <c r="P14" s="15"/>
      <c r="Q14" s="15"/>
      <c r="R14" s="15"/>
      <c r="S14" s="54"/>
      <c r="T14" s="15"/>
      <c r="U14" s="156"/>
      <c r="V14" s="56"/>
      <c r="W14" s="11"/>
      <c r="X14" s="11"/>
    </row>
    <row r="15" spans="2:24">
      <c r="J15" s="15"/>
      <c r="K15" s="15"/>
      <c r="L15" s="15"/>
      <c r="M15" s="15"/>
      <c r="N15" s="43"/>
      <c r="O15" s="43"/>
      <c r="P15" s="15"/>
      <c r="Q15" s="15"/>
      <c r="R15" s="15"/>
      <c r="S15" s="15"/>
      <c r="T15" s="15"/>
      <c r="U15" s="15"/>
      <c r="V15" s="15"/>
    </row>
    <row r="16" spans="2:24">
      <c r="B16" s="113"/>
      <c r="J16" s="56"/>
      <c r="K16" s="14"/>
      <c r="L16" s="14"/>
      <c r="M16" s="153"/>
      <c r="N16" s="163"/>
      <c r="O16" s="19"/>
      <c r="P16" s="15"/>
      <c r="Q16" s="15"/>
      <c r="R16" s="15"/>
      <c r="S16" s="17"/>
      <c r="T16" s="15"/>
      <c r="U16" s="156"/>
      <c r="V16" s="56"/>
      <c r="W16" s="11"/>
      <c r="X16" s="11"/>
    </row>
    <row r="17" spans="2:29">
      <c r="B17" s="113"/>
      <c r="J17" s="56"/>
      <c r="K17" s="14"/>
      <c r="L17" s="14"/>
      <c r="M17" s="153"/>
      <c r="N17" s="163"/>
      <c r="O17" s="19"/>
      <c r="P17" s="15"/>
      <c r="Q17" s="15"/>
      <c r="R17" s="15"/>
      <c r="S17" s="17"/>
      <c r="T17" s="15"/>
      <c r="U17" s="156"/>
      <c r="V17" s="56"/>
      <c r="W17" s="11"/>
      <c r="X17" s="11"/>
    </row>
    <row r="18" spans="2:29">
      <c r="B18" s="113"/>
      <c r="J18" s="56"/>
      <c r="K18" s="14"/>
      <c r="L18" s="14"/>
      <c r="M18" s="153"/>
      <c r="N18" s="163"/>
      <c r="O18" s="19"/>
      <c r="P18" s="15"/>
      <c r="Q18" s="15"/>
      <c r="R18" s="15"/>
      <c r="S18" s="17"/>
      <c r="T18" s="15"/>
      <c r="U18" s="156"/>
      <c r="V18" s="56"/>
      <c r="W18" s="11"/>
      <c r="X18" s="11"/>
    </row>
    <row r="19" spans="2:29">
      <c r="B19" s="113"/>
      <c r="J19" s="56"/>
      <c r="K19" s="14"/>
      <c r="L19" s="14"/>
      <c r="M19" s="153"/>
      <c r="N19" s="163"/>
      <c r="O19" s="19"/>
      <c r="P19" s="15"/>
      <c r="Q19" s="15"/>
      <c r="R19" s="15"/>
      <c r="S19" s="17"/>
      <c r="T19" s="15"/>
      <c r="U19" s="156"/>
      <c r="V19" s="56"/>
      <c r="W19" s="11"/>
      <c r="X19" s="11"/>
    </row>
    <row r="20" spans="2:29">
      <c r="B20" s="113"/>
      <c r="E20" s="42"/>
      <c r="F20" s="115"/>
      <c r="J20" s="56"/>
      <c r="K20" s="14"/>
      <c r="L20" s="14"/>
      <c r="M20" s="153"/>
      <c r="N20" s="163"/>
      <c r="O20" s="19"/>
      <c r="P20" s="38"/>
      <c r="Q20" s="15"/>
      <c r="R20" s="38"/>
      <c r="S20" s="17"/>
      <c r="T20" s="15"/>
      <c r="U20" s="156"/>
      <c r="V20" s="56"/>
      <c r="W20" s="11"/>
      <c r="X20" s="11"/>
    </row>
    <row r="21" spans="2:29">
      <c r="C21" s="115"/>
      <c r="D21" s="115"/>
      <c r="E21" s="115"/>
      <c r="F21" s="115"/>
      <c r="J21" s="15"/>
      <c r="K21" s="15"/>
      <c r="L21" s="15"/>
      <c r="M21" s="15"/>
      <c r="N21" s="15"/>
      <c r="O21" s="10"/>
      <c r="P21" s="10"/>
      <c r="Q21" s="10"/>
      <c r="R21" s="10"/>
      <c r="S21" s="15"/>
      <c r="T21" s="10"/>
      <c r="U21" s="15"/>
      <c r="V21" s="10"/>
    </row>
    <row r="22" spans="2:29">
      <c r="B22" s="55"/>
      <c r="C22" s="37"/>
      <c r="D22" s="165"/>
      <c r="E22" s="10"/>
      <c r="F22" s="10"/>
      <c r="G22" s="54"/>
      <c r="H22" s="51"/>
      <c r="I22" s="152"/>
      <c r="J22" s="152"/>
      <c r="K22" s="15"/>
      <c r="L22" s="15"/>
      <c r="M22" s="15"/>
      <c r="N22" s="152"/>
      <c r="O22" s="10"/>
      <c r="P22" s="10"/>
      <c r="Q22" s="39"/>
      <c r="R22" s="10"/>
      <c r="S22" s="15"/>
      <c r="T22" s="10"/>
      <c r="U22" s="15"/>
      <c r="V22" s="10"/>
      <c r="Z22" s="115"/>
      <c r="AA22" s="115"/>
      <c r="AB22" s="115"/>
      <c r="AC22" s="115"/>
    </row>
    <row r="23" spans="2:29">
      <c r="B23" s="55"/>
      <c r="C23" s="37"/>
      <c r="D23" s="165"/>
      <c r="E23" s="154"/>
      <c r="F23" s="10"/>
      <c r="G23" s="54"/>
      <c r="H23" s="51"/>
      <c r="I23" s="152"/>
      <c r="J23" s="154"/>
      <c r="K23" s="15"/>
      <c r="L23" s="15"/>
      <c r="M23" s="15"/>
      <c r="N23" s="154"/>
      <c r="O23" s="10"/>
      <c r="P23" s="10"/>
      <c r="Q23" s="39"/>
      <c r="R23" s="10"/>
      <c r="S23" s="15"/>
      <c r="T23" s="10"/>
      <c r="U23" s="15"/>
      <c r="V23" s="10"/>
      <c r="Z23" s="115"/>
      <c r="AA23" s="115"/>
      <c r="AB23" s="115"/>
      <c r="AC23" s="115"/>
    </row>
    <row r="24" spans="2:29">
      <c r="B24" s="55"/>
      <c r="C24" s="37"/>
      <c r="D24" s="165"/>
      <c r="E24" s="154"/>
      <c r="F24" s="10"/>
      <c r="G24" s="54"/>
      <c r="H24" s="51"/>
      <c r="I24" s="152"/>
      <c r="J24" s="154"/>
      <c r="K24" s="15"/>
      <c r="L24" s="15"/>
      <c r="M24" s="15"/>
      <c r="N24" s="154"/>
      <c r="O24" s="10"/>
      <c r="P24" s="10"/>
      <c r="Q24" s="43"/>
      <c r="R24" s="10"/>
      <c r="S24" s="15"/>
      <c r="T24" s="10"/>
      <c r="U24" s="15"/>
      <c r="V24" s="10"/>
      <c r="Z24" s="115"/>
      <c r="AA24" s="115"/>
      <c r="AB24" s="115"/>
      <c r="AC24" s="115"/>
    </row>
    <row r="25" spans="2:29">
      <c r="B25" s="15"/>
      <c r="C25" s="37"/>
      <c r="D25" s="165"/>
      <c r="E25" s="154"/>
      <c r="F25" s="10"/>
      <c r="G25" s="54"/>
      <c r="H25" s="51"/>
      <c r="I25" s="152"/>
      <c r="J25" s="152"/>
      <c r="K25" s="15"/>
      <c r="L25" s="15"/>
      <c r="M25" s="15"/>
      <c r="N25" s="152"/>
      <c r="O25" s="10"/>
      <c r="P25" s="10"/>
      <c r="Q25" s="164"/>
      <c r="R25" s="10"/>
      <c r="S25" s="15"/>
      <c r="T25" s="10"/>
      <c r="U25" s="15"/>
      <c r="V25" s="10"/>
      <c r="Z25" s="115"/>
      <c r="AA25" s="115"/>
      <c r="AB25" s="115"/>
      <c r="AC25" s="115"/>
    </row>
    <row r="26" spans="2:29">
      <c r="B26" s="15"/>
      <c r="C26" s="37"/>
      <c r="D26" s="165"/>
      <c r="E26" s="154"/>
      <c r="F26" s="10"/>
      <c r="G26" s="50"/>
      <c r="H26" s="51"/>
      <c r="I26" s="166"/>
      <c r="J26" s="152"/>
      <c r="K26" s="15"/>
      <c r="L26" s="15"/>
      <c r="M26" s="15"/>
      <c r="N26" s="152"/>
      <c r="O26" s="10"/>
      <c r="P26" s="10"/>
      <c r="Q26" s="43"/>
      <c r="R26" s="10"/>
      <c r="S26" s="15"/>
      <c r="T26" s="10"/>
      <c r="U26" s="15"/>
      <c r="V26" s="10"/>
      <c r="Z26" s="115"/>
      <c r="AA26" s="115"/>
      <c r="AB26" s="115"/>
      <c r="AC26" s="115"/>
    </row>
    <row r="27" spans="2:29">
      <c r="E27" s="115"/>
      <c r="F27" s="115"/>
      <c r="G27" s="115"/>
      <c r="H27" s="39"/>
      <c r="J27" s="10"/>
      <c r="K27" s="10"/>
      <c r="L27" s="15"/>
      <c r="M27" s="15"/>
      <c r="N27" s="15"/>
      <c r="O27" s="15"/>
      <c r="P27" s="36"/>
      <c r="Q27" s="36"/>
      <c r="R27" s="44"/>
      <c r="S27" s="45"/>
      <c r="T27" s="15"/>
      <c r="U27" s="15"/>
      <c r="X27" s="15"/>
    </row>
    <row r="28" spans="2:29">
      <c r="I28" s="15"/>
      <c r="L28" s="15"/>
      <c r="M28" s="15"/>
      <c r="O28" s="15"/>
      <c r="P28" s="15"/>
      <c r="Q28" s="15"/>
      <c r="R28" s="44"/>
      <c r="S28" s="46"/>
      <c r="T28" s="15"/>
      <c r="U28" s="15"/>
      <c r="X28" s="15"/>
    </row>
    <row r="29" spans="2:29">
      <c r="C29" s="34" t="s">
        <v>212</v>
      </c>
      <c r="D29" s="33"/>
      <c r="E29" s="34" t="s">
        <v>15</v>
      </c>
      <c r="F29" s="33"/>
      <c r="G29" s="32" t="s">
        <v>21</v>
      </c>
      <c r="H29" s="33"/>
      <c r="I29" s="33" t="s">
        <v>214</v>
      </c>
      <c r="J29" s="33"/>
      <c r="K29" s="33"/>
      <c r="M29" s="47"/>
      <c r="O29" s="15"/>
      <c r="P29" s="15"/>
      <c r="Q29" s="47"/>
      <c r="R29" s="44"/>
      <c r="S29" s="10"/>
      <c r="T29" s="48"/>
      <c r="U29" s="44"/>
      <c r="X29" s="48"/>
    </row>
    <row r="30" spans="2:29">
      <c r="C30" s="18">
        <v>0.08</v>
      </c>
      <c r="E30" s="114">
        <v>3.4540000000000002</v>
      </c>
      <c r="G30" s="50">
        <f>10^E30</f>
        <v>2844.4611074479185</v>
      </c>
      <c r="H30" s="15"/>
      <c r="I30" s="39">
        <f t="shared" ref="I30:I37" si="0">$D$4/$G30</f>
        <v>2.1601560956173151</v>
      </c>
      <c r="J30" s="15"/>
      <c r="K30" s="15"/>
      <c r="L30" s="13"/>
      <c r="M30" s="7"/>
      <c r="O30" s="16"/>
      <c r="P30" s="19"/>
      <c r="Q30" s="16"/>
      <c r="R30" s="15"/>
      <c r="S30" s="15"/>
      <c r="T30" s="15"/>
      <c r="U30" s="43"/>
      <c r="X30" s="46"/>
    </row>
    <row r="31" spans="2:29">
      <c r="C31" s="18">
        <v>0.09</v>
      </c>
      <c r="E31" s="115">
        <v>3.403</v>
      </c>
      <c r="F31" s="115"/>
      <c r="G31" s="50">
        <f t="shared" ref="G31:G37" si="1">10^E31</f>
        <v>2529.2979964461465</v>
      </c>
      <c r="H31" s="15"/>
      <c r="I31" s="39">
        <f t="shared" si="0"/>
        <v>2.4293222896762088</v>
      </c>
      <c r="J31" s="15"/>
      <c r="K31" s="15"/>
      <c r="L31" s="13"/>
      <c r="M31" s="7"/>
      <c r="O31" s="16"/>
      <c r="P31" s="19"/>
      <c r="Q31" s="16"/>
      <c r="R31" s="15"/>
      <c r="S31" s="15"/>
      <c r="T31" s="15"/>
      <c r="U31" s="43"/>
      <c r="X31" s="45"/>
    </row>
    <row r="32" spans="2:29">
      <c r="C32" s="18">
        <v>0.1</v>
      </c>
      <c r="E32" s="115">
        <v>3.3570000000000002</v>
      </c>
      <c r="F32" s="115"/>
      <c r="G32" s="50">
        <f t="shared" si="1"/>
        <v>2275.0974307720735</v>
      </c>
      <c r="H32" s="15"/>
      <c r="I32" s="39">
        <f t="shared" si="0"/>
        <v>2.7007546652254004</v>
      </c>
      <c r="J32" s="15"/>
      <c r="K32" s="15"/>
      <c r="L32" s="8"/>
      <c r="M32" s="7"/>
      <c r="O32" s="16"/>
      <c r="P32" s="19"/>
      <c r="Q32" s="16"/>
      <c r="R32" s="15"/>
      <c r="S32" s="15"/>
      <c r="T32" s="15"/>
      <c r="U32" s="43"/>
      <c r="V32" s="45"/>
    </row>
    <row r="33" spans="1:27">
      <c r="C33" s="18">
        <v>0.11</v>
      </c>
      <c r="E33" s="115">
        <v>3.3159999999999998</v>
      </c>
      <c r="F33" s="115"/>
      <c r="G33" s="50">
        <f t="shared" si="1"/>
        <v>2070.1413487910422</v>
      </c>
      <c r="H33" s="15"/>
      <c r="I33" s="39">
        <f t="shared" si="0"/>
        <v>2.9681451479573422</v>
      </c>
      <c r="J33" s="15"/>
      <c r="K33" s="15"/>
      <c r="L33" s="8"/>
      <c r="M33" s="7"/>
      <c r="O33" s="16"/>
      <c r="P33" s="19"/>
      <c r="Q33" s="16"/>
      <c r="R33" s="15"/>
      <c r="S33" s="15"/>
      <c r="T33" s="15"/>
      <c r="U33" s="43"/>
      <c r="V33" s="46"/>
    </row>
    <row r="34" spans="1:27">
      <c r="C34" s="18">
        <v>0.12</v>
      </c>
      <c r="E34" s="115">
        <v>3.278</v>
      </c>
      <c r="F34" s="115"/>
      <c r="G34" s="50">
        <f t="shared" si="1"/>
        <v>1896.7059212111483</v>
      </c>
      <c r="H34" s="15"/>
      <c r="I34" s="39">
        <f t="shared" si="0"/>
        <v>3.2395533389153024</v>
      </c>
      <c r="J34" s="15"/>
      <c r="K34" s="15"/>
      <c r="M34" s="7"/>
      <c r="O34" s="16"/>
      <c r="P34" s="19"/>
      <c r="Q34" s="16"/>
      <c r="R34" s="10"/>
      <c r="S34" s="15"/>
      <c r="T34" s="10"/>
      <c r="U34" s="10"/>
      <c r="V34" s="10"/>
    </row>
    <row r="35" spans="1:27">
      <c r="C35" s="18">
        <v>0.13</v>
      </c>
      <c r="E35" s="115">
        <v>3.2429999999999999</v>
      </c>
      <c r="F35" s="115"/>
      <c r="G35" s="50">
        <f t="shared" si="1"/>
        <v>1749.8466886246579</v>
      </c>
      <c r="H35" s="15"/>
      <c r="I35" s="39">
        <f t="shared" si="0"/>
        <v>3.5114390534575515</v>
      </c>
      <c r="J35" s="15"/>
      <c r="K35" s="15"/>
      <c r="L35" s="47"/>
      <c r="M35" s="10"/>
      <c r="O35" s="10"/>
      <c r="P35" s="44"/>
      <c r="Q35" s="10"/>
      <c r="R35" s="44"/>
      <c r="S35" s="10"/>
      <c r="T35" s="48"/>
      <c r="U35" s="44"/>
      <c r="V35" s="48"/>
    </row>
    <row r="36" spans="1:27">
      <c r="C36" s="18">
        <v>0.14000000000000001</v>
      </c>
      <c r="E36" s="115">
        <v>3.2109999999999999</v>
      </c>
      <c r="F36" s="115"/>
      <c r="G36" s="50">
        <f t="shared" si="1"/>
        <v>1625.5487557504844</v>
      </c>
      <c r="H36" s="15"/>
      <c r="I36" s="39">
        <f t="shared" si="0"/>
        <v>3.7799419908283292</v>
      </c>
      <c r="J36" s="15"/>
      <c r="K36" s="15"/>
      <c r="L36" s="15"/>
      <c r="M36" s="10"/>
      <c r="O36" s="15"/>
      <c r="P36" s="15"/>
      <c r="Q36" s="15"/>
      <c r="R36" s="15"/>
      <c r="S36" s="15"/>
      <c r="T36" s="15"/>
      <c r="U36" s="43"/>
      <c r="V36" s="46"/>
      <c r="AA36" s="114" t="s">
        <v>253</v>
      </c>
    </row>
    <row r="37" spans="1:27">
      <c r="C37" s="20">
        <v>0.14549999999999999</v>
      </c>
      <c r="E37" s="114">
        <v>3.194</v>
      </c>
      <c r="F37" s="114">
        <v>2.4E-2</v>
      </c>
      <c r="G37" s="17">
        <f t="shared" si="1"/>
        <v>1563.1476426409552</v>
      </c>
      <c r="H37" s="51">
        <f>G37*LN(10)*F37</f>
        <v>86.382731042252345</v>
      </c>
      <c r="I37" s="14">
        <f t="shared" si="0"/>
        <v>3.9308379019264188</v>
      </c>
      <c r="J37" s="38">
        <f>I37*SQRT((H37/G37)^2+($E$4/$D$4)^2)</f>
        <v>0.21723902594899189</v>
      </c>
      <c r="K37" s="38"/>
      <c r="L37" s="15">
        <v>2.9969999999999999</v>
      </c>
      <c r="M37" s="7">
        <f>(I$37-L37)/$D$6^2</f>
        <v>0.57390826031905084</v>
      </c>
      <c r="O37" s="15"/>
      <c r="P37" s="15"/>
      <c r="Q37" s="15"/>
      <c r="R37" s="15"/>
      <c r="S37" s="15"/>
      <c r="T37" s="15"/>
      <c r="U37" s="43"/>
      <c r="V37" s="46"/>
    </row>
    <row r="38" spans="1:27">
      <c r="N38" s="15"/>
      <c r="O38" s="15"/>
      <c r="P38" s="15"/>
      <c r="Q38" s="47"/>
      <c r="R38" s="15"/>
      <c r="S38" s="15"/>
      <c r="T38" s="15"/>
      <c r="U38" s="43"/>
      <c r="V38" s="45"/>
    </row>
    <row r="39" spans="1:27">
      <c r="O39" s="16"/>
      <c r="P39" s="16"/>
      <c r="Q39" s="16"/>
      <c r="R39" s="15"/>
      <c r="S39" s="15"/>
      <c r="T39" s="15"/>
      <c r="U39" s="43"/>
      <c r="V39" s="45"/>
    </row>
    <row r="40" spans="1:27">
      <c r="O40" s="16"/>
      <c r="P40" s="16"/>
      <c r="Q40" s="16"/>
      <c r="R40" s="15"/>
      <c r="S40" s="15"/>
      <c r="T40" s="15"/>
      <c r="U40" s="43"/>
      <c r="V40" s="46"/>
    </row>
    <row r="41" spans="1:27">
      <c r="B41" s="116" t="s">
        <v>182</v>
      </c>
      <c r="C41" s="117">
        <v>4599</v>
      </c>
      <c r="D41" s="122"/>
      <c r="E41" s="9">
        <v>3.49</v>
      </c>
      <c r="F41" s="121">
        <v>0.11</v>
      </c>
      <c r="G41" s="119">
        <f>10^E41</f>
        <v>3090.295432513592</v>
      </c>
      <c r="H41" s="120">
        <f>G41*LN(10)*F41</f>
        <v>782.72350154387232</v>
      </c>
      <c r="I41" s="123">
        <f>$D$4/$G41</f>
        <v>1.9883147531309611</v>
      </c>
      <c r="J41" s="124">
        <f>I41*SQRT((H41/G41)^2+($E$4/$D$4)^2)</f>
        <v>0.50361045342523991</v>
      </c>
      <c r="K41" s="121"/>
      <c r="L41" s="13">
        <v>3</v>
      </c>
      <c r="M41" s="7">
        <f>(I41-L41)/$D$6^2</f>
        <v>-0.62175086149674041</v>
      </c>
      <c r="O41" s="16"/>
      <c r="P41" s="16"/>
      <c r="Q41" s="16"/>
      <c r="R41" s="31"/>
      <c r="S41" s="15"/>
      <c r="T41" s="37"/>
      <c r="U41" s="10"/>
      <c r="V41" s="10"/>
    </row>
    <row r="42" spans="1:27">
      <c r="B42" s="116" t="s">
        <v>183</v>
      </c>
      <c r="C42" s="117">
        <v>4579</v>
      </c>
      <c r="D42" s="118"/>
      <c r="E42" s="121">
        <v>3.9</v>
      </c>
      <c r="F42" s="9">
        <v>0.1</v>
      </c>
      <c r="G42" s="119">
        <f>10^E42</f>
        <v>7943.2823472428154</v>
      </c>
      <c r="H42" s="120">
        <f>G42*LN(10)*F42</f>
        <v>1829.0083522204063</v>
      </c>
      <c r="I42" s="123">
        <f>$D$4/$G42</f>
        <v>0.77354420142610236</v>
      </c>
      <c r="J42" s="124">
        <f>I42*SQRT((H42/G42)^2+($E$4/$D$4)^2)</f>
        <v>0.17811574377413278</v>
      </c>
      <c r="K42" s="121"/>
      <c r="L42" s="13">
        <v>3</v>
      </c>
      <c r="M42" s="7">
        <f>(I42-L42)/$D$6^2</f>
        <v>-1.3683117502522302</v>
      </c>
      <c r="O42" s="16"/>
      <c r="P42" s="16"/>
      <c r="Q42" s="16"/>
      <c r="R42" s="44"/>
      <c r="S42" s="10"/>
      <c r="T42" s="48"/>
      <c r="U42" s="44"/>
      <c r="V42" s="48"/>
    </row>
    <row r="43" spans="1:27">
      <c r="B43" s="79" t="s">
        <v>182</v>
      </c>
      <c r="C43" s="125">
        <v>7803</v>
      </c>
      <c r="D43" s="126"/>
      <c r="E43" s="127">
        <v>3.31</v>
      </c>
      <c r="F43" s="128">
        <v>0.03</v>
      </c>
      <c r="G43" s="129">
        <f>10^E43</f>
        <v>2041.7379446695318</v>
      </c>
      <c r="H43" s="130">
        <f>G43*LN(10)*F43</f>
        <v>141.03826065589098</v>
      </c>
      <c r="I43" s="141">
        <f>$D$4/$G43</f>
        <v>3.0094361600330264</v>
      </c>
      <c r="J43" s="131">
        <f>I43*SQRT((H43/G43)^2+($E$4/$D$4)^2)</f>
        <v>0.20789238368502166</v>
      </c>
      <c r="K43" s="127"/>
      <c r="L43" s="13"/>
      <c r="M43" s="7"/>
      <c r="O43" s="16"/>
      <c r="P43" s="16"/>
      <c r="Q43" s="16"/>
      <c r="R43" s="15"/>
      <c r="S43" s="15"/>
      <c r="T43" s="15"/>
      <c r="U43" s="43"/>
      <c r="V43" s="46"/>
    </row>
    <row r="44" spans="1:27">
      <c r="B44" s="79" t="s">
        <v>184</v>
      </c>
      <c r="C44" s="125">
        <v>7787</v>
      </c>
      <c r="D44" s="126"/>
      <c r="E44" s="127">
        <v>3.76</v>
      </c>
      <c r="F44" s="128">
        <v>0.02</v>
      </c>
      <c r="G44" s="129">
        <f t="shared" ref="G44" si="2">10^E44</f>
        <v>5754.399373371567</v>
      </c>
      <c r="H44" s="130">
        <f t="shared" ref="H44" si="3">G44*LN(10)*F44</f>
        <v>264.99988432519297</v>
      </c>
      <c r="I44" s="141">
        <f>$D$4/$G44</f>
        <v>1.0677882436233965</v>
      </c>
      <c r="J44" s="127">
        <f>I44*SQRT((H44/G44)^2+($E$4/$D$4)^2)</f>
        <v>4.9177669470840527E-2</v>
      </c>
      <c r="K44" s="127"/>
      <c r="L44" s="13"/>
      <c r="M44" s="7"/>
      <c r="O44" s="16"/>
      <c r="P44" s="16"/>
      <c r="Q44" s="16"/>
      <c r="R44" s="15"/>
      <c r="S44" s="15"/>
      <c r="T44" s="15"/>
      <c r="U44" s="43"/>
      <c r="V44" s="46"/>
    </row>
    <row r="45" spans="1:27" s="15" customFormat="1">
      <c r="C45" s="224"/>
      <c r="D45" s="28"/>
      <c r="E45" s="38"/>
      <c r="F45" s="10"/>
      <c r="G45" s="50"/>
      <c r="H45" s="51"/>
      <c r="I45" s="39"/>
      <c r="J45" s="38"/>
      <c r="K45" s="38"/>
      <c r="L45" s="38"/>
      <c r="M45" s="19"/>
      <c r="O45" s="16"/>
      <c r="P45" s="16"/>
      <c r="Q45" s="16"/>
      <c r="U45" s="43"/>
      <c r="V45" s="46"/>
    </row>
    <row r="46" spans="1:27" s="149" customFormat="1">
      <c r="A46" s="62" t="s">
        <v>181</v>
      </c>
      <c r="B46" s="62" t="s">
        <v>179</v>
      </c>
      <c r="C46" s="62" t="s">
        <v>256</v>
      </c>
      <c r="D46" s="62"/>
      <c r="E46" s="62"/>
      <c r="F46" s="62"/>
      <c r="G46" s="62"/>
      <c r="H46" s="62"/>
      <c r="I46" s="62"/>
      <c r="J46" s="62"/>
      <c r="K46" s="62"/>
      <c r="L46" s="168"/>
      <c r="M46" s="169"/>
      <c r="O46" s="16"/>
      <c r="P46" s="16"/>
      <c r="Q46" s="16"/>
      <c r="R46" s="15"/>
      <c r="S46" s="15"/>
      <c r="T46" s="15"/>
      <c r="U46" s="43"/>
      <c r="V46" s="46"/>
    </row>
    <row r="47" spans="1:27" s="149" customFormat="1">
      <c r="A47" s="62" t="s">
        <v>226</v>
      </c>
      <c r="B47" s="62" t="s">
        <v>215</v>
      </c>
      <c r="C47" s="62" t="s">
        <v>218</v>
      </c>
      <c r="D47" s="62" t="s">
        <v>219</v>
      </c>
      <c r="E47" s="170" t="s">
        <v>220</v>
      </c>
      <c r="F47" s="170" t="s">
        <v>223</v>
      </c>
      <c r="G47" s="170" t="s">
        <v>221</v>
      </c>
      <c r="H47" s="62" t="s">
        <v>222</v>
      </c>
      <c r="I47" s="62" t="s">
        <v>213</v>
      </c>
      <c r="J47" s="62" t="s">
        <v>224</v>
      </c>
      <c r="K47" s="62"/>
      <c r="L47" s="62" t="s">
        <v>34</v>
      </c>
      <c r="M47" s="171" t="s">
        <v>33</v>
      </c>
      <c r="O47" s="16"/>
      <c r="P47" s="16"/>
      <c r="Q47" s="16"/>
      <c r="R47" s="15"/>
      <c r="S47" s="15"/>
      <c r="T47" s="15"/>
      <c r="U47" s="43"/>
      <c r="V47" s="46"/>
    </row>
    <row r="48" spans="1:27" s="149" customFormat="1">
      <c r="A48" s="62" t="s">
        <v>225</v>
      </c>
      <c r="B48" s="172" t="s">
        <v>217</v>
      </c>
      <c r="C48" s="182">
        <v>6390.2</v>
      </c>
      <c r="D48" s="182">
        <v>0.7</v>
      </c>
      <c r="E48" s="183">
        <v>4.1120000000000001</v>
      </c>
      <c r="F48" s="184">
        <v>3.3000000000000002E-2</v>
      </c>
      <c r="G48" s="174">
        <f>10^E48</f>
        <v>12941.958414499875</v>
      </c>
      <c r="H48" s="175">
        <f>G48*LN(10)*F48</f>
        <v>983.39869713941698</v>
      </c>
      <c r="I48" s="176">
        <f>$D$4/$G48</f>
        <v>0.47477204015088353</v>
      </c>
      <c r="J48" s="168">
        <f>I48*SQRT((H48/G48)^2+($E$4/$D$4)^2)</f>
        <v>3.6076832529746056E-2</v>
      </c>
      <c r="K48" s="173"/>
      <c r="L48" s="185">
        <v>3</v>
      </c>
      <c r="M48" s="169">
        <f>(I48-L48)/$D$6^2</f>
        <v>-1.5519279977353337</v>
      </c>
      <c r="O48" s="147" t="s">
        <v>210</v>
      </c>
      <c r="P48" s="75">
        <v>3.28</v>
      </c>
      <c r="Q48" s="75">
        <v>0.05</v>
      </c>
      <c r="R48" s="2">
        <f>10^P48</f>
        <v>1905.4607179632485</v>
      </c>
      <c r="S48" s="51">
        <f>R48*LN(10)*Q48</f>
        <v>219.37427222339539</v>
      </c>
      <c r="T48" s="76">
        <f>$D$4/$R48</f>
        <v>3.2246689433555202</v>
      </c>
      <c r="U48" s="146">
        <f>T48*SQRT((S48/R48)^2+($E$4/$D$4)^2)</f>
        <v>0.37125881002191863</v>
      </c>
      <c r="V48" s="147"/>
      <c r="W48" s="147"/>
      <c r="X48" s="147"/>
    </row>
    <row r="49" spans="1:24" s="149" customFormat="1">
      <c r="A49" s="62" t="s">
        <v>225</v>
      </c>
      <c r="B49" s="172" t="s">
        <v>216</v>
      </c>
      <c r="C49" s="223">
        <v>6279</v>
      </c>
      <c r="D49" s="182">
        <v>0.6</v>
      </c>
      <c r="E49" s="184">
        <v>3.42</v>
      </c>
      <c r="F49" s="185">
        <v>0.03</v>
      </c>
      <c r="G49" s="174">
        <f>10^E49</f>
        <v>2630.2679918953822</v>
      </c>
      <c r="H49" s="175">
        <f>G49*LN(10)*F49</f>
        <v>181.69247606153073</v>
      </c>
      <c r="I49" s="176">
        <f>$D$4/$G49</f>
        <v>2.3360661419037614</v>
      </c>
      <c r="J49" s="168">
        <f>I49*SQRT((H49/G49)^2+($E$4/$D$4)^2)</f>
        <v>0.16137586340456392</v>
      </c>
      <c r="K49" s="168"/>
      <c r="L49" s="185">
        <v>3</v>
      </c>
      <c r="M49" s="169">
        <f>(I49-L49)/$D$6^2</f>
        <v>-0.40803347634625287</v>
      </c>
      <c r="O49" s="147"/>
      <c r="P49" s="75">
        <v>3.69</v>
      </c>
      <c r="Q49" s="75">
        <v>0.1</v>
      </c>
      <c r="R49" s="2">
        <f>10^P49</f>
        <v>4897.7881936844633</v>
      </c>
      <c r="S49" s="51">
        <f>R49*LN(10)*Q49</f>
        <v>1127.7574083420081</v>
      </c>
      <c r="T49" s="76">
        <f>$D$4/$R49</f>
        <v>1.2545417966263026</v>
      </c>
      <c r="U49" s="146">
        <f>T49*SQRT((S49/R49)^2+($E$4/$D$4)^2)</f>
        <v>0.28886991175148446</v>
      </c>
      <c r="V49" s="147"/>
      <c r="W49" s="13">
        <v>0.8</v>
      </c>
      <c r="X49" s="7">
        <f>(T$51-W49)/$D$6^2</f>
        <v>0.27934750903337374</v>
      </c>
    </row>
    <row r="50" spans="1:24" s="149" customFormat="1">
      <c r="A50" s="62"/>
      <c r="B50" s="172"/>
      <c r="C50" s="177"/>
      <c r="D50" s="177"/>
      <c r="E50" s="170"/>
      <c r="F50" s="168"/>
      <c r="G50" s="174"/>
      <c r="H50" s="175"/>
      <c r="I50" s="176"/>
      <c r="J50" s="168"/>
      <c r="K50" s="168"/>
      <c r="L50" s="168"/>
      <c r="M50" s="169"/>
      <c r="O50" s="114" t="s">
        <v>210</v>
      </c>
      <c r="P50" s="75">
        <v>3.37</v>
      </c>
      <c r="Q50" s="75">
        <v>0.1</v>
      </c>
      <c r="R50" s="2">
        <f>10^P50</f>
        <v>2344.2288153199238</v>
      </c>
      <c r="S50" s="51">
        <f>R50*LN(10)*Q50</f>
        <v>539.77863247227492</v>
      </c>
      <c r="T50" s="76">
        <f>$D$4/$R50</f>
        <v>2.6211093216860082</v>
      </c>
      <c r="U50" s="146">
        <f>T50*SQRT((S50/R50)^2+($E$4/$D$4)^2)</f>
        <v>0.60353478894252399</v>
      </c>
      <c r="V50" s="114"/>
      <c r="W50" s="114"/>
      <c r="X50" s="114"/>
    </row>
    <row r="51" spans="1:24" s="149" customFormat="1">
      <c r="A51" s="62"/>
      <c r="B51" s="62"/>
      <c r="C51" s="169" t="s">
        <v>14</v>
      </c>
      <c r="D51" s="62"/>
      <c r="E51" s="62" t="s">
        <v>32</v>
      </c>
      <c r="F51" s="62" t="s">
        <v>231</v>
      </c>
      <c r="G51" s="62" t="s">
        <v>229</v>
      </c>
      <c r="H51" s="62" t="s">
        <v>230</v>
      </c>
      <c r="I51" s="62" t="s">
        <v>39</v>
      </c>
      <c r="J51" s="62"/>
      <c r="K51" s="62"/>
      <c r="L51" s="62"/>
      <c r="M51" s="62"/>
      <c r="O51" s="114"/>
      <c r="P51" s="75">
        <v>3.69</v>
      </c>
      <c r="Q51" s="75">
        <v>0.09</v>
      </c>
      <c r="R51" s="2">
        <f>10^P51</f>
        <v>4897.7881936844633</v>
      </c>
      <c r="S51" s="51">
        <f>R51*LN(10)*Q51</f>
        <v>1014.9816675078072</v>
      </c>
      <c r="T51" s="76">
        <f>$D$4/$R51</f>
        <v>1.2545417966263026</v>
      </c>
      <c r="U51" s="146">
        <f>T51*SQRT((S51/R51)^2+($E$4/$D$4)^2)</f>
        <v>0.25998312911282673</v>
      </c>
      <c r="V51" s="114"/>
      <c r="W51" s="13">
        <v>0.8</v>
      </c>
      <c r="X51" s="7">
        <f>(T$51-W51)/$D$6^2</f>
        <v>0.27934750903337374</v>
      </c>
    </row>
    <row r="52" spans="1:24" s="149" customFormat="1">
      <c r="A52" s="62" t="s">
        <v>268</v>
      </c>
      <c r="B52" s="62" t="s">
        <v>27</v>
      </c>
      <c r="C52" s="177">
        <f>IF(I48&gt;I49,C48,C49)</f>
        <v>6279</v>
      </c>
      <c r="D52" s="177">
        <f>IF(I48&gt;I49,D48,D49)</f>
        <v>0.6</v>
      </c>
      <c r="E52" s="182">
        <v>2.4</v>
      </c>
      <c r="F52" s="182">
        <v>0.1</v>
      </c>
      <c r="G52" s="62">
        <v>0</v>
      </c>
      <c r="H52" s="62">
        <v>0</v>
      </c>
      <c r="I52" s="178">
        <f>IF(C52&gt;C53,C52-C61,C52+C61)</f>
        <v>6297.5333333333328</v>
      </c>
      <c r="J52" s="177">
        <f>SQRT(D52^2+D61^2)</f>
        <v>2.6403194627865121</v>
      </c>
      <c r="K52" s="62" t="s">
        <v>185</v>
      </c>
      <c r="L52" s="170" t="s">
        <v>227</v>
      </c>
      <c r="M52" s="62"/>
      <c r="O52" s="16"/>
      <c r="P52" s="16"/>
      <c r="Q52" s="16"/>
      <c r="R52" s="15"/>
      <c r="S52" s="15"/>
      <c r="T52" s="15"/>
      <c r="U52" s="43"/>
      <c r="V52" s="46"/>
    </row>
    <row r="53" spans="1:24" s="149" customFormat="1">
      <c r="A53" s="62"/>
      <c r="B53" s="62" t="s">
        <v>28</v>
      </c>
      <c r="C53" s="177">
        <f>IF(I48&lt;I49,C48,C49)</f>
        <v>6390.2</v>
      </c>
      <c r="D53" s="177">
        <f>IF(I48&lt;I49,D48,D49)</f>
        <v>0.7</v>
      </c>
      <c r="E53" s="182">
        <v>0.48</v>
      </c>
      <c r="F53" s="182">
        <v>0.03</v>
      </c>
      <c r="G53" s="62">
        <v>0</v>
      </c>
      <c r="H53" s="62">
        <v>0</v>
      </c>
      <c r="I53" s="178">
        <f>IF(C53&gt;C52,C53-C61,C53+C61)</f>
        <v>6371.666666666667</v>
      </c>
      <c r="J53" s="177">
        <f>SQRT(D53^2+D61^2)</f>
        <v>2.664823983975162</v>
      </c>
      <c r="K53" s="62" t="s">
        <v>186</v>
      </c>
      <c r="L53" s="62"/>
      <c r="M53" s="62"/>
      <c r="O53" s="16"/>
      <c r="P53" s="16"/>
      <c r="Q53" s="16"/>
      <c r="R53" s="15"/>
      <c r="S53" s="15"/>
      <c r="T53" s="15"/>
      <c r="U53" s="43"/>
      <c r="V53" s="46"/>
    </row>
    <row r="54" spans="1:24" s="149" customFormat="1">
      <c r="A54" s="62"/>
      <c r="B54" s="62" t="s">
        <v>243</v>
      </c>
      <c r="C54" s="232">
        <f>ABS(C53-C52)</f>
        <v>111.19999999999982</v>
      </c>
      <c r="D54" s="177">
        <f>SQRT(D52^2+D53^2)</f>
        <v>0.92195444572928864</v>
      </c>
      <c r="E54" s="62"/>
      <c r="F54" s="62"/>
      <c r="G54" s="62" t="s">
        <v>0</v>
      </c>
      <c r="H54" s="177">
        <f>ABS(C53-C52)</f>
        <v>111.19999999999982</v>
      </c>
      <c r="I54" s="177">
        <f>SQRT(D52^2+D53^2)</f>
        <v>0.92195444572928864</v>
      </c>
      <c r="J54" s="62"/>
      <c r="K54" s="62"/>
      <c r="L54" s="62" t="s">
        <v>194</v>
      </c>
      <c r="M54" s="62"/>
      <c r="O54" s="16"/>
      <c r="P54" s="16"/>
      <c r="Q54" s="16"/>
      <c r="R54" s="15"/>
      <c r="S54" s="15"/>
      <c r="T54" s="15"/>
      <c r="U54" s="43"/>
      <c r="V54" s="46"/>
    </row>
    <row r="55" spans="1:24" s="149" customFormat="1">
      <c r="A55" s="62"/>
      <c r="B55" s="62" t="s">
        <v>244</v>
      </c>
      <c r="C55" s="179">
        <f>SQRT((E53)/(E52))</f>
        <v>0.44721359549995793</v>
      </c>
      <c r="D55" s="179">
        <f>C55*SQRT((F53/E53/2)^2+(F52/E52/2)^2)</f>
        <v>1.6796370308955311E-2</v>
      </c>
      <c r="E55" s="62"/>
      <c r="F55" s="62"/>
      <c r="G55" s="62" t="s">
        <v>29</v>
      </c>
      <c r="H55" s="179">
        <f>SQRT(E53/E52)</f>
        <v>0.44721359549995793</v>
      </c>
      <c r="I55" s="179">
        <f>H55*SQRT((F53/E53/2)^2+(F52/E52/2)^2)</f>
        <v>1.6796370308955311E-2</v>
      </c>
      <c r="J55" s="62"/>
      <c r="K55" s="62"/>
      <c r="L55" s="168"/>
      <c r="M55" s="169"/>
      <c r="O55" s="16"/>
      <c r="P55" s="16"/>
      <c r="Q55" s="16"/>
      <c r="R55" s="15"/>
      <c r="S55" s="15"/>
      <c r="T55" s="15"/>
      <c r="U55" s="43"/>
      <c r="V55" s="46"/>
    </row>
    <row r="56" spans="1:24" s="149" customFormat="1">
      <c r="A56" s="62"/>
      <c r="B56" s="62" t="s">
        <v>3</v>
      </c>
      <c r="C56" s="179">
        <f>ATAN(C55)</f>
        <v>0.42053433528396511</v>
      </c>
      <c r="D56" s="179">
        <f>D55/(1+C55^2)</f>
        <v>1.3996975257462759E-2</v>
      </c>
      <c r="E56" s="229">
        <f>C56/PI()*180</f>
        <v>24.094842552110702</v>
      </c>
      <c r="F56" s="177">
        <f>D56/PI()*180</f>
        <v>0.80196760820165502</v>
      </c>
      <c r="G56" s="62" t="s">
        <v>292</v>
      </c>
      <c r="H56" s="179">
        <f>COS(C56)</f>
        <v>0.9128709291752769</v>
      </c>
      <c r="I56" s="181"/>
      <c r="J56" s="62"/>
      <c r="K56" s="62"/>
      <c r="L56" s="62" t="s">
        <v>192</v>
      </c>
      <c r="M56" s="169"/>
      <c r="O56" s="16"/>
      <c r="P56" s="16"/>
      <c r="Q56" s="16"/>
      <c r="R56" s="15"/>
      <c r="S56" s="15"/>
      <c r="T56" s="15"/>
      <c r="U56" s="43"/>
      <c r="V56" s="46"/>
    </row>
    <row r="57" spans="1:24" s="150" customFormat="1">
      <c r="A57" s="62"/>
      <c r="B57" s="62" t="s">
        <v>235</v>
      </c>
      <c r="C57" s="179">
        <f>C56*2</f>
        <v>0.84106867056793022</v>
      </c>
      <c r="D57" s="179">
        <f>D56*2</f>
        <v>2.7993950514925519E-2</v>
      </c>
      <c r="E57" s="177">
        <f>C57/PI()*180</f>
        <v>48.189685104221404</v>
      </c>
      <c r="F57" s="177">
        <f>D57/PI()*180</f>
        <v>1.60393521640331</v>
      </c>
      <c r="G57" s="62" t="s">
        <v>293</v>
      </c>
      <c r="H57" s="179">
        <f>SIN(C56)</f>
        <v>0.40824829046386302</v>
      </c>
      <c r="I57" s="181"/>
      <c r="J57" s="62"/>
      <c r="K57" s="62"/>
      <c r="L57" s="62"/>
      <c r="M57" s="169"/>
      <c r="O57" s="16"/>
      <c r="P57" s="16"/>
      <c r="Q57" s="16"/>
      <c r="R57" s="15"/>
      <c r="S57" s="15"/>
      <c r="T57" s="15"/>
      <c r="U57" s="43"/>
      <c r="V57" s="46"/>
    </row>
    <row r="58" spans="1:24" s="149" customFormat="1">
      <c r="A58" s="62"/>
      <c r="B58" s="62" t="s">
        <v>245</v>
      </c>
      <c r="C58" s="233">
        <f>C54*COS(C57)</f>
        <v>74.133333333333226</v>
      </c>
      <c r="D58" s="169">
        <f>SQRT((COS(C57))^2*D54^2+(C54*SIN(C57))^2*D57^2)</f>
        <v>2.4002680820211011</v>
      </c>
      <c r="E58" s="177"/>
      <c r="F58" s="62"/>
      <c r="G58" s="62" t="s">
        <v>30</v>
      </c>
      <c r="H58" s="169">
        <f>ABS(H54*(1-H55^2)/(1+H55^2))</f>
        <v>74.133333333333226</v>
      </c>
      <c r="I58" s="169">
        <f>SQRT((1-H55^2/(1+H55^2))^2*I54^2+(4*H54*H55/(1+H55^2)^2)^2*I55^2)</f>
        <v>2.4441331521767089</v>
      </c>
      <c r="J58" s="169">
        <f>ABS(I52-I53)</f>
        <v>74.133333333334122</v>
      </c>
      <c r="K58" s="62"/>
      <c r="L58" s="62" t="s">
        <v>289</v>
      </c>
      <c r="M58" s="169"/>
      <c r="O58" s="16"/>
      <c r="P58" s="16"/>
      <c r="Q58" s="16"/>
      <c r="R58" s="15"/>
      <c r="S58" s="15"/>
      <c r="T58" s="15"/>
      <c r="U58" s="43"/>
      <c r="V58" s="46"/>
    </row>
    <row r="59" spans="1:24" s="147" customFormat="1">
      <c r="A59" s="62"/>
      <c r="B59" s="62" t="s">
        <v>247</v>
      </c>
      <c r="C59" s="233">
        <f>C54*SIN(C57)/2</f>
        <v>41.441793182996037</v>
      </c>
      <c r="D59" s="169">
        <f>0.5*SQRT((SIN(C57))^2*D54^2+(C54*COS(C57))^2*D57^2)</f>
        <v>1.093049574865592</v>
      </c>
      <c r="E59" s="62"/>
      <c r="F59" s="62"/>
      <c r="G59" s="62" t="s">
        <v>31</v>
      </c>
      <c r="H59" s="169">
        <f>H54*(H55)/(1+H55^2)</f>
        <v>41.441793182996037</v>
      </c>
      <c r="I59" s="169">
        <f>SQRT((H55/(1+H55^2))^2*I54^2+((H54-H54*H55^2)/(1+H55^2)^2)^2*I55^2)</f>
        <v>1.0930495748655917</v>
      </c>
      <c r="J59" s="62"/>
      <c r="K59" s="62"/>
      <c r="L59" s="62" t="s">
        <v>248</v>
      </c>
      <c r="M59" s="179"/>
      <c r="O59" s="16"/>
      <c r="P59" s="16"/>
      <c r="Q59" s="16"/>
      <c r="R59" s="15"/>
      <c r="S59" s="15"/>
      <c r="T59" s="15"/>
      <c r="U59" s="43"/>
      <c r="V59" s="46"/>
    </row>
    <row r="60" spans="1:24" s="147" customFormat="1">
      <c r="A60" s="62"/>
      <c r="B60" s="62" t="s">
        <v>249</v>
      </c>
      <c r="C60" s="234">
        <f>(E53/E52)/(E53/E52+1)</f>
        <v>0.16666666666666669</v>
      </c>
      <c r="D60" s="64">
        <f>F60/(E60+1)^2</f>
        <v>1.0432729385023118E-2</v>
      </c>
      <c r="E60" s="169">
        <f>E53/E52</f>
        <v>0.2</v>
      </c>
      <c r="F60" s="169">
        <f>E60*SQRT((F52/E52)^2+(F53/E53)^2)</f>
        <v>1.5023130314433289E-2</v>
      </c>
      <c r="G60" s="62"/>
      <c r="H60" s="62"/>
      <c r="I60" s="62"/>
      <c r="J60" s="62"/>
      <c r="K60" s="62"/>
      <c r="L60" s="62" t="s">
        <v>290</v>
      </c>
      <c r="M60" s="179"/>
      <c r="O60" s="16"/>
      <c r="P60" s="16"/>
      <c r="Q60" s="16"/>
      <c r="R60" s="15"/>
      <c r="S60" s="15"/>
      <c r="T60" s="15"/>
      <c r="U60" s="43"/>
      <c r="V60" s="46"/>
    </row>
    <row r="61" spans="1:24" s="150" customFormat="1">
      <c r="A61" s="62"/>
      <c r="B61" s="62" t="s">
        <v>237</v>
      </c>
      <c r="C61" s="235">
        <f>(C54-C58)/2</f>
        <v>18.533333333333296</v>
      </c>
      <c r="D61" s="177">
        <f>SQRT(D54^2+D58^2)</f>
        <v>2.5712422806046993</v>
      </c>
      <c r="E61" s="62"/>
      <c r="F61" s="62"/>
      <c r="G61" s="62"/>
      <c r="H61" s="62"/>
      <c r="I61" s="62"/>
      <c r="J61" s="62"/>
      <c r="K61" s="62"/>
      <c r="L61" s="62" t="s">
        <v>239</v>
      </c>
      <c r="M61" s="179"/>
      <c r="O61" s="16"/>
      <c r="P61" s="16"/>
      <c r="Q61" s="16"/>
      <c r="R61" s="15"/>
      <c r="S61" s="15"/>
      <c r="T61" s="15"/>
      <c r="U61" s="43"/>
      <c r="V61" s="46"/>
    </row>
    <row r="62" spans="1:24" s="149" customFormat="1">
      <c r="A62" s="62"/>
      <c r="B62" s="62" t="s">
        <v>250</v>
      </c>
      <c r="C62" s="62">
        <f>SQRT(C58^2+4*C59^2)</f>
        <v>111.19999999999983</v>
      </c>
      <c r="D62" s="62"/>
      <c r="E62" s="62"/>
      <c r="F62" s="62"/>
      <c r="G62" s="62"/>
      <c r="H62" s="62"/>
      <c r="I62" s="62"/>
      <c r="J62" s="62"/>
      <c r="K62" s="62"/>
      <c r="L62" s="179"/>
      <c r="M62" s="179"/>
      <c r="O62" s="16"/>
      <c r="P62" s="16"/>
      <c r="Q62" s="16"/>
      <c r="R62" s="15"/>
      <c r="S62" s="15"/>
      <c r="T62" s="15"/>
      <c r="U62" s="43"/>
      <c r="V62" s="46"/>
    </row>
    <row r="63" spans="1:24" s="302" customFormat="1">
      <c r="A63" s="24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303"/>
      <c r="M63" s="303"/>
      <c r="N63" s="15"/>
      <c r="O63" s="16"/>
      <c r="P63" s="16"/>
      <c r="Q63" s="16"/>
      <c r="R63" s="15"/>
      <c r="S63" s="15"/>
      <c r="T63" s="15"/>
      <c r="U63" s="43"/>
      <c r="V63" s="46"/>
    </row>
    <row r="64" spans="1:24" s="302" customFormat="1">
      <c r="A64" s="24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303"/>
      <c r="M64" s="303"/>
      <c r="N64" s="15"/>
      <c r="O64" s="16"/>
      <c r="P64" s="16"/>
      <c r="Q64" s="16"/>
      <c r="R64" s="15"/>
      <c r="S64" s="15"/>
      <c r="T64" s="15"/>
      <c r="U64" s="43"/>
      <c r="V64" s="46"/>
    </row>
    <row r="65" spans="1:22" s="306" customFormat="1">
      <c r="A65" s="309" t="s">
        <v>281</v>
      </c>
      <c r="B65" s="309" t="s">
        <v>208</v>
      </c>
      <c r="C65" s="309" t="s">
        <v>282</v>
      </c>
      <c r="D65" s="309"/>
      <c r="E65" s="309"/>
      <c r="F65" s="309"/>
      <c r="G65" s="309"/>
      <c r="H65" s="309"/>
      <c r="I65" s="309"/>
      <c r="J65" s="309"/>
      <c r="K65" s="309"/>
      <c r="L65" s="310"/>
      <c r="M65" s="311"/>
      <c r="N65" s="15"/>
      <c r="O65" s="16"/>
      <c r="P65" s="16"/>
      <c r="Q65" s="16"/>
      <c r="R65" s="15"/>
      <c r="S65" s="15"/>
      <c r="T65" s="15"/>
      <c r="U65" s="43"/>
      <c r="V65" s="46"/>
    </row>
    <row r="66" spans="1:22" s="306" customFormat="1">
      <c r="A66" s="309" t="s">
        <v>226</v>
      </c>
      <c r="B66" s="309" t="s">
        <v>215</v>
      </c>
      <c r="C66" s="309" t="s">
        <v>218</v>
      </c>
      <c r="D66" s="309" t="s">
        <v>219</v>
      </c>
      <c r="E66" s="312" t="s">
        <v>220</v>
      </c>
      <c r="F66" s="312" t="s">
        <v>223</v>
      </c>
      <c r="G66" s="312" t="s">
        <v>221</v>
      </c>
      <c r="H66" s="309" t="s">
        <v>222</v>
      </c>
      <c r="I66" s="309" t="s">
        <v>213</v>
      </c>
      <c r="J66" s="309" t="s">
        <v>224</v>
      </c>
      <c r="K66" s="309"/>
      <c r="L66" s="309" t="s">
        <v>34</v>
      </c>
      <c r="M66" s="313" t="s">
        <v>33</v>
      </c>
      <c r="N66" s="15"/>
      <c r="O66" s="16"/>
      <c r="P66" s="16"/>
      <c r="Q66" s="16"/>
      <c r="R66" s="15"/>
      <c r="S66" s="15"/>
      <c r="T66" s="15"/>
      <c r="U66" s="43"/>
      <c r="V66" s="46"/>
    </row>
    <row r="67" spans="1:22" s="306" customFormat="1">
      <c r="A67" s="309" t="s">
        <v>283</v>
      </c>
      <c r="B67" s="314" t="s">
        <v>241</v>
      </c>
      <c r="C67" s="329">
        <v>5046.1000000000004</v>
      </c>
      <c r="D67" s="315">
        <v>0.3</v>
      </c>
      <c r="E67" s="316">
        <v>3.19</v>
      </c>
      <c r="F67" s="317">
        <v>0.01</v>
      </c>
      <c r="G67" s="318">
        <f>10^E67</f>
        <v>1548.8166189124822</v>
      </c>
      <c r="H67" s="319">
        <f>G67*LN(10)*F67</f>
        <v>35.662820584893218</v>
      </c>
      <c r="I67" s="320">
        <f>$D$4/$G67</f>
        <v>3.9672094972188576</v>
      </c>
      <c r="J67" s="321">
        <f>I67*SQRT((H67/G67)^2+($E$4/$D$4)^2)</f>
        <v>9.1379606389895035E-2</v>
      </c>
      <c r="K67" s="321"/>
      <c r="L67" s="322">
        <v>3.9910000000000001</v>
      </c>
      <c r="M67" s="323">
        <f>(I67-L67)/$D$6^2</f>
        <v>-1.4620916579927852E-2</v>
      </c>
      <c r="N67" s="15"/>
      <c r="O67" s="16"/>
      <c r="P67" s="16"/>
      <c r="Q67" s="16"/>
      <c r="R67" s="15"/>
      <c r="S67" s="15"/>
      <c r="T67" s="15"/>
      <c r="U67" s="43"/>
      <c r="V67" s="46"/>
    </row>
    <row r="68" spans="1:22" s="306" customFormat="1">
      <c r="A68" s="309" t="s">
        <v>283</v>
      </c>
      <c r="B68" s="314" t="s">
        <v>242</v>
      </c>
      <c r="C68" s="330">
        <v>4799</v>
      </c>
      <c r="D68" s="315">
        <v>4.3</v>
      </c>
      <c r="E68" s="317">
        <v>6.19</v>
      </c>
      <c r="F68" s="322">
        <v>1E-3</v>
      </c>
      <c r="G68" s="318">
        <f>10^E68</f>
        <v>1548816.6189124861</v>
      </c>
      <c r="H68" s="319">
        <f>G68*LN(10)*F68</f>
        <v>3566.2820584893307</v>
      </c>
      <c r="I68" s="331">
        <f>$D$4/$G68</f>
        <v>3.9672094972188479E-3</v>
      </c>
      <c r="J68" s="310">
        <f>I68*SQRT((H68/G68)^2+($E$4/$D$4)^2)</f>
        <v>9.4420441155945041E-6</v>
      </c>
      <c r="K68" s="310"/>
      <c r="L68" s="316">
        <v>0</v>
      </c>
      <c r="M68" s="332">
        <f>(I68-L68)/$D$6^2</f>
        <v>2.4381258205232767E-3</v>
      </c>
      <c r="N68" s="15"/>
      <c r="O68" s="16"/>
      <c r="P68" s="16"/>
      <c r="Q68" s="16"/>
      <c r="R68" s="15"/>
      <c r="S68" s="15"/>
      <c r="T68" s="15"/>
      <c r="U68" s="43"/>
      <c r="V68" s="46"/>
    </row>
    <row r="69" spans="1:22" s="306" customFormat="1">
      <c r="A69" s="309"/>
      <c r="B69" s="314"/>
      <c r="C69" s="325"/>
      <c r="D69" s="325"/>
      <c r="E69" s="312"/>
      <c r="F69" s="310"/>
      <c r="G69" s="318"/>
      <c r="H69" s="319"/>
      <c r="I69" s="324"/>
      <c r="J69" s="310"/>
      <c r="K69" s="310"/>
      <c r="L69" s="310"/>
      <c r="M69" s="311"/>
      <c r="N69" s="15"/>
      <c r="O69" s="16"/>
      <c r="P69" s="16"/>
      <c r="Q69" s="16"/>
      <c r="R69" s="15"/>
      <c r="S69" s="15"/>
      <c r="T69" s="15"/>
      <c r="U69" s="43"/>
      <c r="V69" s="46"/>
    </row>
    <row r="70" spans="1:22" s="306" customFormat="1">
      <c r="A70" s="309"/>
      <c r="B70" s="309"/>
      <c r="C70" s="311" t="s">
        <v>14</v>
      </c>
      <c r="D70" s="309"/>
      <c r="E70" s="309" t="s">
        <v>32</v>
      </c>
      <c r="F70" s="309" t="s">
        <v>231</v>
      </c>
      <c r="G70" s="309" t="s">
        <v>229</v>
      </c>
      <c r="H70" s="309" t="s">
        <v>230</v>
      </c>
      <c r="I70" s="309" t="s">
        <v>39</v>
      </c>
      <c r="J70" s="309"/>
      <c r="K70" s="309"/>
      <c r="L70" s="309"/>
      <c r="M70" s="309"/>
      <c r="N70" s="15"/>
      <c r="O70" s="16"/>
      <c r="P70" s="16"/>
      <c r="Q70" s="16"/>
      <c r="R70" s="15"/>
      <c r="S70" s="15"/>
      <c r="T70" s="15"/>
      <c r="U70" s="43"/>
      <c r="V70" s="46"/>
    </row>
    <row r="71" spans="1:22" s="306" customFormat="1">
      <c r="A71" s="309" t="s">
        <v>268</v>
      </c>
      <c r="B71" s="309" t="s">
        <v>27</v>
      </c>
      <c r="C71" s="325">
        <f>IF(I67&gt;I68,C67,C68)</f>
        <v>5046.1000000000004</v>
      </c>
      <c r="D71" s="325">
        <f>IF(I67&gt;I68,D67,D68)</f>
        <v>0.3</v>
      </c>
      <c r="E71" s="327">
        <v>3.9910000000000001</v>
      </c>
      <c r="F71" s="327">
        <v>9.2999999999999999E-2</v>
      </c>
      <c r="G71" s="309">
        <v>0</v>
      </c>
      <c r="H71" s="309">
        <v>2E-3</v>
      </c>
      <c r="I71" s="326">
        <f>IF(C71&gt;C72,C71-C80,C71+C80)</f>
        <v>5045.5440250000001</v>
      </c>
      <c r="J71" s="325">
        <f>SQRT(D71^2+D80^2)</f>
        <v>6.089649084221735</v>
      </c>
      <c r="K71" s="309" t="s">
        <v>185</v>
      </c>
      <c r="L71" s="312" t="s">
        <v>227</v>
      </c>
      <c r="M71" s="309"/>
      <c r="N71" s="15"/>
      <c r="O71" s="16"/>
      <c r="P71" s="16"/>
      <c r="Q71" s="16"/>
      <c r="R71" s="15"/>
      <c r="S71" s="15"/>
      <c r="T71" s="15"/>
      <c r="U71" s="43"/>
      <c r="V71" s="46"/>
    </row>
    <row r="72" spans="1:22" s="306" customFormat="1">
      <c r="A72" s="309"/>
      <c r="B72" s="309" t="s">
        <v>28</v>
      </c>
      <c r="C72" s="325">
        <f>IF(I67&lt;I68,C67,C68)</f>
        <v>4799</v>
      </c>
      <c r="D72" s="325">
        <f>IF(I67&lt;I68,D67,D68)</f>
        <v>4.3</v>
      </c>
      <c r="E72" s="327">
        <v>8.9999999999999993E-3</v>
      </c>
      <c r="F72" s="333">
        <f>J68</f>
        <v>9.4420441155945041E-6</v>
      </c>
      <c r="G72" s="323">
        <v>0</v>
      </c>
      <c r="H72" s="309">
        <v>6.0000000000000001E-3</v>
      </c>
      <c r="I72" s="326">
        <f>IF(C72&gt;C71,C72-C80,C72+C80)</f>
        <v>4799.5559750000002</v>
      </c>
      <c r="J72" s="325">
        <f>SQRT(D72^2+D80^2)</f>
        <v>7.4487466038899868</v>
      </c>
      <c r="K72" s="309" t="s">
        <v>186</v>
      </c>
      <c r="L72" s="309"/>
      <c r="M72" s="309"/>
      <c r="N72" s="15"/>
      <c r="O72" s="16"/>
      <c r="P72" s="16"/>
      <c r="Q72" s="16"/>
      <c r="R72" s="15"/>
      <c r="S72" s="15"/>
      <c r="T72" s="15"/>
      <c r="U72" s="43"/>
      <c r="V72" s="46"/>
    </row>
    <row r="73" spans="1:22" s="306" customFormat="1">
      <c r="A73" s="309"/>
      <c r="B73" s="309" t="s">
        <v>243</v>
      </c>
      <c r="C73" s="256">
        <f>ABS(C72-C71)</f>
        <v>247.10000000000036</v>
      </c>
      <c r="D73" s="325">
        <f>SQRT(D71^2+D72^2)</f>
        <v>4.3104524124504611</v>
      </c>
      <c r="E73" s="309"/>
      <c r="F73" s="309"/>
      <c r="G73" s="309" t="s">
        <v>0</v>
      </c>
      <c r="H73" s="325">
        <f>ABS(C72-C71)</f>
        <v>247.10000000000036</v>
      </c>
      <c r="I73" s="325">
        <f>SQRT(D71^2+D72^2)</f>
        <v>4.3104524124504611</v>
      </c>
      <c r="J73" s="309"/>
      <c r="K73" s="309"/>
      <c r="L73" s="309" t="s">
        <v>193</v>
      </c>
      <c r="M73" s="309"/>
      <c r="N73" s="15"/>
      <c r="O73" s="16"/>
      <c r="P73" s="16"/>
      <c r="Q73" s="16"/>
      <c r="R73" s="15"/>
      <c r="S73" s="15"/>
      <c r="T73" s="15"/>
      <c r="U73" s="43"/>
      <c r="V73" s="46"/>
    </row>
    <row r="74" spans="1:22" s="306" customFormat="1">
      <c r="A74" s="309"/>
      <c r="B74" s="309" t="s">
        <v>244</v>
      </c>
      <c r="C74" s="323">
        <f>SQRT((E72)/(E71))</f>
        <v>4.7487618558016795E-2</v>
      </c>
      <c r="D74" s="323">
        <f>C74*SQRT((F72/E72/2)^2+(F71/E71/2)^2)</f>
        <v>5.5384892695186868E-4</v>
      </c>
      <c r="E74" s="309"/>
      <c r="F74" s="309"/>
      <c r="G74" s="309" t="s">
        <v>29</v>
      </c>
      <c r="H74" s="323">
        <f>SQRT(E72/E71)</f>
        <v>4.7487618558016795E-2</v>
      </c>
      <c r="I74" s="323">
        <f>H74*SQRT((F72/E72/2)^2+(F71/E71/2)^2)</f>
        <v>5.5384892695186868E-4</v>
      </c>
      <c r="J74" s="309"/>
      <c r="K74" s="309"/>
      <c r="L74" s="310"/>
      <c r="M74" s="311"/>
      <c r="N74" s="15"/>
      <c r="O74" s="16"/>
      <c r="P74" s="16"/>
      <c r="Q74" s="16"/>
      <c r="R74" s="15"/>
      <c r="S74" s="15"/>
      <c r="T74" s="15"/>
      <c r="U74" s="43"/>
      <c r="V74" s="46"/>
    </row>
    <row r="75" spans="1:22" s="306" customFormat="1">
      <c r="A75" s="309"/>
      <c r="B75" s="309" t="s">
        <v>3</v>
      </c>
      <c r="C75" s="323">
        <f>ATAN(C74)</f>
        <v>4.745197074868137E-2</v>
      </c>
      <c r="D75" s="323">
        <f>D74/(1+C74^2)</f>
        <v>5.5260276686622701E-4</v>
      </c>
      <c r="E75" s="257">
        <f>C75/PI()*180</f>
        <v>2.7187976534776799</v>
      </c>
      <c r="F75" s="325">
        <f>D75/PI()*180</f>
        <v>3.1661806288686575E-2</v>
      </c>
      <c r="G75" s="309"/>
      <c r="H75" s="309"/>
      <c r="I75" s="328"/>
      <c r="J75" s="309"/>
      <c r="K75" s="309"/>
      <c r="L75" s="309" t="s">
        <v>192</v>
      </c>
      <c r="M75" s="311"/>
      <c r="N75" s="15"/>
      <c r="O75" s="16"/>
      <c r="P75" s="16"/>
      <c r="Q75" s="16"/>
      <c r="R75" s="15"/>
      <c r="S75" s="15"/>
      <c r="T75" s="15"/>
      <c r="U75" s="43"/>
      <c r="V75" s="46"/>
    </row>
    <row r="76" spans="1:22" s="306" customFormat="1">
      <c r="A76" s="309"/>
      <c r="B76" s="309" t="s">
        <v>235</v>
      </c>
      <c r="C76" s="323">
        <f>C75*2</f>
        <v>9.490394149736274E-2</v>
      </c>
      <c r="D76" s="323">
        <f>D75*2</f>
        <v>1.105205533732454E-3</v>
      </c>
      <c r="E76" s="325">
        <f>C76/PI()*180</f>
        <v>5.4375953069553598</v>
      </c>
      <c r="F76" s="325">
        <f>D76/PI()*180</f>
        <v>6.3323612577373151E-2</v>
      </c>
      <c r="G76" s="309"/>
      <c r="H76" s="309"/>
      <c r="I76" s="328"/>
      <c r="J76" s="309"/>
      <c r="K76" s="309"/>
      <c r="L76" s="309"/>
      <c r="M76" s="311"/>
      <c r="N76" s="15"/>
      <c r="O76" s="16"/>
      <c r="P76" s="16"/>
      <c r="Q76" s="16"/>
      <c r="R76" s="15"/>
      <c r="S76" s="15"/>
      <c r="T76" s="15"/>
      <c r="U76" s="43"/>
      <c r="V76" s="46"/>
    </row>
    <row r="77" spans="1:22" s="306" customFormat="1">
      <c r="A77" s="309"/>
      <c r="B77" s="309" t="s">
        <v>245</v>
      </c>
      <c r="C77" s="334">
        <f>C73*COS(C76)</f>
        <v>245.98805000000038</v>
      </c>
      <c r="D77" s="335">
        <f>SQRT((COS(C76))^2*D73^2+(C73*SIN(C76))^2*D76^2)</f>
        <v>4.2911334130929335</v>
      </c>
      <c r="E77" s="325"/>
      <c r="F77" s="309"/>
      <c r="G77" s="309" t="s">
        <v>30</v>
      </c>
      <c r="H77" s="311">
        <f>ABS(H73*(1-H74^2)/(1+H74^2))</f>
        <v>245.98805000000036</v>
      </c>
      <c r="I77" s="311">
        <f>SQRT((1-H74^2/(1+H74^2))^2*I73^2+(4*H73*H74/(1+H74^2)^2)^2*I74^2)</f>
        <v>4.3008317550460644</v>
      </c>
      <c r="J77" s="311">
        <f>ABS(I71-I72)</f>
        <v>245.98804999999993</v>
      </c>
      <c r="K77" s="309"/>
      <c r="L77" s="309" t="s">
        <v>246</v>
      </c>
      <c r="M77" s="311"/>
      <c r="N77" s="15"/>
      <c r="O77" s="16"/>
      <c r="P77" s="16"/>
      <c r="Q77" s="16"/>
      <c r="R77" s="15"/>
      <c r="S77" s="15"/>
      <c r="T77" s="15"/>
      <c r="U77" s="43"/>
      <c r="V77" s="46"/>
    </row>
    <row r="78" spans="1:22" s="306" customFormat="1">
      <c r="A78" s="309"/>
      <c r="B78" s="309" t="s">
        <v>247</v>
      </c>
      <c r="C78" s="257">
        <f>C73*SIN(C76)/2</f>
        <v>11.707788616958176</v>
      </c>
      <c r="D78" s="325">
        <f>0.5*SQRT((SIN(C76))^2*D73^2+(C73*COS(C76))^2*D76^2)</f>
        <v>0.24533426850983098</v>
      </c>
      <c r="E78" s="309"/>
      <c r="F78" s="309"/>
      <c r="G78" s="309" t="s">
        <v>31</v>
      </c>
      <c r="H78" s="311">
        <f>H73*(H74)/(1+H74^2)</f>
        <v>11.707788616958174</v>
      </c>
      <c r="I78" s="311">
        <f>SQRT((H74/(1+H74^2))^2*I73^2+((H73-H73*H74^2)/(1+H74^2)^2)^2*I74^2)</f>
        <v>0.24533426850983095</v>
      </c>
      <c r="J78" s="309"/>
      <c r="K78" s="309"/>
      <c r="L78" s="309" t="s">
        <v>248</v>
      </c>
      <c r="M78" s="323"/>
      <c r="N78" s="15"/>
      <c r="O78" s="16"/>
      <c r="P78" s="16"/>
      <c r="Q78" s="16"/>
      <c r="R78" s="15"/>
      <c r="S78" s="15"/>
      <c r="T78" s="15"/>
      <c r="U78" s="43"/>
      <c r="V78" s="46"/>
    </row>
    <row r="79" spans="1:22" s="306" customFormat="1">
      <c r="A79" s="309"/>
      <c r="B79" s="309" t="s">
        <v>249</v>
      </c>
      <c r="C79" s="337">
        <f>(E72/E71)/(E72/E71+1)</f>
        <v>2.2500000000000003E-3</v>
      </c>
      <c r="D79" s="336">
        <f>F79/(E79+1)^2</f>
        <v>5.2365490761764429E-5</v>
      </c>
      <c r="E79" s="311">
        <f>E72/E71</f>
        <v>2.2550739163117012E-3</v>
      </c>
      <c r="F79" s="311">
        <f>E79*SQRT((F71/E71)^2+(F72/E72)^2)</f>
        <v>5.2601933163714493E-5</v>
      </c>
      <c r="G79" s="309"/>
      <c r="H79" s="309"/>
      <c r="I79" s="309"/>
      <c r="J79" s="309"/>
      <c r="K79" s="309"/>
      <c r="L79" s="309" t="s">
        <v>205</v>
      </c>
      <c r="M79" s="323"/>
      <c r="N79" s="15"/>
      <c r="O79" s="16"/>
      <c r="P79" s="16"/>
      <c r="Q79" s="16"/>
      <c r="R79" s="15"/>
      <c r="S79" s="15"/>
      <c r="T79" s="15"/>
      <c r="U79" s="43"/>
      <c r="V79" s="46"/>
    </row>
    <row r="80" spans="1:22" s="306" customFormat="1">
      <c r="A80" s="309"/>
      <c r="B80" s="309" t="s">
        <v>237</v>
      </c>
      <c r="C80" s="260">
        <f>(C73-C77)/2</f>
        <v>0.55597499999998945</v>
      </c>
      <c r="D80" s="325">
        <f>SQRT(D73^2+D77^2)</f>
        <v>6.0822550069002048</v>
      </c>
      <c r="E80" s="309"/>
      <c r="F80" s="309"/>
      <c r="G80" s="309"/>
      <c r="H80" s="309"/>
      <c r="I80" s="309"/>
      <c r="J80" s="309"/>
      <c r="K80" s="309"/>
      <c r="L80" s="309" t="s">
        <v>239</v>
      </c>
      <c r="M80" s="323"/>
      <c r="N80" s="15"/>
      <c r="O80" s="16"/>
      <c r="P80" s="16"/>
      <c r="Q80" s="16"/>
      <c r="R80" s="15"/>
      <c r="S80" s="15"/>
      <c r="T80" s="15"/>
      <c r="U80" s="43"/>
      <c r="V80" s="46"/>
    </row>
    <row r="81" spans="1:22" s="306" customFormat="1">
      <c r="A81" s="309"/>
      <c r="B81" s="309" t="s">
        <v>250</v>
      </c>
      <c r="C81" s="309">
        <f>SQRT(C77^2+4*C78^2)</f>
        <v>247.10000000000039</v>
      </c>
      <c r="D81" s="309"/>
      <c r="E81" s="309"/>
      <c r="F81" s="309"/>
      <c r="G81" s="309"/>
      <c r="H81" s="309"/>
      <c r="I81" s="309"/>
      <c r="J81" s="309"/>
      <c r="K81" s="309"/>
      <c r="L81" s="323"/>
      <c r="M81" s="323"/>
      <c r="N81" s="15"/>
      <c r="O81" s="16"/>
      <c r="P81" s="16"/>
      <c r="Q81" s="16"/>
      <c r="R81" s="15"/>
      <c r="S81" s="15"/>
      <c r="T81" s="15"/>
      <c r="U81" s="43"/>
      <c r="V81" s="46"/>
    </row>
    <row r="82" spans="1:22" s="306" customFormat="1">
      <c r="A82" s="24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303"/>
      <c r="M82" s="303"/>
      <c r="N82" s="15"/>
      <c r="O82" s="16"/>
      <c r="P82" s="16"/>
      <c r="Q82" s="16"/>
      <c r="R82" s="15"/>
      <c r="S82" s="15"/>
      <c r="T82" s="15"/>
      <c r="U82" s="43"/>
      <c r="V82" s="46"/>
    </row>
    <row r="83" spans="1:22" s="306" customFormat="1">
      <c r="A83" s="24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303"/>
      <c r="M83" s="303"/>
      <c r="N83" s="15"/>
      <c r="O83" s="16"/>
      <c r="P83" s="16"/>
      <c r="Q83" s="16"/>
      <c r="R83" s="15"/>
      <c r="S83" s="15"/>
      <c r="T83" s="15"/>
      <c r="U83" s="43"/>
      <c r="V83" s="46"/>
    </row>
    <row r="84" spans="1:22" s="302" customFormat="1" ht="15">
      <c r="A84" s="236" t="s">
        <v>277</v>
      </c>
      <c r="B84" s="236" t="s">
        <v>275</v>
      </c>
      <c r="C84" s="236" t="s">
        <v>279</v>
      </c>
      <c r="D84" s="236"/>
      <c r="E84" s="236" t="s">
        <v>280</v>
      </c>
      <c r="F84" s="236"/>
      <c r="G84" s="236"/>
      <c r="H84" s="236"/>
      <c r="I84" s="236"/>
      <c r="J84" s="236"/>
      <c r="K84" s="236"/>
      <c r="L84" s="237"/>
      <c r="M84" s="238"/>
      <c r="O84" s="16"/>
      <c r="P84" s="16"/>
      <c r="Q84" s="16"/>
      <c r="R84" s="15"/>
      <c r="S84" s="15"/>
      <c r="T84" s="15"/>
      <c r="U84" s="43"/>
      <c r="V84" s="46"/>
    </row>
    <row r="85" spans="1:22" s="302" customFormat="1">
      <c r="A85" s="236" t="s">
        <v>226</v>
      </c>
      <c r="B85" s="236" t="s">
        <v>215</v>
      </c>
      <c r="C85" s="236" t="s">
        <v>218</v>
      </c>
      <c r="D85" s="236" t="s">
        <v>219</v>
      </c>
      <c r="E85" s="239" t="s">
        <v>220</v>
      </c>
      <c r="F85" s="239" t="s">
        <v>223</v>
      </c>
      <c r="G85" s="239" t="s">
        <v>221</v>
      </c>
      <c r="H85" s="236" t="s">
        <v>222</v>
      </c>
      <c r="I85" s="236" t="s">
        <v>213</v>
      </c>
      <c r="J85" s="236" t="s">
        <v>224</v>
      </c>
      <c r="K85" s="236"/>
      <c r="L85" s="236" t="s">
        <v>34</v>
      </c>
      <c r="M85" s="240" t="s">
        <v>33</v>
      </c>
      <c r="O85" s="16"/>
      <c r="P85" s="16"/>
      <c r="Q85" s="16"/>
      <c r="R85" s="15"/>
      <c r="S85" s="15"/>
      <c r="T85" s="15"/>
      <c r="U85" s="43"/>
      <c r="V85" s="46"/>
    </row>
    <row r="86" spans="1:22" s="302" customFormat="1">
      <c r="A86" s="236" t="s">
        <v>278</v>
      </c>
      <c r="B86" s="241" t="s">
        <v>273</v>
      </c>
      <c r="C86" s="242">
        <v>7190.3</v>
      </c>
      <c r="D86" s="242">
        <v>1.1000000000000001</v>
      </c>
      <c r="E86" s="243">
        <v>4.9800000000000004</v>
      </c>
      <c r="F86" s="244">
        <v>0.04</v>
      </c>
      <c r="G86" s="245">
        <f>10^E86</f>
        <v>95499.258602143804</v>
      </c>
      <c r="H86" s="246">
        <f>G86*LN(10)*F86</f>
        <v>8795.8067699711883</v>
      </c>
      <c r="I86" s="307">
        <f>$D$4/$G86</f>
        <v>6.4340604209277771E-2</v>
      </c>
      <c r="J86" s="237">
        <f>I86*SQRT((H86/G86)^2+($E$4/$D$4)^2)</f>
        <v>5.926115295877791E-3</v>
      </c>
      <c r="K86" s="248"/>
      <c r="L86" s="304">
        <v>3.1E-2</v>
      </c>
      <c r="M86" s="253">
        <f>(I86-L86)/$D$6^2</f>
        <v>2.0490117310788179E-2</v>
      </c>
      <c r="O86" s="16"/>
      <c r="P86" s="16"/>
      <c r="Q86" s="16"/>
      <c r="R86" s="15"/>
      <c r="S86" s="15"/>
      <c r="T86" s="15"/>
      <c r="U86" s="43"/>
      <c r="V86" s="46"/>
    </row>
    <row r="87" spans="1:22" s="302" customFormat="1">
      <c r="A87" s="236" t="s">
        <v>278</v>
      </c>
      <c r="B87" s="241" t="s">
        <v>242</v>
      </c>
      <c r="C87" s="305">
        <v>7001.4</v>
      </c>
      <c r="D87" s="242">
        <v>0.4</v>
      </c>
      <c r="E87" s="244">
        <v>3.5</v>
      </c>
      <c r="F87" s="304">
        <v>4.0000000000000001E-3</v>
      </c>
      <c r="G87" s="245">
        <f>10^E87</f>
        <v>3162.2776601683804</v>
      </c>
      <c r="H87" s="246">
        <f>G87*LN(10)*F87</f>
        <v>29.125653600847219</v>
      </c>
      <c r="I87" s="247">
        <f>$D$4/$G87</f>
        <v>1.9430551837351395</v>
      </c>
      <c r="J87" s="237">
        <f>I87*SQRT((H87/G87)^2+($E$4/$D$4)^2)</f>
        <v>1.7934407162119022E-2</v>
      </c>
      <c r="K87" s="237"/>
      <c r="L87" s="243">
        <v>1.9390000000000001</v>
      </c>
      <c r="M87" s="253">
        <f>(I87-L87)/$D$6^2</f>
        <v>2.4921921009063738E-3</v>
      </c>
      <c r="O87" s="16"/>
      <c r="P87" s="16"/>
      <c r="Q87" s="16"/>
      <c r="R87" s="15"/>
      <c r="S87" s="15"/>
      <c r="T87" s="15"/>
      <c r="U87" s="43"/>
      <c r="V87" s="46"/>
    </row>
    <row r="88" spans="1:22" s="302" customFormat="1">
      <c r="A88" s="236"/>
      <c r="B88" s="241"/>
      <c r="C88" s="250"/>
      <c r="D88" s="250"/>
      <c r="E88" s="239"/>
      <c r="F88" s="237"/>
      <c r="G88" s="245" t="s">
        <v>291</v>
      </c>
      <c r="H88" s="246"/>
      <c r="I88" s="247"/>
      <c r="J88" s="237"/>
      <c r="K88" s="237"/>
      <c r="L88" s="237"/>
      <c r="M88" s="238"/>
      <c r="O88" s="16"/>
      <c r="P88" s="16"/>
      <c r="Q88" s="16"/>
      <c r="R88" s="15"/>
      <c r="S88" s="15"/>
      <c r="T88" s="15"/>
      <c r="U88" s="43"/>
      <c r="V88" s="46"/>
    </row>
    <row r="89" spans="1:22" s="302" customFormat="1">
      <c r="A89" s="236"/>
      <c r="B89" s="236"/>
      <c r="C89" s="238" t="s">
        <v>14</v>
      </c>
      <c r="D89" s="236"/>
      <c r="E89" s="236" t="s">
        <v>32</v>
      </c>
      <c r="F89" s="236" t="s">
        <v>231</v>
      </c>
      <c r="G89" s="236" t="s">
        <v>229</v>
      </c>
      <c r="H89" s="236" t="s">
        <v>230</v>
      </c>
      <c r="I89" s="236" t="s">
        <v>39</v>
      </c>
      <c r="J89" s="236"/>
      <c r="K89" s="236"/>
      <c r="L89" s="236"/>
      <c r="M89" s="236"/>
      <c r="O89" s="16"/>
      <c r="P89" s="16"/>
      <c r="Q89" s="16"/>
      <c r="R89" s="15"/>
      <c r="S89" s="15"/>
      <c r="T89" s="15"/>
      <c r="U89" s="43"/>
      <c r="V89" s="46"/>
    </row>
    <row r="90" spans="1:22" s="302" customFormat="1">
      <c r="A90" s="236" t="s">
        <v>268</v>
      </c>
      <c r="B90" s="236" t="s">
        <v>27</v>
      </c>
      <c r="C90" s="250">
        <f>IF(I86&gt;I87,C86,C87)</f>
        <v>7001.4</v>
      </c>
      <c r="D90" s="250">
        <f>IF(I86&gt;I87,D86,D87)</f>
        <v>0.4</v>
      </c>
      <c r="E90" s="251">
        <f>L87</f>
        <v>1.9390000000000001</v>
      </c>
      <c r="F90" s="251">
        <f>J87</f>
        <v>1.7934407162119022E-2</v>
      </c>
      <c r="G90" s="236">
        <v>2E-3</v>
      </c>
      <c r="H90" s="236">
        <v>2E-3</v>
      </c>
      <c r="I90" s="252">
        <f>IF(C90&gt;C91,C90-C99,C90+C99)</f>
        <v>7005.4049469964657</v>
      </c>
      <c r="J90" s="250">
        <f>SQRT(D90^2+D99^2)</f>
        <v>2.2408980124413844</v>
      </c>
      <c r="K90" s="236" t="s">
        <v>185</v>
      </c>
      <c r="L90" s="239" t="s">
        <v>227</v>
      </c>
      <c r="M90" s="236"/>
      <c r="O90" s="16"/>
      <c r="P90" s="16"/>
      <c r="Q90" s="16"/>
      <c r="R90" s="15"/>
      <c r="S90" s="15"/>
      <c r="T90" s="15"/>
      <c r="U90" s="43"/>
      <c r="V90" s="46"/>
    </row>
    <row r="91" spans="1:22" s="302" customFormat="1">
      <c r="A91" s="236"/>
      <c r="B91" s="236" t="s">
        <v>28</v>
      </c>
      <c r="C91" s="250">
        <f>IF(I86&lt;I87,C86,C87)</f>
        <v>7190.3</v>
      </c>
      <c r="D91" s="250">
        <f>IF(I86&lt;I87,D86,D87)</f>
        <v>1.1000000000000001</v>
      </c>
      <c r="E91" s="308">
        <v>4.2000000000000003E-2</v>
      </c>
      <c r="F91" s="308">
        <v>8.0000000000000002E-3</v>
      </c>
      <c r="G91" s="253">
        <v>0.02</v>
      </c>
      <c r="H91" s="236">
        <v>6.0000000000000001E-3</v>
      </c>
      <c r="I91" s="252">
        <f>IF(C91&gt;C90,C91-C99,C91+C99)</f>
        <v>7186.2950530035341</v>
      </c>
      <c r="J91" s="250">
        <f>SQRT(D91^2+D99^2)</f>
        <v>2.4640665376900328</v>
      </c>
      <c r="K91" s="236" t="s">
        <v>186</v>
      </c>
      <c r="L91" s="236"/>
      <c r="M91" s="236"/>
      <c r="O91" s="16"/>
      <c r="P91" s="16"/>
      <c r="Q91" s="16"/>
      <c r="R91" s="15"/>
      <c r="S91" s="15"/>
      <c r="T91" s="15"/>
      <c r="U91" s="43"/>
      <c r="V91" s="46"/>
    </row>
    <row r="92" spans="1:22" s="302" customFormat="1">
      <c r="A92" s="236"/>
      <c r="B92" s="236" t="s">
        <v>243</v>
      </c>
      <c r="C92" s="256">
        <f>ABS(C91-C90)</f>
        <v>188.90000000000055</v>
      </c>
      <c r="D92" s="250">
        <f>SQRT(D90^2+D91^2)</f>
        <v>1.1704699910719625</v>
      </c>
      <c r="E92" s="236"/>
      <c r="F92" s="236"/>
      <c r="G92" s="236" t="s">
        <v>0</v>
      </c>
      <c r="H92" s="250">
        <f>ABS(C91-C90)</f>
        <v>188.90000000000055</v>
      </c>
      <c r="I92" s="250">
        <f>SQRT(D90^2+D91^2)</f>
        <v>1.1704699910719625</v>
      </c>
      <c r="J92" s="236"/>
      <c r="K92" s="236"/>
      <c r="L92" s="236" t="s">
        <v>193</v>
      </c>
      <c r="M92" s="236"/>
      <c r="O92" s="16"/>
      <c r="P92" s="16"/>
      <c r="Q92" s="16"/>
      <c r="R92" s="15"/>
      <c r="S92" s="15"/>
      <c r="T92" s="15"/>
      <c r="U92" s="43"/>
      <c r="V92" s="46"/>
    </row>
    <row r="93" spans="1:22" s="302" customFormat="1">
      <c r="A93" s="236"/>
      <c r="B93" s="236" t="s">
        <v>244</v>
      </c>
      <c r="C93" s="253">
        <f>SQRT((E91)/(E90))</f>
        <v>0.14717557480606144</v>
      </c>
      <c r="D93" s="253">
        <f>C93*SQRT((F91/E91/2)^2+(F90/E90/2)^2)</f>
        <v>1.4033237137217328E-2</v>
      </c>
      <c r="E93" s="236"/>
      <c r="F93" s="236"/>
      <c r="G93" s="236" t="s">
        <v>29</v>
      </c>
      <c r="H93" s="253">
        <f>SQRT(E91/E90)</f>
        <v>0.14717557480606144</v>
      </c>
      <c r="I93" s="253">
        <f>H93*SQRT((F91/E91/2)^2+(F90/E90/2)^2)</f>
        <v>1.4033237137217328E-2</v>
      </c>
      <c r="J93" s="236"/>
      <c r="K93" s="236"/>
      <c r="L93" s="237"/>
      <c r="M93" s="238"/>
      <c r="O93" s="16"/>
      <c r="P93" s="16"/>
      <c r="Q93" s="16"/>
      <c r="R93" s="15"/>
      <c r="S93" s="15"/>
      <c r="T93" s="15"/>
      <c r="U93" s="43"/>
      <c r="V93" s="46"/>
    </row>
    <row r="94" spans="1:22" s="302" customFormat="1">
      <c r="A94" s="236"/>
      <c r="B94" s="236" t="s">
        <v>3</v>
      </c>
      <c r="C94" s="253">
        <f>ATAN(C93)</f>
        <v>0.14612653561734143</v>
      </c>
      <c r="D94" s="253">
        <f>D93/(1+C93^2)</f>
        <v>1.3735712674944169E-2</v>
      </c>
      <c r="E94" s="257">
        <f>C94/PI()*180</f>
        <v>8.372433765741766</v>
      </c>
      <c r="F94" s="250">
        <f>D94/PI()*180</f>
        <v>0.78699836487865127</v>
      </c>
      <c r="G94" s="236"/>
      <c r="H94" s="236"/>
      <c r="I94" s="254"/>
      <c r="J94" s="236"/>
      <c r="K94" s="236"/>
      <c r="L94" s="236" t="s">
        <v>192</v>
      </c>
      <c r="M94" s="238"/>
      <c r="O94" s="16"/>
      <c r="P94" s="16"/>
      <c r="Q94" s="16"/>
      <c r="R94" s="15"/>
      <c r="S94" s="15"/>
      <c r="T94" s="15"/>
      <c r="U94" s="43"/>
      <c r="V94" s="46"/>
    </row>
    <row r="95" spans="1:22" s="302" customFormat="1">
      <c r="A95" s="236"/>
      <c r="B95" s="236" t="s">
        <v>235</v>
      </c>
      <c r="C95" s="253">
        <f>C94*2</f>
        <v>0.29225307123468286</v>
      </c>
      <c r="D95" s="253">
        <f>D94*2</f>
        <v>2.7471425349888338E-2</v>
      </c>
      <c r="E95" s="250">
        <f>C95/PI()*180</f>
        <v>16.744867531483532</v>
      </c>
      <c r="F95" s="250">
        <f>D95/PI()*180</f>
        <v>1.5739967297573025</v>
      </c>
      <c r="G95" s="236"/>
      <c r="H95" s="236"/>
      <c r="I95" s="254"/>
      <c r="J95" s="236"/>
      <c r="K95" s="236"/>
      <c r="L95" s="236"/>
      <c r="M95" s="238"/>
      <c r="O95" s="16"/>
      <c r="P95" s="16"/>
      <c r="Q95" s="16"/>
      <c r="R95" s="15"/>
      <c r="S95" s="15"/>
      <c r="T95" s="15"/>
      <c r="U95" s="43"/>
      <c r="V95" s="46"/>
    </row>
    <row r="96" spans="1:22" s="302" customFormat="1">
      <c r="A96" s="236"/>
      <c r="B96" s="236" t="s">
        <v>245</v>
      </c>
      <c r="C96" s="257">
        <f>C92*COS(C95)</f>
        <v>180.89010600706766</v>
      </c>
      <c r="D96" s="250">
        <f>SQRT((COS(C95))^2*D92^2+(C92*SIN(C95))^2*D95^2)</f>
        <v>1.8685887461300164</v>
      </c>
      <c r="E96" s="250"/>
      <c r="F96" s="236"/>
      <c r="G96" s="236" t="s">
        <v>30</v>
      </c>
      <c r="H96" s="238">
        <f>ABS(H92*(1-H93^2)/(1+H93^2))</f>
        <v>180.89010600706763</v>
      </c>
      <c r="I96" s="238">
        <f>SQRT((1-H93^2/(1+H93^2))^2*I92^2+(4*H92*H93/(1+H93^2)^2)^2*I93^2)</f>
        <v>1.8835785967772922</v>
      </c>
      <c r="J96" s="238">
        <f>ABS(I90-I91)</f>
        <v>180.89010600706843</v>
      </c>
      <c r="K96" s="236"/>
      <c r="L96" s="236" t="s">
        <v>246</v>
      </c>
      <c r="M96" s="238"/>
      <c r="O96" s="16"/>
      <c r="P96" s="16"/>
      <c r="Q96" s="16"/>
      <c r="R96" s="15"/>
      <c r="S96" s="15"/>
      <c r="T96" s="15"/>
      <c r="U96" s="43"/>
      <c r="V96" s="46"/>
    </row>
    <row r="97" spans="1:24" s="302" customFormat="1">
      <c r="A97" s="236"/>
      <c r="B97" s="236" t="s">
        <v>247</v>
      </c>
      <c r="C97" s="257">
        <f>C92*SIN(C95)/2</f>
        <v>27.212035704592335</v>
      </c>
      <c r="D97" s="238">
        <f>0.5*SQRT((SIN(C95))^2*D92^2+(C92*COS(C95))^2*D95^2)</f>
        <v>2.4903690920134234</v>
      </c>
      <c r="E97" s="236"/>
      <c r="F97" s="236"/>
      <c r="G97" s="236" t="s">
        <v>31</v>
      </c>
      <c r="H97" s="238">
        <f>H92*(H93)/(1+H93^2)</f>
        <v>27.212035704592328</v>
      </c>
      <c r="I97" s="238">
        <f>SQRT((H93/(1+H93^2))^2*I92^2+((H92-H92*H93^2)/(1+H93^2)^2)^2*I93^2)</f>
        <v>2.4903690920134229</v>
      </c>
      <c r="J97" s="236"/>
      <c r="K97" s="236"/>
      <c r="L97" s="236" t="s">
        <v>248</v>
      </c>
      <c r="M97" s="253"/>
      <c r="O97" s="16"/>
      <c r="P97" s="16"/>
      <c r="Q97" s="16"/>
      <c r="R97" s="15"/>
      <c r="S97" s="15"/>
      <c r="T97" s="15"/>
      <c r="U97" s="43"/>
      <c r="V97" s="46"/>
    </row>
    <row r="98" spans="1:24" s="302" customFormat="1">
      <c r="A98" s="236"/>
      <c r="B98" s="236" t="s">
        <v>249</v>
      </c>
      <c r="C98" s="259">
        <f>(E91/E90)/(E91/E90+1)</f>
        <v>2.1201413427561835E-2</v>
      </c>
      <c r="D98" s="255">
        <f>F98/(E98+1)^2</f>
        <v>3.9574028982382308E-3</v>
      </c>
      <c r="E98" s="238">
        <f>E91/E90</f>
        <v>2.1660649819494584E-2</v>
      </c>
      <c r="F98" s="238">
        <f>E98*SQRT((F90/E90)^2+(F91/E91)^2)</f>
        <v>4.1306994841194562E-3</v>
      </c>
      <c r="G98" s="236"/>
      <c r="H98" s="236"/>
      <c r="I98" s="236"/>
      <c r="J98" s="236"/>
      <c r="K98" s="236"/>
      <c r="L98" s="236" t="s">
        <v>205</v>
      </c>
      <c r="M98" s="253"/>
      <c r="O98" s="16"/>
      <c r="P98" s="16"/>
      <c r="Q98" s="16"/>
      <c r="R98" s="15"/>
      <c r="S98" s="15"/>
      <c r="T98" s="15"/>
      <c r="U98" s="43"/>
      <c r="V98" s="46"/>
    </row>
    <row r="99" spans="1:24" s="302" customFormat="1">
      <c r="A99" s="236"/>
      <c r="B99" s="236" t="s">
        <v>237</v>
      </c>
      <c r="C99" s="260">
        <f>(C92-C96)/2</f>
        <v>4.0049469964664439</v>
      </c>
      <c r="D99" s="250">
        <f>SQRT(D92^2+D96^2)</f>
        <v>2.2049090462338228</v>
      </c>
      <c r="E99" s="236"/>
      <c r="F99" s="236"/>
      <c r="G99" s="236"/>
      <c r="H99" s="236"/>
      <c r="I99" s="236"/>
      <c r="J99" s="236"/>
      <c r="K99" s="236"/>
      <c r="L99" s="236" t="s">
        <v>239</v>
      </c>
      <c r="M99" s="253"/>
      <c r="O99" s="16"/>
      <c r="P99" s="16"/>
      <c r="Q99" s="16"/>
      <c r="R99" s="15"/>
      <c r="S99" s="15"/>
      <c r="T99" s="15"/>
      <c r="U99" s="43"/>
      <c r="V99" s="46"/>
    </row>
    <row r="100" spans="1:24" s="302" customFormat="1">
      <c r="A100" s="236"/>
      <c r="B100" s="236" t="s">
        <v>250</v>
      </c>
      <c r="C100" s="236">
        <f>SQRT(C96^2+4*C97^2)</f>
        <v>188.90000000000055</v>
      </c>
      <c r="D100" s="236"/>
      <c r="E100" s="236"/>
      <c r="F100" s="236"/>
      <c r="G100" s="236"/>
      <c r="H100" s="236"/>
      <c r="I100" s="236"/>
      <c r="J100" s="236"/>
      <c r="K100" s="236"/>
      <c r="L100" s="253"/>
      <c r="M100" s="253"/>
      <c r="O100" s="16"/>
      <c r="P100" s="16"/>
      <c r="Q100" s="16"/>
      <c r="R100" s="15"/>
      <c r="S100" s="15"/>
      <c r="T100" s="15"/>
      <c r="U100" s="43"/>
      <c r="V100" s="46"/>
    </row>
    <row r="101" spans="1:24" s="147" customFormat="1">
      <c r="A101" s="149"/>
      <c r="B101" s="43"/>
      <c r="C101" s="42"/>
      <c r="O101" s="16"/>
      <c r="P101" s="16"/>
      <c r="Q101" s="16"/>
      <c r="R101" s="15"/>
      <c r="S101" s="15"/>
      <c r="T101" s="15"/>
      <c r="U101" s="43"/>
      <c r="V101" s="46"/>
    </row>
    <row r="102" spans="1:24" s="150" customFormat="1">
      <c r="B102" s="43"/>
      <c r="C102" s="42"/>
      <c r="O102" s="16"/>
      <c r="P102" s="16"/>
      <c r="Q102" s="16"/>
      <c r="R102" s="15"/>
      <c r="S102" s="15"/>
      <c r="T102" s="15"/>
      <c r="U102" s="43"/>
      <c r="V102" s="46"/>
    </row>
    <row r="103" spans="1:24" s="150" customFormat="1">
      <c r="A103" s="186" t="s">
        <v>180</v>
      </c>
      <c r="B103" s="186" t="s">
        <v>179</v>
      </c>
      <c r="C103" s="186" t="s">
        <v>255</v>
      </c>
      <c r="D103" s="186"/>
      <c r="E103" s="186"/>
      <c r="F103" s="186"/>
      <c r="G103" s="186"/>
      <c r="H103" s="186"/>
      <c r="I103" s="186"/>
      <c r="J103" s="186"/>
      <c r="K103" s="186"/>
      <c r="L103" s="187"/>
      <c r="M103" s="188"/>
      <c r="O103" s="151"/>
      <c r="P103" s="151" t="s">
        <v>180</v>
      </c>
      <c r="Q103" s="151"/>
      <c r="R103" s="151"/>
      <c r="S103" s="151"/>
      <c r="T103" s="151"/>
      <c r="U103" s="151"/>
      <c r="V103" s="151"/>
      <c r="W103" s="151"/>
      <c r="X103" s="151"/>
    </row>
    <row r="104" spans="1:24" s="150" customFormat="1">
      <c r="A104" s="186" t="s">
        <v>226</v>
      </c>
      <c r="B104" s="186" t="s">
        <v>215</v>
      </c>
      <c r="C104" s="186" t="s">
        <v>218</v>
      </c>
      <c r="D104" s="186" t="s">
        <v>219</v>
      </c>
      <c r="E104" s="189" t="s">
        <v>220</v>
      </c>
      <c r="F104" s="189" t="s">
        <v>223</v>
      </c>
      <c r="G104" s="189" t="s">
        <v>221</v>
      </c>
      <c r="H104" s="186" t="s">
        <v>222</v>
      </c>
      <c r="I104" s="186" t="s">
        <v>213</v>
      </c>
      <c r="J104" s="186" t="s">
        <v>224</v>
      </c>
      <c r="K104" s="186"/>
      <c r="L104" s="186" t="s">
        <v>34</v>
      </c>
      <c r="M104" s="190" t="s">
        <v>33</v>
      </c>
      <c r="O104" s="151"/>
      <c r="P104" s="151" t="s">
        <v>179</v>
      </c>
      <c r="Q104" s="6" t="s">
        <v>14</v>
      </c>
      <c r="R104" s="151"/>
      <c r="S104" s="151" t="s">
        <v>32</v>
      </c>
      <c r="T104" s="151"/>
      <c r="U104" s="151" t="s">
        <v>39</v>
      </c>
      <c r="V104" s="151"/>
      <c r="W104" s="151"/>
      <c r="X104" s="151"/>
    </row>
    <row r="105" spans="1:24" s="150" customFormat="1">
      <c r="A105" s="186" t="s">
        <v>240</v>
      </c>
      <c r="B105" s="191" t="s">
        <v>25</v>
      </c>
      <c r="C105" s="222">
        <v>4599</v>
      </c>
      <c r="D105" s="192">
        <v>0</v>
      </c>
      <c r="E105" s="198">
        <v>3.49</v>
      </c>
      <c r="F105" s="193">
        <v>0.11</v>
      </c>
      <c r="G105" s="194">
        <f>10^E105</f>
        <v>3090.295432513592</v>
      </c>
      <c r="H105" s="195">
        <f>G105*LN(10)*F105</f>
        <v>782.72350154387232</v>
      </c>
      <c r="I105" s="196">
        <f>$D$4/$G105</f>
        <v>1.9883147531309611</v>
      </c>
      <c r="J105" s="187">
        <f>I105*SQRT((H105/G105)^2+($E$4/$D$4)^2)</f>
        <v>0.50361045342523991</v>
      </c>
      <c r="K105" s="197"/>
      <c r="L105" s="198">
        <v>2</v>
      </c>
      <c r="M105" s="188">
        <f>(I105-L105)/$D$6^2</f>
        <v>-7.1813959233978332E-3</v>
      </c>
      <c r="O105" s="151"/>
      <c r="P105" s="151" t="s">
        <v>27</v>
      </c>
      <c r="Q105" s="80">
        <v>4579</v>
      </c>
      <c r="R105" s="151"/>
      <c r="S105" s="151">
        <v>0.8</v>
      </c>
      <c r="T105" s="151">
        <v>0.2</v>
      </c>
      <c r="U105" s="132">
        <f>Q105+(-Q109+Q107)/2</f>
        <v>4584.7142857142853</v>
      </c>
      <c r="V105" s="151"/>
      <c r="W105" s="151" t="s">
        <v>186</v>
      </c>
      <c r="X105" s="151" t="s">
        <v>197</v>
      </c>
    </row>
    <row r="106" spans="1:24" s="150" customFormat="1">
      <c r="A106" s="186" t="s">
        <v>240</v>
      </c>
      <c r="B106" s="191" t="s">
        <v>24</v>
      </c>
      <c r="C106" s="192">
        <v>4579</v>
      </c>
      <c r="D106" s="192">
        <v>0</v>
      </c>
      <c r="E106" s="203">
        <v>3.9</v>
      </c>
      <c r="F106" s="193">
        <v>0.1</v>
      </c>
      <c r="G106" s="194">
        <f>10^E106</f>
        <v>7943.2823472428154</v>
      </c>
      <c r="H106" s="195">
        <f>G106*LN(10)*F106</f>
        <v>1829.0083522204063</v>
      </c>
      <c r="I106" s="196">
        <f>$D$4/$G106</f>
        <v>0.77354420142610236</v>
      </c>
      <c r="J106" s="187">
        <f>I106*SQRT((H106/G106)^2+($E$4/$D$4)^2)</f>
        <v>0.17811574377413278</v>
      </c>
      <c r="K106" s="187"/>
      <c r="L106" s="198">
        <v>2</v>
      </c>
      <c r="M106" s="188">
        <f>(I106-L106)/$D$6^2</f>
        <v>-0.75374228467888749</v>
      </c>
      <c r="O106" s="151" t="s">
        <v>177</v>
      </c>
      <c r="P106" s="151" t="s">
        <v>28</v>
      </c>
      <c r="Q106" s="80">
        <v>4599</v>
      </c>
      <c r="R106" s="151"/>
      <c r="S106" s="151">
        <v>2</v>
      </c>
      <c r="T106" s="151">
        <v>0.4</v>
      </c>
      <c r="U106" s="132">
        <f>Q106-(-Q109+Q107)/2</f>
        <v>4593.2857142857147</v>
      </c>
      <c r="V106" s="151"/>
      <c r="W106" s="151" t="s">
        <v>185</v>
      </c>
      <c r="X106" s="151" t="s">
        <v>199</v>
      </c>
    </row>
    <row r="107" spans="1:24" s="150" customFormat="1">
      <c r="A107" s="186"/>
      <c r="B107" s="191"/>
      <c r="C107" s="199"/>
      <c r="D107" s="199"/>
      <c r="E107" s="189"/>
      <c r="F107" s="187"/>
      <c r="G107" s="194"/>
      <c r="H107" s="195"/>
      <c r="I107" s="196"/>
      <c r="J107" s="187"/>
      <c r="K107" s="187"/>
      <c r="L107" s="187"/>
      <c r="M107" s="188"/>
      <c r="O107" s="151"/>
      <c r="P107" s="151" t="s">
        <v>0</v>
      </c>
      <c r="Q107" s="81">
        <f>Q106-Q105</f>
        <v>20</v>
      </c>
      <c r="R107" s="151" t="s">
        <v>190</v>
      </c>
      <c r="S107" s="133">
        <f>Q106-Q105</f>
        <v>20</v>
      </c>
      <c r="T107" s="151">
        <f>SQRT(S109^2+4*S110^2)</f>
        <v>20</v>
      </c>
      <c r="U107" s="151"/>
      <c r="V107" s="151"/>
      <c r="W107" s="151" t="s">
        <v>194</v>
      </c>
      <c r="X107" s="151"/>
    </row>
    <row r="108" spans="1:24" s="150" customFormat="1">
      <c r="A108" s="186"/>
      <c r="B108" s="186"/>
      <c r="C108" s="188" t="s">
        <v>14</v>
      </c>
      <c r="D108" s="186"/>
      <c r="E108" s="186" t="s">
        <v>32</v>
      </c>
      <c r="F108" s="186" t="s">
        <v>231</v>
      </c>
      <c r="G108" s="186" t="s">
        <v>229</v>
      </c>
      <c r="H108" s="186" t="s">
        <v>230</v>
      </c>
      <c r="I108" s="186" t="s">
        <v>39</v>
      </c>
      <c r="J108" s="186"/>
      <c r="K108" s="186"/>
      <c r="L108" s="186"/>
      <c r="M108" s="186"/>
      <c r="O108" s="151"/>
      <c r="P108" s="151" t="s">
        <v>29</v>
      </c>
      <c r="Q108" s="74">
        <f>SQRT(S106/S105)</f>
        <v>1.5811388300841898</v>
      </c>
      <c r="R108" s="151" t="s">
        <v>189</v>
      </c>
      <c r="S108" s="6">
        <f>ATAN(SQRT(MIN(S105:S106)/MAX(S105:S106)))</f>
        <v>0.56394264136062888</v>
      </c>
      <c r="T108" s="80">
        <f>S108/PI()*180</f>
        <v>32.311533237423852</v>
      </c>
      <c r="U108" s="151"/>
      <c r="V108" s="151"/>
      <c r="W108" s="151" t="s">
        <v>192</v>
      </c>
      <c r="X108" s="151"/>
    </row>
    <row r="109" spans="1:24" s="150" customFormat="1">
      <c r="A109" s="186" t="s">
        <v>268</v>
      </c>
      <c r="B109" s="186" t="s">
        <v>254</v>
      </c>
      <c r="C109" s="199">
        <f>IF(I105&gt;I106,C105,C106)</f>
        <v>4599</v>
      </c>
      <c r="D109" s="199">
        <f>IF(I105&gt;I106,D105,D106)</f>
        <v>0</v>
      </c>
      <c r="E109" s="192">
        <v>2</v>
      </c>
      <c r="F109" s="192">
        <v>0.4</v>
      </c>
      <c r="G109" s="186">
        <v>0</v>
      </c>
      <c r="H109" s="186">
        <v>0</v>
      </c>
      <c r="I109" s="200">
        <f>IF(C109&gt;C110,C109-C118,C109+C118)</f>
        <v>4593.2857142857147</v>
      </c>
      <c r="J109" s="199">
        <f>SQRT(D109^2+D118^2)</f>
        <v>2.6135200969113672</v>
      </c>
      <c r="K109" s="186" t="s">
        <v>185</v>
      </c>
      <c r="L109" s="189" t="s">
        <v>227</v>
      </c>
      <c r="M109" s="186"/>
      <c r="O109" s="151"/>
      <c r="P109" s="151" t="s">
        <v>30</v>
      </c>
      <c r="Q109" s="74">
        <f>ABS(Q107*(1-Q108^2)/(1+Q108^2))</f>
        <v>8.571428571428573</v>
      </c>
      <c r="R109" s="151" t="s">
        <v>188</v>
      </c>
      <c r="S109" s="74">
        <f>S107*COS(2*S108)</f>
        <v>8.5714285714285694</v>
      </c>
      <c r="T109" s="151"/>
      <c r="U109" s="151"/>
      <c r="V109" s="151"/>
      <c r="W109" s="151" t="s">
        <v>195</v>
      </c>
      <c r="X109" s="151"/>
    </row>
    <row r="110" spans="1:24" s="150" customFormat="1">
      <c r="A110" s="186"/>
      <c r="B110" s="186" t="s">
        <v>28</v>
      </c>
      <c r="C110" s="199">
        <f>IF(I105&lt;I106,C105,C106)</f>
        <v>4579</v>
      </c>
      <c r="D110" s="199">
        <f>IF(I105&lt;I106,D105,D106)</f>
        <v>0</v>
      </c>
      <c r="E110" s="192">
        <v>0.8</v>
      </c>
      <c r="F110" s="192">
        <v>0.2</v>
      </c>
      <c r="G110" s="186">
        <v>0</v>
      </c>
      <c r="H110" s="186">
        <v>0</v>
      </c>
      <c r="I110" s="200">
        <f>IF(C110&gt;C109,C110-C118,C110+C118)</f>
        <v>4584.7142857142853</v>
      </c>
      <c r="J110" s="199">
        <f>SQRT(D110^2+D118^2)</f>
        <v>2.6135200969113672</v>
      </c>
      <c r="K110" s="186" t="s">
        <v>186</v>
      </c>
      <c r="L110" s="186"/>
      <c r="M110" s="186"/>
      <c r="O110" s="151"/>
      <c r="P110" s="151" t="s">
        <v>31</v>
      </c>
      <c r="Q110" s="74">
        <f>Q107*(Q108)/(1+Q108^2)</f>
        <v>9.0350790290525111</v>
      </c>
      <c r="R110" s="151" t="s">
        <v>187</v>
      </c>
      <c r="S110" s="74">
        <f>Q107*SIN(S108*2)/2</f>
        <v>9.0350790290525129</v>
      </c>
      <c r="T110" s="151"/>
      <c r="U110" s="151"/>
      <c r="V110" s="151"/>
      <c r="W110" s="151" t="s">
        <v>191</v>
      </c>
      <c r="X110" s="151"/>
    </row>
    <row r="111" spans="1:24" s="150" customFormat="1" ht="15.6">
      <c r="A111" s="186"/>
      <c r="B111" s="186" t="s">
        <v>243</v>
      </c>
      <c r="C111" s="232">
        <f>ABS(C110-C109)</f>
        <v>20</v>
      </c>
      <c r="D111" s="199">
        <f>SQRT(D109^2+D110^2)</f>
        <v>0</v>
      </c>
      <c r="E111" s="186"/>
      <c r="F111" s="186"/>
      <c r="G111" s="186" t="s">
        <v>0</v>
      </c>
      <c r="H111" s="199">
        <f>ABS(C110-C109)</f>
        <v>20</v>
      </c>
      <c r="I111" s="199">
        <f>SQRT(D109^2+D110^2)</f>
        <v>0</v>
      </c>
      <c r="J111" s="186"/>
      <c r="K111" s="186"/>
      <c r="L111" s="186" t="s">
        <v>193</v>
      </c>
      <c r="M111" s="186"/>
      <c r="O111" s="151"/>
      <c r="P111" s="151"/>
      <c r="Q111" s="151"/>
      <c r="R111" s="151" t="s">
        <v>204</v>
      </c>
      <c r="S111" s="82">
        <f>(MIN(S105,S106)/MAX(S105,S106))/(MIN(S105,S106)/MAX(S105,S106)+1)</f>
        <v>0.28571428571428575</v>
      </c>
      <c r="T111" s="151"/>
      <c r="U111" s="151"/>
      <c r="V111" s="151"/>
      <c r="W111" s="151" t="s">
        <v>205</v>
      </c>
      <c r="X111" s="151"/>
    </row>
    <row r="112" spans="1:24" s="147" customFormat="1">
      <c r="A112" s="186"/>
      <c r="B112" s="186" t="s">
        <v>244</v>
      </c>
      <c r="C112" s="201">
        <f>SQRT((E110)/(E109))</f>
        <v>0.63245553203367588</v>
      </c>
      <c r="D112" s="201">
        <f>C112*SQRT((F110/E110/2)^2+(F109/E109/2)^2)</f>
        <v>0.10124228365658294</v>
      </c>
      <c r="E112" s="186"/>
      <c r="F112" s="186"/>
      <c r="G112" s="186" t="s">
        <v>29</v>
      </c>
      <c r="H112" s="201">
        <f>SQRT(E110/E109)</f>
        <v>0.63245553203367588</v>
      </c>
      <c r="I112" s="201">
        <f>H112*SQRT((F110/E110/2)^2+(F109/E109/2)^2)</f>
        <v>0.10124228365658294</v>
      </c>
      <c r="J112" s="186"/>
      <c r="K112" s="186"/>
      <c r="L112" s="187"/>
      <c r="M112" s="188"/>
      <c r="O112" s="16"/>
      <c r="P112" s="16"/>
      <c r="Q112" s="16"/>
      <c r="R112" s="15"/>
      <c r="S112" s="15"/>
      <c r="T112" s="15"/>
      <c r="U112" s="43"/>
      <c r="V112" s="46"/>
    </row>
    <row r="113" spans="1:24">
      <c r="A113" s="186"/>
      <c r="B113" s="186" t="s">
        <v>3</v>
      </c>
      <c r="C113" s="201">
        <f>ATAN(C112)</f>
        <v>0.56394264136062888</v>
      </c>
      <c r="D113" s="201">
        <f>D112/(1+C112^2)</f>
        <v>7.2315916897559243E-2</v>
      </c>
      <c r="E113" s="229">
        <f>C113/PI()*180</f>
        <v>32.311533237423852</v>
      </c>
      <c r="F113" s="199">
        <f>D113/PI()*180</f>
        <v>4.143396829848939</v>
      </c>
      <c r="G113" s="186"/>
      <c r="H113" s="186"/>
      <c r="I113" s="202"/>
      <c r="J113" s="186"/>
      <c r="K113" s="186"/>
      <c r="L113" s="186" t="s">
        <v>192</v>
      </c>
      <c r="M113" s="188"/>
      <c r="O113" s="16"/>
      <c r="P113" s="15"/>
      <c r="Q113" s="15"/>
      <c r="R113" s="15"/>
      <c r="S113" s="15"/>
      <c r="T113" s="15"/>
      <c r="U113" s="43"/>
      <c r="V113" s="45"/>
    </row>
    <row r="114" spans="1:24">
      <c r="A114" s="186"/>
      <c r="B114" s="186" t="s">
        <v>235</v>
      </c>
      <c r="C114" s="201">
        <f>C113*2</f>
        <v>1.1278852827212578</v>
      </c>
      <c r="D114" s="201">
        <f>D113*2</f>
        <v>0.14463183379511849</v>
      </c>
      <c r="E114" s="199">
        <f>C114/PI()*180</f>
        <v>64.623066474847704</v>
      </c>
      <c r="F114" s="199">
        <f>D114/PI()*180</f>
        <v>8.286793659697878</v>
      </c>
      <c r="G114" s="186"/>
      <c r="H114" s="186"/>
      <c r="I114" s="202"/>
      <c r="J114" s="186"/>
      <c r="K114" s="186"/>
      <c r="L114" s="186"/>
      <c r="M114" s="188"/>
      <c r="O114" s="16"/>
      <c r="P114" s="15"/>
      <c r="Q114" s="15"/>
      <c r="R114" s="15"/>
      <c r="S114" s="15"/>
      <c r="T114" s="15"/>
      <c r="U114" s="43"/>
      <c r="V114" s="45"/>
    </row>
    <row r="115" spans="1:24">
      <c r="A115" s="186"/>
      <c r="B115" s="186" t="s">
        <v>245</v>
      </c>
      <c r="C115" s="229">
        <f>C111*COS(C114)</f>
        <v>8.5714285714285694</v>
      </c>
      <c r="D115" s="188">
        <f>SQRT((COS(C114))^2*D111^2+(C111*SIN(C114))^2*D114^2)</f>
        <v>2.6135200969113672</v>
      </c>
      <c r="E115" s="199"/>
      <c r="F115" s="186"/>
      <c r="G115" s="186" t="s">
        <v>30</v>
      </c>
      <c r="H115" s="188">
        <f>ABS(H111*(1-H112^2)/(1+H112^2))</f>
        <v>8.5714285714285712</v>
      </c>
      <c r="I115" s="188">
        <f>SQRT((1-H112^2/(1+H112^2))^2*I111^2+(4*H111*H112/(1+H112^2)^2)^2*I112^2)</f>
        <v>2.6135200969113672</v>
      </c>
      <c r="J115" s="188">
        <f>ABS(I109-I110)</f>
        <v>8.571428571429351</v>
      </c>
      <c r="K115" s="186"/>
      <c r="L115" s="186" t="s">
        <v>246</v>
      </c>
      <c r="M115" s="188"/>
      <c r="Q115" s="15"/>
      <c r="R115" s="15"/>
      <c r="S115" s="15"/>
      <c r="T115" s="15"/>
      <c r="U115" s="43"/>
      <c r="V115" s="46"/>
    </row>
    <row r="116" spans="1:24">
      <c r="A116" s="186"/>
      <c r="B116" s="186" t="s">
        <v>247</v>
      </c>
      <c r="C116" s="233">
        <f>C111*SIN(C114)/2</f>
        <v>9.0350790290525129</v>
      </c>
      <c r="D116" s="188">
        <f>0.5*SQRT((SIN(C114))^2*D111^2+(C111*COS(C114))^2*D114^2)</f>
        <v>0.61985071626479338</v>
      </c>
      <c r="E116" s="186"/>
      <c r="F116" s="186"/>
      <c r="G116" s="186" t="s">
        <v>31</v>
      </c>
      <c r="H116" s="188">
        <f>H111*(H112)/(1+H112^2)</f>
        <v>9.0350790290525129</v>
      </c>
      <c r="I116" s="188">
        <f>SQRT((H112/(1+H112^2))^2*I111^2+((H111-H111*H112^2)/(1+H112^2)^2)^2*I112^2)</f>
        <v>0.6198507162647936</v>
      </c>
      <c r="J116" s="186"/>
      <c r="K116" s="186"/>
      <c r="L116" s="186" t="s">
        <v>248</v>
      </c>
      <c r="M116" s="201"/>
      <c r="Q116" s="15"/>
      <c r="R116" s="10"/>
      <c r="S116" s="15"/>
      <c r="T116" s="10"/>
      <c r="U116" s="10"/>
      <c r="V116" s="10"/>
    </row>
    <row r="117" spans="1:24">
      <c r="A117" s="186"/>
      <c r="B117" s="186" t="s">
        <v>249</v>
      </c>
      <c r="C117" s="234">
        <f>(E110/E109)/(E110/E109+1)</f>
        <v>0.28571428571428575</v>
      </c>
      <c r="D117" s="70">
        <f>F117/(E117+1)^2</f>
        <v>6.5338002422784175E-2</v>
      </c>
      <c r="E117" s="188">
        <f>E110/E109</f>
        <v>0.4</v>
      </c>
      <c r="F117" s="188">
        <f>E117*SQRT((F109/E109)^2+(F110/E110)^2)</f>
        <v>0.12806248474865697</v>
      </c>
      <c r="G117" s="186"/>
      <c r="H117" s="186"/>
      <c r="I117" s="186"/>
      <c r="J117" s="186"/>
      <c r="K117" s="186"/>
      <c r="L117" s="186" t="s">
        <v>205</v>
      </c>
      <c r="M117" s="201"/>
    </row>
    <row r="118" spans="1:24">
      <c r="A118" s="186"/>
      <c r="B118" s="186" t="s">
        <v>237</v>
      </c>
      <c r="C118" s="235">
        <f>(C111-C115)/2</f>
        <v>5.7142857142857153</v>
      </c>
      <c r="D118" s="225">
        <f>SQRT(D111^2+D115^2)</f>
        <v>2.6135200969113672</v>
      </c>
      <c r="E118" s="186"/>
      <c r="F118" s="186"/>
      <c r="G118" s="186"/>
      <c r="H118" s="186"/>
      <c r="I118" s="186"/>
      <c r="J118" s="186"/>
      <c r="K118" s="186"/>
      <c r="L118" s="186" t="s">
        <v>239</v>
      </c>
      <c r="M118" s="201"/>
    </row>
    <row r="119" spans="1:24">
      <c r="A119" s="186"/>
      <c r="B119" s="186" t="s">
        <v>250</v>
      </c>
      <c r="C119" s="186">
        <f>SQRT(C115^2+4*C116^2)</f>
        <v>20</v>
      </c>
      <c r="D119" s="186"/>
      <c r="E119" s="186"/>
      <c r="F119" s="186"/>
      <c r="G119" s="186"/>
      <c r="H119" s="186"/>
      <c r="I119" s="186"/>
      <c r="J119" s="186"/>
      <c r="K119" s="186"/>
      <c r="L119" s="201"/>
      <c r="M119" s="201"/>
    </row>
    <row r="120" spans="1:24">
      <c r="H120" s="1"/>
    </row>
    <row r="121" spans="1:24">
      <c r="D121" s="11"/>
      <c r="H121" s="1"/>
    </row>
    <row r="122" spans="1:24">
      <c r="A122" s="60" t="s">
        <v>196</v>
      </c>
      <c r="B122" s="60" t="s">
        <v>208</v>
      </c>
      <c r="C122" s="60" t="s">
        <v>252</v>
      </c>
      <c r="D122" s="60"/>
      <c r="E122" s="60"/>
      <c r="F122" s="60"/>
      <c r="G122" s="60"/>
      <c r="H122" s="60"/>
      <c r="I122" s="60"/>
      <c r="J122" s="60"/>
      <c r="K122" s="60"/>
      <c r="L122" s="204"/>
      <c r="M122" s="205"/>
      <c r="O122" s="35"/>
      <c r="P122" s="35" t="s">
        <v>196</v>
      </c>
      <c r="Q122" s="35"/>
      <c r="R122" s="35"/>
      <c r="S122" s="35"/>
      <c r="T122" s="35"/>
      <c r="U122" s="35"/>
      <c r="V122" s="35"/>
      <c r="W122" s="35"/>
      <c r="X122" s="35"/>
    </row>
    <row r="123" spans="1:24">
      <c r="A123" s="60" t="s">
        <v>226</v>
      </c>
      <c r="B123" s="60" t="s">
        <v>215</v>
      </c>
      <c r="C123" s="60" t="s">
        <v>218</v>
      </c>
      <c r="D123" s="60" t="s">
        <v>219</v>
      </c>
      <c r="E123" s="206" t="s">
        <v>220</v>
      </c>
      <c r="F123" s="206" t="s">
        <v>223</v>
      </c>
      <c r="G123" s="206" t="s">
        <v>221</v>
      </c>
      <c r="H123" s="60" t="s">
        <v>222</v>
      </c>
      <c r="I123" s="60" t="s">
        <v>213</v>
      </c>
      <c r="J123" s="60" t="s">
        <v>224</v>
      </c>
      <c r="K123" s="60"/>
      <c r="L123" s="60" t="s">
        <v>34</v>
      </c>
      <c r="M123" s="207" t="s">
        <v>33</v>
      </c>
      <c r="O123" s="35"/>
      <c r="P123" s="35" t="s">
        <v>208</v>
      </c>
      <c r="Q123" s="77" t="s">
        <v>14</v>
      </c>
      <c r="R123" s="35"/>
      <c r="S123" s="35" t="s">
        <v>32</v>
      </c>
      <c r="T123" s="35"/>
      <c r="U123" s="35" t="s">
        <v>39</v>
      </c>
      <c r="V123" s="35"/>
      <c r="W123" s="35"/>
      <c r="X123" s="35"/>
    </row>
    <row r="124" spans="1:24">
      <c r="A124" s="60" t="s">
        <v>251</v>
      </c>
      <c r="B124" s="208" t="s">
        <v>241</v>
      </c>
      <c r="C124" s="221">
        <v>3508</v>
      </c>
      <c r="D124" s="209">
        <v>140</v>
      </c>
      <c r="E124" s="215">
        <v>3.37</v>
      </c>
      <c r="F124" s="210">
        <v>0.1</v>
      </c>
      <c r="G124" s="211">
        <f>10^E124</f>
        <v>2344.2288153199238</v>
      </c>
      <c r="H124" s="212">
        <f>G124*LN(10)*F124</f>
        <v>539.77863247227492</v>
      </c>
      <c r="I124" s="213">
        <f>$D$4/$G124</f>
        <v>2.6211093216860082</v>
      </c>
      <c r="J124" s="204">
        <f>I124*SQRT((H124/G124)^2+($E$4/$D$4)^2)</f>
        <v>0.60353478894252399</v>
      </c>
      <c r="K124" s="214"/>
      <c r="L124" s="215">
        <v>2</v>
      </c>
      <c r="M124" s="205">
        <f>(I124-L124)/$D$6^2</f>
        <v>0.38171482389119138</v>
      </c>
      <c r="O124" s="35"/>
      <c r="P124" s="35" t="s">
        <v>27</v>
      </c>
      <c r="Q124" s="89">
        <v>3423</v>
      </c>
      <c r="R124" s="35"/>
      <c r="S124" s="35">
        <v>1.3</v>
      </c>
      <c r="T124" s="35">
        <v>0.5</v>
      </c>
      <c r="U124" s="138">
        <f>Q124+(-Q128+Q126)/2</f>
        <v>3450.625</v>
      </c>
      <c r="V124" s="35"/>
      <c r="W124" s="35" t="s">
        <v>186</v>
      </c>
      <c r="X124" s="35" t="s">
        <v>197</v>
      </c>
    </row>
    <row r="125" spans="1:24">
      <c r="A125" s="60" t="s">
        <v>251</v>
      </c>
      <c r="B125" s="208" t="s">
        <v>242</v>
      </c>
      <c r="C125" s="216">
        <v>3423</v>
      </c>
      <c r="D125" s="209">
        <v>140</v>
      </c>
      <c r="E125" s="210">
        <v>3.69</v>
      </c>
      <c r="F125" s="215">
        <v>0.09</v>
      </c>
      <c r="G125" s="211">
        <f>10^E125</f>
        <v>4897.7881936844633</v>
      </c>
      <c r="H125" s="212">
        <f>G125*LN(10)*F125</f>
        <v>1014.9816675078072</v>
      </c>
      <c r="I125" s="213">
        <f>$D$4/$G125</f>
        <v>1.2545417966263026</v>
      </c>
      <c r="J125" s="204">
        <f>I125*SQRT((H125/G125)^2+($E$4/$D$4)^2)</f>
        <v>0.25998312911282673</v>
      </c>
      <c r="K125" s="204"/>
      <c r="L125" s="215">
        <v>0.8</v>
      </c>
      <c r="M125" s="205">
        <f>(I125-L125)/$D$6^2</f>
        <v>0.27934750903337374</v>
      </c>
      <c r="O125" s="35" t="s">
        <v>38</v>
      </c>
      <c r="P125" s="35" t="s">
        <v>28</v>
      </c>
      <c r="Q125" s="89">
        <v>3508</v>
      </c>
      <c r="R125" s="35"/>
      <c r="S125" s="35">
        <v>2.7</v>
      </c>
      <c r="T125" s="35">
        <v>0.5</v>
      </c>
      <c r="U125" s="138">
        <f>Q125-(-Q128+Q126)/2</f>
        <v>3480.375</v>
      </c>
      <c r="V125" s="35"/>
      <c r="W125" s="35" t="s">
        <v>185</v>
      </c>
      <c r="X125" s="35" t="s">
        <v>199</v>
      </c>
    </row>
    <row r="126" spans="1:24">
      <c r="A126" s="60"/>
      <c r="B126" s="208"/>
      <c r="C126" s="217"/>
      <c r="D126" s="217"/>
      <c r="E126" s="206"/>
      <c r="F126" s="204"/>
      <c r="G126" s="211"/>
      <c r="H126" s="212"/>
      <c r="I126" s="213"/>
      <c r="J126" s="204"/>
      <c r="K126" s="204"/>
      <c r="L126" s="204"/>
      <c r="M126" s="205"/>
      <c r="O126" s="35"/>
      <c r="P126" s="35" t="s">
        <v>203</v>
      </c>
      <c r="Q126" s="139">
        <f>Q125-Q124</f>
        <v>85</v>
      </c>
      <c r="R126" s="35" t="s">
        <v>190</v>
      </c>
      <c r="S126" s="140">
        <f>Q125-Q124</f>
        <v>85</v>
      </c>
      <c r="T126" s="35">
        <f>SQRT(S128^2+4*S129^2)</f>
        <v>85</v>
      </c>
      <c r="U126" s="35"/>
      <c r="V126" s="35"/>
      <c r="W126" s="35" t="s">
        <v>194</v>
      </c>
      <c r="X126" s="35"/>
    </row>
    <row r="127" spans="1:24">
      <c r="A127" s="60"/>
      <c r="B127" s="60"/>
      <c r="C127" s="205" t="s">
        <v>14</v>
      </c>
      <c r="D127" s="60"/>
      <c r="E127" s="60" t="s">
        <v>32</v>
      </c>
      <c r="F127" s="60" t="s">
        <v>231</v>
      </c>
      <c r="G127" s="60" t="s">
        <v>229</v>
      </c>
      <c r="H127" s="60" t="s">
        <v>230</v>
      </c>
      <c r="I127" s="60" t="s">
        <v>39</v>
      </c>
      <c r="J127" s="60"/>
      <c r="K127" s="60"/>
      <c r="L127" s="60"/>
      <c r="M127" s="60"/>
      <c r="O127" s="35"/>
      <c r="P127" s="35" t="s">
        <v>29</v>
      </c>
      <c r="Q127" s="84">
        <f>SQRT(S125/S124)</f>
        <v>1.4411533842457842</v>
      </c>
      <c r="R127" s="35" t="s">
        <v>189</v>
      </c>
      <c r="S127" s="77">
        <f>ATAN(SQRT(MIN(S124:S125)/MAX(S124:S125)))</f>
        <v>0.60661261157469315</v>
      </c>
      <c r="T127" s="89">
        <f>S127/PI()*180</f>
        <v>34.756342442638669</v>
      </c>
      <c r="U127" s="35"/>
      <c r="V127" s="35"/>
      <c r="W127" s="35" t="s">
        <v>192</v>
      </c>
      <c r="X127" s="35"/>
    </row>
    <row r="128" spans="1:24">
      <c r="A128" s="60" t="s">
        <v>268</v>
      </c>
      <c r="B128" s="60" t="s">
        <v>27</v>
      </c>
      <c r="C128" s="217">
        <f>IF(I124&gt;I125,C124,C125)</f>
        <v>3508</v>
      </c>
      <c r="D128" s="217">
        <f>IF(I124&gt;I125,D124,D125)</f>
        <v>140</v>
      </c>
      <c r="E128" s="209">
        <v>2.7</v>
      </c>
      <c r="F128" s="209">
        <v>0.5</v>
      </c>
      <c r="G128" s="60">
        <v>0</v>
      </c>
      <c r="H128" s="60">
        <v>0</v>
      </c>
      <c r="I128" s="218">
        <f>IF(C128&gt;C129,C128-C137,C128+C137)</f>
        <v>3480.375</v>
      </c>
      <c r="J128" s="217">
        <f>SQRT(D128^2+D137^2)</f>
        <v>252.69633842445162</v>
      </c>
      <c r="K128" s="60" t="s">
        <v>185</v>
      </c>
      <c r="L128" s="206" t="s">
        <v>227</v>
      </c>
      <c r="M128" s="60"/>
      <c r="O128" s="35"/>
      <c r="P128" s="35" t="s">
        <v>30</v>
      </c>
      <c r="Q128" s="84">
        <f>ABS(Q126*(1-Q127^2)/(1+Q127^2))</f>
        <v>29.75</v>
      </c>
      <c r="R128" s="35" t="s">
        <v>188</v>
      </c>
      <c r="S128" s="84">
        <f>S126*COS(2*S127)</f>
        <v>29.750000000000004</v>
      </c>
      <c r="T128" s="35"/>
      <c r="U128" s="35"/>
      <c r="V128" s="35"/>
      <c r="W128" s="35" t="s">
        <v>195</v>
      </c>
      <c r="X128" s="35"/>
    </row>
    <row r="129" spans="1:24">
      <c r="A129" s="60"/>
      <c r="B129" s="60" t="s">
        <v>28</v>
      </c>
      <c r="C129" s="217">
        <f>IF(I124&lt;I125,C124,C125)</f>
        <v>3423</v>
      </c>
      <c r="D129" s="217">
        <f>IF(I124&lt;I125,D124,D125)</f>
        <v>140</v>
      </c>
      <c r="E129" s="209">
        <v>1.3</v>
      </c>
      <c r="F129" s="209">
        <v>0.5</v>
      </c>
      <c r="G129" s="60">
        <v>0</v>
      </c>
      <c r="H129" s="60">
        <v>0</v>
      </c>
      <c r="I129" s="218">
        <f>IF(C129&gt;C128,C129-C137,C129+C137)</f>
        <v>3450.625</v>
      </c>
      <c r="J129" s="217">
        <f>SQRT(D129^2+D137^2)</f>
        <v>252.69633842445162</v>
      </c>
      <c r="K129" s="60" t="s">
        <v>186</v>
      </c>
      <c r="L129" s="60"/>
      <c r="M129" s="60"/>
      <c r="O129" s="35"/>
      <c r="P129" s="35" t="s">
        <v>31</v>
      </c>
      <c r="Q129" s="84">
        <f>Q126*(Q127)/(1+Q127^2)</f>
        <v>39.811862239789782</v>
      </c>
      <c r="R129" s="35" t="s">
        <v>187</v>
      </c>
      <c r="S129" s="84">
        <f>Q126*SIN(S127*2)/2</f>
        <v>39.811862239789789</v>
      </c>
      <c r="T129" s="35"/>
      <c r="U129" s="35"/>
      <c r="V129" s="35"/>
      <c r="W129" s="35" t="s">
        <v>201</v>
      </c>
      <c r="X129" s="35"/>
    </row>
    <row r="130" spans="1:24" ht="15.6">
      <c r="A130" s="60"/>
      <c r="B130" s="60" t="s">
        <v>190</v>
      </c>
      <c r="C130" s="232">
        <f>ABS(C129-C128)</f>
        <v>85</v>
      </c>
      <c r="D130" s="217">
        <f>SQRT(D128^2+D129^2)</f>
        <v>197.98989873223331</v>
      </c>
      <c r="E130" s="60"/>
      <c r="F130" s="60"/>
      <c r="G130" s="60" t="s">
        <v>0</v>
      </c>
      <c r="H130" s="217">
        <f>ABS(C129-C128)</f>
        <v>85</v>
      </c>
      <c r="I130" s="217">
        <f>SQRT(D128^2+D129^2)</f>
        <v>197.98989873223331</v>
      </c>
      <c r="J130" s="60"/>
      <c r="K130" s="60"/>
      <c r="L130" s="60" t="s">
        <v>193</v>
      </c>
      <c r="M130" s="60"/>
      <c r="O130" s="35"/>
      <c r="P130" s="35"/>
      <c r="Q130" s="35"/>
      <c r="R130" s="35" t="s">
        <v>204</v>
      </c>
      <c r="S130" s="66">
        <f>(MIN(S124,S125)/MAX(S124,S125))/(MIN(S124,S125)/MAX(S124,S125)+1)</f>
        <v>0.32500000000000001</v>
      </c>
      <c r="T130" s="35"/>
      <c r="U130" s="35"/>
      <c r="V130" s="35"/>
      <c r="W130" s="35" t="s">
        <v>205</v>
      </c>
      <c r="X130" s="35"/>
    </row>
    <row r="131" spans="1:24">
      <c r="A131" s="60"/>
      <c r="B131" s="60" t="s">
        <v>228</v>
      </c>
      <c r="C131" s="219">
        <f>SQRT((E129)/(E128))</f>
        <v>0.69388866648871095</v>
      </c>
      <c r="D131" s="219">
        <f>C131*SQRT((F129/E129/2)^2+(F128/E128/2)^2)</f>
        <v>0.14810197655525292</v>
      </c>
      <c r="E131" s="60"/>
      <c r="F131" s="60"/>
      <c r="G131" s="60" t="s">
        <v>29</v>
      </c>
      <c r="H131" s="219">
        <f>SQRT(E129/E128)</f>
        <v>0.69388866648871095</v>
      </c>
      <c r="I131" s="219">
        <f>H131*SQRT((F129/E129/2)^2+(F128/E128/2)^2)</f>
        <v>0.14810197655525292</v>
      </c>
      <c r="J131" s="60"/>
      <c r="K131" s="60"/>
      <c r="L131" s="204"/>
      <c r="M131" s="205"/>
    </row>
    <row r="132" spans="1:24">
      <c r="A132" s="60"/>
      <c r="B132" s="60" t="s">
        <v>189</v>
      </c>
      <c r="C132" s="219">
        <f>ATAN(C131)</f>
        <v>0.60661261157469315</v>
      </c>
      <c r="D132" s="219">
        <f>D131/(1+C131^2)</f>
        <v>9.9968834174795726E-2</v>
      </c>
      <c r="E132" s="228">
        <f>C132/PI()*180</f>
        <v>34.756342442638669</v>
      </c>
      <c r="F132" s="227">
        <f>D132/PI()*180</f>
        <v>5.727792281058985</v>
      </c>
      <c r="G132" s="60"/>
      <c r="H132" s="60"/>
      <c r="I132" s="220"/>
      <c r="J132" s="60"/>
      <c r="K132" s="60"/>
      <c r="L132" s="60" t="s">
        <v>192</v>
      </c>
      <c r="M132" s="205"/>
    </row>
    <row r="133" spans="1:24">
      <c r="A133" s="60"/>
      <c r="B133" s="60" t="s">
        <v>236</v>
      </c>
      <c r="C133" s="219">
        <f>C132*2</f>
        <v>1.2132252231493863</v>
      </c>
      <c r="D133" s="219">
        <f>D132*2</f>
        <v>0.19993766834959145</v>
      </c>
      <c r="E133" s="227">
        <f>C133/PI()*180</f>
        <v>69.512684885277338</v>
      </c>
      <c r="F133" s="227">
        <f>D133/PI()*180</f>
        <v>11.45558456211797</v>
      </c>
      <c r="G133" s="60"/>
      <c r="H133" s="60"/>
      <c r="I133" s="220"/>
      <c r="J133" s="60"/>
      <c r="K133" s="60"/>
      <c r="L133" s="60"/>
      <c r="M133" s="205"/>
    </row>
    <row r="134" spans="1:24">
      <c r="A134" s="60"/>
      <c r="B134" s="60" t="s">
        <v>188</v>
      </c>
      <c r="C134" s="229">
        <f>C130*COS(C133)</f>
        <v>29.750000000000004</v>
      </c>
      <c r="D134" s="227">
        <f>SQRT((COS(C133))^2*D130^2+(C130*SIN(C133))^2*D133^2)</f>
        <v>71.101613576099666</v>
      </c>
      <c r="E134" s="217"/>
      <c r="F134" s="60"/>
      <c r="G134" s="60" t="s">
        <v>30</v>
      </c>
      <c r="H134" s="217">
        <f>ABS(H130*(1-H131^2)/(1+H131^2))</f>
        <v>29.75</v>
      </c>
      <c r="I134" s="217">
        <f>SQRT((1-H131^2/(1+H131^2))^2*I130^2+(4*H130*H131/(1+H131^2)^2)^2*I131^2)</f>
        <v>134.58803606979708</v>
      </c>
      <c r="J134" s="217">
        <f>ABS(I128-I129)</f>
        <v>29.75</v>
      </c>
      <c r="K134" s="60"/>
      <c r="L134" s="60" t="s">
        <v>233</v>
      </c>
      <c r="M134" s="205"/>
    </row>
    <row r="135" spans="1:24">
      <c r="A135" s="60"/>
      <c r="B135" s="60" t="s">
        <v>187</v>
      </c>
      <c r="C135" s="229">
        <f>C130*SIN(C133)/2</f>
        <v>39.811862239789789</v>
      </c>
      <c r="D135" s="227">
        <f>0.5*SQRT((SIN(C133))^2*D130^2+(C130*COS(C133))^2*D133^2)</f>
        <v>92.781167858132903</v>
      </c>
      <c r="E135" s="60"/>
      <c r="F135" s="60"/>
      <c r="G135" s="60" t="s">
        <v>31</v>
      </c>
      <c r="H135" s="217">
        <f>H130*(H131)/(1+H131^2)</f>
        <v>39.811862239789797</v>
      </c>
      <c r="I135" s="217">
        <f>SQRT((H131/(1+H131^2))^2*I130^2+((H130-H130*H131^2)/(1+H131^2)^2)^2*I131^2)</f>
        <v>92.781167858132932</v>
      </c>
      <c r="J135" s="217"/>
      <c r="K135" s="60"/>
      <c r="L135" s="60" t="s">
        <v>234</v>
      </c>
      <c r="M135" s="219"/>
    </row>
    <row r="136" spans="1:24" ht="15.6">
      <c r="A136" s="60"/>
      <c r="B136" s="60" t="s">
        <v>204</v>
      </c>
      <c r="C136" s="230">
        <f>(E129/E128)/(E129/E128+1)</f>
        <v>0.32500000000000001</v>
      </c>
      <c r="D136" s="226">
        <f>F136/(E136+1)^2</f>
        <v>9.3645775398573119E-2</v>
      </c>
      <c r="E136" s="205">
        <f>E129/E128</f>
        <v>0.48148148148148145</v>
      </c>
      <c r="F136" s="205">
        <f>E136*SQRT((F128/E128)^2+(F129/E129)^2)</f>
        <v>0.20553256603253356</v>
      </c>
      <c r="G136" s="60"/>
      <c r="H136" s="60"/>
      <c r="I136" s="60"/>
      <c r="J136" s="60"/>
      <c r="K136" s="60"/>
      <c r="L136" s="60" t="s">
        <v>205</v>
      </c>
      <c r="M136" s="219"/>
    </row>
    <row r="137" spans="1:24">
      <c r="A137" s="60"/>
      <c r="B137" s="60" t="s">
        <v>238</v>
      </c>
      <c r="C137" s="231">
        <f>(C130-C134)/2</f>
        <v>27.625</v>
      </c>
      <c r="D137" s="227">
        <f>SQRT(D130^2+D134^2)</f>
        <v>210.36976839157521</v>
      </c>
      <c r="E137" s="60"/>
      <c r="F137" s="60"/>
      <c r="G137" s="60"/>
      <c r="H137" s="60"/>
      <c r="I137" s="60"/>
      <c r="J137" s="60"/>
      <c r="K137" s="60"/>
      <c r="L137" s="60" t="s">
        <v>239</v>
      </c>
      <c r="M137" s="219"/>
    </row>
    <row r="138" spans="1:24">
      <c r="A138" s="60"/>
      <c r="B138" s="60" t="s">
        <v>232</v>
      </c>
      <c r="C138" s="60">
        <f>SQRT(C134^2+4*C135^2)</f>
        <v>85</v>
      </c>
      <c r="D138" s="60"/>
      <c r="E138" s="60"/>
      <c r="F138" s="60"/>
      <c r="G138" s="60"/>
      <c r="H138" s="60"/>
      <c r="I138" s="60"/>
      <c r="J138" s="60"/>
      <c r="K138" s="60"/>
      <c r="L138" s="219"/>
      <c r="M138" s="219"/>
    </row>
    <row r="139" spans="1:24">
      <c r="D139" s="1"/>
    </row>
    <row r="140" spans="1:24">
      <c r="D140" s="1"/>
    </row>
    <row r="141" spans="1:24">
      <c r="A141" s="236" t="s">
        <v>178</v>
      </c>
      <c r="B141" s="236" t="s">
        <v>179</v>
      </c>
      <c r="C141" s="236" t="s">
        <v>257</v>
      </c>
      <c r="D141" s="236"/>
      <c r="E141" s="236"/>
      <c r="F141" s="236"/>
      <c r="G141" s="236"/>
      <c r="H141" s="236"/>
      <c r="I141" s="236"/>
      <c r="J141" s="236"/>
      <c r="K141" s="236"/>
      <c r="L141" s="237"/>
      <c r="M141" s="238"/>
      <c r="O141" s="26"/>
      <c r="P141" s="26" t="s">
        <v>178</v>
      </c>
      <c r="Q141" s="26"/>
      <c r="R141" s="26"/>
      <c r="S141" s="26"/>
      <c r="T141" s="26"/>
      <c r="U141" s="26"/>
      <c r="V141" s="26"/>
      <c r="W141" s="26"/>
      <c r="X141" s="26"/>
    </row>
    <row r="142" spans="1:24">
      <c r="A142" s="236" t="s">
        <v>226</v>
      </c>
      <c r="B142" s="236" t="s">
        <v>215</v>
      </c>
      <c r="C142" s="236" t="s">
        <v>218</v>
      </c>
      <c r="D142" s="236" t="s">
        <v>219</v>
      </c>
      <c r="E142" s="239" t="s">
        <v>220</v>
      </c>
      <c r="F142" s="239" t="s">
        <v>223</v>
      </c>
      <c r="G142" s="239" t="s">
        <v>221</v>
      </c>
      <c r="H142" s="236" t="s">
        <v>222</v>
      </c>
      <c r="I142" s="236" t="s">
        <v>213</v>
      </c>
      <c r="J142" s="236" t="s">
        <v>224</v>
      </c>
      <c r="K142" s="236"/>
      <c r="L142" s="236" t="s">
        <v>34</v>
      </c>
      <c r="M142" s="240" t="s">
        <v>33</v>
      </c>
      <c r="O142" s="26"/>
      <c r="P142" s="26" t="s">
        <v>179</v>
      </c>
      <c r="Q142" s="142" t="s">
        <v>14</v>
      </c>
      <c r="R142" s="26"/>
      <c r="S142" s="26" t="s">
        <v>32</v>
      </c>
      <c r="T142" s="26"/>
      <c r="U142" s="26" t="s">
        <v>39</v>
      </c>
      <c r="V142" s="26"/>
      <c r="W142" s="26"/>
      <c r="X142" s="26"/>
    </row>
    <row r="143" spans="1:24">
      <c r="A143" s="236" t="s">
        <v>258</v>
      </c>
      <c r="B143" s="241" t="s">
        <v>259</v>
      </c>
      <c r="C143" s="242">
        <v>4385</v>
      </c>
      <c r="D143" s="242">
        <v>11</v>
      </c>
      <c r="E143" s="243">
        <v>4.28</v>
      </c>
      <c r="F143" s="244">
        <v>0.06</v>
      </c>
      <c r="G143" s="245">
        <f>10^E143</f>
        <v>19054.607179632505</v>
      </c>
      <c r="H143" s="246">
        <f>G143*LN(10)*F143</f>
        <v>2632.4912666807477</v>
      </c>
      <c r="I143" s="247">
        <f>$D$4/$G143</f>
        <v>0.3224668943355517</v>
      </c>
      <c r="J143" s="237">
        <f>I143*SQRT((H143/G143)^2+($E$4/$D$4)^2)</f>
        <v>4.4550871007198165E-2</v>
      </c>
      <c r="K143" s="248"/>
      <c r="L143" s="243">
        <v>2</v>
      </c>
      <c r="M143" s="238">
        <f>(I143-L143)/$D$6^2</f>
        <v>-1.0309606242297897</v>
      </c>
      <c r="O143" s="26" t="s">
        <v>177</v>
      </c>
      <c r="P143" s="26" t="s">
        <v>27</v>
      </c>
      <c r="Q143" s="145">
        <v>4325</v>
      </c>
      <c r="R143" s="26"/>
      <c r="S143" s="26">
        <v>2.98</v>
      </c>
      <c r="T143" s="26" t="s">
        <v>206</v>
      </c>
      <c r="U143" s="143">
        <f>Q143+(-Q147+Q145)/2</f>
        <v>4325.1536324536009</v>
      </c>
      <c r="V143" s="26"/>
      <c r="W143" s="26" t="s">
        <v>1</v>
      </c>
      <c r="X143" s="26" t="s">
        <v>198</v>
      </c>
    </row>
    <row r="144" spans="1:24">
      <c r="A144" s="236" t="s">
        <v>258</v>
      </c>
      <c r="B144" s="241" t="s">
        <v>25</v>
      </c>
      <c r="C144" s="249">
        <v>4325</v>
      </c>
      <c r="D144" s="242">
        <v>2</v>
      </c>
      <c r="E144" s="243">
        <v>3.36</v>
      </c>
      <c r="F144" s="243">
        <v>0.1</v>
      </c>
      <c r="G144" s="245">
        <f>10^E144</f>
        <v>2290.8676527677749</v>
      </c>
      <c r="H144" s="246">
        <f>G144*LN(10)*F144</f>
        <v>527.49177072853388</v>
      </c>
      <c r="I144" s="247">
        <f>$D$4/$G144</f>
        <v>2.6821628008830527</v>
      </c>
      <c r="J144" s="237">
        <f>I144*SQRT((H144/G144)^2+($E$4/$D$4)^2)</f>
        <v>0.61759292012252875</v>
      </c>
      <c r="K144" s="237"/>
      <c r="L144" s="243">
        <v>2</v>
      </c>
      <c r="M144" s="238">
        <f>(I144-L144)/$D$6^2</f>
        <v>0.41923642797271221</v>
      </c>
      <c r="O144" s="26"/>
      <c r="P144" s="26" t="s">
        <v>28</v>
      </c>
      <c r="Q144" s="145">
        <v>4385</v>
      </c>
      <c r="R144" s="26"/>
      <c r="S144" s="26">
        <v>7.6499999999999997E-3</v>
      </c>
      <c r="T144" s="26" t="s">
        <v>206</v>
      </c>
      <c r="U144" s="143">
        <f>Q144-(-Q147+Q145)/2</f>
        <v>4384.8463675463991</v>
      </c>
      <c r="V144" s="26"/>
      <c r="W144" s="26" t="s">
        <v>2</v>
      </c>
      <c r="X144" s="26" t="s">
        <v>200</v>
      </c>
    </row>
    <row r="145" spans="1:24">
      <c r="A145" s="236"/>
      <c r="B145" s="241"/>
      <c r="C145" s="250"/>
      <c r="D145" s="250"/>
      <c r="E145" s="239"/>
      <c r="F145" s="237"/>
      <c r="G145" s="245"/>
      <c r="H145" s="246"/>
      <c r="I145" s="247"/>
      <c r="J145" s="237"/>
      <c r="K145" s="237"/>
      <c r="L145" s="237"/>
      <c r="M145" s="238"/>
      <c r="O145" s="26"/>
      <c r="P145" s="26" t="s">
        <v>0</v>
      </c>
      <c r="Q145" s="78">
        <f>Q144-Q143</f>
        <v>60</v>
      </c>
      <c r="R145" s="26" t="s">
        <v>190</v>
      </c>
      <c r="S145" s="144">
        <f>Q144-Q143</f>
        <v>60</v>
      </c>
      <c r="T145" s="26">
        <f>SQRT(S147^2+4*S148^2)</f>
        <v>60</v>
      </c>
      <c r="U145" s="26"/>
      <c r="V145" s="26"/>
      <c r="W145" s="26" t="s">
        <v>194</v>
      </c>
      <c r="X145" s="26"/>
    </row>
    <row r="146" spans="1:24">
      <c r="A146" s="236"/>
      <c r="B146" s="236"/>
      <c r="C146" s="238" t="s">
        <v>14</v>
      </c>
      <c r="D146" s="236"/>
      <c r="E146" s="236" t="s">
        <v>32</v>
      </c>
      <c r="F146" s="236" t="s">
        <v>231</v>
      </c>
      <c r="G146" s="236" t="s">
        <v>229</v>
      </c>
      <c r="H146" s="236" t="s">
        <v>230</v>
      </c>
      <c r="I146" s="236" t="s">
        <v>39</v>
      </c>
      <c r="J146" s="236"/>
      <c r="K146" s="236"/>
      <c r="L146" s="236"/>
      <c r="M146" s="236"/>
      <c r="O146" s="26"/>
      <c r="P146" s="26" t="s">
        <v>29</v>
      </c>
      <c r="Q146" s="86">
        <f>SQRT(S144/S143)</f>
        <v>5.0666696102664242E-2</v>
      </c>
      <c r="R146" s="26" t="s">
        <v>189</v>
      </c>
      <c r="S146" s="142">
        <f>ATAN(SQRT(MIN(S143:S144)/MAX(S143:S144)))</f>
        <v>5.0623407030034498E-2</v>
      </c>
      <c r="T146" s="145">
        <f>S146/PI()*180</f>
        <v>2.9005075673938787</v>
      </c>
      <c r="U146" s="26"/>
      <c r="V146" s="26"/>
      <c r="W146" s="26" t="s">
        <v>192</v>
      </c>
      <c r="X146" s="26"/>
    </row>
    <row r="147" spans="1:24">
      <c r="A147" s="236" t="s">
        <v>268</v>
      </c>
      <c r="B147" s="236" t="s">
        <v>27</v>
      </c>
      <c r="C147" s="250">
        <f>IF(I143&gt;I144,C143,C144)</f>
        <v>4325</v>
      </c>
      <c r="D147" s="250">
        <f>IF(I143&gt;I144,D143,D144)</f>
        <v>2</v>
      </c>
      <c r="E147" s="251">
        <f>I144</f>
        <v>2.6821628008830527</v>
      </c>
      <c r="F147" s="251">
        <f>J144</f>
        <v>0.61759292012252875</v>
      </c>
      <c r="G147" s="236">
        <v>0</v>
      </c>
      <c r="H147" s="236">
        <v>0</v>
      </c>
      <c r="I147" s="252">
        <f>IF(C147&gt;C148,C147-C156,C147+C156)</f>
        <v>4331.4394003996304</v>
      </c>
      <c r="J147" s="250">
        <f>SQRT(D147^2+D156^2)</f>
        <v>14.684275252940665</v>
      </c>
      <c r="K147" s="236" t="s">
        <v>185</v>
      </c>
      <c r="L147" s="239" t="s">
        <v>227</v>
      </c>
      <c r="M147" s="236"/>
      <c r="O147" s="26"/>
      <c r="P147" s="26" t="s">
        <v>30</v>
      </c>
      <c r="Q147" s="86">
        <f>ABS(Q145*(1-Q146^2)/(1+Q146^2))</f>
        <v>59.692735092798685</v>
      </c>
      <c r="R147" s="26" t="s">
        <v>188</v>
      </c>
      <c r="S147" s="86">
        <f>S145*COS(2*S146)</f>
        <v>59.692735092798685</v>
      </c>
      <c r="T147" s="26"/>
      <c r="U147" s="26"/>
      <c r="V147" s="26"/>
      <c r="W147" s="26" t="s">
        <v>195</v>
      </c>
      <c r="X147" s="26"/>
    </row>
    <row r="148" spans="1:24">
      <c r="A148" s="236"/>
      <c r="B148" s="236" t="s">
        <v>28</v>
      </c>
      <c r="C148" s="250">
        <f>IF(I143&lt;I144,C143,C144)</f>
        <v>4385</v>
      </c>
      <c r="D148" s="250">
        <f>IF(I143&lt;I144,D143,D144)</f>
        <v>11</v>
      </c>
      <c r="E148" s="251">
        <f>I143</f>
        <v>0.3224668943355517</v>
      </c>
      <c r="F148" s="251">
        <f>J143</f>
        <v>4.4550871007198165E-2</v>
      </c>
      <c r="G148" s="236">
        <v>0</v>
      </c>
      <c r="H148" s="236">
        <v>0</v>
      </c>
      <c r="I148" s="252">
        <f>IF(C148&gt;C147,C148-C156,C148+C156)</f>
        <v>4378.5605996003696</v>
      </c>
      <c r="J148" s="250">
        <f>SQRT(D148^2+D156^2)</f>
        <v>18.238090352449888</v>
      </c>
      <c r="K148" s="236" t="s">
        <v>186</v>
      </c>
      <c r="L148" s="236"/>
      <c r="M148" s="236"/>
      <c r="O148" s="26"/>
      <c r="P148" s="26" t="s">
        <v>31</v>
      </c>
      <c r="Q148" s="86">
        <f>Q145*(Q146)/(1+Q146^2)</f>
        <v>3.032217717321763</v>
      </c>
      <c r="R148" s="26" t="s">
        <v>187</v>
      </c>
      <c r="S148" s="86">
        <f>Q145*SIN(S146*2)/2</f>
        <v>3.032217717321763</v>
      </c>
      <c r="T148" s="26"/>
      <c r="U148" s="26"/>
      <c r="V148" s="26"/>
      <c r="W148" s="26" t="s">
        <v>191</v>
      </c>
      <c r="X148" s="26"/>
    </row>
    <row r="149" spans="1:24" ht="15.6">
      <c r="A149" s="236"/>
      <c r="B149" s="236" t="s">
        <v>243</v>
      </c>
      <c r="C149" s="256">
        <f>ABS(C148-C147)</f>
        <v>60</v>
      </c>
      <c r="D149" s="250">
        <f>SQRT(D147^2+D148^2)</f>
        <v>11.180339887498949</v>
      </c>
      <c r="E149" s="236"/>
      <c r="F149" s="236"/>
      <c r="G149" s="236" t="s">
        <v>0</v>
      </c>
      <c r="H149" s="250">
        <f>ABS(C148-C147)</f>
        <v>60</v>
      </c>
      <c r="I149" s="250">
        <f>SQRT(D147^2+D148^2)</f>
        <v>11.180339887498949</v>
      </c>
      <c r="J149" s="236"/>
      <c r="K149" s="236"/>
      <c r="L149" s="236" t="s">
        <v>193</v>
      </c>
      <c r="M149" s="236"/>
      <c r="O149" s="26"/>
      <c r="P149" s="26"/>
      <c r="Q149" s="26"/>
      <c r="R149" s="26" t="s">
        <v>204</v>
      </c>
      <c r="S149" s="30">
        <f>(MIN(S143,S144)/MAX(S143,S144))/(MIN(S143,S144)/MAX(S143,S144)+1)</f>
        <v>2.5605408933442671E-3</v>
      </c>
      <c r="T149" s="26"/>
      <c r="U149" s="26"/>
      <c r="V149" s="26"/>
      <c r="W149" s="26" t="s">
        <v>205</v>
      </c>
      <c r="X149" s="26"/>
    </row>
    <row r="150" spans="1:24">
      <c r="A150" s="236"/>
      <c r="B150" s="236" t="s">
        <v>244</v>
      </c>
      <c r="C150" s="253">
        <f>SQRT((E148)/(E147))</f>
        <v>0.3467368504525315</v>
      </c>
      <c r="D150" s="253">
        <f>C150*SQRT((F148/E148/2)^2+(F147/E147/2)^2)</f>
        <v>4.6554035259576729E-2</v>
      </c>
      <c r="E150" s="236"/>
      <c r="F150" s="236"/>
      <c r="G150" s="236" t="s">
        <v>29</v>
      </c>
      <c r="H150" s="253">
        <f>SQRT(E148/E147)</f>
        <v>0.3467368504525315</v>
      </c>
      <c r="I150" s="253">
        <f>H150*SQRT((F148/E148/2)^2+(F147/E147/2)^2)</f>
        <v>4.6554035259576729E-2</v>
      </c>
      <c r="J150" s="236"/>
      <c r="K150" s="236"/>
      <c r="L150" s="237"/>
      <c r="M150" s="238"/>
    </row>
    <row r="151" spans="1:24">
      <c r="A151" s="236"/>
      <c r="B151" s="236" t="s">
        <v>3</v>
      </c>
      <c r="C151" s="253">
        <f>ATAN(C150)</f>
        <v>0.33376482932606227</v>
      </c>
      <c r="D151" s="253">
        <f>D150/(1+C150^2)</f>
        <v>4.1557700705327681E-2</v>
      </c>
      <c r="E151" s="257">
        <f>C151/PI()*180</f>
        <v>19.123316070287615</v>
      </c>
      <c r="F151" s="250">
        <f>D151/PI()*180</f>
        <v>2.3810808566831203</v>
      </c>
      <c r="G151" s="236"/>
      <c r="H151" s="236"/>
      <c r="I151" s="254"/>
      <c r="J151" s="236"/>
      <c r="K151" s="236"/>
      <c r="L151" s="236" t="s">
        <v>192</v>
      </c>
      <c r="M151" s="238"/>
    </row>
    <row r="152" spans="1:24">
      <c r="A152" s="236"/>
      <c r="B152" s="236" t="s">
        <v>235</v>
      </c>
      <c r="C152" s="253">
        <f>C151*2</f>
        <v>0.66752965865212455</v>
      </c>
      <c r="D152" s="253">
        <f>D151*2</f>
        <v>8.3115401410655362E-2</v>
      </c>
      <c r="E152" s="250">
        <f>C152/PI()*180</f>
        <v>38.24663214057523</v>
      </c>
      <c r="F152" s="250">
        <f>D152/PI()*180</f>
        <v>4.7621617133662406</v>
      </c>
      <c r="G152" s="236"/>
      <c r="H152" s="236"/>
      <c r="I152" s="254"/>
      <c r="J152" s="236"/>
      <c r="K152" s="236"/>
      <c r="L152" s="236"/>
      <c r="M152" s="238"/>
    </row>
    <row r="153" spans="1:24">
      <c r="A153" s="236"/>
      <c r="B153" s="236" t="s">
        <v>245</v>
      </c>
      <c r="C153" s="258">
        <f>C149*COS(C152)</f>
        <v>47.121199200738495</v>
      </c>
      <c r="D153" s="238">
        <f>SQRT((COS(C152))^2*D149^2+(C149*SIN(C152))^2*D152^2)</f>
        <v>9.3074131585594522</v>
      </c>
      <c r="E153" s="250"/>
      <c r="F153" s="236"/>
      <c r="G153" s="236" t="s">
        <v>30</v>
      </c>
      <c r="H153" s="238">
        <f>ABS(H149*(1-H150^2)/(1+H150^2))</f>
        <v>47.121199200738495</v>
      </c>
      <c r="I153" s="238">
        <f>SQRT((1-H150^2/(1+H150^2))^2*I149^2+(4*H149*H150/(1+H150^2)^2)^2*I150^2)</f>
        <v>10.446981021438638</v>
      </c>
      <c r="J153" s="238">
        <f>ABS(I147-I148)</f>
        <v>47.121199200739284</v>
      </c>
      <c r="K153" s="236"/>
      <c r="L153" s="236" t="s">
        <v>246</v>
      </c>
      <c r="M153" s="238"/>
    </row>
    <row r="154" spans="1:24">
      <c r="A154" s="236"/>
      <c r="B154" s="236" t="s">
        <v>247</v>
      </c>
      <c r="C154" s="258">
        <f>C149*SIN(C152)/2</f>
        <v>18.571433613781149</v>
      </c>
      <c r="D154" s="238">
        <f>0.5*SQRT((SIN(C152))^2*D149^2+(C149*COS(C152))^2*D152^2)</f>
        <v>3.9762253495567292</v>
      </c>
      <c r="E154" s="236"/>
      <c r="F154" s="236"/>
      <c r="G154" s="236" t="s">
        <v>31</v>
      </c>
      <c r="H154" s="238">
        <f>H149*(H150)/(1+H150^2)</f>
        <v>18.571433613781149</v>
      </c>
      <c r="I154" s="238">
        <f>SQRT((H150/(1+H150^2))^2*I149^2+((H149-H149*H150^2)/(1+H150^2)^2)^2*I150^2)</f>
        <v>3.9762253495567288</v>
      </c>
      <c r="J154" s="236"/>
      <c r="K154" s="236"/>
      <c r="L154" s="236" t="s">
        <v>248</v>
      </c>
      <c r="M154" s="253"/>
    </row>
    <row r="155" spans="1:24">
      <c r="A155" s="236"/>
      <c r="B155" s="236" t="s">
        <v>249</v>
      </c>
      <c r="C155" s="259">
        <f>(E148/E147)/(E148/E147+1)</f>
        <v>0.10732333999384583</v>
      </c>
      <c r="D155" s="255">
        <f>F155/(E155+1)^2</f>
        <v>2.5726202659679297E-2</v>
      </c>
      <c r="E155" s="238">
        <f>E148/E147</f>
        <v>0.12022644346174118</v>
      </c>
      <c r="F155" s="238">
        <f>E155*SQRT((F147/E147)^2+(F148/E148)^2)</f>
        <v>3.2283999123523463E-2</v>
      </c>
      <c r="G155" s="236"/>
      <c r="H155" s="236"/>
      <c r="I155" s="236"/>
      <c r="J155" s="236"/>
      <c r="K155" s="236"/>
      <c r="L155" s="236" t="s">
        <v>205</v>
      </c>
      <c r="M155" s="253"/>
    </row>
    <row r="156" spans="1:24">
      <c r="A156" s="236"/>
      <c r="B156" s="236" t="s">
        <v>237</v>
      </c>
      <c r="C156" s="260">
        <f>(C149-C153)/2</f>
        <v>6.4394003996307525</v>
      </c>
      <c r="D156" s="238">
        <f>SQRT(D149^2+D153^2)</f>
        <v>14.547437564881509</v>
      </c>
      <c r="E156" s="236"/>
      <c r="F156" s="236"/>
      <c r="G156" s="236"/>
      <c r="H156" s="236"/>
      <c r="I156" s="236"/>
      <c r="J156" s="236"/>
      <c r="K156" s="236"/>
      <c r="L156" s="236" t="s">
        <v>239</v>
      </c>
      <c r="M156" s="253"/>
    </row>
    <row r="157" spans="1:24">
      <c r="A157" s="236"/>
      <c r="B157" s="236" t="s">
        <v>250</v>
      </c>
      <c r="C157" s="236">
        <f>SQRT(C153^2+4*C154^2)</f>
        <v>59.999999999999993</v>
      </c>
      <c r="D157" s="236"/>
      <c r="E157" s="236"/>
      <c r="F157" s="236"/>
      <c r="G157" s="236"/>
      <c r="H157" s="236"/>
      <c r="I157" s="236"/>
      <c r="J157" s="236"/>
      <c r="K157" s="236"/>
      <c r="L157" s="253"/>
      <c r="M157" s="253"/>
    </row>
    <row r="158" spans="1:24">
      <c r="I158" s="113"/>
    </row>
    <row r="160" spans="1:24" s="180" customFormat="1">
      <c r="A160" s="236" t="s">
        <v>178</v>
      </c>
      <c r="B160" s="236" t="s">
        <v>179</v>
      </c>
      <c r="C160" s="236" t="s">
        <v>257</v>
      </c>
      <c r="D160" s="236"/>
      <c r="E160" s="236"/>
      <c r="F160" s="236"/>
      <c r="G160" s="236"/>
      <c r="H160" s="236"/>
      <c r="I160" s="236"/>
      <c r="J160" s="236"/>
      <c r="K160" s="236"/>
      <c r="L160" s="237"/>
      <c r="M160" s="238"/>
    </row>
    <row r="161" spans="1:13" s="180" customFormat="1">
      <c r="A161" s="236" t="s">
        <v>226</v>
      </c>
      <c r="B161" s="236" t="s">
        <v>215</v>
      </c>
      <c r="C161" s="236" t="s">
        <v>218</v>
      </c>
      <c r="D161" s="236" t="s">
        <v>219</v>
      </c>
      <c r="E161" s="239" t="s">
        <v>220</v>
      </c>
      <c r="F161" s="239" t="s">
        <v>223</v>
      </c>
      <c r="G161" s="239" t="s">
        <v>221</v>
      </c>
      <c r="H161" s="236" t="s">
        <v>222</v>
      </c>
      <c r="I161" s="236" t="s">
        <v>213</v>
      </c>
      <c r="J161" s="236" t="s">
        <v>224</v>
      </c>
      <c r="K161" s="236"/>
      <c r="L161" s="236" t="s">
        <v>34</v>
      </c>
      <c r="M161" s="240" t="s">
        <v>33</v>
      </c>
    </row>
    <row r="162" spans="1:13" s="180" customFormat="1">
      <c r="A162" s="236" t="s">
        <v>258</v>
      </c>
      <c r="B162" s="241" t="s">
        <v>259</v>
      </c>
      <c r="C162" s="242">
        <v>4385</v>
      </c>
      <c r="D162" s="242">
        <v>11</v>
      </c>
      <c r="E162" s="243">
        <v>4.28</v>
      </c>
      <c r="F162" s="244">
        <v>0.06</v>
      </c>
      <c r="G162" s="245">
        <f>10^E162</f>
        <v>19054.607179632505</v>
      </c>
      <c r="H162" s="246">
        <f>G162*LN(10)*F162</f>
        <v>2632.4912666807477</v>
      </c>
      <c r="I162" s="247">
        <f>$D$4/$G162</f>
        <v>0.3224668943355517</v>
      </c>
      <c r="J162" s="237">
        <f>I162*SQRT((H162/G162)^2+($E$4/$D$4)^2)</f>
        <v>4.4550871007198165E-2</v>
      </c>
      <c r="K162" s="248"/>
      <c r="L162" s="243">
        <v>2</v>
      </c>
      <c r="M162" s="238">
        <f>(I162-L162)/$D$6^2</f>
        <v>-1.0309606242297897</v>
      </c>
    </row>
    <row r="163" spans="1:13" s="180" customFormat="1">
      <c r="A163" s="236" t="s">
        <v>258</v>
      </c>
      <c r="B163" s="241" t="s">
        <v>25</v>
      </c>
      <c r="C163" s="249">
        <v>4325</v>
      </c>
      <c r="D163" s="242">
        <v>2</v>
      </c>
      <c r="E163" s="243">
        <v>3.36</v>
      </c>
      <c r="F163" s="243">
        <v>0.1</v>
      </c>
      <c r="G163" s="245">
        <f>10^E163</f>
        <v>2290.8676527677749</v>
      </c>
      <c r="H163" s="246">
        <f>G163*LN(10)*F163</f>
        <v>527.49177072853388</v>
      </c>
      <c r="I163" s="247">
        <f>$D$4/$G163</f>
        <v>2.6821628008830527</v>
      </c>
      <c r="J163" s="237">
        <f>I163*SQRT((H163/G163)^2+($E$4/$D$4)^2)</f>
        <v>0.61759292012252875</v>
      </c>
      <c r="K163" s="237"/>
      <c r="L163" s="243">
        <v>2</v>
      </c>
      <c r="M163" s="238">
        <f>(I163-L163)/$D$6^2</f>
        <v>0.41923642797271221</v>
      </c>
    </row>
    <row r="164" spans="1:13" s="180" customFormat="1">
      <c r="A164" s="236"/>
      <c r="B164" s="241"/>
      <c r="C164" s="250"/>
      <c r="D164" s="250"/>
      <c r="E164" s="239"/>
      <c r="F164" s="237"/>
      <c r="G164" s="245"/>
      <c r="H164" s="246"/>
      <c r="I164" s="247"/>
      <c r="J164" s="237"/>
      <c r="K164" s="237"/>
      <c r="L164" s="237"/>
      <c r="M164" s="238"/>
    </row>
    <row r="165" spans="1:13" s="180" customFormat="1">
      <c r="A165" s="236"/>
      <c r="B165" s="236"/>
      <c r="C165" s="238" t="s">
        <v>14</v>
      </c>
      <c r="D165" s="236"/>
      <c r="E165" s="236" t="s">
        <v>32</v>
      </c>
      <c r="F165" s="236" t="s">
        <v>231</v>
      </c>
      <c r="G165" s="236" t="s">
        <v>229</v>
      </c>
      <c r="H165" s="236" t="s">
        <v>230</v>
      </c>
      <c r="I165" s="236" t="s">
        <v>39</v>
      </c>
      <c r="J165" s="236"/>
      <c r="K165" s="236"/>
      <c r="L165" s="236"/>
      <c r="M165" s="236"/>
    </row>
    <row r="166" spans="1:13" s="180" customFormat="1">
      <c r="A166" s="236" t="s">
        <v>268</v>
      </c>
      <c r="B166" s="236" t="s">
        <v>27</v>
      </c>
      <c r="C166" s="250">
        <f>IF(I162&gt;I163,C162,C163)</f>
        <v>4325</v>
      </c>
      <c r="D166" s="250">
        <f>IF(I162&gt;I163,D162,D163)</f>
        <v>2</v>
      </c>
      <c r="E166" s="251">
        <v>2.98</v>
      </c>
      <c r="F166" s="251">
        <v>0</v>
      </c>
      <c r="G166" s="236">
        <v>0.12</v>
      </c>
      <c r="H166" s="236">
        <v>0</v>
      </c>
      <c r="I166" s="252">
        <f>IF(C166&gt;C167,C166-C175,C166+C175)</f>
        <v>4325.1536324536009</v>
      </c>
      <c r="J166" s="250">
        <f>SQRT(D166^2+D175^2)</f>
        <v>15.897264158909895</v>
      </c>
      <c r="K166" s="236" t="s">
        <v>185</v>
      </c>
      <c r="L166" s="239" t="s">
        <v>227</v>
      </c>
      <c r="M166" s="236"/>
    </row>
    <row r="167" spans="1:13" s="180" customFormat="1">
      <c r="A167" s="236"/>
      <c r="B167" s="236" t="s">
        <v>28</v>
      </c>
      <c r="C167" s="250">
        <f>IF(I162&lt;I163,C162,C163)</f>
        <v>4385</v>
      </c>
      <c r="D167" s="250">
        <f>IF(I162&lt;I163,D162,D163)</f>
        <v>11</v>
      </c>
      <c r="E167" s="261">
        <v>7.6499999999999997E-3</v>
      </c>
      <c r="F167" s="251">
        <v>0</v>
      </c>
      <c r="G167" s="236">
        <v>0</v>
      </c>
      <c r="H167" s="236">
        <v>0</v>
      </c>
      <c r="I167" s="252">
        <f>IF(C167&gt;C166,C167-C175,C167+C175)</f>
        <v>4384.8463675463991</v>
      </c>
      <c r="J167" s="250">
        <f>SQRT(D167^2+D175^2)</f>
        <v>19.228182642625409</v>
      </c>
      <c r="K167" s="236" t="s">
        <v>186</v>
      </c>
      <c r="L167" s="236"/>
      <c r="M167" s="236"/>
    </row>
    <row r="168" spans="1:13" s="180" customFormat="1">
      <c r="A168" s="236"/>
      <c r="B168" s="236" t="s">
        <v>243</v>
      </c>
      <c r="C168" s="256">
        <f>ABS(C167-C166)</f>
        <v>60</v>
      </c>
      <c r="D168" s="250">
        <f>SQRT(D166^2+D167^2)</f>
        <v>11.180339887498949</v>
      </c>
      <c r="E168" s="236"/>
      <c r="F168" s="236"/>
      <c r="G168" s="236" t="s">
        <v>0</v>
      </c>
      <c r="H168" s="250">
        <f>ABS(C167-C166)</f>
        <v>60</v>
      </c>
      <c r="I168" s="250">
        <f>SQRT(D166^2+D167^2)</f>
        <v>11.180339887498949</v>
      </c>
      <c r="J168" s="236"/>
      <c r="K168" s="236"/>
      <c r="L168" s="236" t="s">
        <v>193</v>
      </c>
      <c r="M168" s="236"/>
    </row>
    <row r="169" spans="1:13" s="180" customFormat="1">
      <c r="A169" s="236"/>
      <c r="B169" s="236" t="s">
        <v>244</v>
      </c>
      <c r="C169" s="253">
        <f>SQRT((E167)/(E166))</f>
        <v>5.0666696102664242E-2</v>
      </c>
      <c r="D169" s="253">
        <f>C169*SQRT((F167/E167/2)^2+(F166/E166/2)^2)</f>
        <v>0</v>
      </c>
      <c r="E169" s="236"/>
      <c r="F169" s="236"/>
      <c r="G169" s="236" t="s">
        <v>29</v>
      </c>
      <c r="H169" s="253">
        <f>SQRT(E167/E166)</f>
        <v>5.0666696102664242E-2</v>
      </c>
      <c r="I169" s="253">
        <f>H169*SQRT((F167/E167/2)^2+(F166/E166/2)^2)</f>
        <v>0</v>
      </c>
      <c r="J169" s="236"/>
      <c r="K169" s="236"/>
      <c r="L169" s="237"/>
      <c r="M169" s="238"/>
    </row>
    <row r="170" spans="1:13" s="180" customFormat="1">
      <c r="A170" s="236"/>
      <c r="B170" s="236" t="s">
        <v>3</v>
      </c>
      <c r="C170" s="253">
        <f>ATAN(C169)</f>
        <v>5.0623407030034498E-2</v>
      </c>
      <c r="D170" s="253">
        <f>D169/(1+C169^2)</f>
        <v>0</v>
      </c>
      <c r="E170" s="257">
        <f>C170/PI()*180</f>
        <v>2.9005075673938787</v>
      </c>
      <c r="F170" s="250">
        <f>D170/PI()*180</f>
        <v>0</v>
      </c>
      <c r="G170" s="236"/>
      <c r="H170" s="236"/>
      <c r="I170" s="254"/>
      <c r="J170" s="236"/>
      <c r="K170" s="236"/>
      <c r="L170" s="236" t="s">
        <v>192</v>
      </c>
      <c r="M170" s="238"/>
    </row>
    <row r="171" spans="1:13">
      <c r="A171" s="236"/>
      <c r="B171" s="236" t="s">
        <v>235</v>
      </c>
      <c r="C171" s="253">
        <f>C170*2</f>
        <v>0.101246814060069</v>
      </c>
      <c r="D171" s="253">
        <f>D170*2</f>
        <v>0</v>
      </c>
      <c r="E171" s="250">
        <f>C171/PI()*180</f>
        <v>5.8010151347877574</v>
      </c>
      <c r="F171" s="250">
        <f>D171/PI()*180</f>
        <v>0</v>
      </c>
      <c r="G171" s="236"/>
      <c r="H171" s="236"/>
      <c r="I171" s="254"/>
      <c r="J171" s="236"/>
      <c r="K171" s="236"/>
      <c r="L171" s="236"/>
      <c r="M171" s="238"/>
    </row>
    <row r="172" spans="1:13">
      <c r="A172" s="236"/>
      <c r="B172" s="236" t="s">
        <v>245</v>
      </c>
      <c r="C172" s="257">
        <f>C168*COS(C171)</f>
        <v>59.692735092798685</v>
      </c>
      <c r="D172" s="250">
        <f>SQRT((COS(C171))^2*D168^2+(C168*SIN(C171))^2*D171^2)</f>
        <v>11.12308445253209</v>
      </c>
      <c r="E172" s="250"/>
      <c r="F172" s="236"/>
      <c r="G172" s="236" t="s">
        <v>30</v>
      </c>
      <c r="H172" s="238">
        <f>ABS(H168*(1-H169^2)/(1+H169^2))</f>
        <v>59.692735092798685</v>
      </c>
      <c r="I172" s="238">
        <f>SQRT((1-H169^2/(1+H169^2))^2*I168^2+(4*H168*H169/(1+H169^2)^2)^2*I169^2)</f>
        <v>11.151712170015522</v>
      </c>
      <c r="J172" s="238">
        <f>ABS(I166-I167)</f>
        <v>59.692735092798102</v>
      </c>
      <c r="K172" s="236"/>
      <c r="L172" s="236" t="s">
        <v>246</v>
      </c>
      <c r="M172" s="238"/>
    </row>
    <row r="173" spans="1:13">
      <c r="A173" s="236"/>
      <c r="B173" s="236" t="s">
        <v>247</v>
      </c>
      <c r="C173" s="258">
        <f>C168*SIN(C171)/2</f>
        <v>3.032217717321763</v>
      </c>
      <c r="D173" s="238">
        <f>0.5*SQRT((SIN(C171))^2*D168^2+(C168*COS(C171))^2*D171^2)</f>
        <v>0.56502041154255866</v>
      </c>
      <c r="E173" s="236"/>
      <c r="F173" s="236"/>
      <c r="G173" s="236" t="s">
        <v>31</v>
      </c>
      <c r="H173" s="238">
        <f>H168*(H169)/(1+H169^2)</f>
        <v>3.032217717321763</v>
      </c>
      <c r="I173" s="238">
        <f>SQRT((H169/(1+H169^2))^2*I168^2+((H168-H168*H169^2)/(1+H169^2)^2)^2*I169^2)</f>
        <v>0.56502041154255866</v>
      </c>
      <c r="J173" s="236"/>
      <c r="K173" s="236"/>
      <c r="L173" s="236" t="s">
        <v>248</v>
      </c>
      <c r="M173" s="253"/>
    </row>
    <row r="174" spans="1:13">
      <c r="A174" s="236"/>
      <c r="B174" s="236" t="s">
        <v>249</v>
      </c>
      <c r="C174" s="262">
        <f>(E167/E166)/(E167/E166+1)</f>
        <v>2.5605408933442671E-3</v>
      </c>
      <c r="D174" s="65">
        <f>F174/(E174+1)^2</f>
        <v>0</v>
      </c>
      <c r="E174" s="238">
        <f>E167/E166</f>
        <v>2.5671140939597316E-3</v>
      </c>
      <c r="F174" s="238">
        <f>E174*SQRT((F166/E166)^2+(F167/E167)^2)</f>
        <v>0</v>
      </c>
      <c r="G174" s="236"/>
      <c r="H174" s="236"/>
      <c r="I174" s="236"/>
      <c r="J174" s="236"/>
      <c r="K174" s="236"/>
      <c r="L174" s="236" t="s">
        <v>205</v>
      </c>
      <c r="M174" s="253"/>
    </row>
    <row r="175" spans="1:13">
      <c r="A175" s="236"/>
      <c r="B175" s="236" t="s">
        <v>237</v>
      </c>
      <c r="C175" s="263">
        <f>(C168-C172)/2</f>
        <v>0.15363245360065747</v>
      </c>
      <c r="D175" s="238">
        <f>SQRT(D168^2+D172^2)</f>
        <v>15.770954560145087</v>
      </c>
      <c r="E175" s="236"/>
      <c r="F175" s="236"/>
      <c r="G175" s="236"/>
      <c r="H175" s="236"/>
      <c r="I175" s="236"/>
      <c r="J175" s="236"/>
      <c r="K175" s="236"/>
      <c r="L175" s="236" t="s">
        <v>239</v>
      </c>
      <c r="M175" s="253"/>
    </row>
    <row r="176" spans="1:13">
      <c r="A176" s="236"/>
      <c r="B176" s="236" t="s">
        <v>250</v>
      </c>
      <c r="C176" s="236">
        <f>SQRT(C172^2+4*C173^2)</f>
        <v>60</v>
      </c>
      <c r="D176" s="236"/>
      <c r="E176" s="236"/>
      <c r="F176" s="236"/>
      <c r="G176" s="236"/>
      <c r="H176" s="236"/>
      <c r="I176" s="236"/>
      <c r="J176" s="236"/>
      <c r="K176" s="236"/>
      <c r="L176" s="253"/>
      <c r="M176" s="253"/>
    </row>
    <row r="179" spans="1:24" s="180" customFormat="1">
      <c r="A179" s="264" t="s">
        <v>202</v>
      </c>
      <c r="B179" s="264" t="s">
        <v>179</v>
      </c>
      <c r="C179" s="264" t="s">
        <v>260</v>
      </c>
      <c r="D179" s="264"/>
      <c r="E179" s="264" t="s">
        <v>263</v>
      </c>
      <c r="F179" s="264"/>
      <c r="G179" s="264"/>
      <c r="H179" s="264"/>
      <c r="I179" s="264"/>
      <c r="J179" s="264"/>
      <c r="K179" s="264"/>
      <c r="L179" s="265"/>
      <c r="M179" s="266"/>
      <c r="O179" s="58"/>
      <c r="P179" s="58" t="s">
        <v>202</v>
      </c>
      <c r="Q179" s="58"/>
      <c r="R179" s="58"/>
      <c r="S179" s="58"/>
      <c r="T179" s="58"/>
      <c r="U179" s="58"/>
      <c r="V179" s="58"/>
      <c r="W179" s="58"/>
      <c r="X179" s="58"/>
    </row>
    <row r="180" spans="1:24" s="180" customFormat="1">
      <c r="A180" s="264" t="s">
        <v>226</v>
      </c>
      <c r="B180" s="264" t="s">
        <v>215</v>
      </c>
      <c r="C180" s="264" t="s">
        <v>218</v>
      </c>
      <c r="D180" s="264" t="s">
        <v>219</v>
      </c>
      <c r="E180" s="267" t="s">
        <v>220</v>
      </c>
      <c r="F180" s="267" t="s">
        <v>223</v>
      </c>
      <c r="G180" s="267" t="s">
        <v>221</v>
      </c>
      <c r="H180" s="264" t="s">
        <v>222</v>
      </c>
      <c r="I180" s="264" t="s">
        <v>213</v>
      </c>
      <c r="J180" s="264" t="s">
        <v>224</v>
      </c>
      <c r="K180" s="264"/>
      <c r="L180" s="264" t="s">
        <v>34</v>
      </c>
      <c r="M180" s="268" t="s">
        <v>33</v>
      </c>
      <c r="O180" s="58"/>
      <c r="P180" s="58" t="s">
        <v>179</v>
      </c>
      <c r="Q180" s="87" t="s">
        <v>14</v>
      </c>
      <c r="R180" s="58"/>
      <c r="S180" s="58" t="s">
        <v>32</v>
      </c>
      <c r="T180" s="58"/>
      <c r="U180" s="58" t="s">
        <v>39</v>
      </c>
      <c r="V180" s="58"/>
      <c r="W180" s="58"/>
      <c r="X180" s="58"/>
    </row>
    <row r="181" spans="1:24" s="180" customFormat="1">
      <c r="A181" s="264" t="s">
        <v>261</v>
      </c>
      <c r="B181" s="269" t="s">
        <v>259</v>
      </c>
      <c r="C181" s="270">
        <f>C182+69</f>
        <v>7971</v>
      </c>
      <c r="D181" s="270">
        <v>100</v>
      </c>
      <c r="E181" s="283">
        <v>5.6130000000000004</v>
      </c>
      <c r="F181" s="283">
        <v>0</v>
      </c>
      <c r="G181" s="272">
        <f>10^E181</f>
        <v>410204.10298660758</v>
      </c>
      <c r="H181" s="273">
        <f>G181*LN(10)*F181</f>
        <v>0</v>
      </c>
      <c r="I181" s="284">
        <f>$D$4/$G181</f>
        <v>1.4979079817250404E-2</v>
      </c>
      <c r="J181" s="265">
        <f>I181*SQRT((H181/G181)^2+($E$4/$D$4)^2)</f>
        <v>9.0199000279643674E-6</v>
      </c>
      <c r="K181" s="275"/>
      <c r="L181" s="271">
        <v>2</v>
      </c>
      <c r="M181" s="266">
        <f>(I181-L181)/$D$6^2</f>
        <v>-1.2199332460686172</v>
      </c>
      <c r="O181" s="58" t="s">
        <v>38</v>
      </c>
      <c r="P181" s="58" t="s">
        <v>27</v>
      </c>
      <c r="Q181" s="90">
        <v>7902</v>
      </c>
      <c r="R181" s="58">
        <v>2</v>
      </c>
      <c r="S181" s="58">
        <v>3</v>
      </c>
      <c r="T181" s="58">
        <v>0.5</v>
      </c>
      <c r="U181" s="134">
        <f>Q181+(-Q185+Q183)/2</f>
        <v>7902.1229235880401</v>
      </c>
      <c r="V181" s="58"/>
      <c r="W181" s="58" t="s">
        <v>185</v>
      </c>
      <c r="X181" s="135" t="s">
        <v>197</v>
      </c>
    </row>
    <row r="182" spans="1:24" s="180" customFormat="1">
      <c r="A182" s="264" t="s">
        <v>261</v>
      </c>
      <c r="B182" s="269" t="s">
        <v>25</v>
      </c>
      <c r="C182" s="276">
        <v>7902</v>
      </c>
      <c r="D182" s="270">
        <v>2</v>
      </c>
      <c r="E182" s="283">
        <v>3.2890000000000001</v>
      </c>
      <c r="F182" s="283">
        <v>0</v>
      </c>
      <c r="G182" s="272">
        <f>10^E182</f>
        <v>1945.3600816226642</v>
      </c>
      <c r="H182" s="273">
        <f>G182*LN(10)*F182</f>
        <v>0</v>
      </c>
      <c r="I182" s="284">
        <f>$D$4/$G182</f>
        <v>3.1585309362751826</v>
      </c>
      <c r="J182" s="265">
        <f>I182*SQRT((H182/G182)^2+($E$4/$D$4)^2)</f>
        <v>1.901961510854975E-3</v>
      </c>
      <c r="K182" s="265"/>
      <c r="L182" s="271">
        <v>2</v>
      </c>
      <c r="M182" s="266">
        <f>(I182-L182)/$D$6^2</f>
        <v>0.71199773835682323</v>
      </c>
      <c r="O182" s="58"/>
      <c r="P182" s="58" t="s">
        <v>28</v>
      </c>
      <c r="Q182" s="58">
        <v>7939</v>
      </c>
      <c r="R182" s="58">
        <v>100</v>
      </c>
      <c r="S182" s="58">
        <v>0.01</v>
      </c>
      <c r="T182" s="58">
        <v>0.03</v>
      </c>
      <c r="U182" s="134">
        <f>Q182-(-Q185+Q183)/2</f>
        <v>7938.8770764119599</v>
      </c>
      <c r="V182" s="58"/>
      <c r="W182" s="58" t="s">
        <v>186</v>
      </c>
      <c r="X182" s="58" t="s">
        <v>199</v>
      </c>
    </row>
    <row r="183" spans="1:24" s="180" customFormat="1">
      <c r="A183" s="264"/>
      <c r="B183" s="269"/>
      <c r="C183" s="277"/>
      <c r="D183" s="277"/>
      <c r="E183" s="267"/>
      <c r="F183" s="265"/>
      <c r="G183" s="272"/>
      <c r="H183" s="273"/>
      <c r="I183" s="274"/>
      <c r="J183" s="265"/>
      <c r="K183" s="265"/>
      <c r="L183" s="265"/>
      <c r="M183" s="266"/>
      <c r="O183" s="58"/>
      <c r="P183" s="58" t="s">
        <v>0</v>
      </c>
      <c r="Q183" s="136">
        <f>Q182-Q181</f>
        <v>37</v>
      </c>
      <c r="R183" s="58" t="s">
        <v>190</v>
      </c>
      <c r="S183" s="137">
        <f>Q182-Q181</f>
        <v>37</v>
      </c>
      <c r="T183" s="58">
        <f>SQRT(S185^2+4*S186^2)</f>
        <v>37</v>
      </c>
      <c r="U183" s="58"/>
      <c r="V183" s="58"/>
      <c r="W183" s="58" t="s">
        <v>193</v>
      </c>
      <c r="X183" s="58"/>
    </row>
    <row r="184" spans="1:24" s="180" customFormat="1">
      <c r="A184" s="264"/>
      <c r="B184" s="264"/>
      <c r="C184" s="266" t="s">
        <v>14</v>
      </c>
      <c r="D184" s="264"/>
      <c r="E184" s="264" t="s">
        <v>32</v>
      </c>
      <c r="F184" s="264" t="s">
        <v>231</v>
      </c>
      <c r="G184" s="264" t="s">
        <v>229</v>
      </c>
      <c r="H184" s="264" t="s">
        <v>230</v>
      </c>
      <c r="I184" s="264" t="s">
        <v>39</v>
      </c>
      <c r="J184" s="264"/>
      <c r="K184" s="264"/>
      <c r="L184" s="264"/>
      <c r="M184" s="264"/>
      <c r="O184" s="58"/>
      <c r="P184" s="58" t="s">
        <v>29</v>
      </c>
      <c r="Q184" s="88">
        <f>SQRT(S182/S181)</f>
        <v>5.7735026918962581E-2</v>
      </c>
      <c r="R184" s="58" t="s">
        <v>189</v>
      </c>
      <c r="S184" s="87">
        <f>ATAN(SQRT(MIN(S181:S182)/MAX(S181:S182)))</f>
        <v>5.7671004884425933E-2</v>
      </c>
      <c r="T184" s="90">
        <f>S184/PI()*180</f>
        <v>3.304305180155962</v>
      </c>
      <c r="U184" s="58"/>
      <c r="V184" s="58"/>
      <c r="W184" s="58" t="s">
        <v>192</v>
      </c>
      <c r="X184" s="58"/>
    </row>
    <row r="185" spans="1:24" s="180" customFormat="1">
      <c r="A185" s="264" t="s">
        <v>268</v>
      </c>
      <c r="B185" s="264" t="s">
        <v>27</v>
      </c>
      <c r="C185" s="277">
        <f>IF(I181&gt;I182,C181,C182)</f>
        <v>7902</v>
      </c>
      <c r="D185" s="277">
        <f>IF(I181&gt;I182,D181,D182)</f>
        <v>2</v>
      </c>
      <c r="E185" s="285">
        <v>2.964</v>
      </c>
      <c r="F185" s="278">
        <v>0</v>
      </c>
      <c r="G185" s="264">
        <v>0.1187</v>
      </c>
      <c r="H185" s="264">
        <v>0</v>
      </c>
      <c r="I185" s="279">
        <f>IF(C185&gt;C186,C185-C194,C185+C194)</f>
        <v>7902.2188280874279</v>
      </c>
      <c r="J185" s="277">
        <f>SQRT(D185^2+D194^2)</f>
        <v>141.01593836333711</v>
      </c>
      <c r="K185" s="264" t="s">
        <v>185</v>
      </c>
      <c r="L185" s="267" t="s">
        <v>227</v>
      </c>
      <c r="M185" s="264"/>
      <c r="O185" s="58"/>
      <c r="P185" s="58" t="s">
        <v>30</v>
      </c>
      <c r="Q185" s="87">
        <f>ABS(Q183*(1-Q184^2)/(1+Q184^2))</f>
        <v>36.754152823920265</v>
      </c>
      <c r="R185" s="58" t="s">
        <v>188</v>
      </c>
      <c r="S185" s="87">
        <f>S183*COS(2*S184)</f>
        <v>36.754152823920265</v>
      </c>
      <c r="T185" s="58"/>
      <c r="U185" s="58"/>
      <c r="V185" s="58"/>
      <c r="W185" s="58" t="s">
        <v>195</v>
      </c>
      <c r="X185" s="58"/>
    </row>
    <row r="186" spans="1:24" s="180" customFormat="1">
      <c r="A186" s="264"/>
      <c r="B186" s="264" t="s">
        <v>28</v>
      </c>
      <c r="C186" s="277">
        <f>IF(I181&lt;I182,C181,C182)</f>
        <v>7971</v>
      </c>
      <c r="D186" s="277">
        <f>IF(I181&lt;I182,D181,D182)</f>
        <v>100</v>
      </c>
      <c r="E186" s="285">
        <v>9.4299999999999991E-3</v>
      </c>
      <c r="F186" s="278">
        <v>0</v>
      </c>
      <c r="G186" s="264">
        <v>3.3999999999999998E-3</v>
      </c>
      <c r="H186" s="264">
        <v>0</v>
      </c>
      <c r="I186" s="279">
        <f>IF(C186&gt;C185,C186-C194,C186+C194)</f>
        <v>7970.7811719125721</v>
      </c>
      <c r="J186" s="277">
        <f>SQRT(D186^2+D194^2)</f>
        <v>172.86264741838386</v>
      </c>
      <c r="K186" s="264" t="s">
        <v>186</v>
      </c>
      <c r="L186" s="264"/>
      <c r="M186" s="264"/>
      <c r="O186" s="58"/>
      <c r="P186" s="58" t="s">
        <v>31</v>
      </c>
      <c r="Q186" s="87">
        <f>Q183*(Q184)/(1+Q184^2)</f>
        <v>2.1290989993371583</v>
      </c>
      <c r="R186" s="58" t="s">
        <v>187</v>
      </c>
      <c r="S186" s="87">
        <f>Q183*SIN(S184*2)/2</f>
        <v>2.1290989993371583</v>
      </c>
      <c r="T186" s="58"/>
      <c r="U186" s="58"/>
      <c r="V186" s="58"/>
      <c r="W186" s="58" t="s">
        <v>191</v>
      </c>
      <c r="X186" s="58"/>
    </row>
    <row r="187" spans="1:24" s="180" customFormat="1" ht="15.6">
      <c r="A187" s="264"/>
      <c r="B187" s="264" t="s">
        <v>243</v>
      </c>
      <c r="C187" s="256">
        <f>ABS(C186-C185)</f>
        <v>69</v>
      </c>
      <c r="D187" s="277">
        <f>SQRT(D185^2+D186^2)</f>
        <v>100.01999800039989</v>
      </c>
      <c r="E187" s="264"/>
      <c r="F187" s="264"/>
      <c r="G187" s="264" t="s">
        <v>0</v>
      </c>
      <c r="H187" s="277">
        <f>ABS(C186-C185)</f>
        <v>69</v>
      </c>
      <c r="I187" s="277">
        <f>SQRT(D185^2+D186^2)</f>
        <v>100.01999800039989</v>
      </c>
      <c r="J187" s="264"/>
      <c r="K187" s="264"/>
      <c r="L187" s="264" t="s">
        <v>193</v>
      </c>
      <c r="M187" s="264"/>
      <c r="O187" s="58"/>
      <c r="P187" s="58"/>
      <c r="Q187" s="58"/>
      <c r="R187" s="58" t="s">
        <v>204</v>
      </c>
      <c r="S187" s="27">
        <f>(MIN(S181,S182)/MAX(S181,S182))/(MIN(S181,S182)/MAX(S181,S182)+1)</f>
        <v>3.3222591362126247E-3</v>
      </c>
      <c r="T187" s="58"/>
      <c r="U187" s="58"/>
      <c r="V187" s="58"/>
      <c r="W187" s="58" t="s">
        <v>205</v>
      </c>
      <c r="X187" s="58"/>
    </row>
    <row r="188" spans="1:24" s="180" customFormat="1">
      <c r="A188" s="264"/>
      <c r="B188" s="264" t="s">
        <v>244</v>
      </c>
      <c r="C188" s="280">
        <f>SQRT((E186)/(E185))</f>
        <v>5.6404888715298029E-2</v>
      </c>
      <c r="D188" s="280">
        <f>C188*SQRT((F186/E186/2)^2+(F185/E185/2)^2)</f>
        <v>0</v>
      </c>
      <c r="E188" s="264"/>
      <c r="F188" s="264"/>
      <c r="G188" s="264" t="s">
        <v>29</v>
      </c>
      <c r="H188" s="280">
        <f>SQRT(E186/E185)</f>
        <v>5.6404888715298029E-2</v>
      </c>
      <c r="I188" s="280">
        <f>H188*SQRT((F186/E186/2)^2+(F185/E185/2)^2)</f>
        <v>0</v>
      </c>
      <c r="J188" s="264"/>
      <c r="K188" s="264"/>
      <c r="L188" s="265"/>
      <c r="M188" s="266"/>
    </row>
    <row r="189" spans="1:24" s="180" customFormat="1">
      <c r="A189" s="264"/>
      <c r="B189" s="264" t="s">
        <v>3</v>
      </c>
      <c r="C189" s="280">
        <f>ATAN(C188)</f>
        <v>5.6345185042522179E-2</v>
      </c>
      <c r="D189" s="280">
        <f>D188/(1+C188^2)</f>
        <v>0</v>
      </c>
      <c r="E189" s="257">
        <f>C189/PI()*180</f>
        <v>3.2283412988201747</v>
      </c>
      <c r="F189" s="277">
        <f>D189/PI()*180</f>
        <v>0</v>
      </c>
      <c r="G189" s="264"/>
      <c r="H189" s="264"/>
      <c r="I189" s="281"/>
      <c r="J189" s="264"/>
      <c r="K189" s="264"/>
      <c r="L189" s="264" t="s">
        <v>192</v>
      </c>
      <c r="M189" s="266"/>
    </row>
    <row r="190" spans="1:24" s="180" customFormat="1">
      <c r="A190" s="264"/>
      <c r="B190" s="264" t="s">
        <v>235</v>
      </c>
      <c r="C190" s="280">
        <f>C189*2</f>
        <v>0.11269037008504436</v>
      </c>
      <c r="D190" s="280">
        <f>D189*2</f>
        <v>0</v>
      </c>
      <c r="E190" s="277">
        <f>C190/PI()*180</f>
        <v>6.4566825976403495</v>
      </c>
      <c r="F190" s="277">
        <f>D190/PI()*180</f>
        <v>0</v>
      </c>
      <c r="G190" s="264"/>
      <c r="H190" s="264"/>
      <c r="I190" s="281"/>
      <c r="J190" s="264"/>
      <c r="K190" s="264"/>
      <c r="L190" s="264"/>
      <c r="M190" s="266"/>
    </row>
    <row r="191" spans="1:24" s="180" customFormat="1">
      <c r="A191" s="264"/>
      <c r="B191" s="264" t="s">
        <v>245</v>
      </c>
      <c r="C191" s="257">
        <f>C187*COS(C190)</f>
        <v>68.562343825144694</v>
      </c>
      <c r="D191" s="277">
        <f>SQRT((COS(C190))^2*D187^2+(C187*SIN(C190))^2*D190^2)</f>
        <v>99.385586844836268</v>
      </c>
      <c r="E191" s="277"/>
      <c r="F191" s="264"/>
      <c r="G191" s="264" t="s">
        <v>30</v>
      </c>
      <c r="H191" s="266">
        <f>ABS(H187*(1-H188^2)/(1+H188^2))</f>
        <v>68.562343825144694</v>
      </c>
      <c r="I191" s="266">
        <f>SQRT((1-H188^2/(1+H188^2))^2*I187^2+(4*H187*H188/(1+H188^2)^2)^2*I188^2)</f>
        <v>99.702792422618074</v>
      </c>
      <c r="J191" s="266">
        <f>ABS(I185-I186)</f>
        <v>68.562343825144126</v>
      </c>
      <c r="K191" s="264"/>
      <c r="L191" s="264" t="s">
        <v>246</v>
      </c>
      <c r="M191" s="266"/>
    </row>
    <row r="192" spans="1:24" s="180" customFormat="1">
      <c r="A192" s="264"/>
      <c r="B192" s="264" t="s">
        <v>247</v>
      </c>
      <c r="C192" s="258">
        <f>C187*SIN(C190)/2</f>
        <v>3.8795943474364258</v>
      </c>
      <c r="D192" s="266">
        <f>0.5*SQRT((SIN(C190))^2*D187^2+(C187*COS(C190))^2*D190^2)</f>
        <v>5.6237249112022321</v>
      </c>
      <c r="E192" s="264"/>
      <c r="F192" s="264"/>
      <c r="G192" s="264" t="s">
        <v>31</v>
      </c>
      <c r="H192" s="266">
        <f>H187*(H188)/(1+H188^2)</f>
        <v>3.8795943474364254</v>
      </c>
      <c r="I192" s="266">
        <f>SQRT((H188/(1+H188^2))^2*I187^2+((H187-H187*H188^2)/(1+H188^2)^2)^2*I188^2)</f>
        <v>5.6237249112022321</v>
      </c>
      <c r="J192" s="264"/>
      <c r="K192" s="264"/>
      <c r="L192" s="264" t="s">
        <v>248</v>
      </c>
      <c r="M192" s="280"/>
    </row>
    <row r="193" spans="1:13" s="180" customFormat="1">
      <c r="A193" s="264"/>
      <c r="B193" s="264" t="s">
        <v>249</v>
      </c>
      <c r="C193" s="262">
        <f>(E186/E185)/(E186/E185+1)</f>
        <v>3.1714215569224762E-3</v>
      </c>
      <c r="D193" s="282">
        <f>F193/(E193+1)^2</f>
        <v>0</v>
      </c>
      <c r="E193" s="266">
        <f>E186/E185</f>
        <v>3.1815114709851551E-3</v>
      </c>
      <c r="F193" s="266">
        <f>E193*SQRT((F185/E185)^2+(F186/E186)^2)</f>
        <v>0</v>
      </c>
      <c r="G193" s="264"/>
      <c r="H193" s="264"/>
      <c r="I193" s="264"/>
      <c r="J193" s="264"/>
      <c r="K193" s="264"/>
      <c r="L193" s="264" t="s">
        <v>205</v>
      </c>
      <c r="M193" s="280"/>
    </row>
    <row r="194" spans="1:13" s="180" customFormat="1">
      <c r="A194" s="264"/>
      <c r="B194" s="264" t="s">
        <v>237</v>
      </c>
      <c r="C194" s="263">
        <f>(C187-C191)/2</f>
        <v>0.21882808742765292</v>
      </c>
      <c r="D194" s="266">
        <f>SQRT(D187^2+D191^2)</f>
        <v>141.00175485607437</v>
      </c>
      <c r="E194" s="264"/>
      <c r="F194" s="264"/>
      <c r="G194" s="264"/>
      <c r="H194" s="264"/>
      <c r="I194" s="264"/>
      <c r="J194" s="264"/>
      <c r="K194" s="264"/>
      <c r="L194" s="264" t="s">
        <v>239</v>
      </c>
      <c r="M194" s="280"/>
    </row>
    <row r="195" spans="1:13">
      <c r="A195" s="264"/>
      <c r="B195" s="264" t="s">
        <v>250</v>
      </c>
      <c r="C195" s="264">
        <f>SQRT(C191^2+4*C192^2)</f>
        <v>69</v>
      </c>
      <c r="D195" s="264"/>
      <c r="E195" s="264"/>
      <c r="F195" s="264"/>
      <c r="G195" s="264"/>
      <c r="H195" s="264"/>
      <c r="I195" s="264"/>
      <c r="J195" s="264"/>
      <c r="K195" s="264"/>
      <c r="L195" s="280"/>
      <c r="M195" s="280"/>
    </row>
    <row r="197" spans="1:13" s="180" customFormat="1"/>
    <row r="198" spans="1:13" s="180" customFormat="1">
      <c r="A198" s="264" t="s">
        <v>202</v>
      </c>
      <c r="B198" s="264" t="s">
        <v>179</v>
      </c>
      <c r="C198" s="264" t="s">
        <v>260</v>
      </c>
      <c r="D198" s="264"/>
      <c r="E198" s="264" t="s">
        <v>262</v>
      </c>
      <c r="F198" s="264"/>
      <c r="G198" s="264"/>
      <c r="H198" s="264"/>
      <c r="I198" s="264"/>
      <c r="J198" s="264"/>
      <c r="K198" s="264"/>
      <c r="L198" s="265"/>
      <c r="M198" s="266"/>
    </row>
    <row r="199" spans="1:13" s="180" customFormat="1">
      <c r="A199" s="264" t="s">
        <v>226</v>
      </c>
      <c r="B199" s="264" t="s">
        <v>215</v>
      </c>
      <c r="C199" s="264" t="s">
        <v>218</v>
      </c>
      <c r="D199" s="264" t="s">
        <v>219</v>
      </c>
      <c r="E199" s="267" t="s">
        <v>220</v>
      </c>
      <c r="F199" s="267" t="s">
        <v>223</v>
      </c>
      <c r="G199" s="267" t="s">
        <v>221</v>
      </c>
      <c r="H199" s="264" t="s">
        <v>222</v>
      </c>
      <c r="I199" s="264" t="s">
        <v>213</v>
      </c>
      <c r="J199" s="264" t="s">
        <v>224</v>
      </c>
      <c r="K199" s="264"/>
      <c r="L199" s="264" t="s">
        <v>34</v>
      </c>
      <c r="M199" s="268" t="s">
        <v>33</v>
      </c>
    </row>
    <row r="200" spans="1:13" s="180" customFormat="1">
      <c r="A200" s="264" t="s">
        <v>261</v>
      </c>
      <c r="B200" s="269" t="s">
        <v>259</v>
      </c>
      <c r="C200" s="270">
        <f>C201+23</f>
        <v>7925</v>
      </c>
      <c r="D200" s="270">
        <v>100</v>
      </c>
      <c r="E200" s="283">
        <v>4.7770000000000001</v>
      </c>
      <c r="F200" s="283">
        <v>0</v>
      </c>
      <c r="G200" s="272">
        <f>10^E200</f>
        <v>59841.159506032083</v>
      </c>
      <c r="H200" s="273">
        <f>G200*LN(10)*F200</f>
        <v>0</v>
      </c>
      <c r="I200" s="284">
        <f>$D$4/$G200</f>
        <v>0.10267982857819836</v>
      </c>
      <c r="J200" s="265">
        <f>I200*SQRT((H200/G200)^2+($E$4/$D$4)^2)</f>
        <v>6.1830352729496066E-5</v>
      </c>
      <c r="K200" s="275"/>
      <c r="L200" s="271">
        <v>2</v>
      </c>
      <c r="M200" s="266">
        <f>(I200-L200)/$D$6^2</f>
        <v>-1.1660350437722193</v>
      </c>
    </row>
    <row r="201" spans="1:13" s="180" customFormat="1">
      <c r="A201" s="264" t="s">
        <v>261</v>
      </c>
      <c r="B201" s="269" t="s">
        <v>25</v>
      </c>
      <c r="C201" s="276">
        <v>7902</v>
      </c>
      <c r="D201" s="270">
        <v>2</v>
      </c>
      <c r="E201" s="283">
        <v>3.306</v>
      </c>
      <c r="F201" s="283">
        <v>0</v>
      </c>
      <c r="G201" s="272">
        <f>10^E201</f>
        <v>2023.0191786782739</v>
      </c>
      <c r="H201" s="273">
        <f>G201*LN(10)*F201</f>
        <v>0</v>
      </c>
      <c r="I201" s="284">
        <f>$D$4/$G201</f>
        <v>3.0372821299768669</v>
      </c>
      <c r="J201" s="265">
        <f>I201*SQRT((H201/G201)^2+($E$4/$D$4)^2)</f>
        <v>1.8289495418512892E-3</v>
      </c>
      <c r="K201" s="265"/>
      <c r="L201" s="271">
        <v>2</v>
      </c>
      <c r="M201" s="266">
        <f>(I201-L201)/$D$6^2</f>
        <v>0.63748192426866157</v>
      </c>
    </row>
    <row r="202" spans="1:13" s="180" customFormat="1">
      <c r="A202" s="264"/>
      <c r="B202" s="269"/>
      <c r="C202" s="277"/>
      <c r="D202" s="277"/>
      <c r="E202" s="267"/>
      <c r="F202" s="265"/>
      <c r="G202" s="272"/>
      <c r="H202" s="273"/>
      <c r="I202" s="274"/>
      <c r="J202" s="265"/>
      <c r="K202" s="265"/>
      <c r="L202" s="265"/>
      <c r="M202" s="266"/>
    </row>
    <row r="203" spans="1:13" s="180" customFormat="1">
      <c r="A203" s="264"/>
      <c r="B203" s="264"/>
      <c r="C203" s="266" t="s">
        <v>14</v>
      </c>
      <c r="D203" s="264"/>
      <c r="E203" s="264" t="s">
        <v>32</v>
      </c>
      <c r="F203" s="264" t="s">
        <v>231</v>
      </c>
      <c r="G203" s="264" t="s">
        <v>229</v>
      </c>
      <c r="H203" s="264" t="s">
        <v>230</v>
      </c>
      <c r="I203" s="264" t="s">
        <v>39</v>
      </c>
      <c r="J203" s="264"/>
      <c r="K203" s="264"/>
      <c r="L203" s="264"/>
      <c r="M203" s="264"/>
    </row>
    <row r="204" spans="1:13" s="180" customFormat="1">
      <c r="A204" s="264" t="s">
        <v>268</v>
      </c>
      <c r="B204" s="264" t="s">
        <v>27</v>
      </c>
      <c r="C204" s="277">
        <f>IF(I200&gt;I201,C200,C201)</f>
        <v>7902</v>
      </c>
      <c r="D204" s="277">
        <f>IF(I200&gt;I201,D200,D201)</f>
        <v>2</v>
      </c>
      <c r="E204" s="285">
        <v>2.8860000000000001</v>
      </c>
      <c r="F204" s="278">
        <v>0</v>
      </c>
      <c r="G204" s="264">
        <v>9.2799999999999994E-2</v>
      </c>
      <c r="H204" s="264">
        <v>0</v>
      </c>
      <c r="I204" s="279">
        <f>IF(C204&gt;C205,C204-C213,C204+C213)</f>
        <v>7902.6921913595806</v>
      </c>
      <c r="J204" s="277">
        <f>SQRT(D204^2+D213^2)</f>
        <v>137.27327100990701</v>
      </c>
      <c r="K204" s="264" t="s">
        <v>185</v>
      </c>
      <c r="L204" s="267" t="s">
        <v>227</v>
      </c>
      <c r="M204" s="264"/>
    </row>
    <row r="205" spans="1:13" s="180" customFormat="1">
      <c r="A205" s="264"/>
      <c r="B205" s="264" t="s">
        <v>28</v>
      </c>
      <c r="C205" s="277">
        <f>IF(I200&lt;I201,C200,C201)</f>
        <v>7925</v>
      </c>
      <c r="D205" s="277">
        <f>IF(I200&lt;I201,D200,D201)</f>
        <v>100</v>
      </c>
      <c r="E205" s="285">
        <v>8.9550000000000005E-2</v>
      </c>
      <c r="F205" s="278">
        <v>0</v>
      </c>
      <c r="G205" s="264">
        <v>8.0000000000000002E-3</v>
      </c>
      <c r="H205" s="264">
        <v>0</v>
      </c>
      <c r="I205" s="279">
        <f>IF(C205&gt;C204,C205-C213,C205+C213)</f>
        <v>7924.3078086404194</v>
      </c>
      <c r="J205" s="277">
        <f>SQRT(D205^2+D213^2)</f>
        <v>169.82329326025737</v>
      </c>
      <c r="K205" s="264" t="s">
        <v>186</v>
      </c>
      <c r="L205" s="264"/>
      <c r="M205" s="264"/>
    </row>
    <row r="206" spans="1:13" s="180" customFormat="1">
      <c r="A206" s="264"/>
      <c r="B206" s="264" t="s">
        <v>243</v>
      </c>
      <c r="C206" s="256">
        <f>ABS(C205-C204)</f>
        <v>23</v>
      </c>
      <c r="D206" s="277">
        <f>SQRT(D204^2+D205^2)</f>
        <v>100.01999800039989</v>
      </c>
      <c r="E206" s="264"/>
      <c r="F206" s="264"/>
      <c r="G206" s="264" t="s">
        <v>0</v>
      </c>
      <c r="H206" s="277">
        <f>ABS(C205-C204)</f>
        <v>23</v>
      </c>
      <c r="I206" s="277">
        <f>SQRT(D204^2+D205^2)</f>
        <v>100.01999800039989</v>
      </c>
      <c r="J206" s="264"/>
      <c r="K206" s="264"/>
      <c r="L206" s="264" t="s">
        <v>193</v>
      </c>
      <c r="M206" s="264"/>
    </row>
    <row r="207" spans="1:13" s="180" customFormat="1">
      <c r="A207" s="264"/>
      <c r="B207" s="264" t="s">
        <v>244</v>
      </c>
      <c r="C207" s="280">
        <f>SQRT((E205)/(E204))</f>
        <v>0.17615080479267198</v>
      </c>
      <c r="D207" s="280">
        <f>C207*SQRT((F205/E205/2)^2+(F204/E204/2)^2)</f>
        <v>0</v>
      </c>
      <c r="E207" s="264"/>
      <c r="F207" s="264"/>
      <c r="G207" s="264" t="s">
        <v>29</v>
      </c>
      <c r="H207" s="280">
        <f>SQRT(E205/E204)</f>
        <v>0.17615080479267198</v>
      </c>
      <c r="I207" s="280">
        <f>H207*SQRT((F205/E205/2)^2+(F204/E204/2)^2)</f>
        <v>0</v>
      </c>
      <c r="J207" s="264"/>
      <c r="K207" s="264"/>
      <c r="L207" s="265"/>
      <c r="M207" s="266"/>
    </row>
    <row r="208" spans="1:13" s="180" customFormat="1">
      <c r="A208" s="264"/>
      <c r="B208" s="264" t="s">
        <v>3</v>
      </c>
      <c r="C208" s="280">
        <f>ATAN(C207)</f>
        <v>0.17436205649127604</v>
      </c>
      <c r="D208" s="280">
        <f>D207/(1+C207^2)</f>
        <v>0</v>
      </c>
      <c r="E208" s="257">
        <f>C208/PI()*180</f>
        <v>9.990209944171756</v>
      </c>
      <c r="F208" s="277">
        <f>D208/PI()*180</f>
        <v>0</v>
      </c>
      <c r="G208" s="264"/>
      <c r="H208" s="264"/>
      <c r="I208" s="281"/>
      <c r="J208" s="264"/>
      <c r="K208" s="264"/>
      <c r="L208" s="264" t="s">
        <v>192</v>
      </c>
      <c r="M208" s="266"/>
    </row>
    <row r="209" spans="1:24" s="180" customFormat="1">
      <c r="A209" s="264"/>
      <c r="B209" s="264" t="s">
        <v>235</v>
      </c>
      <c r="C209" s="280">
        <f>C208*2</f>
        <v>0.34872411298255207</v>
      </c>
      <c r="D209" s="280">
        <f>D208*2</f>
        <v>0</v>
      </c>
      <c r="E209" s="277">
        <f>C209/PI()*180</f>
        <v>19.980419888343512</v>
      </c>
      <c r="F209" s="277">
        <f>D209/PI()*180</f>
        <v>0</v>
      </c>
      <c r="G209" s="264"/>
      <c r="H209" s="264"/>
      <c r="I209" s="281"/>
      <c r="J209" s="264"/>
      <c r="K209" s="264"/>
      <c r="L209" s="264"/>
      <c r="M209" s="266"/>
    </row>
    <row r="210" spans="1:24" s="180" customFormat="1">
      <c r="A210" s="264"/>
      <c r="B210" s="264" t="s">
        <v>245</v>
      </c>
      <c r="C210" s="257">
        <f>C206*COS(C209)</f>
        <v>21.615617280838837</v>
      </c>
      <c r="D210" s="277">
        <f>SQRT((COS(C209))^2*D206^2+(C206*SIN(C209))^2*D209^2)</f>
        <v>93.999739008996073</v>
      </c>
      <c r="E210" s="277"/>
      <c r="F210" s="264"/>
      <c r="G210" s="264" t="s">
        <v>30</v>
      </c>
      <c r="H210" s="266">
        <f>ABS(H206*(1-H207^2)/(1+H207^2))</f>
        <v>21.615617280838833</v>
      </c>
      <c r="I210" s="266">
        <f>SQRT((1-H207^2/(1+H207^2))^2*I206^2+(4*H206*H207/(1+H207^2)^2)^2*I207^2)</f>
        <v>97.009868504697977</v>
      </c>
      <c r="J210" s="266">
        <f>ABS(I204-I205)</f>
        <v>21.615617280838705</v>
      </c>
      <c r="K210" s="264"/>
      <c r="L210" s="264" t="s">
        <v>246</v>
      </c>
      <c r="M210" s="266"/>
    </row>
    <row r="211" spans="1:24" s="180" customFormat="1">
      <c r="A211" s="264"/>
      <c r="B211" s="264" t="s">
        <v>247</v>
      </c>
      <c r="C211" s="258">
        <f>C206*SIN(C209)/2</f>
        <v>3.9295384451708024</v>
      </c>
      <c r="D211" s="266">
        <f>0.5*SQRT((SIN(C209))^2*D206^2+(C206*COS(C209))^2*D209^2)</f>
        <v>17.088366409933833</v>
      </c>
      <c r="E211" s="264"/>
      <c r="F211" s="264"/>
      <c r="G211" s="264" t="s">
        <v>31</v>
      </c>
      <c r="H211" s="266">
        <f>H206*(H207)/(1+H207^2)</f>
        <v>3.9295384451708015</v>
      </c>
      <c r="I211" s="266">
        <f>SQRT((H207/(1+H207^2))^2*I206^2+((H206-H206*H207^2)/(1+H207^2)^2)^2*I207^2)</f>
        <v>17.08836640993383</v>
      </c>
      <c r="J211" s="264"/>
      <c r="K211" s="264"/>
      <c r="L211" s="264" t="s">
        <v>248</v>
      </c>
      <c r="M211" s="280"/>
    </row>
    <row r="212" spans="1:24" s="180" customFormat="1">
      <c r="A212" s="264"/>
      <c r="B212" s="264" t="s">
        <v>249</v>
      </c>
      <c r="C212" s="262">
        <f>(E205/E204)/(E205/E204+1)</f>
        <v>3.0095276503503552E-2</v>
      </c>
      <c r="D212" s="282">
        <f>F212/(E212+1)^2</f>
        <v>0</v>
      </c>
      <c r="E212" s="266">
        <f>E205/E204</f>
        <v>3.1029106029106031E-2</v>
      </c>
      <c r="F212" s="266">
        <f>E212*SQRT((F204/E204)^2+(F205/E205)^2)</f>
        <v>0</v>
      </c>
      <c r="G212" s="264"/>
      <c r="H212" s="264"/>
      <c r="I212" s="264"/>
      <c r="J212" s="264"/>
      <c r="K212" s="264"/>
      <c r="L212" s="264" t="s">
        <v>205</v>
      </c>
      <c r="M212" s="280"/>
    </row>
    <row r="213" spans="1:24" s="180" customFormat="1">
      <c r="A213" s="264"/>
      <c r="B213" s="264" t="s">
        <v>237</v>
      </c>
      <c r="C213" s="263">
        <f>(C206-C210)/2</f>
        <v>0.69219135958058153</v>
      </c>
      <c r="D213" s="266">
        <f>SQRT(D206^2+D210^2)</f>
        <v>137.25870075794603</v>
      </c>
      <c r="E213" s="264"/>
      <c r="F213" s="264"/>
      <c r="G213" s="264"/>
      <c r="H213" s="264"/>
      <c r="I213" s="264"/>
      <c r="J213" s="264"/>
      <c r="K213" s="264"/>
      <c r="L213" s="264" t="s">
        <v>239</v>
      </c>
      <c r="M213" s="280"/>
    </row>
    <row r="214" spans="1:24" s="180" customFormat="1">
      <c r="A214" s="264"/>
      <c r="B214" s="264" t="s">
        <v>250</v>
      </c>
      <c r="C214" s="264">
        <f>SQRT(C210^2+4*C211^2)</f>
        <v>23</v>
      </c>
      <c r="D214" s="264"/>
      <c r="E214" s="264"/>
      <c r="F214" s="264"/>
      <c r="G214" s="264"/>
      <c r="H214" s="264"/>
      <c r="I214" s="264"/>
      <c r="J214" s="264"/>
      <c r="K214" s="264"/>
      <c r="L214" s="280"/>
      <c r="M214" s="280"/>
    </row>
    <row r="215" spans="1:24" s="180" customFormat="1"/>
    <row r="217" spans="1:24">
      <c r="A217" s="62" t="s">
        <v>265</v>
      </c>
      <c r="B217" s="62" t="s">
        <v>179</v>
      </c>
      <c r="C217" s="62" t="s">
        <v>266</v>
      </c>
      <c r="D217" s="62"/>
      <c r="E217" s="62" t="s">
        <v>299</v>
      </c>
      <c r="F217" s="62"/>
      <c r="G217" s="62"/>
      <c r="H217" s="62"/>
      <c r="I217" s="62"/>
      <c r="J217" s="62"/>
      <c r="K217" s="62"/>
      <c r="L217" s="168"/>
      <c r="M217" s="169"/>
      <c r="O217" s="29"/>
      <c r="P217" s="29" t="s">
        <v>207</v>
      </c>
      <c r="Q217" s="29"/>
      <c r="R217" s="29"/>
      <c r="S217" s="29"/>
      <c r="T217" s="29"/>
      <c r="U217" s="29"/>
      <c r="V217" s="29"/>
      <c r="W217" s="29"/>
      <c r="X217" s="29"/>
    </row>
    <row r="218" spans="1:24">
      <c r="A218" s="62" t="s">
        <v>226</v>
      </c>
      <c r="B218" s="62" t="s">
        <v>215</v>
      </c>
      <c r="C218" s="62" t="s">
        <v>218</v>
      </c>
      <c r="D218" s="62" t="s">
        <v>219</v>
      </c>
      <c r="E218" s="170" t="s">
        <v>220</v>
      </c>
      <c r="F218" s="170" t="s">
        <v>223</v>
      </c>
      <c r="G218" s="170" t="s">
        <v>221</v>
      </c>
      <c r="H218" s="62" t="s">
        <v>222</v>
      </c>
      <c r="I218" s="62" t="s">
        <v>37</v>
      </c>
      <c r="J218" s="62" t="s">
        <v>224</v>
      </c>
      <c r="K218" s="62"/>
      <c r="L218" s="62" t="s">
        <v>34</v>
      </c>
      <c r="M218" s="171" t="s">
        <v>33</v>
      </c>
      <c r="N218" s="171" t="s">
        <v>300</v>
      </c>
      <c r="O218" s="29"/>
      <c r="P218" s="29" t="s">
        <v>179</v>
      </c>
      <c r="Q218" s="59" t="s">
        <v>14</v>
      </c>
      <c r="R218" s="29"/>
      <c r="S218" s="29" t="s">
        <v>32</v>
      </c>
      <c r="T218" s="29"/>
      <c r="U218" s="29" t="s">
        <v>39</v>
      </c>
      <c r="V218" s="29"/>
      <c r="W218" s="29"/>
      <c r="X218" s="29"/>
    </row>
    <row r="219" spans="1:24">
      <c r="A219" s="62" t="s">
        <v>261</v>
      </c>
      <c r="B219" s="172" t="s">
        <v>216</v>
      </c>
      <c r="C219" s="287">
        <v>7803.4</v>
      </c>
      <c r="D219" s="182">
        <v>0.5</v>
      </c>
      <c r="E219" s="183">
        <v>3.274</v>
      </c>
      <c r="F219" s="183">
        <v>0.03</v>
      </c>
      <c r="G219" s="174">
        <f>10^E219</f>
        <v>1879.3168168032701</v>
      </c>
      <c r="H219" s="175">
        <f>G219*LN(10)*F219</f>
        <v>129.81860662152695</v>
      </c>
      <c r="I219" s="286">
        <f>$D$4/$G219</f>
        <v>3.2695285568996288</v>
      </c>
      <c r="J219" s="168">
        <f>I219*SQRT((H219/G219)^2+($E$4/$D$4)^2)</f>
        <v>0.22585961259023798</v>
      </c>
      <c r="K219" s="173"/>
      <c r="L219" s="185">
        <v>3</v>
      </c>
      <c r="M219" s="169">
        <f>(I219-L219)/$D$6^2</f>
        <v>0.16564402117055915</v>
      </c>
      <c r="N219" s="169">
        <f>(J219)/$D$6^2</f>
        <v>0.13880642140418475</v>
      </c>
      <c r="O219" s="29"/>
      <c r="P219" s="29" t="s">
        <v>27</v>
      </c>
      <c r="Q219" s="290">
        <v>7787</v>
      </c>
      <c r="R219" s="29">
        <v>2</v>
      </c>
      <c r="S219" s="29">
        <v>1.07</v>
      </c>
      <c r="T219" s="29"/>
      <c r="U219" s="291">
        <f>Q219+(-Q223+Q221)/2</f>
        <v>7791.1960784313724</v>
      </c>
      <c r="V219" s="29"/>
      <c r="W219" s="29" t="s">
        <v>185</v>
      </c>
      <c r="X219" s="292" t="s">
        <v>197</v>
      </c>
    </row>
    <row r="220" spans="1:24">
      <c r="A220" s="62" t="s">
        <v>261</v>
      </c>
      <c r="B220" s="172" t="s">
        <v>264</v>
      </c>
      <c r="C220" s="182">
        <v>7787.3</v>
      </c>
      <c r="D220" s="182">
        <v>0.5</v>
      </c>
      <c r="E220" s="183">
        <v>3.8530000000000002</v>
      </c>
      <c r="F220" s="183">
        <v>2.8000000000000001E-2</v>
      </c>
      <c r="G220" s="174">
        <f>10^E220</f>
        <v>7128.5303012652012</v>
      </c>
      <c r="H220" s="175">
        <f>G220*LN(10)*F220</f>
        <v>459.59333298618907</v>
      </c>
      <c r="I220" s="286">
        <f>$D$4/$G220</f>
        <v>0.86195607514068528</v>
      </c>
      <c r="J220" s="168">
        <f>I220*SQRT((H220/G220)^2+($E$4/$D$4)^2)</f>
        <v>5.5574785710744548E-2</v>
      </c>
      <c r="K220" s="168"/>
      <c r="L220" s="185">
        <v>0</v>
      </c>
      <c r="M220" s="169">
        <f>(I220-L220)/$D$6^2</f>
        <v>0.52973188444690689</v>
      </c>
      <c r="N220" s="7">
        <f>'logft&amp;BGT'!F3</f>
        <v>1.5854542484710951E-2</v>
      </c>
      <c r="O220" s="29" t="s">
        <v>38</v>
      </c>
      <c r="P220" s="29" t="s">
        <v>28</v>
      </c>
      <c r="Q220" s="29">
        <v>7803</v>
      </c>
      <c r="R220" s="29">
        <v>2</v>
      </c>
      <c r="S220" s="29">
        <v>3.01</v>
      </c>
      <c r="T220" s="29"/>
      <c r="U220" s="291">
        <f>Q220-(-Q223+Q221)/2</f>
        <v>7798.8039215686276</v>
      </c>
      <c r="V220" s="29"/>
      <c r="W220" s="29" t="s">
        <v>186</v>
      </c>
      <c r="X220" s="29" t="s">
        <v>199</v>
      </c>
    </row>
    <row r="221" spans="1:24">
      <c r="A221" s="62"/>
      <c r="B221" s="172"/>
      <c r="C221" s="177"/>
      <c r="D221" s="177"/>
      <c r="E221" s="170"/>
      <c r="F221" s="168"/>
      <c r="G221" s="174"/>
      <c r="H221" s="175"/>
      <c r="I221" s="176"/>
      <c r="J221" s="168"/>
      <c r="K221" s="168"/>
      <c r="L221" s="168"/>
      <c r="M221" s="169"/>
      <c r="O221" s="29"/>
      <c r="P221" s="29" t="s">
        <v>0</v>
      </c>
      <c r="Q221" s="290">
        <f>Q220-Q219</f>
        <v>16</v>
      </c>
      <c r="R221" s="29" t="s">
        <v>190</v>
      </c>
      <c r="S221" s="293">
        <f>Q220-Q219</f>
        <v>16</v>
      </c>
      <c r="T221" s="29">
        <f>SQRT(S223^2+4*S224^2)</f>
        <v>16</v>
      </c>
      <c r="U221" s="29"/>
      <c r="V221" s="29"/>
      <c r="W221" s="29" t="s">
        <v>193</v>
      </c>
      <c r="X221" s="29"/>
    </row>
    <row r="222" spans="1:24">
      <c r="A222" s="62"/>
      <c r="B222" s="62"/>
      <c r="C222" s="169" t="s">
        <v>14</v>
      </c>
      <c r="D222" s="62"/>
      <c r="E222" s="62" t="s">
        <v>32</v>
      </c>
      <c r="F222" s="62" t="s">
        <v>231</v>
      </c>
      <c r="G222" s="62" t="s">
        <v>229</v>
      </c>
      <c r="H222" s="62" t="s">
        <v>230</v>
      </c>
      <c r="I222" s="62" t="s">
        <v>39</v>
      </c>
      <c r="J222" s="62"/>
      <c r="K222" s="62"/>
      <c r="L222" s="62"/>
      <c r="M222" s="62"/>
      <c r="O222" s="29"/>
      <c r="P222" s="29" t="s">
        <v>29</v>
      </c>
      <c r="Q222" s="73">
        <f>SQRT(S220/S219)</f>
        <v>1.6772251226801762</v>
      </c>
      <c r="R222" s="29" t="s">
        <v>189</v>
      </c>
      <c r="S222" s="59">
        <f>ATAN(SQRT(MIN(S219:S220)/MAX(S219:S220)))</f>
        <v>0.53763758064284839</v>
      </c>
      <c r="T222" s="294">
        <f>S222/PI()*180</f>
        <v>30.804364278459655</v>
      </c>
      <c r="U222" s="29"/>
      <c r="V222" s="29"/>
      <c r="W222" s="29" t="s">
        <v>192</v>
      </c>
      <c r="X222" s="29"/>
    </row>
    <row r="223" spans="1:24">
      <c r="A223" s="62" t="s">
        <v>268</v>
      </c>
      <c r="B223" s="62" t="s">
        <v>27</v>
      </c>
      <c r="C223" s="177">
        <f>IF(I219&gt;I220,C219,C220)</f>
        <v>7803.4</v>
      </c>
      <c r="D223" s="177">
        <f>IF(I219&gt;I220,D219,D220)</f>
        <v>0.5</v>
      </c>
      <c r="E223" s="288">
        <f>I219</f>
        <v>3.2695285568996288</v>
      </c>
      <c r="F223" s="288">
        <f>J219</f>
        <v>0.22585961259023798</v>
      </c>
      <c r="G223" s="62">
        <v>0</v>
      </c>
      <c r="H223" s="62">
        <v>0</v>
      </c>
      <c r="I223" s="178">
        <f>IF(C223&gt;C224,C223-C232,C223+C232)</f>
        <v>7800.0410397119367</v>
      </c>
      <c r="J223" s="177">
        <f>SQRT(D223^2+D232^2)</f>
        <v>1.0826638272967533</v>
      </c>
      <c r="K223" s="62" t="s">
        <v>185</v>
      </c>
      <c r="L223" s="170" t="s">
        <v>227</v>
      </c>
      <c r="M223" s="62"/>
      <c r="O223" s="29"/>
      <c r="P223" s="29" t="s">
        <v>30</v>
      </c>
      <c r="Q223" s="59">
        <f>ABS(Q221*(1-Q222^2)/(1+Q222^2))</f>
        <v>7.6078431372549007</v>
      </c>
      <c r="R223" s="29" t="s">
        <v>188</v>
      </c>
      <c r="S223" s="59">
        <f>S221*COS(2*S222)</f>
        <v>7.6078431372549016</v>
      </c>
      <c r="T223" s="29"/>
      <c r="U223" s="29"/>
      <c r="V223" s="29"/>
      <c r="W223" s="29" t="s">
        <v>195</v>
      </c>
      <c r="X223" s="29"/>
    </row>
    <row r="224" spans="1:24">
      <c r="A224" s="62"/>
      <c r="B224" s="62" t="s">
        <v>28</v>
      </c>
      <c r="C224" s="177">
        <f>IF(I219&lt;I220,C219,C220)</f>
        <v>7787.3</v>
      </c>
      <c r="D224" s="177">
        <f>IF(I219&lt;I220,D219,D220)</f>
        <v>0.5</v>
      </c>
      <c r="E224" s="288">
        <f>I220</f>
        <v>0.86195607514068528</v>
      </c>
      <c r="F224" s="288">
        <f>J220</f>
        <v>5.5574785710744548E-2</v>
      </c>
      <c r="G224" s="62">
        <v>0</v>
      </c>
      <c r="H224" s="62">
        <v>0</v>
      </c>
      <c r="I224" s="178">
        <f>IF(C224&gt;C223,C224-C232,C224+C232)</f>
        <v>7790.6589602880631</v>
      </c>
      <c r="J224" s="177">
        <f>SQRT(D224^2+D232^2)</f>
        <v>1.0826638272967533</v>
      </c>
      <c r="K224" s="62" t="s">
        <v>186</v>
      </c>
      <c r="L224" s="62"/>
      <c r="M224" s="62"/>
      <c r="O224" s="29"/>
      <c r="P224" s="29" t="s">
        <v>31</v>
      </c>
      <c r="Q224" s="59">
        <f>Q221*(Q222)/(1+Q222^2)</f>
        <v>7.0377681618344656</v>
      </c>
      <c r="R224" s="29" t="s">
        <v>187</v>
      </c>
      <c r="S224" s="59">
        <f>Q221*SIN(S222*2)/2</f>
        <v>7.0377681618344656</v>
      </c>
      <c r="T224" s="29"/>
      <c r="U224" s="29"/>
      <c r="V224" s="29"/>
      <c r="W224" s="29" t="s">
        <v>191</v>
      </c>
      <c r="X224" s="29"/>
    </row>
    <row r="225" spans="1:24" ht="15.6">
      <c r="A225" s="62"/>
      <c r="B225" s="62" t="s">
        <v>243</v>
      </c>
      <c r="C225" s="256">
        <f>ABS(C224-C223)</f>
        <v>16.099999999999454</v>
      </c>
      <c r="D225" s="177">
        <f>SQRT(D223^2+D224^2)</f>
        <v>0.70710678118654757</v>
      </c>
      <c r="E225" s="62"/>
      <c r="F225" s="62"/>
      <c r="G225" s="62" t="s">
        <v>0</v>
      </c>
      <c r="H225" s="177">
        <f>ABS(C224-C223)</f>
        <v>16.099999999999454</v>
      </c>
      <c r="I225" s="177">
        <f>SQRT(D223^2+D224^2)</f>
        <v>0.70710678118654757</v>
      </c>
      <c r="J225" s="62"/>
      <c r="K225" s="62"/>
      <c r="L225" s="62" t="s">
        <v>193</v>
      </c>
      <c r="M225" s="62"/>
      <c r="O225" s="29"/>
      <c r="P225" s="29"/>
      <c r="Q225" s="29"/>
      <c r="R225" s="29" t="s">
        <v>204</v>
      </c>
      <c r="S225" s="67">
        <f>(MIN(S219,S220)/MAX(S219,S220))/(MIN(S219,S220)/MAX(S219,S220)+1)</f>
        <v>0.26225490196078433</v>
      </c>
      <c r="T225" s="29"/>
      <c r="U225" s="29"/>
      <c r="V225" s="29"/>
      <c r="W225" s="29" t="s">
        <v>205</v>
      </c>
      <c r="X225" s="29"/>
    </row>
    <row r="226" spans="1:24">
      <c r="A226" s="62"/>
      <c r="B226" s="62" t="s">
        <v>244</v>
      </c>
      <c r="C226" s="179">
        <f>SQRT((E224)/(E223))</f>
        <v>0.51345217750296668</v>
      </c>
      <c r="D226" s="179">
        <f>C226*SQRT((F224/E224/2)^2+(F223/E223/2)^2)</f>
        <v>2.4259082625474014E-2</v>
      </c>
      <c r="E226" s="62"/>
      <c r="F226" s="62"/>
      <c r="G226" s="62" t="s">
        <v>29</v>
      </c>
      <c r="H226" s="179">
        <f>SQRT(E224/E223)</f>
        <v>0.51345217750296668</v>
      </c>
      <c r="I226" s="179">
        <f>H226*SQRT((F224/E224/2)^2+(F223/E223/2)^2)</f>
        <v>2.4259082625474014E-2</v>
      </c>
      <c r="J226" s="62"/>
      <c r="K226" s="62"/>
      <c r="L226" s="168"/>
      <c r="M226" s="169"/>
    </row>
    <row r="227" spans="1:24">
      <c r="A227" s="62"/>
      <c r="B227" s="62" t="s">
        <v>3</v>
      </c>
      <c r="C227" s="179">
        <f>ATAN(C226)</f>
        <v>0.47435134458884265</v>
      </c>
      <c r="D227" s="179">
        <f>D226/(1+C226^2)</f>
        <v>1.9197884168095092E-2</v>
      </c>
      <c r="E227" s="257">
        <f>C227/PI()*180</f>
        <v>27.178330051296463</v>
      </c>
      <c r="F227" s="177">
        <f>D227/PI()*180</f>
        <v>1.0999577384128703</v>
      </c>
      <c r="G227" s="62"/>
      <c r="H227" s="62"/>
      <c r="I227" s="181"/>
      <c r="J227" s="62"/>
      <c r="K227" s="62"/>
      <c r="L227" s="62" t="s">
        <v>192</v>
      </c>
      <c r="M227" s="169"/>
    </row>
    <row r="228" spans="1:24">
      <c r="A228" s="62"/>
      <c r="B228" s="62" t="s">
        <v>235</v>
      </c>
      <c r="C228" s="179">
        <f>C227*2</f>
        <v>0.9487026891776853</v>
      </c>
      <c r="D228" s="179">
        <f>D227*2</f>
        <v>3.8395768336190184E-2</v>
      </c>
      <c r="E228" s="177">
        <f>C228/PI()*180</f>
        <v>54.356660102592926</v>
      </c>
      <c r="F228" s="177">
        <f>D228/PI()*180</f>
        <v>2.1999154768257405</v>
      </c>
      <c r="G228" s="62"/>
      <c r="H228" s="62"/>
      <c r="I228" s="181"/>
      <c r="J228" s="62"/>
      <c r="K228" s="62"/>
      <c r="L228" s="62"/>
      <c r="M228" s="169"/>
    </row>
    <row r="229" spans="1:24">
      <c r="A229" s="62"/>
      <c r="B229" s="62" t="s">
        <v>245</v>
      </c>
      <c r="C229" s="257">
        <f>C225*COS(C228)</f>
        <v>9.3820794238741456</v>
      </c>
      <c r="D229" s="177">
        <f>SQRT((COS(C228))^2*D225^2+(C225*SIN(C228))^2*D228^2)</f>
        <v>0.64973914991852999</v>
      </c>
      <c r="E229" s="177"/>
      <c r="F229" s="62"/>
      <c r="G229" s="62" t="s">
        <v>30</v>
      </c>
      <c r="H229" s="169">
        <f>ABS(H225*(1-H226^2)/(1+H226^2))</f>
        <v>9.3820794238741474</v>
      </c>
      <c r="I229" s="169">
        <f>SQRT((1-H226^2/(1+H226^2))^2*I225^2+(4*H225*H226/(1+H226^2)^2)^2*I226^2)</f>
        <v>0.75199843703409275</v>
      </c>
      <c r="J229" s="169">
        <f>ABS(I223-I224)</f>
        <v>9.3820794238736198</v>
      </c>
      <c r="K229" s="62"/>
      <c r="L229" s="62" t="s">
        <v>246</v>
      </c>
      <c r="M229" s="169"/>
    </row>
    <row r="230" spans="1:24">
      <c r="A230" s="62"/>
      <c r="B230" s="62" t="s">
        <v>247</v>
      </c>
      <c r="C230" s="257">
        <f>C225*SIN(C228)/2</f>
        <v>6.5419145837457213</v>
      </c>
      <c r="D230" s="169">
        <f>0.5*SQRT((SIN(C228))^2*D225^2+(C225*COS(C228))^2*D228^2)</f>
        <v>0.33910746754728815</v>
      </c>
      <c r="E230" s="62"/>
      <c r="F230" s="62"/>
      <c r="G230" s="62" t="s">
        <v>31</v>
      </c>
      <c r="H230" s="169">
        <f>H225*(H226)/(1+H226^2)</f>
        <v>6.5419145837457222</v>
      </c>
      <c r="I230" s="169">
        <f>SQRT((H226/(1+H226^2))^2*I225^2+((H225-H225*H226^2)/(1+H226^2)^2)^2*I226^2)</f>
        <v>0.33910746754728821</v>
      </c>
      <c r="J230" s="62"/>
      <c r="K230" s="62"/>
      <c r="L230" s="62" t="s">
        <v>248</v>
      </c>
      <c r="M230" s="179"/>
    </row>
    <row r="231" spans="1:24">
      <c r="A231" s="62"/>
      <c r="B231" s="62" t="s">
        <v>249</v>
      </c>
      <c r="C231" s="259">
        <f>(E224/E223)/(E224/E223+1)</f>
        <v>0.20863107379271856</v>
      </c>
      <c r="D231" s="63">
        <f>F231/(E231+1)^2</f>
        <v>1.5601356325009521E-2</v>
      </c>
      <c r="E231" s="169">
        <f>E224/E223</f>
        <v>0.26363313858253801</v>
      </c>
      <c r="F231" s="169">
        <f>E231*SQRT((F223/E223)^2+(F224/E224)^2)</f>
        <v>2.491175759654804E-2</v>
      </c>
      <c r="G231" s="62"/>
      <c r="H231" s="62"/>
      <c r="I231" s="62"/>
      <c r="J231" s="62"/>
      <c r="K231" s="62"/>
      <c r="L231" s="62" t="s">
        <v>205</v>
      </c>
      <c r="M231" s="179"/>
    </row>
    <row r="232" spans="1:24">
      <c r="A232" s="62"/>
      <c r="B232" s="62" t="s">
        <v>237</v>
      </c>
      <c r="C232" s="260">
        <f>(C225-C229)/2</f>
        <v>3.3589602880626543</v>
      </c>
      <c r="D232" s="169">
        <f>SQRT(D225^2+D229^2)</f>
        <v>0.96029212375029616</v>
      </c>
      <c r="E232" s="62"/>
      <c r="F232" s="62"/>
      <c r="G232" s="62"/>
      <c r="H232" s="62"/>
      <c r="I232" s="62"/>
      <c r="J232" s="62"/>
      <c r="K232" s="62"/>
      <c r="L232" s="62" t="s">
        <v>239</v>
      </c>
      <c r="M232" s="179"/>
    </row>
    <row r="233" spans="1:24">
      <c r="A233" s="62"/>
      <c r="B233" s="62" t="s">
        <v>250</v>
      </c>
      <c r="C233" s="62">
        <f>SQRT(C229^2+4*C230^2)</f>
        <v>16.099999999999454</v>
      </c>
      <c r="D233" s="62"/>
      <c r="E233" s="62"/>
      <c r="F233" s="62"/>
      <c r="G233" s="62"/>
      <c r="H233" s="62"/>
      <c r="I233" s="62"/>
      <c r="J233" s="62"/>
      <c r="K233" s="62"/>
      <c r="L233" s="179"/>
      <c r="M233" s="179"/>
    </row>
    <row r="236" spans="1:24" s="306" customFormat="1">
      <c r="A236" s="62" t="s">
        <v>265</v>
      </c>
      <c r="B236" s="62" t="s">
        <v>179</v>
      </c>
      <c r="C236" s="62" t="s">
        <v>266</v>
      </c>
      <c r="D236" s="62"/>
      <c r="E236" s="62" t="s">
        <v>284</v>
      </c>
      <c r="F236" s="62"/>
      <c r="G236" s="62" t="s">
        <v>285</v>
      </c>
      <c r="H236" s="62"/>
      <c r="I236" s="62"/>
      <c r="J236" s="62"/>
      <c r="K236" s="62"/>
      <c r="L236" s="168"/>
      <c r="M236" s="169"/>
    </row>
    <row r="237" spans="1:24" s="306" customFormat="1">
      <c r="A237" s="62" t="s">
        <v>226</v>
      </c>
      <c r="B237" s="62" t="s">
        <v>215</v>
      </c>
      <c r="C237" s="62" t="s">
        <v>218</v>
      </c>
      <c r="D237" s="62" t="s">
        <v>219</v>
      </c>
      <c r="E237" s="170" t="s">
        <v>220</v>
      </c>
      <c r="F237" s="170" t="s">
        <v>223</v>
      </c>
      <c r="G237" s="170" t="s">
        <v>221</v>
      </c>
      <c r="H237" s="62" t="s">
        <v>222</v>
      </c>
      <c r="I237" s="62" t="s">
        <v>213</v>
      </c>
      <c r="J237" s="62" t="s">
        <v>224</v>
      </c>
      <c r="K237" s="62"/>
      <c r="L237" s="62" t="s">
        <v>34</v>
      </c>
      <c r="M237" s="171" t="s">
        <v>33</v>
      </c>
    </row>
    <row r="238" spans="1:24" s="306" customFormat="1">
      <c r="A238" s="62" t="s">
        <v>261</v>
      </c>
      <c r="B238" s="172" t="s">
        <v>216</v>
      </c>
      <c r="C238" s="287">
        <v>7801.5</v>
      </c>
      <c r="D238" s="182">
        <v>0.5</v>
      </c>
      <c r="E238" s="183">
        <v>3.37</v>
      </c>
      <c r="F238" s="183">
        <v>0.03</v>
      </c>
      <c r="G238" s="174">
        <f>10^E238</f>
        <v>2344.2288153199238</v>
      </c>
      <c r="H238" s="175">
        <f>G238*LN(10)*F238</f>
        <v>161.93358974168245</v>
      </c>
      <c r="I238" s="286">
        <f>$D$4/$G238</f>
        <v>2.6211093216860082</v>
      </c>
      <c r="J238" s="168">
        <f>I238*SQRT((H238/G238)^2+($E$4/$D$4)^2)</f>
        <v>0.1810666968188335</v>
      </c>
      <c r="K238" s="173"/>
      <c r="L238" s="185">
        <v>3</v>
      </c>
      <c r="M238" s="169">
        <f>(I238-L238)/$D$6^2</f>
        <v>-0.23285464168215123</v>
      </c>
    </row>
    <row r="239" spans="1:24" s="306" customFormat="1">
      <c r="A239" s="62" t="s">
        <v>261</v>
      </c>
      <c r="B239" s="172" t="s">
        <v>217</v>
      </c>
      <c r="C239" s="182">
        <v>7785.9</v>
      </c>
      <c r="D239" s="182">
        <v>0.7</v>
      </c>
      <c r="E239" s="183">
        <v>3.97</v>
      </c>
      <c r="F239" s="183">
        <v>0.05</v>
      </c>
      <c r="G239" s="174">
        <f>10^E239</f>
        <v>9332.5430079699217</v>
      </c>
      <c r="H239" s="175">
        <f>G239*LN(10)*F239</f>
        <v>1074.4487204938678</v>
      </c>
      <c r="I239" s="286">
        <f>$D$4/$G239</f>
        <v>0.65839289406463597</v>
      </c>
      <c r="J239" s="168">
        <f>I239*SQRT((H239/G239)^2+($E$4/$D$4)^2)</f>
        <v>7.5801319971460709E-2</v>
      </c>
      <c r="K239" s="168"/>
      <c r="L239" s="185">
        <v>0</v>
      </c>
      <c r="M239" s="169">
        <f>(I239-L239)/$D$6^2</f>
        <v>0.40462816904258969</v>
      </c>
    </row>
    <row r="240" spans="1:24" s="306" customFormat="1">
      <c r="A240" s="62"/>
      <c r="B240" s="172"/>
      <c r="C240" s="177"/>
      <c r="D240" s="177"/>
      <c r="E240" s="170"/>
      <c r="F240" s="168"/>
      <c r="G240" s="174"/>
      <c r="H240" s="175"/>
      <c r="I240" s="176"/>
      <c r="J240" s="168"/>
      <c r="K240" s="168"/>
      <c r="L240" s="168"/>
      <c r="M240" s="169"/>
    </row>
    <row r="241" spans="1:24" s="306" customFormat="1">
      <c r="A241" s="62"/>
      <c r="B241" s="62"/>
      <c r="C241" s="169" t="s">
        <v>14</v>
      </c>
      <c r="D241" s="62"/>
      <c r="E241" s="62" t="s">
        <v>32</v>
      </c>
      <c r="F241" s="62" t="s">
        <v>231</v>
      </c>
      <c r="G241" s="62" t="s">
        <v>229</v>
      </c>
      <c r="H241" s="62" t="s">
        <v>230</v>
      </c>
      <c r="I241" s="62" t="s">
        <v>39</v>
      </c>
      <c r="J241" s="62"/>
      <c r="K241" s="62"/>
      <c r="L241" s="62"/>
      <c r="M241" s="62"/>
    </row>
    <row r="242" spans="1:24" s="306" customFormat="1">
      <c r="A242" s="62" t="s">
        <v>268</v>
      </c>
      <c r="B242" s="62" t="s">
        <v>27</v>
      </c>
      <c r="C242" s="177">
        <f>IF(I238&gt;I239,C238,C239)</f>
        <v>7801.5</v>
      </c>
      <c r="D242" s="177">
        <f>IF(I238&gt;I239,D238,D239)</f>
        <v>0.5</v>
      </c>
      <c r="E242" s="289">
        <f>I238</f>
        <v>2.6211093216860082</v>
      </c>
      <c r="F242" s="289">
        <f>J238</f>
        <v>0.1810666968188335</v>
      </c>
      <c r="G242" s="62">
        <v>0</v>
      </c>
      <c r="H242" s="62">
        <v>0</v>
      </c>
      <c r="I242" s="178">
        <f>IF(C242&gt;C243,C242-C251,C242+C251)</f>
        <v>7798.3681438609556</v>
      </c>
      <c r="J242" s="177">
        <f>SQRT(D242^2+D251^2)</f>
        <v>1.3064652572332289</v>
      </c>
      <c r="K242" s="62" t="s">
        <v>185</v>
      </c>
      <c r="L242" s="170" t="s">
        <v>227</v>
      </c>
      <c r="M242" s="62"/>
    </row>
    <row r="243" spans="1:24" s="306" customFormat="1">
      <c r="A243" s="62"/>
      <c r="B243" s="62" t="s">
        <v>28</v>
      </c>
      <c r="C243" s="177">
        <f>IF(I238&lt;I239,C238,C239)</f>
        <v>7785.9</v>
      </c>
      <c r="D243" s="177">
        <f>IF(I238&lt;I239,D238,D239)</f>
        <v>0.7</v>
      </c>
      <c r="E243" s="289">
        <f>I239</f>
        <v>0.65839289406463597</v>
      </c>
      <c r="F243" s="289">
        <f>J239</f>
        <v>7.5801319971460709E-2</v>
      </c>
      <c r="G243" s="62">
        <v>0</v>
      </c>
      <c r="H243" s="62">
        <v>0</v>
      </c>
      <c r="I243" s="178">
        <f>IF(C243&gt;C242,C243-C251,C243+C251)</f>
        <v>7789.0318561390441</v>
      </c>
      <c r="J243" s="177">
        <f>SQRT(D243^2+D251^2)</f>
        <v>1.3952961937730237</v>
      </c>
      <c r="K243" s="62" t="s">
        <v>186</v>
      </c>
      <c r="L243" s="62"/>
      <c r="M243" s="62"/>
    </row>
    <row r="244" spans="1:24" s="306" customFormat="1">
      <c r="A244" s="62"/>
      <c r="B244" s="62" t="s">
        <v>243</v>
      </c>
      <c r="C244" s="256">
        <f>ABS(C243-C242)</f>
        <v>15.600000000000364</v>
      </c>
      <c r="D244" s="177">
        <f>SQRT(D242^2+D243^2)</f>
        <v>0.86023252670426265</v>
      </c>
      <c r="E244" s="62"/>
      <c r="F244" s="62"/>
      <c r="G244" s="62" t="s">
        <v>0</v>
      </c>
      <c r="H244" s="177">
        <f>ABS(C243-C242)</f>
        <v>15.600000000000364</v>
      </c>
      <c r="I244" s="177">
        <f>SQRT(D242^2+D243^2)</f>
        <v>0.86023252670426265</v>
      </c>
      <c r="J244" s="62"/>
      <c r="K244" s="62"/>
      <c r="L244" s="62" t="s">
        <v>193</v>
      </c>
      <c r="M244" s="62"/>
    </row>
    <row r="245" spans="1:24" s="306" customFormat="1">
      <c r="A245" s="62"/>
      <c r="B245" s="62" t="s">
        <v>244</v>
      </c>
      <c r="C245" s="179">
        <f>SQRT((E243)/(E242))</f>
        <v>0.50118723362727213</v>
      </c>
      <c r="D245" s="179">
        <f>C245*SQRT((F243/E243/2)^2+(F242/E242/2)^2)</f>
        <v>3.3646034605675883E-2</v>
      </c>
      <c r="E245" s="62"/>
      <c r="F245" s="62"/>
      <c r="G245" s="62" t="s">
        <v>29</v>
      </c>
      <c r="H245" s="179">
        <f>SQRT(E243/E242)</f>
        <v>0.50118723362727213</v>
      </c>
      <c r="I245" s="179">
        <f>H245*SQRT((F243/E243/2)^2+(F242/E242/2)^2)</f>
        <v>3.3646034605675883E-2</v>
      </c>
      <c r="J245" s="62"/>
      <c r="K245" s="62"/>
      <c r="L245" s="168"/>
      <c r="M245" s="169"/>
    </row>
    <row r="246" spans="1:24" s="306" customFormat="1">
      <c r="A246" s="62"/>
      <c r="B246" s="62" t="s">
        <v>3</v>
      </c>
      <c r="C246" s="179">
        <f>ATAN(C245)</f>
        <v>0.46459694478394953</v>
      </c>
      <c r="D246" s="179">
        <f>D245/(1+C245^2)</f>
        <v>2.6891256398349866E-2</v>
      </c>
      <c r="E246" s="257">
        <f>C246/PI()*180</f>
        <v>26.619444110792855</v>
      </c>
      <c r="F246" s="177">
        <f>D246/PI()*180</f>
        <v>1.540755497429618</v>
      </c>
      <c r="G246" s="62"/>
      <c r="H246" s="62"/>
      <c r="I246" s="181"/>
      <c r="J246" s="62"/>
      <c r="K246" s="62"/>
      <c r="L246" s="62" t="s">
        <v>192</v>
      </c>
      <c r="M246" s="169"/>
    </row>
    <row r="247" spans="1:24" s="306" customFormat="1">
      <c r="A247" s="62"/>
      <c r="B247" s="62" t="s">
        <v>235</v>
      </c>
      <c r="C247" s="179">
        <f>C246*2</f>
        <v>0.92919388956789906</v>
      </c>
      <c r="D247" s="179">
        <f>D246*2</f>
        <v>5.3782512796699732E-2</v>
      </c>
      <c r="E247" s="177">
        <f>C247/PI()*180</f>
        <v>53.238888221585711</v>
      </c>
      <c r="F247" s="177">
        <f>D247/PI()*180</f>
        <v>3.0815109948592361</v>
      </c>
      <c r="G247" s="62"/>
      <c r="H247" s="62"/>
      <c r="I247" s="181"/>
      <c r="J247" s="62"/>
      <c r="K247" s="62"/>
      <c r="L247" s="62"/>
      <c r="M247" s="169"/>
    </row>
    <row r="248" spans="1:24" s="306" customFormat="1">
      <c r="A248" s="62"/>
      <c r="B248" s="62" t="s">
        <v>245</v>
      </c>
      <c r="C248" s="257">
        <f>C244*COS(C247)</f>
        <v>9.3362877219114466</v>
      </c>
      <c r="D248" s="177">
        <f>SQRT((COS(C247))^2*D244^2+(C244*SIN(C247))^2*D247^2)</f>
        <v>0.84667081463664939</v>
      </c>
      <c r="E248" s="177"/>
      <c r="F248" s="62"/>
      <c r="G248" s="62" t="s">
        <v>30</v>
      </c>
      <c r="H248" s="169">
        <f>ABS(H244*(1-H245^2)/(1+H245^2))</f>
        <v>9.3362877219114466</v>
      </c>
      <c r="I248" s="169">
        <f>SQRT((1-H245^2/(1+H245^2))^2*I244^2+(4*H244*H245/(1+H245^2)^2)^2*I245^2)</f>
        <v>0.96150928821929083</v>
      </c>
      <c r="J248" s="169">
        <f>ABS(I242-I243)</f>
        <v>9.3362877219115035</v>
      </c>
      <c r="K248" s="62"/>
      <c r="L248" s="62" t="s">
        <v>246</v>
      </c>
      <c r="M248" s="169"/>
    </row>
    <row r="249" spans="1:24" s="306" customFormat="1">
      <c r="A249" s="62"/>
      <c r="B249" s="62" t="s">
        <v>247</v>
      </c>
      <c r="C249" s="257">
        <f>C244*SIN(C247)/2</f>
        <v>6.2488745301393456</v>
      </c>
      <c r="D249" s="169">
        <f>0.5*SQRT((SIN(C247))^2*D244^2+(C244*COS(C247))^2*D247^2)</f>
        <v>0.42634540359637674</v>
      </c>
      <c r="E249" s="62"/>
      <c r="F249" s="62"/>
      <c r="G249" s="62" t="s">
        <v>31</v>
      </c>
      <c r="H249" s="169">
        <f>H244*(H245)/(1+H245^2)</f>
        <v>6.2488745301393465</v>
      </c>
      <c r="I249" s="169">
        <f>SQRT((H245/(1+H245^2))^2*I244^2+((H244-H244*H245^2)/(1+H245^2)^2)^2*I245^2)</f>
        <v>0.42634540359637679</v>
      </c>
      <c r="J249" s="62"/>
      <c r="K249" s="62"/>
      <c r="L249" s="62" t="s">
        <v>248</v>
      </c>
      <c r="M249" s="179"/>
    </row>
    <row r="250" spans="1:24" s="306" customFormat="1">
      <c r="A250" s="62"/>
      <c r="B250" s="62" t="s">
        <v>249</v>
      </c>
      <c r="C250" s="259">
        <f>(E243/E242)/(E243/E242+1)</f>
        <v>0.2007600089131017</v>
      </c>
      <c r="D250" s="63">
        <f>F250/(E250+1)^2</f>
        <v>2.1543600921934785E-2</v>
      </c>
      <c r="E250" s="169">
        <f>E243/E242</f>
        <v>0.2511886431509579</v>
      </c>
      <c r="F250" s="169">
        <f>E250*SQRT((F242/E242)^2+(F243/E243)^2)</f>
        <v>3.3725926013092329E-2</v>
      </c>
      <c r="G250" s="62"/>
      <c r="H250" s="62"/>
      <c r="I250" s="62"/>
      <c r="J250" s="62"/>
      <c r="K250" s="62"/>
      <c r="L250" s="62" t="s">
        <v>205</v>
      </c>
      <c r="M250" s="179"/>
    </row>
    <row r="251" spans="1:24" s="306" customFormat="1">
      <c r="A251" s="62"/>
      <c r="B251" s="62" t="s">
        <v>237</v>
      </c>
      <c r="C251" s="260">
        <f>(C244-C248)/2</f>
        <v>3.1318561390444586</v>
      </c>
      <c r="D251" s="169">
        <f>SQRT(D244^2+D248^2)</f>
        <v>1.2070010225171672</v>
      </c>
      <c r="E251" s="62"/>
      <c r="F251" s="62"/>
      <c r="G251" s="62"/>
      <c r="H251" s="62"/>
      <c r="I251" s="62"/>
      <c r="J251" s="62"/>
      <c r="K251" s="62"/>
      <c r="L251" s="62" t="s">
        <v>239</v>
      </c>
      <c r="M251" s="179"/>
    </row>
    <row r="252" spans="1:24" s="306" customFormat="1">
      <c r="A252" s="62"/>
      <c r="B252" s="62" t="s">
        <v>250</v>
      </c>
      <c r="C252" s="62">
        <f>SQRT(C248^2+4*C249^2)</f>
        <v>15.600000000000364</v>
      </c>
      <c r="D252" s="62"/>
      <c r="E252" s="62"/>
      <c r="F252" s="62"/>
      <c r="G252" s="62"/>
      <c r="H252" s="62"/>
      <c r="I252" s="62"/>
      <c r="J252" s="62"/>
      <c r="K252" s="62"/>
      <c r="L252" s="179"/>
      <c r="M252" s="179"/>
    </row>
    <row r="253" spans="1:24" s="306" customFormat="1"/>
    <row r="254" spans="1:24" s="306" customFormat="1"/>
    <row r="255" spans="1:24">
      <c r="A255" s="186" t="s">
        <v>267</v>
      </c>
      <c r="B255" s="186" t="s">
        <v>208</v>
      </c>
      <c r="C255" s="186" t="s">
        <v>270</v>
      </c>
      <c r="D255" s="186"/>
      <c r="E255" s="186"/>
      <c r="F255" s="186"/>
      <c r="G255" s="186"/>
      <c r="H255" s="186"/>
      <c r="I255" s="186"/>
      <c r="J255" s="186"/>
      <c r="K255" s="186"/>
      <c r="L255" s="187"/>
      <c r="M255" s="188"/>
      <c r="O255" s="148"/>
      <c r="P255" s="148" t="s">
        <v>209</v>
      </c>
      <c r="Q255" s="148"/>
      <c r="R255" s="148"/>
      <c r="S255" s="148"/>
      <c r="T255" s="148"/>
      <c r="U255" s="148"/>
      <c r="V255" s="148"/>
      <c r="W255" s="148"/>
      <c r="X255" s="148"/>
    </row>
    <row r="256" spans="1:24">
      <c r="A256" s="186" t="s">
        <v>226</v>
      </c>
      <c r="B256" s="186" t="s">
        <v>215</v>
      </c>
      <c r="C256" s="186" t="s">
        <v>218</v>
      </c>
      <c r="D256" s="186" t="s">
        <v>219</v>
      </c>
      <c r="E256" s="189" t="s">
        <v>220</v>
      </c>
      <c r="F256" s="189" t="s">
        <v>223</v>
      </c>
      <c r="G256" s="189" t="s">
        <v>221</v>
      </c>
      <c r="H256" s="186" t="s">
        <v>222</v>
      </c>
      <c r="I256" s="186" t="s">
        <v>213</v>
      </c>
      <c r="J256" s="186" t="s">
        <v>224</v>
      </c>
      <c r="K256" s="186"/>
      <c r="L256" s="186" t="s">
        <v>34</v>
      </c>
      <c r="M256" s="190" t="s">
        <v>33</v>
      </c>
      <c r="O256" s="148"/>
      <c r="P256" s="148" t="s">
        <v>208</v>
      </c>
      <c r="Q256" s="6" t="s">
        <v>14</v>
      </c>
      <c r="R256" s="148"/>
      <c r="S256" s="148" t="s">
        <v>32</v>
      </c>
      <c r="T256" s="148"/>
      <c r="U256" s="148" t="s">
        <v>39</v>
      </c>
      <c r="V256" s="148"/>
      <c r="W256" s="148"/>
      <c r="X256" s="148"/>
    </row>
    <row r="257" spans="1:24">
      <c r="A257" s="186" t="s">
        <v>271</v>
      </c>
      <c r="B257" s="191" t="s">
        <v>242</v>
      </c>
      <c r="C257" s="192">
        <v>13380</v>
      </c>
      <c r="D257" s="192">
        <v>13</v>
      </c>
      <c r="E257" s="295">
        <v>3.69</v>
      </c>
      <c r="F257" s="299">
        <v>0.1</v>
      </c>
      <c r="G257" s="194">
        <f>10^E257</f>
        <v>4897.7881936844633</v>
      </c>
      <c r="H257" s="195">
        <f>G257*LN(10)*F257</f>
        <v>1127.7574083420081</v>
      </c>
      <c r="I257" s="296">
        <f>$D$4/$G257</f>
        <v>1.2545417966263026</v>
      </c>
      <c r="J257" s="187">
        <f>I257*SQRT((H257/G257)^2+($E$4/$D$4)^2)</f>
        <v>0.28886991175148446</v>
      </c>
      <c r="K257" s="197"/>
      <c r="L257" s="198">
        <v>0.8</v>
      </c>
      <c r="M257" s="188">
        <f>(I257-L257)/$D$6^2</f>
        <v>0.27934750903337374</v>
      </c>
      <c r="O257" s="148"/>
      <c r="P257" s="148" t="s">
        <v>27</v>
      </c>
      <c r="Q257" s="85">
        <v>13055</v>
      </c>
      <c r="R257" s="112">
        <v>1</v>
      </c>
      <c r="S257" s="112">
        <v>3.2</v>
      </c>
      <c r="T257" s="148"/>
      <c r="U257" s="132">
        <f>Q257+(-Q261+Q259)/2</f>
        <v>13120</v>
      </c>
      <c r="V257" s="148"/>
      <c r="W257" s="148" t="s">
        <v>185</v>
      </c>
      <c r="X257" s="9" t="s">
        <v>197</v>
      </c>
    </row>
    <row r="258" spans="1:24">
      <c r="A258" s="186" t="s">
        <v>271</v>
      </c>
      <c r="B258" s="191" t="s">
        <v>241</v>
      </c>
      <c r="C258" s="222">
        <v>13055</v>
      </c>
      <c r="D258" s="192">
        <v>2</v>
      </c>
      <c r="E258" s="295">
        <v>3.28</v>
      </c>
      <c r="F258" s="338">
        <v>0.06</v>
      </c>
      <c r="G258" s="194">
        <f>10^E258</f>
        <v>1905.4607179632485</v>
      </c>
      <c r="H258" s="195">
        <f>G258*LN(10)*F258</f>
        <v>263.24912666807444</v>
      </c>
      <c r="I258" s="296">
        <f>$D$4/$G258</f>
        <v>3.2246689433555202</v>
      </c>
      <c r="J258" s="187">
        <f>I258*SQRT((H258/G258)^2+($E$4/$D$4)^2)</f>
        <v>0.44550871007198201</v>
      </c>
      <c r="K258" s="187"/>
      <c r="L258" s="198">
        <f>B258*2-I258</f>
        <v>0.77533105664447977</v>
      </c>
      <c r="M258" s="188">
        <f>(I258-L258)/$D$6^2</f>
        <v>1.5052882760445445</v>
      </c>
      <c r="O258" s="148" t="s">
        <v>38</v>
      </c>
      <c r="P258" s="148" t="s">
        <v>28</v>
      </c>
      <c r="Q258" s="112">
        <v>13380</v>
      </c>
      <c r="R258" s="112">
        <v>5</v>
      </c>
      <c r="S258" s="112">
        <v>0.8</v>
      </c>
      <c r="T258" s="148"/>
      <c r="U258" s="132">
        <f>Q258-(-Q261+Q259)/2</f>
        <v>13315</v>
      </c>
      <c r="V258" s="148"/>
      <c r="W258" s="148" t="s">
        <v>186</v>
      </c>
      <c r="X258" s="148" t="s">
        <v>199</v>
      </c>
    </row>
    <row r="259" spans="1:24">
      <c r="A259" s="186"/>
      <c r="B259" s="191"/>
      <c r="C259" s="199"/>
      <c r="D259" s="199"/>
      <c r="E259" s="189"/>
      <c r="F259" s="187"/>
      <c r="G259" s="194"/>
      <c r="H259" s="195"/>
      <c r="I259" s="196"/>
      <c r="J259" s="187"/>
      <c r="K259" s="187"/>
      <c r="L259" s="187"/>
      <c r="M259" s="188"/>
      <c r="O259" s="148"/>
      <c r="P259" s="148" t="s">
        <v>0</v>
      </c>
      <c r="Q259" s="81">
        <f>Q258-Q257</f>
        <v>325</v>
      </c>
      <c r="R259" s="148" t="s">
        <v>190</v>
      </c>
      <c r="S259" s="133">
        <f>Q258-Q257</f>
        <v>325</v>
      </c>
      <c r="T259" s="148">
        <f>SQRT(S261^2+4*S262^2)</f>
        <v>325</v>
      </c>
      <c r="U259" s="148"/>
      <c r="V259" s="148"/>
      <c r="W259" s="148" t="s">
        <v>193</v>
      </c>
      <c r="X259" s="148"/>
    </row>
    <row r="260" spans="1:24">
      <c r="A260" s="186"/>
      <c r="B260" s="186"/>
      <c r="C260" s="188" t="s">
        <v>14</v>
      </c>
      <c r="D260" s="186"/>
      <c r="E260" s="186" t="s">
        <v>32</v>
      </c>
      <c r="F260" s="186" t="s">
        <v>231</v>
      </c>
      <c r="G260" s="186" t="s">
        <v>229</v>
      </c>
      <c r="H260" s="186" t="s">
        <v>230</v>
      </c>
      <c r="I260" s="186" t="s">
        <v>39</v>
      </c>
      <c r="J260" s="186"/>
      <c r="K260" s="186"/>
      <c r="L260" s="186"/>
      <c r="M260" s="186"/>
      <c r="O260" s="148"/>
      <c r="P260" s="148" t="s">
        <v>29</v>
      </c>
      <c r="Q260" s="74">
        <f>SQRT(S258/S257)</f>
        <v>0.5</v>
      </c>
      <c r="R260" s="148" t="s">
        <v>189</v>
      </c>
      <c r="S260" s="6">
        <f>ATAN(SQRT(MIN(S257:S258)/MAX(S257:S258)))</f>
        <v>0.46364760900080609</v>
      </c>
      <c r="T260" s="80">
        <f>S260/PI()*180</f>
        <v>26.565051177077986</v>
      </c>
      <c r="U260" s="148"/>
      <c r="V260" s="148"/>
      <c r="W260" s="148" t="s">
        <v>192</v>
      </c>
      <c r="X260" s="148"/>
    </row>
    <row r="261" spans="1:24">
      <c r="A261" s="186" t="s">
        <v>269</v>
      </c>
      <c r="B261" s="186" t="s">
        <v>27</v>
      </c>
      <c r="C261" s="199">
        <f>IF(I257&gt;I258,C257,C258)</f>
        <v>13055</v>
      </c>
      <c r="D261" s="199">
        <f>IF(I257&gt;I258,D257,D258)</f>
        <v>2</v>
      </c>
      <c r="E261" s="297">
        <v>3.2</v>
      </c>
      <c r="F261" s="297">
        <v>0.4</v>
      </c>
      <c r="G261" s="186">
        <v>0</v>
      </c>
      <c r="H261" s="186">
        <v>0</v>
      </c>
      <c r="I261" s="339">
        <f>IF(C261&gt;C262,C261-C270,C261+C270)</f>
        <v>13120</v>
      </c>
      <c r="J261" s="199">
        <f>SQRT(D261^2+D270^2)</f>
        <v>55.787812289065435</v>
      </c>
      <c r="K261" s="186" t="s">
        <v>185</v>
      </c>
      <c r="L261" s="189" t="s">
        <v>227</v>
      </c>
      <c r="M261" s="186"/>
      <c r="O261" s="148"/>
      <c r="P261" s="148" t="s">
        <v>30</v>
      </c>
      <c r="Q261" s="6">
        <f>ABS(Q259*(1-Q260^2)/(1+Q260^2))</f>
        <v>195</v>
      </c>
      <c r="R261" s="148" t="s">
        <v>188</v>
      </c>
      <c r="S261" s="6">
        <f>S259*COS(2*S260)</f>
        <v>195.00000000000003</v>
      </c>
      <c r="T261" s="148"/>
      <c r="U261" s="148"/>
      <c r="V261" s="148"/>
      <c r="W261" s="148" t="s">
        <v>195</v>
      </c>
      <c r="X261" s="148"/>
    </row>
    <row r="262" spans="1:24">
      <c r="A262" s="186"/>
      <c r="B262" s="186" t="s">
        <v>28</v>
      </c>
      <c r="C262" s="199">
        <f>IF(I257&lt;I258,C257,C258)</f>
        <v>13380</v>
      </c>
      <c r="D262" s="199">
        <f>IF(I257&lt;I258,D257,D258)</f>
        <v>13</v>
      </c>
      <c r="E262" s="297">
        <v>0.8</v>
      </c>
      <c r="F262" s="297">
        <v>0.4</v>
      </c>
      <c r="G262" s="186">
        <v>0</v>
      </c>
      <c r="H262" s="186">
        <v>0</v>
      </c>
      <c r="I262" s="339">
        <f>IF(C262&gt;C261,C262-C270,C262+C270)</f>
        <v>13315</v>
      </c>
      <c r="J262" s="199">
        <f>SQRT(D262^2+D270^2)</f>
        <v>57.247532697925074</v>
      </c>
      <c r="K262" s="186" t="s">
        <v>186</v>
      </c>
      <c r="L262" s="186"/>
      <c r="M262" s="186"/>
      <c r="O262" s="148"/>
      <c r="P262" s="148" t="s">
        <v>31</v>
      </c>
      <c r="Q262" s="6">
        <f>Q259*(Q260)/(1+Q260^2)</f>
        <v>130</v>
      </c>
      <c r="R262" s="148" t="s">
        <v>187</v>
      </c>
      <c r="S262" s="6">
        <f>S259*SIN(S260*2)/2</f>
        <v>130</v>
      </c>
      <c r="T262" s="148"/>
      <c r="U262" s="148"/>
      <c r="V262" s="148"/>
      <c r="W262" s="148" t="s">
        <v>211</v>
      </c>
      <c r="X262" s="148"/>
    </row>
    <row r="263" spans="1:24" ht="15.6">
      <c r="A263" s="186"/>
      <c r="B263" s="186" t="s">
        <v>243</v>
      </c>
      <c r="C263" s="256">
        <f>ABS(C262-C261)</f>
        <v>325</v>
      </c>
      <c r="D263" s="199">
        <f>SQRT(D261^2+D262^2)</f>
        <v>13.152946437965905</v>
      </c>
      <c r="E263" s="186"/>
      <c r="F263" s="186"/>
      <c r="G263" s="186" t="s">
        <v>0</v>
      </c>
      <c r="H263" s="199">
        <f>ABS(C262-C261)</f>
        <v>325</v>
      </c>
      <c r="I263" s="199">
        <f>SQRT(D261^2+D262^2)</f>
        <v>13.152946437965905</v>
      </c>
      <c r="J263" s="186"/>
      <c r="K263" s="186"/>
      <c r="L263" s="186" t="s">
        <v>193</v>
      </c>
      <c r="M263" s="186"/>
      <c r="O263" s="148"/>
      <c r="P263" s="148"/>
      <c r="Q263" s="148"/>
      <c r="R263" s="148" t="s">
        <v>204</v>
      </c>
      <c r="S263" s="82">
        <f>(MIN(S257,S258)/MAX(S257,S258))/(MIN(S257,S258)/MAX(S257,S258)+1)</f>
        <v>0.2</v>
      </c>
      <c r="T263" s="148"/>
      <c r="U263" s="148"/>
      <c r="V263" s="148"/>
      <c r="W263" s="148" t="s">
        <v>205</v>
      </c>
      <c r="X263" s="148"/>
    </row>
    <row r="264" spans="1:24">
      <c r="A264" s="186"/>
      <c r="B264" s="186" t="s">
        <v>244</v>
      </c>
      <c r="C264" s="201">
        <f>SQRT((E262)/(E261))</f>
        <v>0.5</v>
      </c>
      <c r="D264" s="201">
        <f>C264*SQRT((F262/E262/2)^2+(F261/E261/2)^2)</f>
        <v>0.12884705080055189</v>
      </c>
      <c r="E264" s="186"/>
      <c r="F264" s="186"/>
      <c r="G264" s="186" t="s">
        <v>29</v>
      </c>
      <c r="H264" s="201">
        <f>SQRT(E262/E261)</f>
        <v>0.5</v>
      </c>
      <c r="I264" s="201">
        <f>H264*SQRT((F262/E262/2)^2+(F261/E261/2)^2)</f>
        <v>0.12884705080055189</v>
      </c>
      <c r="J264" s="186"/>
      <c r="K264" s="186"/>
      <c r="L264" s="187"/>
      <c r="M264" s="188"/>
    </row>
    <row r="265" spans="1:24">
      <c r="A265" s="186"/>
      <c r="B265" s="186" t="s">
        <v>3</v>
      </c>
      <c r="C265" s="201">
        <f>ATAN(C264)</f>
        <v>0.46364760900080609</v>
      </c>
      <c r="D265" s="201">
        <f>D264/(1+C264^2)</f>
        <v>0.10307764064044152</v>
      </c>
      <c r="E265" s="257">
        <f>C265/PI()*180</f>
        <v>26.565051177077986</v>
      </c>
      <c r="F265" s="199">
        <f>D265/PI()*180</f>
        <v>5.9059137708634708</v>
      </c>
      <c r="G265" s="186"/>
      <c r="H265" s="186"/>
      <c r="I265" s="202"/>
      <c r="J265" s="186"/>
      <c r="K265" s="186"/>
      <c r="L265" s="186" t="s">
        <v>192</v>
      </c>
      <c r="M265" s="188"/>
    </row>
    <row r="266" spans="1:24">
      <c r="A266" s="186"/>
      <c r="B266" s="186" t="s">
        <v>235</v>
      </c>
      <c r="C266" s="201">
        <f>C265*2</f>
        <v>0.92729521800161219</v>
      </c>
      <c r="D266" s="201">
        <f>D265*2</f>
        <v>0.20615528128088303</v>
      </c>
      <c r="E266" s="199">
        <f>C266/PI()*180</f>
        <v>53.130102354155973</v>
      </c>
      <c r="F266" s="199">
        <f>D266/PI()*180</f>
        <v>11.811827541726942</v>
      </c>
      <c r="G266" s="186"/>
      <c r="H266" s="186"/>
      <c r="I266" s="202"/>
      <c r="J266" s="186"/>
      <c r="K266" s="186"/>
      <c r="L266" s="186"/>
      <c r="M266" s="188"/>
    </row>
    <row r="267" spans="1:24">
      <c r="A267" s="186"/>
      <c r="B267" s="186" t="s">
        <v>245</v>
      </c>
      <c r="C267" s="257">
        <f>C263*COS(C266)</f>
        <v>195.00000000000003</v>
      </c>
      <c r="D267" s="199">
        <f>SQRT((COS(C266))^2*D263^2+(C263*SIN(C266))^2*D266^2)</f>
        <v>54.178224407966717</v>
      </c>
      <c r="E267" s="199"/>
      <c r="F267" s="186"/>
      <c r="G267" s="186" t="s">
        <v>30</v>
      </c>
      <c r="H267" s="188">
        <f>ABS(H263*(1-H264^2)/(1+H264^2))</f>
        <v>195</v>
      </c>
      <c r="I267" s="188">
        <f>SQRT((1-H264^2/(1+H264^2))^2*I263^2+(4*H263*H264/(1+H264^2)^2)^2*I264^2)</f>
        <v>54.623438192775822</v>
      </c>
      <c r="J267" s="188">
        <f>ABS(I261-I262)</f>
        <v>195</v>
      </c>
      <c r="K267" s="186"/>
      <c r="L267" s="186" t="s">
        <v>246</v>
      </c>
      <c r="M267" s="188"/>
    </row>
    <row r="268" spans="1:24">
      <c r="A268" s="186"/>
      <c r="B268" s="186" t="s">
        <v>247</v>
      </c>
      <c r="C268" s="257">
        <f>C263*SIN(C266)/2</f>
        <v>130</v>
      </c>
      <c r="D268" s="188">
        <f>0.5*SQRT((SIN(C266))^2*D263^2+(C263*COS(C266))^2*D266^2)</f>
        <v>20.777286276123746</v>
      </c>
      <c r="E268" s="186"/>
      <c r="F268" s="186"/>
      <c r="G268" s="186" t="s">
        <v>31</v>
      </c>
      <c r="H268" s="188">
        <f>H263*(H264)/(1+H264^2)</f>
        <v>130</v>
      </c>
      <c r="I268" s="188">
        <f>SQRT((H264/(1+H264^2))^2*I263^2+((H263-H263*H264^2)/(1+H264^2)^2)^2*I264^2)</f>
        <v>20.777286276123743</v>
      </c>
      <c r="J268" s="186"/>
      <c r="K268" s="186"/>
      <c r="L268" s="186" t="s">
        <v>248</v>
      </c>
      <c r="M268" s="201"/>
    </row>
    <row r="269" spans="1:24">
      <c r="A269" s="186"/>
      <c r="B269" s="186" t="s">
        <v>249</v>
      </c>
      <c r="C269" s="259">
        <f>(E262/E261)/(E262/E261+1)</f>
        <v>0.2</v>
      </c>
      <c r="D269" s="298">
        <f>F269/(E269+1)^2</f>
        <v>8.2462112512353206E-2</v>
      </c>
      <c r="E269" s="188">
        <f>E262/E261</f>
        <v>0.25</v>
      </c>
      <c r="F269" s="188">
        <f>E269*SQRT((F261/E261)^2+(F262/E262)^2)</f>
        <v>0.12884705080055189</v>
      </c>
      <c r="G269" s="186"/>
      <c r="H269" s="186"/>
      <c r="I269" s="186"/>
      <c r="J269" s="186"/>
      <c r="K269" s="186"/>
      <c r="L269" s="186" t="s">
        <v>205</v>
      </c>
      <c r="M269" s="201"/>
    </row>
    <row r="270" spans="1:24">
      <c r="A270" s="186"/>
      <c r="B270" s="186" t="s">
        <v>237</v>
      </c>
      <c r="C270" s="260">
        <f>(C263-C267)/2</f>
        <v>64.999999999999986</v>
      </c>
      <c r="D270" s="188">
        <f>SQRT(D263^2+D267^2)</f>
        <v>55.75195063852027</v>
      </c>
      <c r="E270" s="186"/>
      <c r="F270" s="186"/>
      <c r="G270" s="186"/>
      <c r="H270" s="186"/>
      <c r="I270" s="186"/>
      <c r="J270" s="186"/>
      <c r="K270" s="186"/>
      <c r="L270" s="186" t="s">
        <v>239</v>
      </c>
      <c r="M270" s="201"/>
    </row>
    <row r="271" spans="1:24">
      <c r="A271" s="186"/>
      <c r="B271" s="186" t="s">
        <v>250</v>
      </c>
      <c r="C271" s="186">
        <f>SQRT(C267^2+4*C268^2)</f>
        <v>325</v>
      </c>
      <c r="D271" s="186"/>
      <c r="E271" s="186"/>
      <c r="F271" s="186"/>
      <c r="G271" s="186"/>
      <c r="H271" s="186"/>
      <c r="I271" s="186"/>
      <c r="J271" s="186"/>
      <c r="K271" s="186"/>
      <c r="L271" s="201"/>
      <c r="M271" s="201"/>
    </row>
    <row r="274" spans="1:13">
      <c r="A274" s="60" t="s">
        <v>272</v>
      </c>
      <c r="B274" s="60" t="s">
        <v>208</v>
      </c>
      <c r="C274" s="60"/>
      <c r="D274" s="60"/>
      <c r="E274" s="60"/>
      <c r="F274" s="60"/>
      <c r="G274" s="60"/>
      <c r="H274" s="60"/>
      <c r="I274" s="60"/>
      <c r="J274" s="60"/>
      <c r="K274" s="60"/>
      <c r="L274" s="204"/>
      <c r="M274" s="205"/>
    </row>
    <row r="275" spans="1:13">
      <c r="A275" s="60" t="s">
        <v>226</v>
      </c>
      <c r="B275" s="60" t="s">
        <v>215</v>
      </c>
      <c r="C275" s="60" t="s">
        <v>218</v>
      </c>
      <c r="D275" s="60" t="s">
        <v>219</v>
      </c>
      <c r="E275" s="206" t="s">
        <v>220</v>
      </c>
      <c r="F275" s="206" t="s">
        <v>223</v>
      </c>
      <c r="G275" s="206" t="s">
        <v>221</v>
      </c>
      <c r="H275" s="60" t="s">
        <v>222</v>
      </c>
      <c r="I275" s="60" t="s">
        <v>213</v>
      </c>
      <c r="J275" s="60" t="s">
        <v>224</v>
      </c>
      <c r="K275" s="60"/>
      <c r="L275" s="60" t="s">
        <v>34</v>
      </c>
      <c r="M275" s="207" t="s">
        <v>33</v>
      </c>
    </row>
    <row r="276" spans="1:13">
      <c r="A276" s="60" t="s">
        <v>251</v>
      </c>
      <c r="B276" s="208" t="s">
        <v>241</v>
      </c>
      <c r="C276" s="221">
        <v>3599</v>
      </c>
      <c r="D276" s="209">
        <v>140</v>
      </c>
      <c r="E276" s="215">
        <v>3.37</v>
      </c>
      <c r="F276" s="210">
        <v>0.1</v>
      </c>
      <c r="G276" s="211">
        <f>10^E276</f>
        <v>2344.2288153199238</v>
      </c>
      <c r="H276" s="212">
        <f>G276*LN(10)*F276</f>
        <v>539.77863247227492</v>
      </c>
      <c r="I276" s="213">
        <f>$D$4/$G276</f>
        <v>2.6211093216860082</v>
      </c>
      <c r="J276" s="204">
        <f>I276*SQRT((H276/G276)^2+($E$4/$D$4)^2)</f>
        <v>0.60353478894252399</v>
      </c>
      <c r="K276" s="214"/>
      <c r="L276" s="215">
        <v>2</v>
      </c>
      <c r="M276" s="205">
        <f>(I276-L276)/$D$6^2</f>
        <v>0.38171482389119138</v>
      </c>
    </row>
    <row r="277" spans="1:13">
      <c r="A277" s="60" t="s">
        <v>251</v>
      </c>
      <c r="B277" s="208" t="s">
        <v>242</v>
      </c>
      <c r="C277" s="216">
        <v>3527</v>
      </c>
      <c r="D277" s="209">
        <v>140</v>
      </c>
      <c r="E277" s="210">
        <v>3.69</v>
      </c>
      <c r="F277" s="215">
        <v>0.09</v>
      </c>
      <c r="G277" s="211">
        <f>10^E277</f>
        <v>4897.7881936844633</v>
      </c>
      <c r="H277" s="212">
        <f>G277*LN(10)*F277</f>
        <v>1014.9816675078072</v>
      </c>
      <c r="I277" s="213">
        <f>$D$4/$G277</f>
        <v>1.2545417966263026</v>
      </c>
      <c r="J277" s="204">
        <f>I277*SQRT((H277/G277)^2+($E$4/$D$4)^2)</f>
        <v>0.25998312911282673</v>
      </c>
      <c r="K277" s="204"/>
      <c r="L277" s="215">
        <v>0.8</v>
      </c>
      <c r="M277" s="205">
        <f>(I277-L277)/$D$6^2</f>
        <v>0.27934750903337374</v>
      </c>
    </row>
    <row r="278" spans="1:13">
      <c r="A278" s="60"/>
      <c r="B278" s="208"/>
      <c r="C278" s="217"/>
      <c r="D278" s="217"/>
      <c r="E278" s="206"/>
      <c r="F278" s="204"/>
      <c r="G278" s="211"/>
      <c r="H278" s="212"/>
      <c r="I278" s="213"/>
      <c r="J278" s="204"/>
      <c r="K278" s="204"/>
      <c r="L278" s="204"/>
      <c r="M278" s="205"/>
    </row>
    <row r="279" spans="1:13">
      <c r="A279" s="60"/>
      <c r="B279" s="60"/>
      <c r="C279" s="205" t="s">
        <v>14</v>
      </c>
      <c r="D279" s="60"/>
      <c r="E279" s="60" t="s">
        <v>32</v>
      </c>
      <c r="F279" s="60" t="s">
        <v>231</v>
      </c>
      <c r="G279" s="60" t="s">
        <v>229</v>
      </c>
      <c r="H279" s="60" t="s">
        <v>230</v>
      </c>
      <c r="I279" s="60" t="s">
        <v>39</v>
      </c>
      <c r="J279" s="60"/>
      <c r="K279" s="60"/>
      <c r="L279" s="60"/>
      <c r="M279" s="60"/>
    </row>
    <row r="280" spans="1:13">
      <c r="A280" s="60" t="s">
        <v>268</v>
      </c>
      <c r="B280" s="60" t="s">
        <v>27</v>
      </c>
      <c r="C280" s="217">
        <f>IF(I276&gt;I277,C276,C277)</f>
        <v>3599</v>
      </c>
      <c r="D280" s="217">
        <v>0</v>
      </c>
      <c r="E280" s="209">
        <v>2.89</v>
      </c>
      <c r="F280" s="209">
        <v>0.12</v>
      </c>
      <c r="G280" s="60">
        <v>0</v>
      </c>
      <c r="H280" s="60">
        <v>0</v>
      </c>
      <c r="I280" s="218">
        <f>IF(C280&gt;C281,C280-C289,C280+C289)</f>
        <v>3579.02</v>
      </c>
      <c r="J280" s="217">
        <f>SQRT(D280^2+D289^2)</f>
        <v>1.9678906981842259</v>
      </c>
      <c r="K280" s="60" t="s">
        <v>185</v>
      </c>
      <c r="L280" s="206" t="s">
        <v>227</v>
      </c>
      <c r="M280" s="60"/>
    </row>
    <row r="281" spans="1:13">
      <c r="A281" s="60"/>
      <c r="B281" s="60" t="s">
        <v>28</v>
      </c>
      <c r="C281" s="217">
        <f>IF(I276&lt;I277,C276,C277)</f>
        <v>3527</v>
      </c>
      <c r="D281" s="217">
        <v>0</v>
      </c>
      <c r="E281" s="209">
        <v>1.1100000000000001</v>
      </c>
      <c r="F281" s="209">
        <v>0.06</v>
      </c>
      <c r="G281" s="60">
        <v>0</v>
      </c>
      <c r="H281" s="60">
        <v>0</v>
      </c>
      <c r="I281" s="218">
        <f>IF(C281&gt;C280,C281-C289,C281+C289)</f>
        <v>3546.98</v>
      </c>
      <c r="J281" s="217">
        <f>SQRT(D281^2+D289^2)</f>
        <v>1.9678906981842259</v>
      </c>
      <c r="K281" s="60" t="s">
        <v>186</v>
      </c>
      <c r="L281" s="60"/>
      <c r="M281" s="60"/>
    </row>
    <row r="282" spans="1:13">
      <c r="A282" s="60"/>
      <c r="B282" s="60" t="s">
        <v>190</v>
      </c>
      <c r="C282" s="232">
        <f>ABS(C281-C280)</f>
        <v>72</v>
      </c>
      <c r="D282" s="217">
        <f>SQRT(D280^2+D281^2)</f>
        <v>0</v>
      </c>
      <c r="E282" s="60"/>
      <c r="F282" s="60"/>
      <c r="G282" s="60" t="s">
        <v>0</v>
      </c>
      <c r="H282" s="217">
        <f>ABS(C281-C280)</f>
        <v>72</v>
      </c>
      <c r="I282" s="217">
        <f>SQRT(D280^2+D281^2)</f>
        <v>0</v>
      </c>
      <c r="J282" s="60"/>
      <c r="K282" s="60"/>
      <c r="L282" s="60" t="s">
        <v>193</v>
      </c>
      <c r="M282" s="60"/>
    </row>
    <row r="283" spans="1:13">
      <c r="A283" s="60"/>
      <c r="B283" s="60" t="s">
        <v>228</v>
      </c>
      <c r="C283" s="219">
        <f>SQRT((E281)/(E280))</f>
        <v>0.61974433840310228</v>
      </c>
      <c r="D283" s="219">
        <f>C283*SQRT((F281/E281/2)^2+(F280/E280/2)^2)</f>
        <v>2.112127904367693E-2</v>
      </c>
      <c r="E283" s="60"/>
      <c r="F283" s="60"/>
      <c r="G283" s="60" t="s">
        <v>29</v>
      </c>
      <c r="H283" s="219">
        <f>SQRT(E281/E280)</f>
        <v>0.61974433840310228</v>
      </c>
      <c r="I283" s="219">
        <f>H283*SQRT((F281/E281/2)^2+(F280/E280/2)^2)</f>
        <v>2.112127904367693E-2</v>
      </c>
      <c r="J283" s="60"/>
      <c r="K283" s="60"/>
      <c r="L283" s="204"/>
      <c r="M283" s="205"/>
    </row>
    <row r="284" spans="1:13">
      <c r="A284" s="60"/>
      <c r="B284" s="60" t="s">
        <v>189</v>
      </c>
      <c r="C284" s="219">
        <f>ATAN(C283)</f>
        <v>0.55481103298007151</v>
      </c>
      <c r="D284" s="219">
        <f>D283/(1+C283^2)</f>
        <v>1.5260124109056583E-2</v>
      </c>
      <c r="E284" s="228">
        <f>C284/PI()*180</f>
        <v>31.788330617051621</v>
      </c>
      <c r="F284" s="227">
        <f>D284/PI()*180</f>
        <v>0.87434070629477789</v>
      </c>
      <c r="G284" s="60"/>
      <c r="H284" s="60"/>
      <c r="I284" s="220"/>
      <c r="J284" s="60"/>
      <c r="K284" s="60"/>
      <c r="L284" s="60" t="s">
        <v>192</v>
      </c>
      <c r="M284" s="205"/>
    </row>
    <row r="285" spans="1:13">
      <c r="A285" s="60"/>
      <c r="B285" s="60" t="s">
        <v>236</v>
      </c>
      <c r="C285" s="219">
        <f>C284*2</f>
        <v>1.109622065960143</v>
      </c>
      <c r="D285" s="219">
        <f>D284*2</f>
        <v>3.0520248218113166E-2</v>
      </c>
      <c r="E285" s="227">
        <f>C285/PI()*180</f>
        <v>63.576661234103241</v>
      </c>
      <c r="F285" s="227">
        <f>D285/PI()*180</f>
        <v>1.7486814125895558</v>
      </c>
      <c r="G285" s="60"/>
      <c r="H285" s="60"/>
      <c r="I285" s="220"/>
      <c r="J285" s="60"/>
      <c r="K285" s="60"/>
      <c r="L285" s="60"/>
      <c r="M285" s="205"/>
    </row>
    <row r="286" spans="1:13">
      <c r="A286" s="60"/>
      <c r="B286" s="60" t="s">
        <v>188</v>
      </c>
      <c r="C286" s="229">
        <f>C282*COS(C285)</f>
        <v>32.04</v>
      </c>
      <c r="D286" s="217">
        <f>SQRT((COS(C285))^2*D282^2+(C282*SIN(C285))^2*D285^2)</f>
        <v>1.9678906981842259</v>
      </c>
      <c r="E286" s="217"/>
      <c r="F286" s="60"/>
      <c r="G286" s="60" t="s">
        <v>30</v>
      </c>
      <c r="H286" s="217">
        <f>ABS(H282*(1-H283^2)/(1+H283^2))</f>
        <v>32.040000000000006</v>
      </c>
      <c r="I286" s="217">
        <f>SQRT((1-H283^2/(1+H283^2))^2*I282^2+(4*H282*H283/(1+H283^2)^2)^2*I283^2)</f>
        <v>1.9678906981842261</v>
      </c>
      <c r="J286" s="217">
        <f>ABS(I280-I281)</f>
        <v>32.039999999999964</v>
      </c>
      <c r="K286" s="60"/>
      <c r="L286" s="60" t="s">
        <v>233</v>
      </c>
      <c r="M286" s="205"/>
    </row>
    <row r="287" spans="1:13">
      <c r="A287" s="60"/>
      <c r="B287" s="60" t="s">
        <v>187</v>
      </c>
      <c r="C287" s="229">
        <f>C282*SIN(C285)/2</f>
        <v>32.239100483729381</v>
      </c>
      <c r="D287" s="217">
        <f>0.5*SQRT((SIN(C285))^2*D282^2+(C282*COS(C285))^2*D285^2)</f>
        <v>0.48893437645417293</v>
      </c>
      <c r="E287" s="60"/>
      <c r="F287" s="60"/>
      <c r="G287" s="60" t="s">
        <v>31</v>
      </c>
      <c r="H287" s="217">
        <f>H282*(H283)/(1+H283^2)</f>
        <v>32.239100483729381</v>
      </c>
      <c r="I287" s="217">
        <f>SQRT((H283/(1+H283^2))^2*I282^2+((H282-H282*H283^2)/(1+H283^2)^2)^2*I283^2)</f>
        <v>0.48893437645417293</v>
      </c>
      <c r="J287" s="217"/>
      <c r="K287" s="60"/>
      <c r="L287" s="60" t="s">
        <v>234</v>
      </c>
      <c r="M287" s="219"/>
    </row>
    <row r="288" spans="1:13" ht="15.6">
      <c r="A288" s="60"/>
      <c r="B288" s="60" t="s">
        <v>204</v>
      </c>
      <c r="C288" s="234">
        <f>(E281/E280)/(E281/E280+1)</f>
        <v>0.27750000000000002</v>
      </c>
      <c r="D288" s="61">
        <f>F288/(E288+1)^2</f>
        <v>1.3665907626279348E-2</v>
      </c>
      <c r="E288" s="205">
        <f>E281/E280</f>
        <v>0.38408304498269896</v>
      </c>
      <c r="F288" s="205">
        <f>E288*SQRT((F280/E280)^2+(F281/E281)^2)</f>
        <v>2.6179586214301734E-2</v>
      </c>
      <c r="G288" s="60"/>
      <c r="H288" s="60"/>
      <c r="I288" s="60"/>
      <c r="J288" s="60"/>
      <c r="K288" s="60"/>
      <c r="L288" s="60" t="s">
        <v>205</v>
      </c>
      <c r="M288" s="219"/>
    </row>
    <row r="289" spans="1:13">
      <c r="A289" s="60"/>
      <c r="B289" s="60" t="s">
        <v>238</v>
      </c>
      <c r="C289" s="231">
        <f>(C282-C286)/2</f>
        <v>19.98</v>
      </c>
      <c r="D289" s="227">
        <f>SQRT(D282^2+D286^2)</f>
        <v>1.9678906981842259</v>
      </c>
      <c r="E289" s="60"/>
      <c r="F289" s="60"/>
      <c r="G289" s="60"/>
      <c r="H289" s="60"/>
      <c r="I289" s="60"/>
      <c r="J289" s="60"/>
      <c r="K289" s="60"/>
      <c r="L289" s="60" t="s">
        <v>239</v>
      </c>
      <c r="M289" s="219"/>
    </row>
    <row r="290" spans="1:13">
      <c r="A290" s="60"/>
      <c r="B290" s="60" t="s">
        <v>232</v>
      </c>
      <c r="C290" s="60">
        <f>SQRT(C286^2+4*C287^2)</f>
        <v>72</v>
      </c>
      <c r="D290" s="60"/>
      <c r="E290" s="60"/>
      <c r="F290" s="60"/>
      <c r="G290" s="60"/>
      <c r="H290" s="60"/>
      <c r="I290" s="60"/>
      <c r="J290" s="60"/>
      <c r="K290" s="60"/>
      <c r="L290" s="219"/>
      <c r="M290" s="219"/>
    </row>
    <row r="293" spans="1:13">
      <c r="A293" s="60" t="s">
        <v>274</v>
      </c>
      <c r="B293" s="60" t="s">
        <v>275</v>
      </c>
      <c r="C293" s="60"/>
      <c r="D293" s="60"/>
      <c r="E293" s="60"/>
      <c r="F293" s="60"/>
      <c r="G293" s="60"/>
      <c r="H293" s="60"/>
      <c r="I293" s="60"/>
      <c r="J293" s="60"/>
      <c r="K293" s="60"/>
      <c r="L293" s="204"/>
      <c r="M293" s="205"/>
    </row>
    <row r="294" spans="1:13">
      <c r="A294" s="60" t="s">
        <v>226</v>
      </c>
      <c r="B294" s="60" t="s">
        <v>215</v>
      </c>
      <c r="C294" s="60" t="s">
        <v>218</v>
      </c>
      <c r="D294" s="60" t="s">
        <v>219</v>
      </c>
      <c r="E294" s="206" t="s">
        <v>220</v>
      </c>
      <c r="F294" s="206" t="s">
        <v>223</v>
      </c>
      <c r="G294" s="206" t="s">
        <v>221</v>
      </c>
      <c r="H294" s="60" t="s">
        <v>222</v>
      </c>
      <c r="I294" s="60" t="s">
        <v>213</v>
      </c>
      <c r="J294" s="60" t="s">
        <v>224</v>
      </c>
      <c r="K294" s="60"/>
      <c r="L294" s="60" t="s">
        <v>34</v>
      </c>
      <c r="M294" s="207" t="s">
        <v>33</v>
      </c>
    </row>
    <row r="295" spans="1:13">
      <c r="A295" s="60" t="s">
        <v>276</v>
      </c>
      <c r="B295" s="208" t="s">
        <v>242</v>
      </c>
      <c r="C295" s="221">
        <v>9516.2800000000007</v>
      </c>
      <c r="D295" s="209">
        <v>0</v>
      </c>
      <c r="E295" s="215">
        <v>3.51</v>
      </c>
      <c r="F295" s="210">
        <v>0</v>
      </c>
      <c r="G295" s="211">
        <f>10^E295</f>
        <v>3235.9365692962833</v>
      </c>
      <c r="H295" s="212">
        <f>G295*LN(10)*F295</f>
        <v>0</v>
      </c>
      <c r="I295" s="213">
        <f>$D$4/$G295</f>
        <v>1.8988258479171101</v>
      </c>
      <c r="J295" s="204">
        <f>I295*SQRT((H295/G295)^2+($E$4/$D$4)^2)</f>
        <v>1.1434093100300283E-3</v>
      </c>
      <c r="K295" s="214"/>
      <c r="L295" s="215">
        <v>2</v>
      </c>
      <c r="M295" s="205">
        <f>(I295-L295)/$D$6^2</f>
        <v>-6.2178544575417757E-2</v>
      </c>
    </row>
    <row r="296" spans="1:13">
      <c r="A296" s="60" t="s">
        <v>276</v>
      </c>
      <c r="B296" s="208" t="s">
        <v>273</v>
      </c>
      <c r="C296" s="300">
        <v>8439.36</v>
      </c>
      <c r="D296" s="209">
        <v>0</v>
      </c>
      <c r="E296" s="210">
        <v>3.93</v>
      </c>
      <c r="F296" s="215">
        <v>0</v>
      </c>
      <c r="G296" s="211">
        <f>10^E296</f>
        <v>8511.3803820237772</v>
      </c>
      <c r="H296" s="212">
        <f>G296*LN(10)*F296</f>
        <v>0</v>
      </c>
      <c r="I296" s="213">
        <f>$D$4/$G296</f>
        <v>0.72191345283748298</v>
      </c>
      <c r="J296" s="204">
        <f>I296*SQRT((H296/G296)^2+($E$4/$D$4)^2)</f>
        <v>4.3471209532762532E-4</v>
      </c>
      <c r="K296" s="204"/>
      <c r="L296" s="215">
        <v>0.8</v>
      </c>
      <c r="M296" s="205">
        <f>(I296-L296)/$D$6^2</f>
        <v>-4.7989607558135722E-2</v>
      </c>
    </row>
    <row r="297" spans="1:13">
      <c r="A297" s="60"/>
      <c r="B297" s="208"/>
      <c r="C297" s="217"/>
      <c r="D297" s="217"/>
      <c r="E297" s="206"/>
      <c r="F297" s="204"/>
      <c r="G297" s="211"/>
      <c r="H297" s="212"/>
      <c r="I297" s="213"/>
      <c r="J297" s="204"/>
      <c r="K297" s="204"/>
      <c r="L297" s="204"/>
      <c r="M297" s="205"/>
    </row>
    <row r="298" spans="1:13">
      <c r="A298" s="60"/>
      <c r="B298" s="60"/>
      <c r="C298" s="205" t="s">
        <v>14</v>
      </c>
      <c r="D298" s="60"/>
      <c r="E298" s="60" t="s">
        <v>32</v>
      </c>
      <c r="F298" s="60" t="s">
        <v>231</v>
      </c>
      <c r="G298" s="60" t="s">
        <v>229</v>
      </c>
      <c r="H298" s="60" t="s">
        <v>230</v>
      </c>
      <c r="I298" s="60" t="s">
        <v>39</v>
      </c>
      <c r="J298" s="60"/>
      <c r="K298" s="60"/>
      <c r="L298" s="60"/>
      <c r="M298" s="60"/>
    </row>
    <row r="299" spans="1:13">
      <c r="A299" s="60" t="s">
        <v>268</v>
      </c>
      <c r="B299" s="60" t="s">
        <v>27</v>
      </c>
      <c r="C299" s="217">
        <f>IF(I295&gt;I296,C295,C296)</f>
        <v>9516.2800000000007</v>
      </c>
      <c r="D299" s="217">
        <v>0</v>
      </c>
      <c r="E299" s="301">
        <f>I295</f>
        <v>1.8988258479171101</v>
      </c>
      <c r="F299" s="301">
        <f>J295</f>
        <v>1.1434093100300283E-3</v>
      </c>
      <c r="G299" s="60">
        <v>0</v>
      </c>
      <c r="H299" s="60">
        <v>0</v>
      </c>
      <c r="I299" s="218">
        <f>IF(C299&gt;C300,C299-C308,C299+C308)</f>
        <v>9219.6297244819852</v>
      </c>
      <c r="J299" s="217">
        <f>SQRT(D299^2+D308^2)</f>
        <v>0.36607296106354964</v>
      </c>
      <c r="K299" s="60" t="s">
        <v>185</v>
      </c>
      <c r="L299" s="206" t="s">
        <v>227</v>
      </c>
      <c r="M299" s="60"/>
    </row>
    <row r="300" spans="1:13">
      <c r="A300" s="60"/>
      <c r="B300" s="60" t="s">
        <v>28</v>
      </c>
      <c r="C300" s="217">
        <f>IF(I295&lt;I296,C295,C296)</f>
        <v>8439.36</v>
      </c>
      <c r="D300" s="217">
        <v>0</v>
      </c>
      <c r="E300" s="301">
        <f>I296</f>
        <v>0.72191345283748298</v>
      </c>
      <c r="F300" s="301">
        <f>J296</f>
        <v>4.3471209532762532E-4</v>
      </c>
      <c r="G300" s="60">
        <v>0</v>
      </c>
      <c r="H300" s="60">
        <v>0</v>
      </c>
      <c r="I300" s="218">
        <f>IF(C300&gt;C299,C300-C308,C300+C308)</f>
        <v>8736.010275518016</v>
      </c>
      <c r="J300" s="217">
        <f>SQRT(D300^2+D308^2)</f>
        <v>0.36607296106354964</v>
      </c>
      <c r="K300" s="60" t="s">
        <v>186</v>
      </c>
      <c r="L300" s="60"/>
      <c r="M300" s="60"/>
    </row>
    <row r="301" spans="1:13">
      <c r="A301" s="60"/>
      <c r="B301" s="60" t="s">
        <v>190</v>
      </c>
      <c r="C301" s="232">
        <f>ABS(C300-C299)</f>
        <v>1076.92</v>
      </c>
      <c r="D301" s="217">
        <f>SQRT(D299^2+D300^2)</f>
        <v>0</v>
      </c>
      <c r="E301" s="60"/>
      <c r="F301" s="60"/>
      <c r="G301" s="60" t="s">
        <v>0</v>
      </c>
      <c r="H301" s="217">
        <f>ABS(C300-C299)</f>
        <v>1076.92</v>
      </c>
      <c r="I301" s="217">
        <f>SQRT(D299^2+D300^2)</f>
        <v>0</v>
      </c>
      <c r="J301" s="60"/>
      <c r="K301" s="60"/>
      <c r="L301" s="60" t="s">
        <v>193</v>
      </c>
      <c r="M301" s="60"/>
    </row>
    <row r="302" spans="1:13">
      <c r="A302" s="60"/>
      <c r="B302" s="60" t="s">
        <v>228</v>
      </c>
      <c r="C302" s="219">
        <f>SQRT((E300)/(E299))</f>
        <v>0.61659500186148186</v>
      </c>
      <c r="D302" s="219">
        <f>C302*SQRT((F300/E300/2)^2+(F299/E299/2)^2)</f>
        <v>2.6254369387309381E-4</v>
      </c>
      <c r="E302" s="60"/>
      <c r="F302" s="60"/>
      <c r="G302" s="60" t="s">
        <v>29</v>
      </c>
      <c r="H302" s="219">
        <f>SQRT(E300/E299)</f>
        <v>0.61659500186148186</v>
      </c>
      <c r="I302" s="219">
        <f>H302*SQRT((F300/E300/2)^2+(F299/E299/2)^2)</f>
        <v>2.6254369387309381E-4</v>
      </c>
      <c r="J302" s="60"/>
      <c r="K302" s="60"/>
      <c r="L302" s="204"/>
      <c r="M302" s="205"/>
    </row>
    <row r="303" spans="1:13">
      <c r="A303" s="60"/>
      <c r="B303" s="60" t="s">
        <v>189</v>
      </c>
      <c r="C303" s="219">
        <f>ATAN(C302)</f>
        <v>0.55253242806108116</v>
      </c>
      <c r="D303" s="219">
        <f>D302/(1+C302^2)</f>
        <v>1.9022294662820013E-4</v>
      </c>
      <c r="E303" s="228">
        <f>C303/PI()*180</f>
        <v>31.657776172015726</v>
      </c>
      <c r="F303" s="227">
        <f>D303/PI()*180</f>
        <v>1.0898972008338181E-2</v>
      </c>
      <c r="G303" s="60"/>
      <c r="H303" s="60"/>
      <c r="I303" s="220"/>
      <c r="J303" s="60"/>
      <c r="K303" s="60"/>
      <c r="L303" s="60" t="s">
        <v>192</v>
      </c>
      <c r="M303" s="205"/>
    </row>
    <row r="304" spans="1:13">
      <c r="A304" s="60"/>
      <c r="B304" s="60" t="s">
        <v>236</v>
      </c>
      <c r="C304" s="219">
        <f>C303*2</f>
        <v>1.1050648561221623</v>
      </c>
      <c r="D304" s="219">
        <f>D303*2</f>
        <v>3.8044589325640025E-4</v>
      </c>
      <c r="E304" s="227">
        <f>C304/PI()*180</f>
        <v>63.315552344031452</v>
      </c>
      <c r="F304" s="227">
        <f>D304/PI()*180</f>
        <v>2.1797944016676361E-2</v>
      </c>
      <c r="G304" s="60"/>
      <c r="H304" s="60"/>
      <c r="I304" s="220"/>
      <c r="J304" s="60"/>
      <c r="K304" s="60"/>
      <c r="L304" s="60"/>
      <c r="M304" s="205"/>
    </row>
    <row r="305" spans="1:13">
      <c r="A305" s="60"/>
      <c r="B305" s="60" t="s">
        <v>188</v>
      </c>
      <c r="C305" s="229">
        <f>C301*COS(C304)</f>
        <v>483.61944896396835</v>
      </c>
      <c r="D305" s="217">
        <f>SQRT((COS(C304))^2*D301^2+(C301*SIN(C304))^2*D304^2)</f>
        <v>0.36607296106354964</v>
      </c>
      <c r="E305" s="217"/>
      <c r="F305" s="60"/>
      <c r="G305" s="60" t="s">
        <v>30</v>
      </c>
      <c r="H305" s="217">
        <f>ABS(H301*(1-H302^2)/(1+H302^2))</f>
        <v>483.6194489639683</v>
      </c>
      <c r="I305" s="217">
        <f>SQRT((1-H302^2/(1+H302^2))^2*I301^2+(4*H301*H302/(1+H302^2)^2)^2*I302^2)</f>
        <v>0.36607296106354964</v>
      </c>
      <c r="J305" s="217">
        <f>ABS(I299-I300)</f>
        <v>483.61944896396926</v>
      </c>
      <c r="K305" s="60"/>
      <c r="L305" s="60" t="s">
        <v>233</v>
      </c>
      <c r="M305" s="205"/>
    </row>
    <row r="306" spans="1:13">
      <c r="A306" s="60"/>
      <c r="B306" s="60" t="s">
        <v>187</v>
      </c>
      <c r="C306" s="229">
        <f>C301*SIN(C304)/2</f>
        <v>481.11041221942696</v>
      </c>
      <c r="D306" s="217">
        <f>0.5*SQRT((SIN(C304))^2*D301^2+(C301*COS(C304))^2*D304^2)</f>
        <v>9.1995516628632507E-2</v>
      </c>
      <c r="E306" s="60"/>
      <c r="F306" s="60"/>
      <c r="G306" s="60" t="s">
        <v>31</v>
      </c>
      <c r="H306" s="217">
        <f>H301*(H302)/(1+H302^2)</f>
        <v>481.11041221942696</v>
      </c>
      <c r="I306" s="217">
        <f>SQRT((H302/(1+H302^2))^2*I301^2+((H301-H301*H302^2)/(1+H302^2)^2)^2*I302^2)</f>
        <v>9.1995516628632493E-2</v>
      </c>
      <c r="J306" s="217"/>
      <c r="K306" s="60"/>
      <c r="L306" s="60" t="s">
        <v>234</v>
      </c>
      <c r="M306" s="219"/>
    </row>
    <row r="307" spans="1:13" ht="15.6">
      <c r="A307" s="60"/>
      <c r="B307" s="60" t="s">
        <v>204</v>
      </c>
      <c r="C307" s="234">
        <f>(E300/E299)/(E300/E299+1)</f>
        <v>0.27546175715746374</v>
      </c>
      <c r="D307" s="61">
        <f>F307/(E307+1)^2</f>
        <v>1.6996293181645325E-4</v>
      </c>
      <c r="E307" s="205">
        <f>E300/E299</f>
        <v>0.38018939632056076</v>
      </c>
      <c r="F307" s="205">
        <f>E307*SQRT((F299/E299)^2+(F300/E300)^2)</f>
        <v>3.2376625882480113E-4</v>
      </c>
      <c r="G307" s="60"/>
      <c r="H307" s="60"/>
      <c r="I307" s="60"/>
      <c r="J307" s="60"/>
      <c r="K307" s="60"/>
      <c r="L307" s="60" t="s">
        <v>205</v>
      </c>
      <c r="M307" s="219"/>
    </row>
    <row r="308" spans="1:13">
      <c r="A308" s="60"/>
      <c r="B308" s="60" t="s">
        <v>238</v>
      </c>
      <c r="C308" s="231">
        <f>(C301-C305)/2</f>
        <v>296.65027551801586</v>
      </c>
      <c r="D308" s="227">
        <f>SQRT(D301^2+D305^2)</f>
        <v>0.36607296106354964</v>
      </c>
      <c r="E308" s="60"/>
      <c r="F308" s="60"/>
      <c r="G308" s="60"/>
      <c r="H308" s="60"/>
      <c r="I308" s="60"/>
      <c r="J308" s="60"/>
      <c r="K308" s="60"/>
      <c r="L308" s="60" t="s">
        <v>239</v>
      </c>
      <c r="M308" s="219"/>
    </row>
    <row r="309" spans="1:13">
      <c r="A309" s="60"/>
      <c r="B309" s="60" t="s">
        <v>232</v>
      </c>
      <c r="C309" s="60">
        <f>SQRT(C305^2+4*C306^2)</f>
        <v>1076.92</v>
      </c>
      <c r="D309" s="60"/>
      <c r="E309" s="60"/>
      <c r="F309" s="60"/>
      <c r="G309" s="60"/>
      <c r="H309" s="60"/>
      <c r="I309" s="60"/>
      <c r="J309" s="60"/>
      <c r="K309" s="60"/>
      <c r="L309" s="219"/>
      <c r="M309" s="219"/>
    </row>
    <row r="312" spans="1:13">
      <c r="A312" s="186" t="s">
        <v>286</v>
      </c>
      <c r="B312" s="186" t="s">
        <v>287</v>
      </c>
      <c r="C312" s="186" t="s">
        <v>288</v>
      </c>
      <c r="D312" s="186"/>
      <c r="E312" s="186"/>
      <c r="F312" s="186"/>
      <c r="G312" s="186"/>
      <c r="H312" s="186"/>
      <c r="I312" s="186"/>
      <c r="J312" s="186"/>
      <c r="K312" s="186"/>
      <c r="L312" s="187"/>
      <c r="M312" s="188"/>
    </row>
    <row r="313" spans="1:13">
      <c r="A313" s="186" t="s">
        <v>226</v>
      </c>
      <c r="B313" s="186" t="s">
        <v>215</v>
      </c>
      <c r="C313" s="186" t="s">
        <v>218</v>
      </c>
      <c r="D313" s="186" t="s">
        <v>219</v>
      </c>
      <c r="E313" s="189" t="s">
        <v>220</v>
      </c>
      <c r="F313" s="189" t="s">
        <v>223</v>
      </c>
      <c r="G313" s="189" t="s">
        <v>221</v>
      </c>
      <c r="H313" s="186" t="s">
        <v>222</v>
      </c>
      <c r="I313" s="186" t="s">
        <v>213</v>
      </c>
      <c r="J313" s="186" t="s">
        <v>224</v>
      </c>
      <c r="K313" s="186"/>
      <c r="L313" s="186" t="s">
        <v>34</v>
      </c>
      <c r="M313" s="190" t="s">
        <v>33</v>
      </c>
    </row>
    <row r="314" spans="1:13">
      <c r="A314" s="186" t="s">
        <v>225</v>
      </c>
      <c r="B314" s="191" t="s">
        <v>242</v>
      </c>
      <c r="C314" s="222">
        <v>5049.8</v>
      </c>
      <c r="D314" s="192">
        <v>0.8</v>
      </c>
      <c r="E314" s="295">
        <v>4.8</v>
      </c>
      <c r="F314" s="299">
        <v>0.1</v>
      </c>
      <c r="G314" s="194">
        <f>10^E314</f>
        <v>63095.734448019342</v>
      </c>
      <c r="H314" s="195">
        <f>G314*LN(10)*F314</f>
        <v>14528.329757152023</v>
      </c>
      <c r="I314" s="296">
        <f>$D$4/$G314</f>
        <v>9.7383445232134588E-2</v>
      </c>
      <c r="J314" s="187">
        <f>I314*SQRT((H314/G314)^2+($E$4/$D$4)^2)</f>
        <v>2.242344360778744E-2</v>
      </c>
      <c r="K314" s="197"/>
      <c r="L314" s="198">
        <v>0.8</v>
      </c>
      <c r="M314" s="188">
        <f>(I314-L314)/$D$6^2</f>
        <v>-0.43180668056667026</v>
      </c>
    </row>
    <row r="315" spans="1:13">
      <c r="A315" s="186" t="s">
        <v>225</v>
      </c>
      <c r="B315" s="191" t="s">
        <v>241</v>
      </c>
      <c r="C315" s="192">
        <v>5018.8999999999996</v>
      </c>
      <c r="D315" s="192">
        <v>1.1000000000000001</v>
      </c>
      <c r="E315" s="295">
        <v>5.43</v>
      </c>
      <c r="F315" s="295">
        <v>0.05</v>
      </c>
      <c r="G315" s="194">
        <f>10^E315</f>
        <v>269153.48039269145</v>
      </c>
      <c r="H315" s="195">
        <f>G315*LN(10)*F315</f>
        <v>30987.439583983825</v>
      </c>
      <c r="I315" s="296">
        <f>$D$4/$G315</f>
        <v>2.2828907844829955E-2</v>
      </c>
      <c r="J315" s="187">
        <f>I315*SQRT((H315/G315)^2+($E$4/$D$4)^2)</f>
        <v>2.6283110947048914E-3</v>
      </c>
      <c r="K315" s="187"/>
      <c r="L315" s="198">
        <v>0.8</v>
      </c>
      <c r="M315" s="188">
        <f>(I315-L315)/$D$6^2</f>
        <v>-0.47762562276485387</v>
      </c>
    </row>
    <row r="316" spans="1:13">
      <c r="A316" s="186"/>
      <c r="B316" s="191"/>
      <c r="C316" s="199"/>
      <c r="D316" s="199"/>
      <c r="E316" s="189"/>
      <c r="F316" s="187"/>
      <c r="G316" s="194"/>
      <c r="H316" s="195"/>
      <c r="I316" s="196"/>
      <c r="J316" s="187"/>
      <c r="K316" s="187"/>
      <c r="L316" s="187"/>
      <c r="M316" s="188"/>
    </row>
    <row r="317" spans="1:13">
      <c r="A317" s="186"/>
      <c r="B317" s="186"/>
      <c r="C317" s="188" t="s">
        <v>14</v>
      </c>
      <c r="D317" s="186"/>
      <c r="E317" s="186" t="s">
        <v>32</v>
      </c>
      <c r="F317" s="186" t="s">
        <v>231</v>
      </c>
      <c r="G317" s="186" t="s">
        <v>229</v>
      </c>
      <c r="H317" s="186" t="s">
        <v>230</v>
      </c>
      <c r="I317" s="186" t="s">
        <v>39</v>
      </c>
      <c r="J317" s="186"/>
      <c r="K317" s="186"/>
      <c r="L317" s="186"/>
      <c r="M317" s="186"/>
    </row>
    <row r="318" spans="1:13">
      <c r="A318" s="186" t="s">
        <v>269</v>
      </c>
      <c r="B318" s="186" t="s">
        <v>27</v>
      </c>
      <c r="C318" s="199">
        <f>IF(I314&gt;I315,C314,C315)</f>
        <v>5049.8</v>
      </c>
      <c r="D318" s="199">
        <f>IF(I314&gt;I315,D314,D315)</f>
        <v>0.8</v>
      </c>
      <c r="E318" s="297">
        <v>2.88</v>
      </c>
      <c r="F318" s="297">
        <v>7.0000000000000007E-2</v>
      </c>
      <c r="G318" s="186">
        <v>0.1</v>
      </c>
      <c r="H318" s="186">
        <v>0.02</v>
      </c>
      <c r="I318" s="200">
        <f>IF(C318&gt;C319,C318-C327,C318+C327)</f>
        <v>5048.5343656343657</v>
      </c>
      <c r="J318" s="199">
        <f>SQRT(D318^2+D327^2)</f>
        <v>2.0131565064585488</v>
      </c>
      <c r="K318" s="186" t="s">
        <v>185</v>
      </c>
      <c r="L318" s="189" t="s">
        <v>227</v>
      </c>
      <c r="M318" s="186"/>
    </row>
    <row r="319" spans="1:13">
      <c r="A319" s="186"/>
      <c r="B319" s="186" t="s">
        <v>28</v>
      </c>
      <c r="C319" s="199">
        <f>IF(I314&lt;I315,C314,C315)</f>
        <v>5018.8999999999996</v>
      </c>
      <c r="D319" s="199">
        <f>IF(I314&lt;I315,D314,D315)</f>
        <v>1.1000000000000001</v>
      </c>
      <c r="E319" s="297">
        <v>0.123</v>
      </c>
      <c r="F319" s="297">
        <v>0</v>
      </c>
      <c r="G319" s="186">
        <v>0</v>
      </c>
      <c r="H319" s="186">
        <v>0</v>
      </c>
      <c r="I319" s="200">
        <f>IF(C319&gt;C318,C319-C327,C319+C327)</f>
        <v>5020.1656343656341</v>
      </c>
      <c r="J319" s="199">
        <f>SQRT(D319^2+D327^2)</f>
        <v>2.1500695615482743</v>
      </c>
      <c r="K319" s="186" t="s">
        <v>186</v>
      </c>
      <c r="L319" s="186"/>
      <c r="M319" s="186"/>
    </row>
    <row r="320" spans="1:13">
      <c r="A320" s="186"/>
      <c r="B320" s="186" t="s">
        <v>243</v>
      </c>
      <c r="C320" s="256">
        <f>ABS(C319-C318)</f>
        <v>30.900000000000546</v>
      </c>
      <c r="D320" s="199">
        <f>SQRT(D318^2+D319^2)</f>
        <v>1.3601470508735445</v>
      </c>
      <c r="E320" s="186"/>
      <c r="F320" s="186"/>
      <c r="G320" s="186" t="s">
        <v>0</v>
      </c>
      <c r="H320" s="199">
        <f>ABS(C319-C318)</f>
        <v>30.900000000000546</v>
      </c>
      <c r="I320" s="199">
        <f>SQRT(D318^2+D319^2)</f>
        <v>1.3601470508735445</v>
      </c>
      <c r="J320" s="186"/>
      <c r="K320" s="186"/>
      <c r="L320" s="186" t="s">
        <v>193</v>
      </c>
      <c r="M320" s="186"/>
    </row>
    <row r="321" spans="1:13">
      <c r="A321" s="186"/>
      <c r="B321" s="186" t="s">
        <v>244</v>
      </c>
      <c r="C321" s="201">
        <f>SQRT((E319)/(E318))</f>
        <v>0.20665994612728741</v>
      </c>
      <c r="D321" s="201">
        <f>C321*SQRT((F319/E319/2)^2+(F318/E318/2)^2)</f>
        <v>2.5114924008524516E-3</v>
      </c>
      <c r="E321" s="186"/>
      <c r="F321" s="186"/>
      <c r="G321" s="186" t="s">
        <v>29</v>
      </c>
      <c r="H321" s="201">
        <f>SQRT(E319/E318)</f>
        <v>0.20665994612728741</v>
      </c>
      <c r="I321" s="201">
        <f>H321*SQRT((F319/E319/2)^2+(F318/E318/2)^2)</f>
        <v>2.5114924008524516E-3</v>
      </c>
      <c r="J321" s="186"/>
      <c r="K321" s="186"/>
      <c r="L321" s="187"/>
      <c r="M321" s="188"/>
    </row>
    <row r="322" spans="1:13">
      <c r="A322" s="186"/>
      <c r="B322" s="186" t="s">
        <v>3</v>
      </c>
      <c r="C322" s="201">
        <f>ATAN(C321)</f>
        <v>0.20379107577838176</v>
      </c>
      <c r="D322" s="201">
        <f>D321/(1+C321^2)</f>
        <v>2.4086240807376161E-3</v>
      </c>
      <c r="E322" s="257">
        <f>C322/PI()*180</f>
        <v>11.676368544532012</v>
      </c>
      <c r="F322" s="199">
        <f>D322/PI()*180</f>
        <v>0.13800399425984305</v>
      </c>
      <c r="G322" s="186"/>
      <c r="H322" s="186"/>
      <c r="I322" s="202"/>
      <c r="J322" s="186"/>
      <c r="K322" s="186"/>
      <c r="L322" s="186" t="s">
        <v>192</v>
      </c>
      <c r="M322" s="188"/>
    </row>
    <row r="323" spans="1:13">
      <c r="A323" s="186"/>
      <c r="B323" s="186" t="s">
        <v>235</v>
      </c>
      <c r="C323" s="201">
        <f>C322*2</f>
        <v>0.40758215155676353</v>
      </c>
      <c r="D323" s="201">
        <f>D322*2</f>
        <v>4.8172481614752322E-3</v>
      </c>
      <c r="E323" s="199">
        <f>C323/PI()*180</f>
        <v>23.352737089064025</v>
      </c>
      <c r="F323" s="199">
        <f>D323/PI()*180</f>
        <v>0.27600798851968611</v>
      </c>
      <c r="G323" s="186"/>
      <c r="H323" s="186"/>
      <c r="I323" s="202"/>
      <c r="J323" s="186"/>
      <c r="K323" s="186"/>
      <c r="L323" s="186"/>
      <c r="M323" s="188"/>
    </row>
    <row r="324" spans="1:13">
      <c r="A324" s="186"/>
      <c r="B324" s="186" t="s">
        <v>245</v>
      </c>
      <c r="C324" s="257">
        <f>C320*COS(C323)</f>
        <v>28.368731268731771</v>
      </c>
      <c r="D324" s="199">
        <f>SQRT((COS(C323))^2*D320^2+(C320*SIN(C323))^2*D323^2)</f>
        <v>1.2501196420728653</v>
      </c>
      <c r="E324" s="199"/>
      <c r="F324" s="186"/>
      <c r="G324" s="186" t="s">
        <v>30</v>
      </c>
      <c r="H324" s="188">
        <f>ABS(H320*(1-H321^2)/(1+H321^2))</f>
        <v>28.368731268731768</v>
      </c>
      <c r="I324" s="188">
        <f>SQRT((1-H321^2/(1+H321^2))^2*I320^2+(4*H320*H321/(1+H321^2)^2)^2*I321^2)</f>
        <v>1.3057705204948769</v>
      </c>
      <c r="J324" s="188">
        <f>ABS(I318-I319)</f>
        <v>28.368731268731608</v>
      </c>
      <c r="K324" s="186"/>
      <c r="L324" s="186" t="s">
        <v>246</v>
      </c>
      <c r="M324" s="188"/>
    </row>
    <row r="325" spans="1:13">
      <c r="A325" s="186"/>
      <c r="B325" s="186" t="s">
        <v>247</v>
      </c>
      <c r="C325" s="257">
        <f>C320*SIN(C323)/2</f>
        <v>6.1242364055144476</v>
      </c>
      <c r="D325" s="188">
        <f>0.5*SQRT((SIN(C323))^2*D320^2+(C320*COS(C323))^2*D323^2)</f>
        <v>0.2780998411733015</v>
      </c>
      <c r="E325" s="186"/>
      <c r="F325" s="186"/>
      <c r="G325" s="186" t="s">
        <v>31</v>
      </c>
      <c r="H325" s="188">
        <f>H320*(H321)/(1+H321^2)</f>
        <v>6.1242364055144476</v>
      </c>
      <c r="I325" s="188">
        <f>SQRT((H321/(1+H321^2))^2*I320^2+((H320-H320*H321^2)/(1+H321^2)^2)^2*I321^2)</f>
        <v>0.2780998411733015</v>
      </c>
      <c r="J325" s="186"/>
      <c r="K325" s="186"/>
      <c r="L325" s="186" t="s">
        <v>248</v>
      </c>
      <c r="M325" s="201"/>
    </row>
    <row r="326" spans="1:13">
      <c r="A326" s="186"/>
      <c r="B326" s="186" t="s">
        <v>249</v>
      </c>
      <c r="C326" s="259">
        <f>(E319/E318)/(E319/E318+1)</f>
        <v>4.095904095904096E-2</v>
      </c>
      <c r="D326" s="298">
        <f>F326/(E326+1)^2</f>
        <v>9.5475619951144444E-4</v>
      </c>
      <c r="E326" s="188">
        <f>E319/E318</f>
        <v>4.2708333333333334E-2</v>
      </c>
      <c r="F326" s="188">
        <f>E326*SQRT((F318/E318)^2+(F319/E319)^2)</f>
        <v>1.0380497685185187E-3</v>
      </c>
      <c r="G326" s="186"/>
      <c r="H326" s="186"/>
      <c r="I326" s="186"/>
      <c r="J326" s="186"/>
      <c r="K326" s="186"/>
      <c r="L326" s="186" t="s">
        <v>205</v>
      </c>
      <c r="M326" s="201"/>
    </row>
    <row r="327" spans="1:13">
      <c r="A327" s="186"/>
      <c r="B327" s="186" t="s">
        <v>237</v>
      </c>
      <c r="C327" s="260">
        <f>(C320-C324)/2</f>
        <v>1.2656343656343871</v>
      </c>
      <c r="D327" s="188">
        <f>SQRT(D320^2+D324^2)</f>
        <v>1.8473762798889644</v>
      </c>
      <c r="E327" s="186"/>
      <c r="F327" s="186"/>
      <c r="G327" s="186"/>
      <c r="H327" s="186"/>
      <c r="I327" s="186"/>
      <c r="J327" s="186"/>
      <c r="K327" s="186"/>
      <c r="L327" s="186" t="s">
        <v>239</v>
      </c>
      <c r="M327" s="201"/>
    </row>
    <row r="328" spans="1:13">
      <c r="A328" s="186"/>
      <c r="B328" s="186" t="s">
        <v>250</v>
      </c>
      <c r="C328" s="186">
        <f>SQRT(C324^2+4*C325^2)</f>
        <v>30.900000000000546</v>
      </c>
      <c r="D328" s="186"/>
      <c r="E328" s="186"/>
      <c r="F328" s="186"/>
      <c r="G328" s="186"/>
      <c r="H328" s="186"/>
      <c r="I328" s="186"/>
      <c r="J328" s="186"/>
      <c r="K328" s="186"/>
      <c r="L328" s="201"/>
      <c r="M328" s="201"/>
    </row>
    <row r="331" spans="1:13">
      <c r="A331" s="340" t="s">
        <v>295</v>
      </c>
      <c r="B331" s="340" t="s">
        <v>296</v>
      </c>
      <c r="C331" s="340" t="s">
        <v>297</v>
      </c>
      <c r="D331" s="340"/>
      <c r="E331" s="340"/>
      <c r="F331" s="340"/>
      <c r="G331" s="340"/>
      <c r="H331" s="340"/>
      <c r="I331" s="340"/>
      <c r="J331" s="340"/>
      <c r="K331" s="340"/>
      <c r="L331" s="341"/>
      <c r="M331" s="342"/>
    </row>
    <row r="332" spans="1:13">
      <c r="A332" s="340" t="s">
        <v>226</v>
      </c>
      <c r="B332" s="340" t="s">
        <v>215</v>
      </c>
      <c r="C332" s="340" t="s">
        <v>218</v>
      </c>
      <c r="D332" s="340" t="s">
        <v>219</v>
      </c>
      <c r="E332" s="343" t="s">
        <v>220</v>
      </c>
      <c r="F332" s="343" t="s">
        <v>223</v>
      </c>
      <c r="G332" s="343" t="s">
        <v>221</v>
      </c>
      <c r="H332" s="340" t="s">
        <v>222</v>
      </c>
      <c r="I332" s="340" t="s">
        <v>213</v>
      </c>
      <c r="J332" s="340" t="s">
        <v>224</v>
      </c>
      <c r="K332" s="340"/>
      <c r="L332" s="340" t="s">
        <v>34</v>
      </c>
      <c r="M332" s="344" t="s">
        <v>33</v>
      </c>
    </row>
    <row r="333" spans="1:13">
      <c r="A333" s="340" t="s">
        <v>298</v>
      </c>
      <c r="B333" s="345" t="s">
        <v>25</v>
      </c>
      <c r="C333" s="346">
        <v>5297</v>
      </c>
      <c r="D333" s="347">
        <v>34</v>
      </c>
      <c r="E333" s="348">
        <v>3.37</v>
      </c>
      <c r="F333" s="349">
        <v>0.05</v>
      </c>
      <c r="G333" s="350">
        <f>10^E333</f>
        <v>2344.2288153199238</v>
      </c>
      <c r="H333" s="351">
        <f>G333*LN(10)*F333</f>
        <v>269.88931623613746</v>
      </c>
      <c r="I333" s="352">
        <f>$D$4/$G333</f>
        <v>2.6211093216860082</v>
      </c>
      <c r="J333" s="341">
        <f>I333*SQRT((H333/G333)^2+($E$4/$D$4)^2)</f>
        <v>0.30177049018058544</v>
      </c>
      <c r="K333" s="353"/>
      <c r="L333" s="348">
        <v>2.62</v>
      </c>
      <c r="M333" s="342">
        <f>(I333-L333)/$D$6^2</f>
        <v>6.8175523571890515E-4</v>
      </c>
    </row>
    <row r="334" spans="1:13">
      <c r="A334" s="340" t="s">
        <v>298</v>
      </c>
      <c r="B334" s="345" t="s">
        <v>24</v>
      </c>
      <c r="C334" s="361">
        <v>5168</v>
      </c>
      <c r="D334" s="347">
        <v>35</v>
      </c>
      <c r="E334" s="349">
        <v>4.8899999999999997</v>
      </c>
      <c r="F334" s="348">
        <v>0.27</v>
      </c>
      <c r="G334" s="350">
        <f>10^E334</f>
        <v>77624.711662869129</v>
      </c>
      <c r="H334" s="351">
        <f>G334*LN(10)*F334</f>
        <v>48259.126059178554</v>
      </c>
      <c r="I334" s="352">
        <f>$D$4/$G334</f>
        <v>7.9156236053874313E-2</v>
      </c>
      <c r="J334" s="341">
        <f>I334*SQRT((H334/G334)^2+($E$4/$D$4)^2)</f>
        <v>4.921129475577319E-2</v>
      </c>
      <c r="K334" s="341"/>
      <c r="L334" s="348">
        <v>8.6999999999999994E-2</v>
      </c>
      <c r="M334" s="342">
        <f>(I334-L334)/$D$6^2</f>
        <v>-4.8205378164539129E-3</v>
      </c>
    </row>
    <row r="335" spans="1:13">
      <c r="A335" s="340"/>
      <c r="B335" s="345"/>
      <c r="C335" s="354"/>
      <c r="D335" s="354"/>
      <c r="E335" s="343"/>
      <c r="F335" s="341"/>
      <c r="G335" s="350"/>
      <c r="H335" s="351"/>
      <c r="I335" s="352"/>
      <c r="J335" s="341"/>
      <c r="K335" s="341"/>
      <c r="L335" s="341"/>
      <c r="M335" s="342"/>
    </row>
    <row r="336" spans="1:13">
      <c r="A336" s="340"/>
      <c r="B336" s="340"/>
      <c r="C336" s="342" t="s">
        <v>14</v>
      </c>
      <c r="D336" s="340"/>
      <c r="E336" s="340" t="s">
        <v>32</v>
      </c>
      <c r="F336" s="340" t="s">
        <v>231</v>
      </c>
      <c r="G336" s="340" t="s">
        <v>229</v>
      </c>
      <c r="H336" s="340" t="s">
        <v>230</v>
      </c>
      <c r="I336" s="340" t="s">
        <v>39</v>
      </c>
      <c r="J336" s="340"/>
      <c r="K336" s="340"/>
      <c r="L336" s="340"/>
      <c r="M336" s="340"/>
    </row>
    <row r="337" spans="1:13">
      <c r="A337" s="340" t="s">
        <v>268</v>
      </c>
      <c r="B337" s="340" t="s">
        <v>27</v>
      </c>
      <c r="C337" s="354">
        <f>IF(I333&gt;I334,C333,C334)</f>
        <v>5297</v>
      </c>
      <c r="D337" s="354">
        <f>IF(I333&gt;I334,D333,D334)</f>
        <v>34</v>
      </c>
      <c r="E337" s="347">
        <v>2.62</v>
      </c>
      <c r="F337" s="347">
        <v>0.2</v>
      </c>
      <c r="G337" s="340">
        <v>0</v>
      </c>
      <c r="H337" s="340">
        <v>0</v>
      </c>
      <c r="I337" s="355">
        <f>IF(C337&gt;C338,C337-C346,C337+C346)</f>
        <v>5292.854082009605</v>
      </c>
      <c r="J337" s="354">
        <f>SQRT(D337^2+D346^2)</f>
        <v>75.042577098973823</v>
      </c>
      <c r="K337" s="340" t="s">
        <v>185</v>
      </c>
      <c r="L337" s="343" t="s">
        <v>227</v>
      </c>
      <c r="M337" s="340"/>
    </row>
    <row r="338" spans="1:13">
      <c r="A338" s="340"/>
      <c r="B338" s="340" t="s">
        <v>28</v>
      </c>
      <c r="C338" s="354">
        <f>IF(I333&lt;I334,C333,C334)</f>
        <v>5168</v>
      </c>
      <c r="D338" s="354">
        <f>IF(I333&lt;I334,D333,D334)</f>
        <v>35</v>
      </c>
      <c r="E338" s="347">
        <v>8.6999999999999994E-2</v>
      </c>
      <c r="F338" s="347">
        <v>3.3000000000000002E-2</v>
      </c>
      <c r="G338" s="340">
        <v>0</v>
      </c>
      <c r="H338" s="340">
        <v>0</v>
      </c>
      <c r="I338" s="355">
        <f>IF(C338&gt;C337,C338-C346,C338+C346)</f>
        <v>5172.145917990395</v>
      </c>
      <c r="J338" s="354">
        <f>SQRT(D338^2+D346^2)</f>
        <v>75.500916402752551</v>
      </c>
      <c r="K338" s="340" t="s">
        <v>186</v>
      </c>
      <c r="L338" s="340"/>
      <c r="M338" s="340"/>
    </row>
    <row r="339" spans="1:13">
      <c r="A339" s="340"/>
      <c r="B339" s="340" t="s">
        <v>190</v>
      </c>
      <c r="C339" s="355">
        <f>ABS(C338-C337)</f>
        <v>129</v>
      </c>
      <c r="D339" s="354">
        <f>SQRT(D337^2+D338^2)</f>
        <v>48.795491595023407</v>
      </c>
      <c r="E339" s="340"/>
      <c r="F339" s="340"/>
      <c r="G339" s="340" t="s">
        <v>0</v>
      </c>
      <c r="H339" s="354">
        <f>ABS(C338-C337)</f>
        <v>129</v>
      </c>
      <c r="I339" s="354">
        <f>SQRT(D337^2+D338^2)</f>
        <v>48.795491595023407</v>
      </c>
      <c r="J339" s="340"/>
      <c r="K339" s="340"/>
      <c r="L339" s="340" t="s">
        <v>193</v>
      </c>
      <c r="M339" s="340"/>
    </row>
    <row r="340" spans="1:13">
      <c r="A340" s="340"/>
      <c r="B340" s="340" t="s">
        <v>228</v>
      </c>
      <c r="C340" s="356">
        <f>SQRT((E338)/(E337))</f>
        <v>0.18222542871462535</v>
      </c>
      <c r="D340" s="356">
        <f>C340*SQRT((F338/E338/2)^2+(F337/E337/2)^2)</f>
        <v>3.5252909634365462E-2</v>
      </c>
      <c r="E340" s="340"/>
      <c r="F340" s="340"/>
      <c r="G340" s="340" t="s">
        <v>29</v>
      </c>
      <c r="H340" s="356">
        <f>SQRT(E338/E337)</f>
        <v>0.18222542871462535</v>
      </c>
      <c r="I340" s="356">
        <f>H340*SQRT((F338/E338/2)^2+(F337/E337/2)^2)</f>
        <v>3.5252909634365462E-2</v>
      </c>
      <c r="J340" s="340"/>
      <c r="K340" s="340"/>
      <c r="L340" s="341"/>
      <c r="M340" s="342"/>
    </row>
    <row r="341" spans="1:13">
      <c r="A341" s="340"/>
      <c r="B341" s="340" t="s">
        <v>189</v>
      </c>
      <c r="C341" s="356">
        <f>ATAN(C340)</f>
        <v>0.18024768651430534</v>
      </c>
      <c r="D341" s="356">
        <f>D340/(1+C340^2)</f>
        <v>3.4119919926870156E-2</v>
      </c>
      <c r="E341" s="357">
        <f>C341/PI()*180</f>
        <v>10.32743170426682</v>
      </c>
      <c r="F341" s="357">
        <f>D341/PI()*180</f>
        <v>1.9549274091339763</v>
      </c>
      <c r="G341" s="340"/>
      <c r="H341" s="340"/>
      <c r="I341" s="358"/>
      <c r="J341" s="340"/>
      <c r="K341" s="340"/>
      <c r="L341" s="340" t="s">
        <v>192</v>
      </c>
      <c r="M341" s="342"/>
    </row>
    <row r="342" spans="1:13">
      <c r="A342" s="340"/>
      <c r="B342" s="340" t="s">
        <v>236</v>
      </c>
      <c r="C342" s="356">
        <f>C341*2</f>
        <v>0.36049537302861068</v>
      </c>
      <c r="D342" s="356">
        <f>D341*2</f>
        <v>6.8239839853740311E-2</v>
      </c>
      <c r="E342" s="357">
        <f>C342/PI()*180</f>
        <v>20.65486340853364</v>
      </c>
      <c r="F342" s="357">
        <f>D342/PI()*180</f>
        <v>3.9098548182679527</v>
      </c>
      <c r="G342" s="340"/>
      <c r="H342" s="340"/>
      <c r="I342" s="358"/>
      <c r="J342" s="340"/>
      <c r="K342" s="340"/>
      <c r="L342" s="340"/>
      <c r="M342" s="342"/>
    </row>
    <row r="343" spans="1:13">
      <c r="A343" s="340"/>
      <c r="B343" s="340" t="s">
        <v>188</v>
      </c>
      <c r="C343" s="354">
        <f>C339*COS(C342)</f>
        <v>120.70816401920945</v>
      </c>
      <c r="D343" s="357">
        <f>SQRT((COS(C342))^2*D339^2+(C339*SIN(C342))^2*D342^2)</f>
        <v>45.764488172112557</v>
      </c>
      <c r="E343" s="354"/>
      <c r="F343" s="340"/>
      <c r="G343" s="340" t="s">
        <v>30</v>
      </c>
      <c r="H343" s="354">
        <f>ABS(H339*(1-H340^2)/(1+H340^2))</f>
        <v>120.70816401920948</v>
      </c>
      <c r="I343" s="354">
        <f>SQRT((1-H340^2/(1+H340^2))^2*I339^2+(4*H339*H340/(1+H340^2)^2)^2*I340^2)</f>
        <v>47.329227202388445</v>
      </c>
      <c r="J343" s="354">
        <f>ABS(I337-I338)</f>
        <v>120.70816401921002</v>
      </c>
      <c r="K343" s="340"/>
      <c r="L343" s="340" t="s">
        <v>233</v>
      </c>
      <c r="M343" s="342"/>
    </row>
    <row r="344" spans="1:13">
      <c r="A344" s="340"/>
      <c r="B344" s="340" t="s">
        <v>187</v>
      </c>
      <c r="C344" s="354">
        <f>C339*SIN(C342)/2</f>
        <v>22.751588620971216</v>
      </c>
      <c r="D344" s="357">
        <f>0.5*SQRT((SIN(C342))^2*D339^2+(C339*COS(C342))^2*D342^2)</f>
        <v>9.5407463464373183</v>
      </c>
      <c r="E344" s="340"/>
      <c r="F344" s="340"/>
      <c r="G344" s="340" t="s">
        <v>31</v>
      </c>
      <c r="H344" s="354">
        <f>H339*(H340)/(1+H340^2)</f>
        <v>22.751588620971212</v>
      </c>
      <c r="I344" s="354">
        <f>SQRT((H340/(1+H340^2))^2*I339^2+((H339-H339*H340^2)/(1+H340^2)^2)^2*I340^2)</f>
        <v>9.5407463464373183</v>
      </c>
      <c r="J344" s="354"/>
      <c r="K344" s="340"/>
      <c r="L344" s="340" t="s">
        <v>234</v>
      </c>
      <c r="M344" s="356"/>
    </row>
    <row r="345" spans="1:13" ht="15.6">
      <c r="A345" s="340"/>
      <c r="B345" s="340" t="s">
        <v>204</v>
      </c>
      <c r="C345" s="359">
        <f>(E338/E337)/(E338/E337+1)</f>
        <v>3.2138899150350939E-2</v>
      </c>
      <c r="D345" s="359">
        <f>F345/(E345+1)^2</f>
        <v>1.2035385766769427E-2</v>
      </c>
      <c r="E345" s="342">
        <f>E338/E337</f>
        <v>3.3206106870229006E-2</v>
      </c>
      <c r="F345" s="342">
        <f>E345*SQRT((F337/E337)^2+(F338/E338)^2)</f>
        <v>1.2847953143120384E-2</v>
      </c>
      <c r="G345" s="340"/>
      <c r="H345" s="340"/>
      <c r="I345" s="340"/>
      <c r="J345" s="340"/>
      <c r="K345" s="340"/>
      <c r="L345" s="340" t="s">
        <v>205</v>
      </c>
      <c r="M345" s="356"/>
    </row>
    <row r="346" spans="1:13">
      <c r="A346" s="340"/>
      <c r="B346" s="340" t="s">
        <v>238</v>
      </c>
      <c r="C346" s="360">
        <f>(C339-C343)/2</f>
        <v>4.1459179903952759</v>
      </c>
      <c r="D346" s="357">
        <f>SQRT(D339^2+D343^2)</f>
        <v>66.898343609206279</v>
      </c>
      <c r="E346" s="340"/>
      <c r="F346" s="340"/>
      <c r="G346" s="340"/>
      <c r="H346" s="340"/>
      <c r="I346" s="340"/>
      <c r="J346" s="340"/>
      <c r="K346" s="340"/>
      <c r="L346" s="340" t="s">
        <v>239</v>
      </c>
      <c r="M346" s="356"/>
    </row>
    <row r="347" spans="1:13">
      <c r="A347" s="340"/>
      <c r="B347" s="340" t="s">
        <v>232</v>
      </c>
      <c r="C347" s="340">
        <f>SQRT(C343^2+4*C344^2)</f>
        <v>129</v>
      </c>
      <c r="D347" s="340"/>
      <c r="E347" s="340"/>
      <c r="F347" s="340"/>
      <c r="G347" s="340"/>
      <c r="H347" s="340"/>
      <c r="I347" s="340"/>
      <c r="J347" s="340"/>
      <c r="K347" s="340"/>
      <c r="L347" s="356"/>
      <c r="M347" s="356"/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source00-22</vt:lpstr>
      <vt:lpstr>source0028</vt:lpstr>
      <vt:lpstr>source003</vt:lpstr>
      <vt:lpstr>source000</vt:lpstr>
      <vt:lpstr>sourceupstream noFET</vt:lpstr>
      <vt:lpstr>logft&amp;BGT</vt:lpstr>
      <vt:lpstr>mixing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Lijie Sun</cp:lastModifiedBy>
  <dcterms:created xsi:type="dcterms:W3CDTF">2018-10-18T14:52:37Z</dcterms:created>
  <dcterms:modified xsi:type="dcterms:W3CDTF">2025-06-03T16:05:30Z</dcterms:modified>
</cp:coreProperties>
</file>