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ropbox (BIWS)\BIWS-All-Courses\10-Fundamentals-2017-2020-Revision\11-More-Adv-MA-Concepts\Case-02-SPWR-MAXN-Spinoff-Case\11-29-Sum-of-the-Parts-Valuation\"/>
    </mc:Choice>
  </mc:AlternateContent>
  <xr:revisionPtr revIDLastSave="0" documentId="13_ncr:1_{BF2C57F0-C9AF-4095-A9C5-07AD0636F1AC}" xr6:coauthVersionLast="46" xr6:coauthVersionMax="46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SPWR" sheetId="20" r:id="rId1"/>
    <sheet name="MAXN" sheetId="26" r:id="rId2"/>
    <sheet name="SPWR_Comps" sheetId="32" r:id="rId3"/>
    <sheet name="SPWR_WACC" sheetId="33" r:id="rId4"/>
    <sheet name="MAXN_Comps" sheetId="24" r:id="rId5"/>
    <sheet name="MAXN_WACC" sheetId="29" r:id="rId6"/>
    <sheet name="SPWR_Adj" sheetId="30" r:id="rId7"/>
    <sheet name="MAXN_Adj" sheetId="31" r:id="rId8"/>
    <sheet name="SPWR_DCF" sheetId="34" r:id="rId9"/>
    <sheet name="MAXN_DCF" sheetId="28" r:id="rId10"/>
    <sheet name="SOTP_Val" sheetId="35" r:id="rId11"/>
  </sheets>
  <externalReferences>
    <externalReference r:id="rId12"/>
  </externalReferences>
  <definedNames>
    <definedName name="CIQWBGuid" hidden="1">"fedf60f8-2cd9-49ba-9fee-91fc372c3a0f"</definedName>
    <definedName name="Close_Date">MAXN_Adj!$E$7</definedName>
    <definedName name="Dissynergies">MAXN_Adj!$E$25</definedName>
    <definedName name="Distr_Ratio">MAXN_Adj!$E$10</definedName>
    <definedName name="Equity_Risk_Premium">MAXN_WACC!$F$7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"08/30/2015 13:55:30"</definedName>
    <definedName name="IQ_QTD" hidden="1">750000</definedName>
    <definedName name="IQ_TODAY" hidden="1">0</definedName>
    <definedName name="IQ_YTDMONTH" hidden="1">130000</definedName>
    <definedName name="Max_Revolver">MAXN_Adj!$K$7</definedName>
    <definedName name="Parent_Basic_Shares">SPWR!$E$14</definedName>
    <definedName name="Parent_Cost_of_Debt">SPWR_WACC!$F$8</definedName>
    <definedName name="Parent_Cost_of_Preferred">SPWR_WACC!$F$9</definedName>
    <definedName name="Parent_Diluted_Shares">SPWR!$E$15</definedName>
    <definedName name="Parent_Discount_Rate">SPWR_DCF!$D$8</definedName>
    <definedName name="Parent_Hist_Year">SPWR!$E$9</definedName>
    <definedName name="Parent_Name">SPWR!$E$7</definedName>
    <definedName name="Parent_Share_Price">SPWR!$E$11</definedName>
    <definedName name="Parent_Tax_Rate">SPWR!$E$12</definedName>
    <definedName name="Parent_Terminal_Growth_Rate">SPWR_DCF!$O$12</definedName>
    <definedName name="Parent_Terminal_Multiple">SPWR_DCF!$J$12</definedName>
    <definedName name="Parent_Ticker">SPWR!$E$8</definedName>
    <definedName name="_xlnm.Print_Area" localSheetId="1">MAXN!$A$1:$L$236</definedName>
    <definedName name="_xlnm.Print_Area" localSheetId="7">MAXN_Adj!$A$1:$O$247</definedName>
    <definedName name="_xlnm.Print_Area" localSheetId="4">MAXN_Comps!$A$1:$W$40</definedName>
    <definedName name="_xlnm.Print_Area" localSheetId="9">MAXN_DCF!$A$1:$V$109</definedName>
    <definedName name="_xlnm.Print_Area" localSheetId="5">MAXN_WACC!$A$1:$M$38</definedName>
    <definedName name="_xlnm.Print_Area" localSheetId="10">SOTP_Val!$A$1:$J$59</definedName>
    <definedName name="_xlnm.Print_Area" localSheetId="0">SPWR!$A$1:$L$278</definedName>
    <definedName name="_xlnm.Print_Area" localSheetId="6">SPWR_Adj!$A$1:$O$233</definedName>
    <definedName name="_xlnm.Print_Area" localSheetId="2">SPWR_Comps!$A$1:$W$32</definedName>
    <definedName name="_xlnm.Print_Area" localSheetId="8">SPWR_DCF!$A$1:$V$108</definedName>
    <definedName name="_xlnm.Print_Area" localSheetId="3">SPWR_WACC!$A$1:$M$38</definedName>
    <definedName name="Pub_Comps_Data" localSheetId="2">SPWR_Comps!$C$8:$U$16</definedName>
    <definedName name="Pub_Comps_Params">[1]Public_Comps_Data!$B$1:$B$102</definedName>
    <definedName name="Pub_Comps_Range">[1]Public_Comps_Data!$B$1:$AF$102</definedName>
    <definedName name="Pub_Comps_Tickers">[1]Public_Comps_Data!$B$1:$AF$1</definedName>
    <definedName name="Risk_Free_Rate">MAXN_WACC!$F$6</definedName>
    <definedName name="Sub_Cost_of_Debt">MAXN_WACC!$F$8</definedName>
    <definedName name="Sub_Cost_of_Preferred">MAXN_WACC!$F$9</definedName>
    <definedName name="Sub_Discount_Rate">MAXN_DCF!$D$8</definedName>
    <definedName name="Sub_Hist_Year">MAXN!$E$9</definedName>
    <definedName name="Sub_Min_Cash">SPWR_Adj!$E$9</definedName>
    <definedName name="Sub_Name">MAXN!$E$7</definedName>
    <definedName name="Sub_New_Share_Price">MAXN_Adj!$E$12</definedName>
    <definedName name="Sub_New_Shares">MAXN_Adj!$E$11</definedName>
    <definedName name="Sub_Tax_Rate">MAXN_Adj!$E$23</definedName>
    <definedName name="Sub_Terminal_Growth_Rate">MAXN_DCF!$O$12</definedName>
    <definedName name="Sub_Terminal_Multiple">MAXN_DCF!$J$12</definedName>
    <definedName name="Sub_Ticker">MAXN!$E$8</definedName>
    <definedName name="Sub_Total_Shares">MAXN_Adj!$E$21</definedName>
    <definedName name="Ticker">[1]WMT_Model!$D$8</definedName>
    <definedName name="Val_Date">MAXN_Adj!$E$8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4" l="1"/>
  <c r="D8" i="28"/>
  <c r="Y49" i="32"/>
  <c r="Y48" i="32"/>
  <c r="Y47" i="32"/>
  <c r="X49" i="32"/>
  <c r="X48" i="32"/>
  <c r="X47" i="32"/>
  <c r="X46" i="32"/>
  <c r="U49" i="32"/>
  <c r="U48" i="32"/>
  <c r="U47" i="32"/>
  <c r="T49" i="32"/>
  <c r="T48" i="32"/>
  <c r="T47" i="32"/>
  <c r="F99" i="28" l="1"/>
  <c r="G99" i="28" s="1"/>
  <c r="H99" i="28" s="1"/>
  <c r="I99" i="28" s="1"/>
  <c r="J99" i="28" s="1"/>
  <c r="K99" i="28" s="1"/>
  <c r="L99" i="28" s="1"/>
  <c r="M99" i="28" s="1"/>
  <c r="D101" i="28"/>
  <c r="D100" i="28"/>
  <c r="D87" i="28"/>
  <c r="D88" i="28" s="1"/>
  <c r="F85" i="28"/>
  <c r="G85" i="28" s="1"/>
  <c r="H85" i="28" s="1"/>
  <c r="I85" i="28" s="1"/>
  <c r="J85" i="28" s="1"/>
  <c r="K85" i="28" s="1"/>
  <c r="L85" i="28" s="1"/>
  <c r="M85" i="28" s="1"/>
  <c r="J36" i="28"/>
  <c r="O36" i="28"/>
  <c r="D89" i="28" l="1"/>
  <c r="D102" i="28"/>
  <c r="D90" i="28" l="1"/>
  <c r="D103" i="28"/>
  <c r="D20" i="28"/>
  <c r="D19" i="28"/>
  <c r="D18" i="28"/>
  <c r="D17" i="28"/>
  <c r="D16" i="28"/>
  <c r="D15" i="28"/>
  <c r="D14" i="28"/>
  <c r="D13" i="28"/>
  <c r="D12" i="28"/>
  <c r="D11" i="28"/>
  <c r="D10" i="28"/>
  <c r="J76" i="28"/>
  <c r="J78" i="28" s="1"/>
  <c r="G51" i="28"/>
  <c r="I62" i="28"/>
  <c r="J62" i="28"/>
  <c r="K62" i="28"/>
  <c r="K63" i="28"/>
  <c r="I65" i="28"/>
  <c r="I66" i="28" s="1"/>
  <c r="J65" i="28"/>
  <c r="J66" i="28" s="1"/>
  <c r="K65" i="28"/>
  <c r="K66" i="28" s="1"/>
  <c r="I68" i="28"/>
  <c r="J68" i="28"/>
  <c r="K68" i="28"/>
  <c r="J69" i="28"/>
  <c r="K69" i="28"/>
  <c r="H68" i="28"/>
  <c r="H69" i="28" s="1"/>
  <c r="H65" i="28"/>
  <c r="H62" i="28"/>
  <c r="H63" i="28" s="1"/>
  <c r="F48" i="28"/>
  <c r="G48" i="28"/>
  <c r="E45" i="28"/>
  <c r="K45" i="28"/>
  <c r="J45" i="28"/>
  <c r="G68" i="28"/>
  <c r="G69" i="28" s="1"/>
  <c r="G65" i="28"/>
  <c r="G66" i="28" s="1"/>
  <c r="G62" i="28"/>
  <c r="G63" i="28" s="1"/>
  <c r="K47" i="28"/>
  <c r="K76" i="28" s="1"/>
  <c r="J47" i="28"/>
  <c r="J51" i="28" s="1"/>
  <c r="I47" i="28"/>
  <c r="I76" i="28" s="1"/>
  <c r="K44" i="28"/>
  <c r="L44" i="28" s="1"/>
  <c r="J44" i="28"/>
  <c r="I44" i="28"/>
  <c r="I45" i="28" s="1"/>
  <c r="H47" i="28"/>
  <c r="H48" i="28" s="1"/>
  <c r="H44" i="28"/>
  <c r="H45" i="28" s="1"/>
  <c r="G50" i="28"/>
  <c r="G47" i="28"/>
  <c r="G76" i="28" s="1"/>
  <c r="G78" i="28" s="1"/>
  <c r="F47" i="28"/>
  <c r="E47" i="28"/>
  <c r="G44" i="28"/>
  <c r="G45" i="28" s="1"/>
  <c r="F44" i="28"/>
  <c r="F45" i="28" s="1"/>
  <c r="E44" i="28"/>
  <c r="E48" i="28" s="1"/>
  <c r="I78" i="28" l="1"/>
  <c r="K77" i="28"/>
  <c r="K78" i="28"/>
  <c r="L62" i="28"/>
  <c r="M44" i="28"/>
  <c r="L65" i="28"/>
  <c r="L47" i="28"/>
  <c r="L68" i="28"/>
  <c r="J29" i="28"/>
  <c r="O29" i="28"/>
  <c r="K48" i="28"/>
  <c r="J30" i="28"/>
  <c r="O30" i="28"/>
  <c r="K51" i="28"/>
  <c r="I69" i="28"/>
  <c r="H76" i="28"/>
  <c r="J48" i="28"/>
  <c r="J63" i="28"/>
  <c r="H51" i="28"/>
  <c r="J31" i="28"/>
  <c r="O31" i="28"/>
  <c r="I48" i="28"/>
  <c r="I63" i="28"/>
  <c r="I51" i="28"/>
  <c r="J24" i="28"/>
  <c r="O24" i="28"/>
  <c r="J32" i="28"/>
  <c r="O32" i="28"/>
  <c r="H66" i="28"/>
  <c r="J25" i="28"/>
  <c r="O25" i="28"/>
  <c r="J33" i="28"/>
  <c r="O33" i="28"/>
  <c r="O26" i="28"/>
  <c r="J26" i="28"/>
  <c r="D21" i="28"/>
  <c r="J77" i="28"/>
  <c r="O27" i="28"/>
  <c r="J27" i="28"/>
  <c r="D91" i="28"/>
  <c r="D104" i="28"/>
  <c r="G77" i="28"/>
  <c r="G52" i="28"/>
  <c r="F99" i="34"/>
  <c r="G99" i="34" s="1"/>
  <c r="H99" i="34" s="1"/>
  <c r="I99" i="34" s="1"/>
  <c r="J99" i="34" s="1"/>
  <c r="K99" i="34" s="1"/>
  <c r="L99" i="34" s="1"/>
  <c r="M99" i="34" s="1"/>
  <c r="D101" i="34"/>
  <c r="D100" i="34"/>
  <c r="D88" i="34"/>
  <c r="D89" i="34" s="1"/>
  <c r="D90" i="34" s="1"/>
  <c r="D91" i="34" s="1"/>
  <c r="D92" i="34" s="1"/>
  <c r="D93" i="34" s="1"/>
  <c r="D94" i="34" s="1"/>
  <c r="D108" i="34" s="1"/>
  <c r="D87" i="34"/>
  <c r="F85" i="34"/>
  <c r="G85" i="34" s="1"/>
  <c r="H85" i="34" s="1"/>
  <c r="I85" i="34" s="1"/>
  <c r="J85" i="34" s="1"/>
  <c r="K85" i="34" s="1"/>
  <c r="L85" i="34" s="1"/>
  <c r="M85" i="34" s="1"/>
  <c r="J36" i="34"/>
  <c r="O36" i="34"/>
  <c r="O33" i="34"/>
  <c r="O32" i="34"/>
  <c r="O27" i="34"/>
  <c r="O26" i="34"/>
  <c r="O25" i="34"/>
  <c r="J33" i="34"/>
  <c r="J27" i="34"/>
  <c r="J26" i="34"/>
  <c r="J25" i="34"/>
  <c r="J24" i="34"/>
  <c r="D20" i="34"/>
  <c r="D19" i="34"/>
  <c r="J32" i="34" s="1"/>
  <c r="D18" i="34"/>
  <c r="O31" i="34" s="1"/>
  <c r="D17" i="34"/>
  <c r="O30" i="34" s="1"/>
  <c r="D16" i="34"/>
  <c r="O29" i="34" s="1"/>
  <c r="D15" i="34"/>
  <c r="D14" i="34"/>
  <c r="D13" i="34"/>
  <c r="D12" i="34"/>
  <c r="D11" i="34"/>
  <c r="O24" i="34" s="1"/>
  <c r="D10" i="34"/>
  <c r="D21" i="34" s="1"/>
  <c r="N66" i="34"/>
  <c r="O66" i="34" s="1"/>
  <c r="M69" i="34"/>
  <c r="N69" i="34" s="1"/>
  <c r="O69" i="34" s="1"/>
  <c r="M66" i="34"/>
  <c r="M63" i="34"/>
  <c r="N63" i="34" s="1"/>
  <c r="I62" i="34"/>
  <c r="I63" i="34" s="1"/>
  <c r="J62" i="34"/>
  <c r="J63" i="34" s="1"/>
  <c r="K62" i="34"/>
  <c r="K63" i="34" s="1"/>
  <c r="I65" i="34"/>
  <c r="J65" i="34"/>
  <c r="K65" i="34"/>
  <c r="I68" i="34"/>
  <c r="I69" i="34" s="1"/>
  <c r="J68" i="34"/>
  <c r="J69" i="34" s="1"/>
  <c r="K68" i="34"/>
  <c r="K69" i="34" s="1"/>
  <c r="K51" i="34"/>
  <c r="J51" i="34"/>
  <c r="G51" i="34"/>
  <c r="G50" i="34"/>
  <c r="G52" i="34" s="1"/>
  <c r="G55" i="34" s="1"/>
  <c r="G57" i="34" s="1"/>
  <c r="G59" i="34" s="1"/>
  <c r="G71" i="34" s="1"/>
  <c r="G72" i="34" s="1"/>
  <c r="N48" i="34"/>
  <c r="O48" i="34" s="1"/>
  <c r="P48" i="34" s="1"/>
  <c r="Q48" i="34" s="1"/>
  <c r="R48" i="34" s="1"/>
  <c r="S48" i="34" s="1"/>
  <c r="T48" i="34" s="1"/>
  <c r="U48" i="34" s="1"/>
  <c r="M48" i="34"/>
  <c r="I44" i="34"/>
  <c r="J44" i="34"/>
  <c r="K44" i="34"/>
  <c r="I47" i="34"/>
  <c r="I48" i="34" s="1"/>
  <c r="J47" i="34"/>
  <c r="K47" i="34"/>
  <c r="G66" i="34"/>
  <c r="G63" i="34"/>
  <c r="F45" i="34"/>
  <c r="E45" i="34"/>
  <c r="H68" i="34"/>
  <c r="H65" i="34"/>
  <c r="H62" i="34"/>
  <c r="G68" i="34"/>
  <c r="G69" i="34" s="1"/>
  <c r="G65" i="34"/>
  <c r="G62" i="34"/>
  <c r="G76" i="34" s="1"/>
  <c r="H47" i="34"/>
  <c r="H51" i="34" s="1"/>
  <c r="H44" i="34"/>
  <c r="H69" i="34" s="1"/>
  <c r="G47" i="34"/>
  <c r="F47" i="34"/>
  <c r="F48" i="34" s="1"/>
  <c r="E47" i="34"/>
  <c r="G44" i="34"/>
  <c r="G48" i="34" s="1"/>
  <c r="F44" i="34"/>
  <c r="E44" i="34"/>
  <c r="E48" i="34" s="1"/>
  <c r="G53" i="28" l="1"/>
  <c r="H50" i="28" s="1"/>
  <c r="G55" i="28"/>
  <c r="G57" i="28" s="1"/>
  <c r="G59" i="28" s="1"/>
  <c r="G71" i="28" s="1"/>
  <c r="L76" i="28"/>
  <c r="L51" i="28"/>
  <c r="N44" i="28"/>
  <c r="M47" i="28"/>
  <c r="M68" i="28"/>
  <c r="M65" i="28"/>
  <c r="M62" i="28"/>
  <c r="D92" i="28"/>
  <c r="D105" i="28"/>
  <c r="H78" i="28"/>
  <c r="H77" i="28"/>
  <c r="I77" i="28"/>
  <c r="O63" i="34"/>
  <c r="G78" i="34"/>
  <c r="G77" i="34"/>
  <c r="G45" i="34"/>
  <c r="H66" i="34"/>
  <c r="I45" i="34"/>
  <c r="I66" i="34"/>
  <c r="D102" i="34"/>
  <c r="K76" i="34"/>
  <c r="D107" i="34"/>
  <c r="K45" i="34"/>
  <c r="K66" i="34"/>
  <c r="J29" i="34"/>
  <c r="D103" i="34"/>
  <c r="H63" i="34"/>
  <c r="H45" i="34"/>
  <c r="H48" i="34"/>
  <c r="J66" i="34"/>
  <c r="H76" i="34"/>
  <c r="J30" i="34"/>
  <c r="D104" i="34"/>
  <c r="I76" i="34"/>
  <c r="J31" i="34"/>
  <c r="D105" i="34"/>
  <c r="L44" i="34"/>
  <c r="K48" i="34"/>
  <c r="J48" i="34"/>
  <c r="I51" i="34"/>
  <c r="J76" i="34"/>
  <c r="J77" i="34" s="1"/>
  <c r="D106" i="34"/>
  <c r="P63" i="34"/>
  <c r="P66" i="34"/>
  <c r="P69" i="34"/>
  <c r="G53" i="34"/>
  <c r="H50" i="34" s="1"/>
  <c r="H52" i="34" s="1"/>
  <c r="H55" i="34" s="1"/>
  <c r="H57" i="34" s="1"/>
  <c r="H59" i="34" s="1"/>
  <c r="H71" i="34" s="1"/>
  <c r="J45" i="34"/>
  <c r="Q39" i="24"/>
  <c r="P39" i="24"/>
  <c r="O39" i="24"/>
  <c r="N39" i="24"/>
  <c r="M39" i="24"/>
  <c r="L39" i="24"/>
  <c r="V21" i="24"/>
  <c r="U21" i="24"/>
  <c r="T21" i="24"/>
  <c r="S21" i="24"/>
  <c r="R21" i="24"/>
  <c r="Q21" i="24"/>
  <c r="P21" i="24"/>
  <c r="O21" i="24"/>
  <c r="N21" i="24"/>
  <c r="M21" i="24"/>
  <c r="L21" i="24"/>
  <c r="K39" i="24"/>
  <c r="F39" i="24"/>
  <c r="K21" i="24"/>
  <c r="J21" i="24"/>
  <c r="I21" i="24"/>
  <c r="H21" i="24"/>
  <c r="G21" i="24"/>
  <c r="F21" i="24"/>
  <c r="E21" i="24"/>
  <c r="D21" i="24"/>
  <c r="Q31" i="32"/>
  <c r="P31" i="32"/>
  <c r="O31" i="32"/>
  <c r="N31" i="32"/>
  <c r="M31" i="32"/>
  <c r="L31" i="32"/>
  <c r="V17" i="32"/>
  <c r="U17" i="32"/>
  <c r="T17" i="32"/>
  <c r="S17" i="32"/>
  <c r="R17" i="32"/>
  <c r="Q17" i="32"/>
  <c r="P17" i="32"/>
  <c r="O17" i="32"/>
  <c r="N17" i="32"/>
  <c r="M17" i="32"/>
  <c r="L17" i="32"/>
  <c r="K31" i="32"/>
  <c r="F31" i="32"/>
  <c r="K17" i="32"/>
  <c r="J17" i="32"/>
  <c r="I17" i="32"/>
  <c r="H17" i="32"/>
  <c r="G17" i="32"/>
  <c r="F17" i="32"/>
  <c r="C31" i="32"/>
  <c r="B31" i="32"/>
  <c r="G72" i="28" l="1"/>
  <c r="H52" i="28"/>
  <c r="H55" i="28" s="1"/>
  <c r="D93" i="28"/>
  <c r="D106" i="28"/>
  <c r="L78" i="28"/>
  <c r="L77" i="28"/>
  <c r="M51" i="28"/>
  <c r="M76" i="28"/>
  <c r="O44" i="28"/>
  <c r="N47" i="28"/>
  <c r="N68" i="28"/>
  <c r="N65" i="28"/>
  <c r="N62" i="28"/>
  <c r="H72" i="34"/>
  <c r="I78" i="34"/>
  <c r="I77" i="34"/>
  <c r="K77" i="34"/>
  <c r="J78" i="34"/>
  <c r="H78" i="34"/>
  <c r="H77" i="34"/>
  <c r="H53" i="34"/>
  <c r="I50" i="34" s="1"/>
  <c r="M44" i="34"/>
  <c r="L65" i="34"/>
  <c r="L68" i="34"/>
  <c r="L62" i="34"/>
  <c r="L47" i="34"/>
  <c r="K78" i="34"/>
  <c r="Q69" i="34"/>
  <c r="Q66" i="34"/>
  <c r="Q63" i="34"/>
  <c r="K17" i="30"/>
  <c r="H57" i="28" l="1"/>
  <c r="H59" i="28" s="1"/>
  <c r="H71" i="28" s="1"/>
  <c r="M78" i="28"/>
  <c r="M77" i="28"/>
  <c r="N76" i="28"/>
  <c r="N51" i="28"/>
  <c r="D94" i="28"/>
  <c r="D108" i="28" s="1"/>
  <c r="D107" i="28"/>
  <c r="P44" i="28"/>
  <c r="O47" i="28"/>
  <c r="O68" i="28"/>
  <c r="O65" i="28"/>
  <c r="O62" i="28"/>
  <c r="H53" i="28"/>
  <c r="I50" i="28" s="1"/>
  <c r="L51" i="34"/>
  <c r="L76" i="34"/>
  <c r="M65" i="34"/>
  <c r="N44" i="34"/>
  <c r="M47" i="34"/>
  <c r="M62" i="34"/>
  <c r="M68" i="34"/>
  <c r="I52" i="34"/>
  <c r="I55" i="34" s="1"/>
  <c r="I57" i="34" s="1"/>
  <c r="I59" i="34" s="1"/>
  <c r="I71" i="34" s="1"/>
  <c r="R63" i="34"/>
  <c r="R66" i="34"/>
  <c r="R69" i="34"/>
  <c r="L112" i="31"/>
  <c r="M112" i="31" s="1"/>
  <c r="N112" i="31" s="1"/>
  <c r="L111" i="31"/>
  <c r="L113" i="31" s="1"/>
  <c r="L115" i="31" s="1"/>
  <c r="L117" i="31" s="1"/>
  <c r="K115" i="31"/>
  <c r="K117" i="31" s="1"/>
  <c r="K113" i="31"/>
  <c r="K112" i="31"/>
  <c r="K111" i="31"/>
  <c r="N109" i="31"/>
  <c r="M109" i="31"/>
  <c r="L109" i="31"/>
  <c r="K109" i="31"/>
  <c r="L106" i="31"/>
  <c r="L107" i="31" s="1"/>
  <c r="M105" i="31"/>
  <c r="L105" i="31"/>
  <c r="K107" i="31"/>
  <c r="K106" i="31"/>
  <c r="K105" i="31"/>
  <c r="L100" i="31"/>
  <c r="M100" i="31" s="1"/>
  <c r="N100" i="31" s="1"/>
  <c r="M99" i="31"/>
  <c r="N99" i="31" s="1"/>
  <c r="L99" i="31"/>
  <c r="L101" i="31" s="1"/>
  <c r="K101" i="31"/>
  <c r="K100" i="31"/>
  <c r="K99" i="31"/>
  <c r="L92" i="31"/>
  <c r="M92" i="31" s="1"/>
  <c r="N92" i="31" s="1"/>
  <c r="L91" i="31"/>
  <c r="M91" i="31" s="1"/>
  <c r="N91" i="31" s="1"/>
  <c r="N90" i="31"/>
  <c r="M90" i="31"/>
  <c r="L90" i="31"/>
  <c r="L89" i="31"/>
  <c r="M89" i="31" s="1"/>
  <c r="N89" i="31" s="1"/>
  <c r="L88" i="31"/>
  <c r="M88" i="31" s="1"/>
  <c r="M84" i="31"/>
  <c r="N84" i="31" s="1"/>
  <c r="L84" i="31"/>
  <c r="M83" i="31"/>
  <c r="N83" i="31" s="1"/>
  <c r="L83" i="31"/>
  <c r="L82" i="31"/>
  <c r="L85" i="31" s="1"/>
  <c r="N81" i="31"/>
  <c r="M81" i="31"/>
  <c r="L81" i="31"/>
  <c r="K95" i="31"/>
  <c r="K93" i="31"/>
  <c r="K92" i="31"/>
  <c r="K91" i="31"/>
  <c r="K90" i="31"/>
  <c r="K89" i="31"/>
  <c r="K88" i="31"/>
  <c r="K85" i="31"/>
  <c r="K84" i="31"/>
  <c r="K83" i="31"/>
  <c r="K82" i="31"/>
  <c r="K81" i="31"/>
  <c r="L123" i="30"/>
  <c r="L122" i="30"/>
  <c r="M122" i="30" s="1"/>
  <c r="N122" i="30" s="1"/>
  <c r="L121" i="30"/>
  <c r="M121" i="30" s="1"/>
  <c r="L116" i="30"/>
  <c r="M116" i="30" s="1"/>
  <c r="N116" i="30" s="1"/>
  <c r="M115" i="30"/>
  <c r="N115" i="30" s="1"/>
  <c r="L115" i="30"/>
  <c r="L114" i="30"/>
  <c r="L117" i="30" s="1"/>
  <c r="L119" i="30" s="1"/>
  <c r="L125" i="30" s="1"/>
  <c r="L127" i="30" s="1"/>
  <c r="L111" i="30"/>
  <c r="L110" i="30"/>
  <c r="M110" i="30" s="1"/>
  <c r="N110" i="30" s="1"/>
  <c r="L109" i="30"/>
  <c r="M109" i="30" s="1"/>
  <c r="K123" i="30"/>
  <c r="K122" i="30"/>
  <c r="K121" i="30"/>
  <c r="K117" i="30"/>
  <c r="K116" i="30"/>
  <c r="K115" i="30"/>
  <c r="K114" i="30"/>
  <c r="K111" i="30"/>
  <c r="K119" i="30" s="1"/>
  <c r="K125" i="30" s="1"/>
  <c r="K127" i="30" s="1"/>
  <c r="K110" i="30"/>
  <c r="K109" i="30"/>
  <c r="L102" i="30"/>
  <c r="M102" i="30" s="1"/>
  <c r="N102" i="30" s="1"/>
  <c r="L101" i="30"/>
  <c r="M101" i="30" s="1"/>
  <c r="N101" i="30" s="1"/>
  <c r="L100" i="30"/>
  <c r="M100" i="30" s="1"/>
  <c r="N100" i="30" s="1"/>
  <c r="L99" i="30"/>
  <c r="M99" i="30" s="1"/>
  <c r="N99" i="30" s="1"/>
  <c r="L98" i="30"/>
  <c r="M98" i="30" s="1"/>
  <c r="M94" i="30"/>
  <c r="N94" i="30" s="1"/>
  <c r="L94" i="30"/>
  <c r="L93" i="30"/>
  <c r="M93" i="30" s="1"/>
  <c r="N93" i="30" s="1"/>
  <c r="L92" i="30"/>
  <c r="L95" i="30" s="1"/>
  <c r="N91" i="30"/>
  <c r="M91" i="30"/>
  <c r="L91" i="30"/>
  <c r="K103" i="30"/>
  <c r="K105" i="30" s="1"/>
  <c r="K102" i="30"/>
  <c r="K101" i="30"/>
  <c r="K100" i="30"/>
  <c r="K99" i="30"/>
  <c r="K98" i="30"/>
  <c r="K95" i="30"/>
  <c r="K94" i="30"/>
  <c r="K93" i="30"/>
  <c r="K92" i="30"/>
  <c r="K91" i="30"/>
  <c r="H72" i="28" l="1"/>
  <c r="I52" i="28"/>
  <c r="I55" i="28" s="1"/>
  <c r="N78" i="28"/>
  <c r="N77" i="28"/>
  <c r="O76" i="28"/>
  <c r="O51" i="28"/>
  <c r="Q44" i="28"/>
  <c r="P62" i="28"/>
  <c r="P47" i="28"/>
  <c r="P65" i="28"/>
  <c r="P68" i="28"/>
  <c r="M51" i="34"/>
  <c r="M76" i="34"/>
  <c r="O44" i="34"/>
  <c r="N47" i="34"/>
  <c r="N65" i="34"/>
  <c r="N62" i="34"/>
  <c r="N68" i="34"/>
  <c r="L78" i="34"/>
  <c r="L77" i="34"/>
  <c r="I72" i="34"/>
  <c r="I53" i="34"/>
  <c r="J50" i="34" s="1"/>
  <c r="S66" i="34"/>
  <c r="S63" i="34"/>
  <c r="S69" i="34"/>
  <c r="M111" i="31"/>
  <c r="M106" i="31"/>
  <c r="N106" i="31" s="1"/>
  <c r="N105" i="31"/>
  <c r="N101" i="31"/>
  <c r="M101" i="31"/>
  <c r="N88" i="31"/>
  <c r="N93" i="31" s="1"/>
  <c r="M93" i="31"/>
  <c r="M82" i="31"/>
  <c r="L93" i="31"/>
  <c r="L95" i="31" s="1"/>
  <c r="N121" i="30"/>
  <c r="N123" i="30" s="1"/>
  <c r="M123" i="30"/>
  <c r="M111" i="30"/>
  <c r="N109" i="30"/>
  <c r="N111" i="30" s="1"/>
  <c r="M114" i="30"/>
  <c r="N98" i="30"/>
  <c r="N103" i="30" s="1"/>
  <c r="M103" i="30"/>
  <c r="M92" i="30"/>
  <c r="L103" i="30"/>
  <c r="L105" i="30" s="1"/>
  <c r="O77" i="28" l="1"/>
  <c r="O78" i="28"/>
  <c r="I57" i="28"/>
  <c r="I59" i="28" s="1"/>
  <c r="I71" i="28" s="1"/>
  <c r="P76" i="28"/>
  <c r="P51" i="28"/>
  <c r="I53" i="28"/>
  <c r="J50" i="28" s="1"/>
  <c r="R44" i="28"/>
  <c r="Q65" i="28"/>
  <c r="Q62" i="28"/>
  <c r="Q47" i="28"/>
  <c r="Q68" i="28"/>
  <c r="P44" i="34"/>
  <c r="O68" i="34"/>
  <c r="O62" i="34"/>
  <c r="O65" i="34"/>
  <c r="O47" i="34"/>
  <c r="N51" i="34"/>
  <c r="N76" i="34"/>
  <c r="M78" i="34"/>
  <c r="M77" i="34"/>
  <c r="J52" i="34"/>
  <c r="J55" i="34" s="1"/>
  <c r="J57" i="34" s="1"/>
  <c r="J59" i="34" s="1"/>
  <c r="J71" i="34" s="1"/>
  <c r="J53" i="34"/>
  <c r="K50" i="34" s="1"/>
  <c r="T69" i="34"/>
  <c r="T63" i="34"/>
  <c r="T66" i="34"/>
  <c r="M113" i="31"/>
  <c r="M115" i="31" s="1"/>
  <c r="M117" i="31" s="1"/>
  <c r="N111" i="31"/>
  <c r="N113" i="31" s="1"/>
  <c r="N115" i="31" s="1"/>
  <c r="N117" i="31" s="1"/>
  <c r="N107" i="31"/>
  <c r="M107" i="31"/>
  <c r="M85" i="31"/>
  <c r="M95" i="31" s="1"/>
  <c r="N82" i="31"/>
  <c r="N85" i="31" s="1"/>
  <c r="N95" i="31" s="1"/>
  <c r="M117" i="30"/>
  <c r="M119" i="30" s="1"/>
  <c r="M125" i="30" s="1"/>
  <c r="M127" i="30" s="1"/>
  <c r="N114" i="30"/>
  <c r="N117" i="30" s="1"/>
  <c r="N119" i="30"/>
  <c r="N125" i="30" s="1"/>
  <c r="N127" i="30" s="1"/>
  <c r="N92" i="30"/>
  <c r="N95" i="30" s="1"/>
  <c r="N105" i="30" s="1"/>
  <c r="M95" i="30"/>
  <c r="M105" i="30" s="1"/>
  <c r="I72" i="28" l="1"/>
  <c r="J52" i="28"/>
  <c r="J55" i="28" s="1"/>
  <c r="J53" i="28"/>
  <c r="K50" i="28" s="1"/>
  <c r="K52" i="28" s="1"/>
  <c r="P78" i="28"/>
  <c r="P77" i="28"/>
  <c r="Q76" i="28"/>
  <c r="Q51" i="28"/>
  <c r="S44" i="28"/>
  <c r="R68" i="28"/>
  <c r="R65" i="28"/>
  <c r="R62" i="28"/>
  <c r="R47" i="28"/>
  <c r="N78" i="34"/>
  <c r="N77" i="34"/>
  <c r="O51" i="34"/>
  <c r="O76" i="34"/>
  <c r="K52" i="34"/>
  <c r="K55" i="34" s="1"/>
  <c r="K57" i="34" s="1"/>
  <c r="K59" i="34" s="1"/>
  <c r="K71" i="34" s="1"/>
  <c r="K53" i="34"/>
  <c r="L50" i="34" s="1"/>
  <c r="L52" i="34" s="1"/>
  <c r="L55" i="34" s="1"/>
  <c r="L57" i="34" s="1"/>
  <c r="L59" i="34" s="1"/>
  <c r="L71" i="34" s="1"/>
  <c r="J72" i="34"/>
  <c r="Q44" i="34"/>
  <c r="P47" i="34"/>
  <c r="P68" i="34"/>
  <c r="P65" i="34"/>
  <c r="P62" i="34"/>
  <c r="U66" i="34"/>
  <c r="U63" i="34"/>
  <c r="U69" i="34"/>
  <c r="N146" i="30"/>
  <c r="M146" i="30"/>
  <c r="L146" i="30"/>
  <c r="K146" i="30"/>
  <c r="N203" i="30"/>
  <c r="M203" i="30"/>
  <c r="L203" i="30"/>
  <c r="K203" i="30"/>
  <c r="N201" i="30"/>
  <c r="M201" i="30"/>
  <c r="L201" i="30"/>
  <c r="K201" i="30"/>
  <c r="N195" i="30"/>
  <c r="M195" i="30"/>
  <c r="L195" i="30"/>
  <c r="K195" i="30"/>
  <c r="K194" i="30"/>
  <c r="K196" i="30" s="1"/>
  <c r="K199" i="30" s="1"/>
  <c r="M192" i="30"/>
  <c r="N191" i="30"/>
  <c r="M191" i="30"/>
  <c r="L191" i="30"/>
  <c r="N190" i="30"/>
  <c r="M190" i="30"/>
  <c r="L190" i="30"/>
  <c r="N189" i="30"/>
  <c r="N192" i="30" s="1"/>
  <c r="M189" i="30"/>
  <c r="L189" i="30"/>
  <c r="N188" i="30"/>
  <c r="M188" i="30"/>
  <c r="L188" i="30"/>
  <c r="N187" i="30"/>
  <c r="M187" i="30"/>
  <c r="L187" i="30"/>
  <c r="L192" i="30" s="1"/>
  <c r="K192" i="30"/>
  <c r="K191" i="30"/>
  <c r="K190" i="30"/>
  <c r="K189" i="30"/>
  <c r="N203" i="31"/>
  <c r="M203" i="31"/>
  <c r="L203" i="31"/>
  <c r="K203" i="31"/>
  <c r="N202" i="31"/>
  <c r="M202" i="31"/>
  <c r="L202" i="31"/>
  <c r="K202" i="31"/>
  <c r="K188" i="30"/>
  <c r="K187" i="30"/>
  <c r="J197" i="30"/>
  <c r="I197" i="30"/>
  <c r="K208" i="31"/>
  <c r="J211" i="31"/>
  <c r="G211" i="31"/>
  <c r="N204" i="31"/>
  <c r="M204" i="31"/>
  <c r="L204" i="31"/>
  <c r="K204" i="31"/>
  <c r="R76" i="28" l="1"/>
  <c r="R51" i="28"/>
  <c r="J57" i="28"/>
  <c r="J59" i="28" s="1"/>
  <c r="J71" i="28" s="1"/>
  <c r="Q77" i="28"/>
  <c r="Q78" i="28"/>
  <c r="K53" i="28"/>
  <c r="L50" i="28" s="1"/>
  <c r="L52" i="28" s="1"/>
  <c r="K55" i="28"/>
  <c r="T44" i="28"/>
  <c r="S68" i="28"/>
  <c r="S65" i="28"/>
  <c r="S62" i="28"/>
  <c r="S47" i="28"/>
  <c r="L53" i="34"/>
  <c r="M50" i="34" s="1"/>
  <c r="K72" i="34"/>
  <c r="P51" i="34"/>
  <c r="P76" i="34"/>
  <c r="L72" i="34"/>
  <c r="O78" i="34"/>
  <c r="O77" i="34"/>
  <c r="R44" i="34"/>
  <c r="Q47" i="34"/>
  <c r="Q62" i="34"/>
  <c r="Q68" i="34"/>
  <c r="Q65" i="34"/>
  <c r="M52" i="34"/>
  <c r="M55" i="34" s="1"/>
  <c r="M57" i="34" s="1"/>
  <c r="M59" i="34" s="1"/>
  <c r="M71" i="34" s="1"/>
  <c r="K197" i="30"/>
  <c r="L194" i="30" s="1"/>
  <c r="J72" i="28" l="1"/>
  <c r="L53" i="28"/>
  <c r="M50" i="28" s="1"/>
  <c r="M52" i="28" s="1"/>
  <c r="L55" i="28"/>
  <c r="S76" i="28"/>
  <c r="S51" i="28"/>
  <c r="U44" i="28"/>
  <c r="T68" i="28"/>
  <c r="T65" i="28"/>
  <c r="T62" i="28"/>
  <c r="T47" i="28"/>
  <c r="K57" i="28"/>
  <c r="K59" i="28" s="1"/>
  <c r="K71" i="28" s="1"/>
  <c r="R77" i="28"/>
  <c r="R78" i="28"/>
  <c r="Q51" i="34"/>
  <c r="Q76" i="34"/>
  <c r="M72" i="34"/>
  <c r="P78" i="34"/>
  <c r="P77" i="34"/>
  <c r="S44" i="34"/>
  <c r="R47" i="34"/>
  <c r="R68" i="34"/>
  <c r="R65" i="34"/>
  <c r="R62" i="34"/>
  <c r="M53" i="34"/>
  <c r="N50" i="34" s="1"/>
  <c r="L196" i="30"/>
  <c r="L199" i="30" s="1"/>
  <c r="K72" i="28" l="1"/>
  <c r="U47" i="28"/>
  <c r="U68" i="28"/>
  <c r="U65" i="28"/>
  <c r="U62" i="28"/>
  <c r="T51" i="28"/>
  <c r="T76" i="28"/>
  <c r="S77" i="28"/>
  <c r="S78" i="28"/>
  <c r="L57" i="28"/>
  <c r="L59" i="28" s="1"/>
  <c r="L71" i="28" s="1"/>
  <c r="M53" i="28"/>
  <c r="N50" i="28" s="1"/>
  <c r="M55" i="28"/>
  <c r="M57" i="28" s="1"/>
  <c r="M59" i="28" s="1"/>
  <c r="M71" i="28" s="1"/>
  <c r="T44" i="34"/>
  <c r="S47" i="34"/>
  <c r="S65" i="34"/>
  <c r="S62" i="34"/>
  <c r="S68" i="34"/>
  <c r="R76" i="34"/>
  <c r="R51" i="34"/>
  <c r="Q77" i="34"/>
  <c r="Q78" i="34"/>
  <c r="N52" i="34"/>
  <c r="N55" i="34" s="1"/>
  <c r="N57" i="34" s="1"/>
  <c r="N59" i="34" s="1"/>
  <c r="N71" i="34" s="1"/>
  <c r="N53" i="34"/>
  <c r="O50" i="34" s="1"/>
  <c r="L197" i="30"/>
  <c r="M194" i="30" s="1"/>
  <c r="L72" i="28" l="1"/>
  <c r="N52" i="28"/>
  <c r="N55" i="28" s="1"/>
  <c r="N57" i="28" s="1"/>
  <c r="N59" i="28" s="1"/>
  <c r="N71" i="28" s="1"/>
  <c r="N72" i="28" s="1"/>
  <c r="M72" i="28"/>
  <c r="U51" i="28"/>
  <c r="U76" i="28"/>
  <c r="T78" i="28"/>
  <c r="T77" i="28"/>
  <c r="R77" i="34"/>
  <c r="R78" i="34"/>
  <c r="N72" i="34"/>
  <c r="S76" i="34"/>
  <c r="S51" i="34"/>
  <c r="U44" i="34"/>
  <c r="T47" i="34"/>
  <c r="T65" i="34"/>
  <c r="T62" i="34"/>
  <c r="T68" i="34"/>
  <c r="O52" i="34"/>
  <c r="O55" i="34" s="1"/>
  <c r="O57" i="34" s="1"/>
  <c r="O59" i="34" s="1"/>
  <c r="O71" i="34" s="1"/>
  <c r="M196" i="30"/>
  <c r="M199" i="30" s="1"/>
  <c r="N53" i="28" l="1"/>
  <c r="O50" i="28" s="1"/>
  <c r="O52" i="28" s="1"/>
  <c r="U78" i="28"/>
  <c r="J14" i="28"/>
  <c r="U77" i="28"/>
  <c r="U47" i="34"/>
  <c r="U65" i="34"/>
  <c r="U68" i="34"/>
  <c r="U62" i="34"/>
  <c r="S77" i="34"/>
  <c r="S78" i="34"/>
  <c r="O72" i="34"/>
  <c r="T51" i="34"/>
  <c r="T76" i="34"/>
  <c r="O53" i="34"/>
  <c r="P50" i="34" s="1"/>
  <c r="M197" i="30"/>
  <c r="N194" i="30" s="1"/>
  <c r="O53" i="28" l="1"/>
  <c r="P50" i="28" s="1"/>
  <c r="O55" i="28"/>
  <c r="O57" i="28" s="1"/>
  <c r="O59" i="28" s="1"/>
  <c r="O71" i="28" s="1"/>
  <c r="T78" i="34"/>
  <c r="T77" i="34"/>
  <c r="U76" i="34"/>
  <c r="U51" i="34"/>
  <c r="P52" i="34"/>
  <c r="P55" i="34" s="1"/>
  <c r="P57" i="34" s="1"/>
  <c r="P59" i="34" s="1"/>
  <c r="P71" i="34" s="1"/>
  <c r="N196" i="30"/>
  <c r="N199" i="30" s="1"/>
  <c r="O72" i="28" l="1"/>
  <c r="P52" i="28"/>
  <c r="P55" i="28" s="1"/>
  <c r="P53" i="28"/>
  <c r="Q50" i="28" s="1"/>
  <c r="P72" i="34"/>
  <c r="U78" i="34"/>
  <c r="U77" i="34"/>
  <c r="J14" i="34"/>
  <c r="P53" i="34"/>
  <c r="Q50" i="34" s="1"/>
  <c r="N197" i="30"/>
  <c r="Q52" i="28" l="1"/>
  <c r="Q55" i="28" s="1"/>
  <c r="Q53" i="28"/>
  <c r="R50" i="28" s="1"/>
  <c r="P57" i="28"/>
  <c r="P59" i="28" s="1"/>
  <c r="P71" i="28" s="1"/>
  <c r="Q52" i="34"/>
  <c r="Q55" i="34" s="1"/>
  <c r="Q57" i="34" s="1"/>
  <c r="Q59" i="34" s="1"/>
  <c r="Q71" i="34" s="1"/>
  <c r="J191" i="31"/>
  <c r="K193" i="31" s="1"/>
  <c r="J183" i="31"/>
  <c r="K186" i="31" s="1"/>
  <c r="N176" i="31"/>
  <c r="M176" i="31"/>
  <c r="L176" i="31"/>
  <c r="K176" i="31"/>
  <c r="P72" i="28" l="1"/>
  <c r="R52" i="28"/>
  <c r="R55" i="28" s="1"/>
  <c r="Q57" i="28"/>
  <c r="Q59" i="28" s="1"/>
  <c r="Q71" i="28" s="1"/>
  <c r="Q72" i="34"/>
  <c r="Q53" i="34"/>
  <c r="R50" i="34" s="1"/>
  <c r="R52" i="34" s="1"/>
  <c r="K191" i="31"/>
  <c r="J184" i="31"/>
  <c r="K187" i="31" s="1"/>
  <c r="N56" i="31"/>
  <c r="M56" i="31"/>
  <c r="L56" i="31"/>
  <c r="K56" i="31"/>
  <c r="Q72" i="28" l="1"/>
  <c r="R57" i="28"/>
  <c r="R59" i="28" s="1"/>
  <c r="R71" i="28" s="1"/>
  <c r="R53" i="28"/>
  <c r="S50" i="28" s="1"/>
  <c r="R55" i="34"/>
  <c r="R57" i="34" s="1"/>
  <c r="R59" i="34" s="1"/>
  <c r="R71" i="34" s="1"/>
  <c r="R53" i="34"/>
  <c r="S50" i="34" s="1"/>
  <c r="S52" i="34"/>
  <c r="S55" i="34" s="1"/>
  <c r="S57" i="34" s="1"/>
  <c r="S59" i="34" s="1"/>
  <c r="S71" i="34" s="1"/>
  <c r="S53" i="34"/>
  <c r="T50" i="34" s="1"/>
  <c r="L193" i="31"/>
  <c r="L191" i="31"/>
  <c r="N59" i="30"/>
  <c r="M59" i="30"/>
  <c r="L59" i="30"/>
  <c r="K59" i="30"/>
  <c r="N52" i="30"/>
  <c r="M52" i="30"/>
  <c r="L52" i="30"/>
  <c r="L57" i="31" s="1"/>
  <c r="L128" i="31" s="1"/>
  <c r="L205" i="31" s="1"/>
  <c r="N50" i="30"/>
  <c r="N55" i="31" s="1"/>
  <c r="M50" i="30"/>
  <c r="M55" i="31" s="1"/>
  <c r="L50" i="30"/>
  <c r="L55" i="31" s="1"/>
  <c r="K52" i="30"/>
  <c r="K57" i="31" s="1"/>
  <c r="K128" i="31" s="1"/>
  <c r="K205" i="31" s="1"/>
  <c r="M51" i="30"/>
  <c r="N51" i="30" s="1"/>
  <c r="K51" i="30"/>
  <c r="K50" i="30"/>
  <c r="K55" i="31" s="1"/>
  <c r="R72" i="28" l="1"/>
  <c r="S52" i="28"/>
  <c r="S55" i="28" s="1"/>
  <c r="S72" i="34"/>
  <c r="R72" i="34"/>
  <c r="T52" i="34"/>
  <c r="T55" i="34" s="1"/>
  <c r="T57" i="34" s="1"/>
  <c r="T59" i="34" s="1"/>
  <c r="T71" i="34" s="1"/>
  <c r="T53" i="34"/>
  <c r="U50" i="34" s="1"/>
  <c r="M191" i="31"/>
  <c r="M193" i="31"/>
  <c r="M145" i="30"/>
  <c r="M65" i="31"/>
  <c r="M131" i="31" s="1"/>
  <c r="K142" i="30"/>
  <c r="N142" i="30"/>
  <c r="N57" i="31"/>
  <c r="N128" i="31" s="1"/>
  <c r="N205" i="31" s="1"/>
  <c r="L145" i="30"/>
  <c r="L65" i="31"/>
  <c r="L131" i="31" s="1"/>
  <c r="N145" i="30"/>
  <c r="N65" i="31"/>
  <c r="N131" i="31" s="1"/>
  <c r="L142" i="30"/>
  <c r="M142" i="30"/>
  <c r="M57" i="31"/>
  <c r="M128" i="31" s="1"/>
  <c r="M205" i="31" s="1"/>
  <c r="K145" i="30"/>
  <c r="K65" i="31"/>
  <c r="K131" i="31" s="1"/>
  <c r="K36" i="31"/>
  <c r="K39" i="31"/>
  <c r="E33" i="30"/>
  <c r="E32" i="30"/>
  <c r="K27" i="30"/>
  <c r="K25" i="30"/>
  <c r="K24" i="30"/>
  <c r="K21" i="30"/>
  <c r="K19" i="30"/>
  <c r="S57" i="28" l="1"/>
  <c r="S59" i="28" s="1"/>
  <c r="S71" i="28" s="1"/>
  <c r="S53" i="28"/>
  <c r="T50" i="28" s="1"/>
  <c r="T72" i="34"/>
  <c r="U52" i="34"/>
  <c r="U55" i="34" s="1"/>
  <c r="U57" i="34" s="1"/>
  <c r="U59" i="34" s="1"/>
  <c r="U71" i="34" s="1"/>
  <c r="N191" i="31"/>
  <c r="N193" i="31"/>
  <c r="I109" i="30"/>
  <c r="H99" i="31" s="1"/>
  <c r="I116" i="30"/>
  <c r="H106" i="31" s="1"/>
  <c r="H100" i="30"/>
  <c r="I90" i="31" s="1"/>
  <c r="H99" i="30"/>
  <c r="I89" i="31" s="1"/>
  <c r="H98" i="30"/>
  <c r="I88" i="31" s="1"/>
  <c r="H94" i="30"/>
  <c r="I84" i="31" s="1"/>
  <c r="S72" i="28" l="1"/>
  <c r="T52" i="28"/>
  <c r="T55" i="28" s="1"/>
  <c r="T57" i="28" s="1"/>
  <c r="T59" i="28" s="1"/>
  <c r="T71" i="28" s="1"/>
  <c r="U72" i="34"/>
  <c r="U53" i="34"/>
  <c r="E38" i="31"/>
  <c r="E37" i="31"/>
  <c r="E36" i="31"/>
  <c r="E35" i="31"/>
  <c r="E34" i="31"/>
  <c r="K25" i="31"/>
  <c r="K14" i="31"/>
  <c r="T72" i="28" l="1"/>
  <c r="T53" i="28"/>
  <c r="U50" i="28" s="1"/>
  <c r="U52" i="28" s="1"/>
  <c r="I104" i="31"/>
  <c r="G239" i="20"/>
  <c r="G238" i="20"/>
  <c r="K100" i="20"/>
  <c r="K102" i="20" s="1"/>
  <c r="K239" i="20" s="1"/>
  <c r="J100" i="20"/>
  <c r="J102" i="20" s="1"/>
  <c r="J239" i="20" s="1"/>
  <c r="I100" i="20"/>
  <c r="I102" i="20" s="1"/>
  <c r="I239" i="20" s="1"/>
  <c r="H100" i="20"/>
  <c r="H102" i="20" s="1"/>
  <c r="H239" i="20" s="1"/>
  <c r="G100" i="20"/>
  <c r="G200" i="26"/>
  <c r="H200" i="26"/>
  <c r="I200" i="26"/>
  <c r="J200" i="26"/>
  <c r="K200" i="26"/>
  <c r="G15" i="26"/>
  <c r="H15" i="26" s="1"/>
  <c r="I15" i="26" s="1"/>
  <c r="J15" i="26" s="1"/>
  <c r="U53" i="28" l="1"/>
  <c r="U55" i="28"/>
  <c r="U57" i="28" s="1"/>
  <c r="U59" i="28" s="1"/>
  <c r="U71" i="28" s="1"/>
  <c r="N160" i="31"/>
  <c r="N159" i="31"/>
  <c r="M159" i="31"/>
  <c r="M160" i="31"/>
  <c r="L159" i="31"/>
  <c r="L160" i="31"/>
  <c r="K160" i="31"/>
  <c r="K159" i="31"/>
  <c r="K171" i="30"/>
  <c r="M171" i="30"/>
  <c r="L171" i="30"/>
  <c r="N171" i="30"/>
  <c r="K15" i="26"/>
  <c r="B30" i="35"/>
  <c r="B19" i="35"/>
  <c r="E23" i="20"/>
  <c r="F99" i="31"/>
  <c r="E99" i="31"/>
  <c r="F109" i="30"/>
  <c r="E109" i="30"/>
  <c r="B2" i="31"/>
  <c r="B2" i="30"/>
  <c r="U72" i="28" l="1"/>
  <c r="O14" i="28"/>
  <c r="J15" i="28"/>
  <c r="K77" i="30"/>
  <c r="L77" i="30"/>
  <c r="M77" i="30"/>
  <c r="N77" i="30"/>
  <c r="B2" i="20"/>
  <c r="B2" i="26"/>
  <c r="G117" i="20"/>
  <c r="G86" i="26"/>
  <c r="K35" i="31" s="1"/>
  <c r="O15" i="28" l="1"/>
  <c r="E31" i="30"/>
  <c r="K22" i="30" s="1"/>
  <c r="K34" i="26"/>
  <c r="J34" i="26"/>
  <c r="I34" i="26"/>
  <c r="H34" i="26"/>
  <c r="G34" i="26"/>
  <c r="B2" i="32"/>
  <c r="B2" i="24"/>
  <c r="E5" i="35" l="1"/>
  <c r="B10" i="35" l="1"/>
  <c r="B7" i="35"/>
  <c r="B8" i="35"/>
  <c r="G158" i="20"/>
  <c r="B26" i="35"/>
  <c r="B15" i="35"/>
  <c r="B2" i="35"/>
  <c r="B3" i="35"/>
  <c r="L29" i="33" l="1"/>
  <c r="C19" i="33"/>
  <c r="B19" i="33"/>
  <c r="F7" i="33" l="1"/>
  <c r="F6" i="33"/>
  <c r="B2" i="34"/>
  <c r="C100" i="34"/>
  <c r="D42" i="34"/>
  <c r="L22" i="34"/>
  <c r="L20" i="34"/>
  <c r="L19" i="34"/>
  <c r="L18" i="34"/>
  <c r="L17" i="34"/>
  <c r="B3" i="34"/>
  <c r="K15" i="33" l="1"/>
  <c r="K14" i="33"/>
  <c r="B2" i="33"/>
  <c r="B21" i="33"/>
  <c r="K25" i="33"/>
  <c r="K24" i="33"/>
  <c r="G24" i="33"/>
  <c r="G15" i="33"/>
  <c r="G14" i="33"/>
  <c r="E15" i="33"/>
  <c r="E14" i="33"/>
  <c r="C15" i="33"/>
  <c r="B15" i="33"/>
  <c r="C14" i="33"/>
  <c r="B14" i="33"/>
  <c r="C25" i="33"/>
  <c r="C24" i="33"/>
  <c r="D17" i="33"/>
  <c r="B3" i="33"/>
  <c r="Q14" i="32"/>
  <c r="T9" i="32"/>
  <c r="M12" i="32"/>
  <c r="C17" i="32"/>
  <c r="B17" i="32"/>
  <c r="C23" i="32"/>
  <c r="B23" i="32"/>
  <c r="C22" i="32"/>
  <c r="B22" i="32"/>
  <c r="P15" i="32"/>
  <c r="N15" i="32"/>
  <c r="L15" i="32"/>
  <c r="D15" i="32"/>
  <c r="P14" i="32"/>
  <c r="N14" i="32"/>
  <c r="L14" i="32"/>
  <c r="D14" i="32"/>
  <c r="P13" i="32"/>
  <c r="N13" i="32"/>
  <c r="L13" i="32"/>
  <c r="D13" i="32"/>
  <c r="P12" i="32"/>
  <c r="N12" i="32"/>
  <c r="L12" i="32"/>
  <c r="D12" i="32"/>
  <c r="P11" i="32"/>
  <c r="N11" i="32"/>
  <c r="L11" i="32"/>
  <c r="D11" i="32"/>
  <c r="F9" i="32"/>
  <c r="F23" i="32" s="1"/>
  <c r="V8" i="32"/>
  <c r="U8" i="32"/>
  <c r="T8" i="32"/>
  <c r="S8" i="32"/>
  <c r="R8" i="32"/>
  <c r="F8" i="32"/>
  <c r="I14" i="33" s="1"/>
  <c r="B3" i="32"/>
  <c r="C19" i="29"/>
  <c r="C18" i="29"/>
  <c r="C17" i="29"/>
  <c r="C16" i="29"/>
  <c r="C15" i="29"/>
  <c r="C14" i="29"/>
  <c r="L18" i="28"/>
  <c r="E17" i="33" l="1"/>
  <c r="I15" i="33"/>
  <c r="J15" i="33" s="1"/>
  <c r="H14" i="33"/>
  <c r="J14" i="33"/>
  <c r="L15" i="33"/>
  <c r="K17" i="33"/>
  <c r="F15" i="33"/>
  <c r="H15" i="33"/>
  <c r="F14" i="33"/>
  <c r="G17" i="33"/>
  <c r="I17" i="33"/>
  <c r="L14" i="33"/>
  <c r="Q13" i="32"/>
  <c r="V9" i="32"/>
  <c r="V13" i="32" s="1"/>
  <c r="Q15" i="32"/>
  <c r="Q11" i="32"/>
  <c r="S9" i="32"/>
  <c r="S11" i="32" s="1"/>
  <c r="Q12" i="32"/>
  <c r="O12" i="32"/>
  <c r="O13" i="32"/>
  <c r="O15" i="32"/>
  <c r="O14" i="32"/>
  <c r="O11" i="32"/>
  <c r="M11" i="32"/>
  <c r="R9" i="32"/>
  <c r="R12" i="32" s="1"/>
  <c r="M15" i="32"/>
  <c r="M14" i="32"/>
  <c r="U9" i="32"/>
  <c r="U11" i="32" s="1"/>
  <c r="M13" i="32"/>
  <c r="V11" i="32"/>
  <c r="F15" i="32"/>
  <c r="K9" i="32"/>
  <c r="O23" i="32" s="1"/>
  <c r="T12" i="32"/>
  <c r="F22" i="32"/>
  <c r="T11" i="32"/>
  <c r="F14" i="32"/>
  <c r="T15" i="32"/>
  <c r="F13" i="32"/>
  <c r="T14" i="32"/>
  <c r="F12" i="32"/>
  <c r="T13" i="32"/>
  <c r="K8" i="32"/>
  <c r="F11" i="32"/>
  <c r="V14" i="32" l="1"/>
  <c r="V12" i="32"/>
  <c r="S13" i="32"/>
  <c r="U12" i="32"/>
  <c r="V15" i="32"/>
  <c r="U13" i="32"/>
  <c r="J17" i="33"/>
  <c r="J25" i="33" s="1"/>
  <c r="U14" i="32"/>
  <c r="S15" i="32"/>
  <c r="R11" i="32"/>
  <c r="L17" i="33"/>
  <c r="D24" i="33" s="1"/>
  <c r="H17" i="33"/>
  <c r="H25" i="33" s="1"/>
  <c r="F17" i="33"/>
  <c r="F25" i="33" s="1"/>
  <c r="R15" i="32"/>
  <c r="U15" i="32"/>
  <c r="S12" i="32"/>
  <c r="S14" i="32"/>
  <c r="R13" i="32"/>
  <c r="R14" i="32"/>
  <c r="P23" i="32"/>
  <c r="K23" i="32"/>
  <c r="L23" i="32"/>
  <c r="N23" i="32"/>
  <c r="Q23" i="32"/>
  <c r="M23" i="32"/>
  <c r="F29" i="32"/>
  <c r="F28" i="32"/>
  <c r="F27" i="32"/>
  <c r="F26" i="32"/>
  <c r="F25" i="32"/>
  <c r="Q22" i="32"/>
  <c r="P22" i="32"/>
  <c r="O22" i="32"/>
  <c r="N22" i="32"/>
  <c r="K13" i="32"/>
  <c r="L22" i="32"/>
  <c r="K12" i="32"/>
  <c r="M22" i="32"/>
  <c r="K14" i="32"/>
  <c r="K22" i="32"/>
  <c r="K15" i="32"/>
  <c r="K11" i="32"/>
  <c r="D25" i="33" l="1"/>
  <c r="L29" i="32"/>
  <c r="L28" i="32"/>
  <c r="L27" i="32"/>
  <c r="L26" i="32"/>
  <c r="L25" i="32"/>
  <c r="O29" i="32"/>
  <c r="O28" i="32"/>
  <c r="O27" i="32"/>
  <c r="O26" i="32"/>
  <c r="O25" i="32"/>
  <c r="K29" i="32"/>
  <c r="K28" i="32"/>
  <c r="K27" i="32"/>
  <c r="K26" i="32"/>
  <c r="K25" i="32"/>
  <c r="P29" i="32"/>
  <c r="P28" i="32"/>
  <c r="P27" i="32"/>
  <c r="P26" i="32"/>
  <c r="P25" i="32"/>
  <c r="N26" i="32"/>
  <c r="N25" i="32"/>
  <c r="N29" i="32"/>
  <c r="N28" i="32"/>
  <c r="N27" i="32"/>
  <c r="Q29" i="32"/>
  <c r="Q28" i="32"/>
  <c r="Q27" i="32"/>
  <c r="Q26" i="32"/>
  <c r="Q25" i="32"/>
  <c r="M29" i="32"/>
  <c r="M28" i="32"/>
  <c r="M27" i="32"/>
  <c r="M26" i="32"/>
  <c r="M25" i="32"/>
  <c r="B15" i="29" l="1"/>
  <c r="E15" i="29"/>
  <c r="G15" i="29"/>
  <c r="K15" i="29"/>
  <c r="B3" i="28" l="1"/>
  <c r="D42" i="28"/>
  <c r="B2" i="28" l="1"/>
  <c r="G26" i="29"/>
  <c r="B3" i="29"/>
  <c r="K19" i="29"/>
  <c r="K18" i="29"/>
  <c r="K17" i="29"/>
  <c r="K16" i="29"/>
  <c r="K14" i="29"/>
  <c r="G19" i="29"/>
  <c r="G18" i="29"/>
  <c r="G17" i="29"/>
  <c r="G16" i="29"/>
  <c r="E19" i="29"/>
  <c r="E18" i="29"/>
  <c r="E17" i="29"/>
  <c r="E16" i="29"/>
  <c r="B19" i="29"/>
  <c r="B18" i="29"/>
  <c r="B17" i="29"/>
  <c r="B16" i="29"/>
  <c r="C39" i="24"/>
  <c r="B39" i="24"/>
  <c r="B3" i="24"/>
  <c r="C21" i="24"/>
  <c r="B21" i="24" l="1"/>
  <c r="F13" i="24"/>
  <c r="I19" i="29" s="1"/>
  <c r="L19" i="29" s="1"/>
  <c r="V13" i="24"/>
  <c r="U13" i="24"/>
  <c r="T13" i="24"/>
  <c r="S13" i="24"/>
  <c r="R13" i="24"/>
  <c r="F11" i="24"/>
  <c r="V11" i="24"/>
  <c r="U11" i="24"/>
  <c r="T11" i="24"/>
  <c r="S11" i="24"/>
  <c r="R11" i="24"/>
  <c r="F12" i="24"/>
  <c r="V12" i="24"/>
  <c r="U12" i="24"/>
  <c r="T12" i="24"/>
  <c r="S12" i="24"/>
  <c r="R12" i="24"/>
  <c r="F10" i="24"/>
  <c r="I16" i="29" s="1"/>
  <c r="L16" i="29" s="1"/>
  <c r="V10" i="24"/>
  <c r="U10" i="24"/>
  <c r="T10" i="24"/>
  <c r="S10" i="24"/>
  <c r="R10" i="24"/>
  <c r="F9" i="24"/>
  <c r="I15" i="29" s="1"/>
  <c r="V9" i="24"/>
  <c r="U9" i="24"/>
  <c r="T9" i="24"/>
  <c r="S9" i="24"/>
  <c r="R9" i="24"/>
  <c r="V8" i="24"/>
  <c r="U8" i="24"/>
  <c r="T8" i="24"/>
  <c r="S8" i="24"/>
  <c r="R8" i="24"/>
  <c r="I17" i="29" l="1"/>
  <c r="L17" i="29" s="1"/>
  <c r="K10" i="24"/>
  <c r="F15" i="29"/>
  <c r="L15" i="29"/>
  <c r="H15" i="29"/>
  <c r="J15" i="29"/>
  <c r="K12" i="24"/>
  <c r="K9" i="24"/>
  <c r="K13" i="24"/>
  <c r="K11" i="24"/>
  <c r="I18" i="29"/>
  <c r="L18" i="29" s="1"/>
  <c r="F8" i="24"/>
  <c r="K8" i="24" s="1"/>
  <c r="G226" i="31"/>
  <c r="F226" i="31"/>
  <c r="E226" i="31"/>
  <c r="G224" i="31"/>
  <c r="F224" i="31"/>
  <c r="E224" i="31"/>
  <c r="I199" i="31" l="1"/>
  <c r="H199" i="31"/>
  <c r="D199" i="31"/>
  <c r="K198" i="31"/>
  <c r="H198" i="31"/>
  <c r="G198" i="31"/>
  <c r="E198" i="31"/>
  <c r="I171" i="31"/>
  <c r="H171" i="31"/>
  <c r="D171" i="31"/>
  <c r="K170" i="31"/>
  <c r="H170" i="31"/>
  <c r="G170" i="31"/>
  <c r="E170" i="31"/>
  <c r="E167" i="31"/>
  <c r="E181" i="30"/>
  <c r="F163" i="31"/>
  <c r="E163" i="31"/>
  <c r="F159" i="31"/>
  <c r="E159" i="31"/>
  <c r="F157" i="31"/>
  <c r="E157" i="31"/>
  <c r="F155" i="31"/>
  <c r="E155" i="31"/>
  <c r="F154" i="31"/>
  <c r="E154" i="31"/>
  <c r="F151" i="31"/>
  <c r="E151" i="31"/>
  <c r="F150" i="31"/>
  <c r="E150" i="31"/>
  <c r="F149" i="31"/>
  <c r="E149" i="31"/>
  <c r="F148" i="31"/>
  <c r="E148" i="31"/>
  <c r="F145" i="31"/>
  <c r="E145" i="31"/>
  <c r="F144" i="31"/>
  <c r="E144" i="31"/>
  <c r="F143" i="31"/>
  <c r="E143" i="31"/>
  <c r="F142" i="31"/>
  <c r="E142" i="31"/>
  <c r="F141" i="31"/>
  <c r="E141" i="31"/>
  <c r="F140" i="31"/>
  <c r="E140" i="31"/>
  <c r="F139" i="31"/>
  <c r="E139" i="31"/>
  <c r="F138" i="31"/>
  <c r="E138" i="31"/>
  <c r="F136" i="31"/>
  <c r="E136" i="31"/>
  <c r="F135" i="31"/>
  <c r="E135" i="31"/>
  <c r="F134" i="31"/>
  <c r="E134" i="31"/>
  <c r="F130" i="31"/>
  <c r="E130" i="31"/>
  <c r="G129" i="31"/>
  <c r="F129" i="31"/>
  <c r="E129" i="31"/>
  <c r="F127" i="31"/>
  <c r="F225" i="31" s="1"/>
  <c r="E127" i="31"/>
  <c r="E225" i="31" s="1"/>
  <c r="F125" i="31"/>
  <c r="F223" i="31" s="1"/>
  <c r="E125" i="31"/>
  <c r="E223" i="31" s="1"/>
  <c r="J5" i="31"/>
  <c r="K20" i="31"/>
  <c r="K12" i="31"/>
  <c r="K15" i="31" s="1"/>
  <c r="K26" i="31" l="1"/>
  <c r="N26" i="31"/>
  <c r="N188" i="31"/>
  <c r="M188" i="31"/>
  <c r="L188" i="31"/>
  <c r="K188" i="31"/>
  <c r="E152" i="31"/>
  <c r="F152" i="31"/>
  <c r="E161" i="31"/>
  <c r="F161" i="31"/>
  <c r="F112" i="31"/>
  <c r="E112" i="31"/>
  <c r="F111" i="31"/>
  <c r="E111" i="31"/>
  <c r="F106" i="31"/>
  <c r="E106" i="31"/>
  <c r="F105" i="31"/>
  <c r="E105" i="31"/>
  <c r="F104" i="31"/>
  <c r="E104" i="31"/>
  <c r="F100" i="31"/>
  <c r="F101" i="31" s="1"/>
  <c r="E100" i="31"/>
  <c r="E101" i="31" s="1"/>
  <c r="F92" i="31"/>
  <c r="E92" i="31"/>
  <c r="F90" i="31"/>
  <c r="E90" i="31"/>
  <c r="F89" i="31"/>
  <c r="E89" i="31"/>
  <c r="F88" i="31"/>
  <c r="E88" i="31"/>
  <c r="F84" i="31"/>
  <c r="E84" i="31"/>
  <c r="F83" i="31"/>
  <c r="E83" i="31"/>
  <c r="F82" i="31"/>
  <c r="E82" i="31"/>
  <c r="F74" i="31"/>
  <c r="F124" i="31" s="1"/>
  <c r="E74" i="31"/>
  <c r="E124" i="31" s="1"/>
  <c r="F73" i="31"/>
  <c r="F123" i="31" s="1"/>
  <c r="E73" i="31"/>
  <c r="E123" i="31" s="1"/>
  <c r="F71" i="31"/>
  <c r="E71" i="31"/>
  <c r="F68" i="31"/>
  <c r="F69" i="31"/>
  <c r="E69" i="31"/>
  <c r="E68" i="31"/>
  <c r="F66" i="31"/>
  <c r="E66" i="31"/>
  <c r="F62" i="31"/>
  <c r="E62" i="31"/>
  <c r="D5" i="31"/>
  <c r="F51" i="31"/>
  <c r="E51" i="31"/>
  <c r="I220" i="31"/>
  <c r="H220" i="31"/>
  <c r="K219" i="31"/>
  <c r="H219" i="31"/>
  <c r="G219" i="31"/>
  <c r="E219" i="31"/>
  <c r="I120" i="31"/>
  <c r="H120" i="31"/>
  <c r="K119" i="31"/>
  <c r="H119" i="31"/>
  <c r="G119" i="31"/>
  <c r="E119" i="31"/>
  <c r="I78" i="31"/>
  <c r="H78" i="31"/>
  <c r="K77" i="31"/>
  <c r="H77" i="31"/>
  <c r="G77" i="31"/>
  <c r="E77" i="31"/>
  <c r="D220" i="31"/>
  <c r="D120" i="31"/>
  <c r="D78" i="31"/>
  <c r="D48" i="31"/>
  <c r="B3" i="31"/>
  <c r="F233" i="26"/>
  <c r="E233" i="26"/>
  <c r="F275" i="20"/>
  <c r="E275" i="20"/>
  <c r="K189" i="31" l="1"/>
  <c r="K194" i="31"/>
  <c r="K133" i="31" s="1"/>
  <c r="N194" i="31"/>
  <c r="N196" i="31" s="1"/>
  <c r="M194" i="31"/>
  <c r="M133" i="31" s="1"/>
  <c r="L194" i="31"/>
  <c r="M195" i="31"/>
  <c r="L195" i="31"/>
  <c r="K195" i="31"/>
  <c r="K64" i="31" s="1"/>
  <c r="N195" i="31"/>
  <c r="E244" i="31"/>
  <c r="F244" i="31"/>
  <c r="F107" i="31"/>
  <c r="F109" i="31" s="1"/>
  <c r="F113" i="31"/>
  <c r="E107" i="31"/>
  <c r="E109" i="31" s="1"/>
  <c r="E113" i="31"/>
  <c r="N213" i="30"/>
  <c r="M213" i="30"/>
  <c r="L213" i="30"/>
  <c r="G213" i="30"/>
  <c r="F213" i="30"/>
  <c r="E213" i="30"/>
  <c r="G212" i="30"/>
  <c r="F212" i="30"/>
  <c r="E212" i="30"/>
  <c r="G210" i="30"/>
  <c r="F210" i="30"/>
  <c r="E210" i="30"/>
  <c r="I185" i="30"/>
  <c r="H185" i="30"/>
  <c r="K184" i="30"/>
  <c r="H184" i="30"/>
  <c r="K10" i="30"/>
  <c r="L196" i="31" l="1"/>
  <c r="N133" i="31"/>
  <c r="K63" i="31"/>
  <c r="K196" i="31"/>
  <c r="M196" i="31"/>
  <c r="L133" i="31"/>
  <c r="M53" i="30"/>
  <c r="L53" i="30"/>
  <c r="N53" i="30"/>
  <c r="K53" i="30"/>
  <c r="N212" i="30"/>
  <c r="M212" i="30"/>
  <c r="E115" i="31"/>
  <c r="F115" i="31"/>
  <c r="E22" i="30"/>
  <c r="I115" i="30" s="1"/>
  <c r="K140" i="30" l="1"/>
  <c r="K58" i="31"/>
  <c r="K126" i="31" s="1"/>
  <c r="N140" i="30"/>
  <c r="N58" i="31"/>
  <c r="N126" i="31" s="1"/>
  <c r="N224" i="31" s="1"/>
  <c r="L140" i="30"/>
  <c r="L58" i="31"/>
  <c r="L126" i="31" s="1"/>
  <c r="L224" i="31" s="1"/>
  <c r="M140" i="30"/>
  <c r="M210" i="30" s="1"/>
  <c r="M58" i="31"/>
  <c r="M126" i="31" s="1"/>
  <c r="H105" i="31"/>
  <c r="E44" i="31" s="1"/>
  <c r="E28" i="30"/>
  <c r="K212" i="30"/>
  <c r="N210" i="30"/>
  <c r="L210" i="30"/>
  <c r="N226" i="31"/>
  <c r="L212" i="30"/>
  <c r="K226" i="31"/>
  <c r="L226" i="31"/>
  <c r="M226" i="31"/>
  <c r="F155" i="30"/>
  <c r="E155" i="30"/>
  <c r="F146" i="30"/>
  <c r="E146" i="30"/>
  <c r="F177" i="30"/>
  <c r="E177" i="30"/>
  <c r="F174" i="30"/>
  <c r="E174" i="30"/>
  <c r="F173" i="30"/>
  <c r="E173" i="30"/>
  <c r="F172" i="30"/>
  <c r="E172" i="30"/>
  <c r="F170" i="30"/>
  <c r="E170" i="30"/>
  <c r="F168" i="30"/>
  <c r="E168" i="30"/>
  <c r="F167" i="30"/>
  <c r="E167" i="30"/>
  <c r="F166" i="30"/>
  <c r="E166" i="30"/>
  <c r="F163" i="30"/>
  <c r="E163" i="30"/>
  <c r="F162" i="30"/>
  <c r="E162" i="30"/>
  <c r="F161" i="30"/>
  <c r="E161" i="30"/>
  <c r="F160" i="30"/>
  <c r="E160" i="30"/>
  <c r="F157" i="30"/>
  <c r="E157" i="30"/>
  <c r="F156" i="30"/>
  <c r="E156" i="30"/>
  <c r="F154" i="30"/>
  <c r="E154" i="30"/>
  <c r="F153" i="30"/>
  <c r="E153" i="30"/>
  <c r="F152" i="30"/>
  <c r="E152" i="30"/>
  <c r="F151" i="30"/>
  <c r="E151" i="30"/>
  <c r="F150" i="30"/>
  <c r="E150" i="30"/>
  <c r="F141" i="30"/>
  <c r="F211" i="30" s="1"/>
  <c r="F143" i="30"/>
  <c r="G143" i="30"/>
  <c r="F144" i="30"/>
  <c r="F147" i="30"/>
  <c r="F148" i="30"/>
  <c r="E141" i="30"/>
  <c r="E211" i="30" s="1"/>
  <c r="E143" i="30"/>
  <c r="E144" i="30"/>
  <c r="E147" i="30"/>
  <c r="E148" i="30"/>
  <c r="F139" i="30"/>
  <c r="F138" i="30"/>
  <c r="F137" i="30"/>
  <c r="E139" i="30"/>
  <c r="E138" i="30"/>
  <c r="E137" i="30"/>
  <c r="M224" i="31" l="1"/>
  <c r="K224" i="31"/>
  <c r="E209" i="30"/>
  <c r="F209" i="30"/>
  <c r="K210" i="30"/>
  <c r="F164" i="30"/>
  <c r="E164" i="30"/>
  <c r="E175" i="30"/>
  <c r="F175" i="30"/>
  <c r="D109" i="20"/>
  <c r="D211" i="26"/>
  <c r="D168" i="26"/>
  <c r="D126" i="26"/>
  <c r="D98" i="26"/>
  <c r="D13" i="26"/>
  <c r="D78" i="26" s="1"/>
  <c r="D5" i="26"/>
  <c r="B3" i="26"/>
  <c r="F76" i="30"/>
  <c r="F78" i="30" s="1"/>
  <c r="E76" i="30"/>
  <c r="E78" i="30" s="1"/>
  <c r="F70" i="30"/>
  <c r="F133" i="30" s="1"/>
  <c r="F72" i="30"/>
  <c r="F135" i="30" s="1"/>
  <c r="E72" i="30"/>
  <c r="E135" i="30" s="1"/>
  <c r="E70" i="30"/>
  <c r="E133" i="30" s="1"/>
  <c r="F67" i="30"/>
  <c r="E67" i="30"/>
  <c r="D206" i="30"/>
  <c r="D130" i="30"/>
  <c r="D88" i="30"/>
  <c r="D36" i="30"/>
  <c r="D5" i="30"/>
  <c r="D185" i="30" s="1"/>
  <c r="B3" i="30"/>
  <c r="D253" i="20"/>
  <c r="D205" i="20"/>
  <c r="D163" i="20"/>
  <c r="D129" i="20"/>
  <c r="D95" i="20"/>
  <c r="D62" i="20"/>
  <c r="D31" i="20"/>
  <c r="D62" i="26" l="1"/>
  <c r="D39" i="26"/>
  <c r="F63" i="30"/>
  <c r="E63" i="30"/>
  <c r="F61" i="30"/>
  <c r="E61" i="30"/>
  <c r="F57" i="30"/>
  <c r="E57" i="30"/>
  <c r="I206" i="30" l="1"/>
  <c r="H206" i="30"/>
  <c r="K205" i="30"/>
  <c r="H205" i="30"/>
  <c r="I130" i="30"/>
  <c r="H130" i="30"/>
  <c r="K129" i="30"/>
  <c r="H129" i="30"/>
  <c r="F122" i="30"/>
  <c r="E122" i="30"/>
  <c r="F121" i="30"/>
  <c r="E121" i="30"/>
  <c r="F116" i="30"/>
  <c r="E116" i="30"/>
  <c r="F115" i="30"/>
  <c r="E115" i="30"/>
  <c r="F114" i="30"/>
  <c r="E114" i="30"/>
  <c r="F110" i="30"/>
  <c r="E110" i="30"/>
  <c r="F102" i="30"/>
  <c r="E102" i="30"/>
  <c r="F101" i="30"/>
  <c r="E101" i="30"/>
  <c r="F100" i="30"/>
  <c r="E100" i="30"/>
  <c r="F99" i="30"/>
  <c r="E99" i="30"/>
  <c r="F98" i="30"/>
  <c r="E98" i="30"/>
  <c r="F94" i="30"/>
  <c r="E94" i="30"/>
  <c r="F93" i="30"/>
  <c r="E93" i="30"/>
  <c r="F92" i="30"/>
  <c r="E92" i="30"/>
  <c r="F91" i="30"/>
  <c r="E91" i="30"/>
  <c r="F42" i="30"/>
  <c r="F44" i="30" s="1"/>
  <c r="F224" i="30" s="1"/>
  <c r="E42" i="30"/>
  <c r="E44" i="30" s="1"/>
  <c r="E224" i="30" s="1"/>
  <c r="I88" i="30"/>
  <c r="H88" i="30"/>
  <c r="K87" i="30"/>
  <c r="H87" i="30"/>
  <c r="E230" i="30" l="1"/>
  <c r="F230" i="30"/>
  <c r="F95" i="30"/>
  <c r="E123" i="30"/>
  <c r="F123" i="30"/>
  <c r="E117" i="30"/>
  <c r="E111" i="30"/>
  <c r="E103" i="30"/>
  <c r="F117" i="30"/>
  <c r="E95" i="30"/>
  <c r="F111" i="30"/>
  <c r="F103" i="30"/>
  <c r="E105" i="30" l="1"/>
  <c r="F105" i="30"/>
  <c r="E119" i="30"/>
  <c r="E125" i="30" s="1"/>
  <c r="F119" i="30"/>
  <c r="F125" i="30" s="1"/>
  <c r="F127" i="30" l="1"/>
  <c r="E127" i="30"/>
  <c r="E26" i="20"/>
  <c r="E20" i="20"/>
  <c r="E18" i="20"/>
  <c r="G231" i="20"/>
  <c r="G161" i="30" s="1"/>
  <c r="G218" i="20"/>
  <c r="G148" i="30" s="1"/>
  <c r="G217" i="20"/>
  <c r="G147" i="30" s="1"/>
  <c r="F93" i="20"/>
  <c r="E93" i="20"/>
  <c r="F91" i="20"/>
  <c r="E91" i="20"/>
  <c r="F90" i="20"/>
  <c r="E90" i="20"/>
  <c r="H86" i="20"/>
  <c r="I86" i="20" s="1"/>
  <c r="J86" i="20" s="1"/>
  <c r="K86" i="20" s="1"/>
  <c r="K231" i="20" s="1"/>
  <c r="F86" i="20"/>
  <c r="E86" i="20"/>
  <c r="H83" i="20"/>
  <c r="I83" i="20" s="1"/>
  <c r="J83" i="20" s="1"/>
  <c r="K83" i="20" s="1"/>
  <c r="K218" i="20" s="1"/>
  <c r="H82" i="20"/>
  <c r="I82" i="20" s="1"/>
  <c r="J82" i="20" s="1"/>
  <c r="K82" i="20" s="1"/>
  <c r="K217" i="20" s="1"/>
  <c r="F83" i="20"/>
  <c r="E83" i="20"/>
  <c r="F82" i="20"/>
  <c r="E82" i="20"/>
  <c r="G93" i="20" l="1"/>
  <c r="H93" i="20" s="1"/>
  <c r="H91" i="20"/>
  <c r="H218" i="20"/>
  <c r="H90" i="20"/>
  <c r="I218" i="20"/>
  <c r="J218" i="20"/>
  <c r="H217" i="20"/>
  <c r="J217" i="20"/>
  <c r="I217" i="20"/>
  <c r="J231" i="20"/>
  <c r="H231" i="20"/>
  <c r="I231" i="20"/>
  <c r="E22" i="20"/>
  <c r="K113" i="20"/>
  <c r="G113" i="20"/>
  <c r="G211" i="20"/>
  <c r="G138" i="30" s="1"/>
  <c r="H75" i="20"/>
  <c r="H211" i="20" s="1"/>
  <c r="K138" i="30" s="1"/>
  <c r="F75" i="20"/>
  <c r="E75" i="20"/>
  <c r="H210" i="20"/>
  <c r="K137" i="30" s="1"/>
  <c r="I210" i="20"/>
  <c r="L137" i="30" s="1"/>
  <c r="J210" i="20"/>
  <c r="M137" i="30" s="1"/>
  <c r="K210" i="20"/>
  <c r="N137" i="30" s="1"/>
  <c r="G210" i="20"/>
  <c r="G137" i="30" s="1"/>
  <c r="F74" i="20"/>
  <c r="E74" i="20"/>
  <c r="G245" i="20"/>
  <c r="K155" i="20"/>
  <c r="N72" i="30" s="1"/>
  <c r="N135" i="30" s="1"/>
  <c r="J155" i="20"/>
  <c r="M72" i="30" s="1"/>
  <c r="M135" i="30" s="1"/>
  <c r="I155" i="20"/>
  <c r="L72" i="30" s="1"/>
  <c r="L135" i="30" s="1"/>
  <c r="H155" i="20"/>
  <c r="K72" i="30" s="1"/>
  <c r="K135" i="30" s="1"/>
  <c r="G155" i="20"/>
  <c r="K154" i="20"/>
  <c r="N70" i="30" s="1"/>
  <c r="N133" i="30" s="1"/>
  <c r="J154" i="20"/>
  <c r="M70" i="30" s="1"/>
  <c r="M133" i="30" s="1"/>
  <c r="I154" i="20"/>
  <c r="L70" i="30" s="1"/>
  <c r="L133" i="30" s="1"/>
  <c r="H154" i="20"/>
  <c r="K70" i="30" s="1"/>
  <c r="K133" i="30" s="1"/>
  <c r="G154" i="20"/>
  <c r="G150" i="20"/>
  <c r="G63" i="30" s="1"/>
  <c r="H57" i="20"/>
  <c r="I57" i="20"/>
  <c r="J57" i="20"/>
  <c r="K57" i="20"/>
  <c r="G57" i="20"/>
  <c r="G149" i="20"/>
  <c r="G61" i="30" s="1"/>
  <c r="H237" i="20"/>
  <c r="I237" i="20"/>
  <c r="J237" i="20"/>
  <c r="K237" i="20"/>
  <c r="G237" i="20"/>
  <c r="G167" i="30" s="1"/>
  <c r="E101" i="20"/>
  <c r="G98" i="20"/>
  <c r="G236" i="20" s="1"/>
  <c r="G166" i="30" s="1"/>
  <c r="H97" i="20"/>
  <c r="H98" i="20" s="1"/>
  <c r="H236" i="20" s="1"/>
  <c r="E104" i="20"/>
  <c r="G170" i="30"/>
  <c r="H214" i="20"/>
  <c r="G82" i="26"/>
  <c r="H175" i="26"/>
  <c r="K129" i="31" s="1"/>
  <c r="K143" i="30" l="1"/>
  <c r="K101" i="20"/>
  <c r="K238" i="20" s="1"/>
  <c r="J101" i="20"/>
  <c r="J238" i="20" s="1"/>
  <c r="I101" i="20"/>
  <c r="I238" i="20" s="1"/>
  <c r="H101" i="20"/>
  <c r="H238" i="20" s="1"/>
  <c r="K27" i="29"/>
  <c r="K26" i="29"/>
  <c r="H245" i="20"/>
  <c r="G177" i="30"/>
  <c r="I113" i="20"/>
  <c r="I214" i="20"/>
  <c r="I175" i="26"/>
  <c r="L129" i="31" s="1"/>
  <c r="H113" i="20"/>
  <c r="J113" i="20"/>
  <c r="K208" i="20"/>
  <c r="H209" i="20"/>
  <c r="I209" i="20"/>
  <c r="G208" i="20"/>
  <c r="G70" i="30"/>
  <c r="G133" i="30" s="1"/>
  <c r="J209" i="20"/>
  <c r="H208" i="20"/>
  <c r="K209" i="20"/>
  <c r="G209" i="20"/>
  <c r="G72" i="30"/>
  <c r="G135" i="30" s="1"/>
  <c r="I208" i="20"/>
  <c r="J208" i="20"/>
  <c r="G242" i="20"/>
  <c r="G174" i="30" s="1"/>
  <c r="G241" i="20"/>
  <c r="G173" i="30" s="1"/>
  <c r="G240" i="20"/>
  <c r="G172" i="30" s="1"/>
  <c r="I91" i="20"/>
  <c r="H241" i="20"/>
  <c r="K173" i="30" s="1"/>
  <c r="I93" i="20"/>
  <c r="H242" i="20"/>
  <c r="K174" i="30" s="1"/>
  <c r="I90" i="20"/>
  <c r="H240" i="20"/>
  <c r="K172" i="30" s="1"/>
  <c r="I75" i="20"/>
  <c r="J75" i="20" s="1"/>
  <c r="K75" i="20" s="1"/>
  <c r="K211" i="20" s="1"/>
  <c r="N138" i="30" s="1"/>
  <c r="I97" i="20"/>
  <c r="G168" i="30"/>
  <c r="H144" i="20"/>
  <c r="I144" i="20" s="1"/>
  <c r="J144" i="20" s="1"/>
  <c r="K144" i="20" s="1"/>
  <c r="K213" i="30" s="1"/>
  <c r="H143" i="20"/>
  <c r="I143" i="20" s="1"/>
  <c r="J143" i="20" s="1"/>
  <c r="K143" i="20" s="1"/>
  <c r="N168" i="30" l="1"/>
  <c r="N169" i="30"/>
  <c r="K168" i="30"/>
  <c r="K169" i="30"/>
  <c r="L168" i="30"/>
  <c r="L169" i="30"/>
  <c r="L143" i="30"/>
  <c r="M168" i="30"/>
  <c r="M169" i="30"/>
  <c r="G175" i="30"/>
  <c r="J175" i="26"/>
  <c r="M129" i="31" s="1"/>
  <c r="J214" i="20"/>
  <c r="M143" i="30" s="1"/>
  <c r="I245" i="20"/>
  <c r="G197" i="20"/>
  <c r="G122" i="30" s="1"/>
  <c r="G243" i="20"/>
  <c r="J93" i="20"/>
  <c r="I242" i="20"/>
  <c r="L174" i="30" s="1"/>
  <c r="J91" i="20"/>
  <c r="I241" i="20"/>
  <c r="L173" i="30" s="1"/>
  <c r="J90" i="20"/>
  <c r="I240" i="20"/>
  <c r="L172" i="30" s="1"/>
  <c r="I211" i="20"/>
  <c r="L138" i="30" s="1"/>
  <c r="J211" i="20"/>
  <c r="M138" i="30" s="1"/>
  <c r="I98" i="20"/>
  <c r="I236" i="20" s="1"/>
  <c r="J97" i="20"/>
  <c r="F69" i="26"/>
  <c r="F70" i="26"/>
  <c r="E70" i="26"/>
  <c r="J115" i="26"/>
  <c r="K115" i="26"/>
  <c r="F67" i="26"/>
  <c r="E67" i="26"/>
  <c r="N67" i="31" l="1"/>
  <c r="N66" i="31"/>
  <c r="M67" i="31"/>
  <c r="M66" i="31"/>
  <c r="J245" i="20"/>
  <c r="K214" i="20"/>
  <c r="K175" i="26"/>
  <c r="N129" i="31" s="1"/>
  <c r="H197" i="20"/>
  <c r="I197" i="20" s="1"/>
  <c r="K90" i="20"/>
  <c r="K240" i="20" s="1"/>
  <c r="N172" i="30" s="1"/>
  <c r="J240" i="20"/>
  <c r="M172" i="30" s="1"/>
  <c r="K91" i="20"/>
  <c r="K241" i="20" s="1"/>
  <c r="N173" i="30" s="1"/>
  <c r="J241" i="20"/>
  <c r="M173" i="30" s="1"/>
  <c r="K93" i="20"/>
  <c r="K242" i="20" s="1"/>
  <c r="N174" i="30" s="1"/>
  <c r="J242" i="20"/>
  <c r="M174" i="30" s="1"/>
  <c r="J98" i="20"/>
  <c r="J236" i="20" s="1"/>
  <c r="K97" i="20"/>
  <c r="K98" i="20" s="1"/>
  <c r="K236" i="20" s="1"/>
  <c r="G115" i="26"/>
  <c r="G66" i="31" s="1"/>
  <c r="G258" i="20"/>
  <c r="H258" i="20"/>
  <c r="I258" i="20"/>
  <c r="J258" i="20"/>
  <c r="K258" i="20"/>
  <c r="F69" i="20"/>
  <c r="E69" i="20"/>
  <c r="F67" i="20"/>
  <c r="G67" i="20" s="1"/>
  <c r="H67" i="20" s="1"/>
  <c r="I67" i="20" s="1"/>
  <c r="J67" i="20" s="1"/>
  <c r="K67" i="20" s="1"/>
  <c r="E67" i="20"/>
  <c r="F64" i="20"/>
  <c r="E64" i="20"/>
  <c r="F50" i="20"/>
  <c r="E50" i="20"/>
  <c r="F48" i="20"/>
  <c r="E48" i="20"/>
  <c r="F47" i="20"/>
  <c r="E47" i="20"/>
  <c r="F45" i="20"/>
  <c r="E45" i="20"/>
  <c r="E42" i="20"/>
  <c r="E43" i="20" s="1"/>
  <c r="F33" i="20"/>
  <c r="F39" i="20"/>
  <c r="G39" i="20" s="1"/>
  <c r="E36" i="20"/>
  <c r="E40" i="20"/>
  <c r="E34" i="20"/>
  <c r="F258" i="20"/>
  <c r="E258" i="20"/>
  <c r="F257" i="20"/>
  <c r="E257" i="20"/>
  <c r="F256" i="20"/>
  <c r="E256" i="20"/>
  <c r="F243" i="20"/>
  <c r="E243" i="20"/>
  <c r="F234" i="20"/>
  <c r="E234" i="20"/>
  <c r="F139" i="26"/>
  <c r="K33" i="31" s="1"/>
  <c r="E139" i="26"/>
  <c r="F198" i="20"/>
  <c r="E198" i="20"/>
  <c r="F192" i="20"/>
  <c r="E192" i="20"/>
  <c r="F186" i="20"/>
  <c r="E186" i="20"/>
  <c r="F178" i="20"/>
  <c r="E178" i="20"/>
  <c r="F170" i="20"/>
  <c r="E170" i="20"/>
  <c r="F209" i="20"/>
  <c r="E208" i="20"/>
  <c r="G252" i="20"/>
  <c r="E252" i="20"/>
  <c r="G204" i="20"/>
  <c r="E204" i="20"/>
  <c r="G162" i="20"/>
  <c r="E162" i="20"/>
  <c r="G128" i="20"/>
  <c r="G35" i="30" s="1"/>
  <c r="G184" i="30" s="1"/>
  <c r="E128" i="20"/>
  <c r="E35" i="30" s="1"/>
  <c r="E184" i="30" s="1"/>
  <c r="F31" i="20"/>
  <c r="F109" i="20" s="1"/>
  <c r="F145" i="20"/>
  <c r="F48" i="30" s="1"/>
  <c r="F54" i="30" s="1"/>
  <c r="E145" i="20"/>
  <c r="E48" i="30" s="1"/>
  <c r="E54" i="30" s="1"/>
  <c r="F134" i="20"/>
  <c r="E134" i="20"/>
  <c r="E261" i="20" s="1"/>
  <c r="E216" i="30" s="1"/>
  <c r="G210" i="26"/>
  <c r="E210" i="26"/>
  <c r="G167" i="26"/>
  <c r="E167" i="26"/>
  <c r="G125" i="26"/>
  <c r="E125" i="26"/>
  <c r="G97" i="26"/>
  <c r="E97" i="26"/>
  <c r="F13" i="26"/>
  <c r="F48" i="31" s="1"/>
  <c r="N143" i="30" l="1"/>
  <c r="H39" i="20"/>
  <c r="F34" i="20"/>
  <c r="G33" i="20"/>
  <c r="F261" i="20"/>
  <c r="F216" i="30" s="1"/>
  <c r="F42" i="28"/>
  <c r="F42" i="34"/>
  <c r="F199" i="31"/>
  <c r="F220" i="31"/>
  <c r="F171" i="31"/>
  <c r="F120" i="31"/>
  <c r="F78" i="31"/>
  <c r="K245" i="20"/>
  <c r="E91" i="31"/>
  <c r="E93" i="31" s="1"/>
  <c r="F91" i="31"/>
  <c r="F93" i="31" s="1"/>
  <c r="G205" i="30"/>
  <c r="G129" i="30"/>
  <c r="G87" i="30"/>
  <c r="E38" i="30"/>
  <c r="E40" i="30" s="1"/>
  <c r="E272" i="20"/>
  <c r="E273" i="20"/>
  <c r="E87" i="30"/>
  <c r="E205" i="30"/>
  <c r="E129" i="30"/>
  <c r="F38" i="30"/>
  <c r="F40" i="30" s="1"/>
  <c r="F272" i="20"/>
  <c r="F273" i="20"/>
  <c r="F98" i="26"/>
  <c r="F62" i="26"/>
  <c r="F78" i="26"/>
  <c r="F39" i="26"/>
  <c r="F270" i="20"/>
  <c r="F269" i="20"/>
  <c r="J197" i="20"/>
  <c r="K197" i="20" s="1"/>
  <c r="E269" i="20"/>
  <c r="E270" i="20"/>
  <c r="G64" i="20"/>
  <c r="H64" i="20" s="1"/>
  <c r="I64" i="20" s="1"/>
  <c r="J64" i="20" s="1"/>
  <c r="F88" i="20"/>
  <c r="F87" i="20"/>
  <c r="E87" i="20"/>
  <c r="E88" i="20"/>
  <c r="F253" i="20"/>
  <c r="F62" i="20"/>
  <c r="F95" i="20"/>
  <c r="G69" i="20"/>
  <c r="H69" i="20" s="1"/>
  <c r="I69" i="20" s="1"/>
  <c r="J69" i="20" s="1"/>
  <c r="K69" i="20" s="1"/>
  <c r="E138" i="20"/>
  <c r="E262" i="20" s="1"/>
  <c r="E85" i="20"/>
  <c r="F138" i="20"/>
  <c r="F262" i="20" s="1"/>
  <c r="F85" i="20"/>
  <c r="F63" i="20"/>
  <c r="F72" i="20"/>
  <c r="G72" i="20" s="1"/>
  <c r="H72" i="20" s="1"/>
  <c r="I72" i="20" s="1"/>
  <c r="J72" i="20" s="1"/>
  <c r="K72" i="20" s="1"/>
  <c r="E77" i="20"/>
  <c r="F77" i="20"/>
  <c r="E72" i="20"/>
  <c r="E78" i="20"/>
  <c r="E63" i="20"/>
  <c r="F78" i="20"/>
  <c r="E52" i="20"/>
  <c r="E80" i="20"/>
  <c r="E65" i="20"/>
  <c r="F52" i="20"/>
  <c r="F80" i="20"/>
  <c r="F65" i="20"/>
  <c r="E53" i="20"/>
  <c r="E70" i="20"/>
  <c r="F53" i="20"/>
  <c r="F70" i="20"/>
  <c r="I115" i="26"/>
  <c r="H115" i="26"/>
  <c r="F36" i="20"/>
  <c r="G36" i="20" s="1"/>
  <c r="H36" i="20" s="1"/>
  <c r="I36" i="20" s="1"/>
  <c r="J36" i="20" s="1"/>
  <c r="K36" i="20" s="1"/>
  <c r="F42" i="20"/>
  <c r="G42" i="20" s="1"/>
  <c r="H42" i="20" s="1"/>
  <c r="I42" i="20" s="1"/>
  <c r="J42" i="20" s="1"/>
  <c r="K42" i="20" s="1"/>
  <c r="E37" i="20"/>
  <c r="F40" i="20"/>
  <c r="F194" i="20"/>
  <c r="F200" i="20" s="1"/>
  <c r="F208" i="20"/>
  <c r="E209" i="20"/>
  <c r="E13" i="26"/>
  <c r="E48" i="31" s="1"/>
  <c r="F168" i="26"/>
  <c r="G13" i="26"/>
  <c r="F211" i="26"/>
  <c r="F126" i="26"/>
  <c r="E194" i="20"/>
  <c r="E200" i="20" s="1"/>
  <c r="F180" i="20"/>
  <c r="E180" i="20"/>
  <c r="F129" i="20"/>
  <c r="F36" i="30" s="1"/>
  <c r="F185" i="30" s="1"/>
  <c r="E31" i="20"/>
  <c r="E109" i="20" s="1"/>
  <c r="F205" i="20"/>
  <c r="F163" i="20"/>
  <c r="G31" i="20"/>
  <c r="G109" i="20" s="1"/>
  <c r="H107" i="20"/>
  <c r="F105" i="20"/>
  <c r="E105" i="20"/>
  <c r="F104" i="20"/>
  <c r="G104" i="20" s="1"/>
  <c r="F98" i="20"/>
  <c r="E98" i="20"/>
  <c r="F96" i="20"/>
  <c r="E96" i="20"/>
  <c r="F60" i="20"/>
  <c r="E60" i="20"/>
  <c r="F59" i="20"/>
  <c r="E59" i="20"/>
  <c r="F55" i="20"/>
  <c r="E55" i="20"/>
  <c r="K66" i="31" l="1"/>
  <c r="K67" i="31"/>
  <c r="L67" i="31"/>
  <c r="L66" i="31"/>
  <c r="G131" i="20"/>
  <c r="H33" i="20"/>
  <c r="I39" i="20"/>
  <c r="H132" i="20"/>
  <c r="G132" i="20"/>
  <c r="G136" i="20" s="1"/>
  <c r="L7" i="32"/>
  <c r="O21" i="32" s="1"/>
  <c r="E227" i="30"/>
  <c r="F227" i="30"/>
  <c r="E42" i="28"/>
  <c r="E42" i="34"/>
  <c r="L7" i="24"/>
  <c r="T7" i="24" s="1"/>
  <c r="G48" i="31"/>
  <c r="E199" i="31"/>
  <c r="E171" i="31"/>
  <c r="E78" i="31"/>
  <c r="E220" i="31"/>
  <c r="E120" i="31"/>
  <c r="E46" i="30"/>
  <c r="E225" i="30"/>
  <c r="E228" i="30"/>
  <c r="F46" i="30"/>
  <c r="F225" i="30"/>
  <c r="F228" i="30"/>
  <c r="F206" i="30"/>
  <c r="F88" i="30"/>
  <c r="F130" i="30"/>
  <c r="G168" i="26"/>
  <c r="G78" i="26"/>
  <c r="G62" i="26"/>
  <c r="G39" i="26"/>
  <c r="E211" i="26"/>
  <c r="E39" i="26"/>
  <c r="E62" i="26"/>
  <c r="E78" i="26"/>
  <c r="H243" i="20"/>
  <c r="G88" i="20"/>
  <c r="H104" i="20"/>
  <c r="K60" i="30" s="1"/>
  <c r="G148" i="20"/>
  <c r="G57" i="30" s="1"/>
  <c r="E62" i="20"/>
  <c r="E95" i="20"/>
  <c r="G62" i="20"/>
  <c r="G95" i="20"/>
  <c r="F147" i="20"/>
  <c r="F255" i="20" s="1"/>
  <c r="G80" i="20"/>
  <c r="G70" i="20"/>
  <c r="H70" i="20" s="1"/>
  <c r="I70" i="20" s="1"/>
  <c r="J70" i="20" s="1"/>
  <c r="K70" i="20" s="1"/>
  <c r="E147" i="20"/>
  <c r="E151" i="20" s="1"/>
  <c r="G63" i="20"/>
  <c r="H63" i="20" s="1"/>
  <c r="I63" i="20" s="1"/>
  <c r="J63" i="20" s="1"/>
  <c r="K64" i="20"/>
  <c r="G65" i="20"/>
  <c r="H65" i="20" s="1"/>
  <c r="I65" i="20" s="1"/>
  <c r="F43" i="20"/>
  <c r="F37" i="20"/>
  <c r="G105" i="20"/>
  <c r="H105" i="20" s="1"/>
  <c r="I105" i="20" s="1"/>
  <c r="J105" i="20" s="1"/>
  <c r="K105" i="20" s="1"/>
  <c r="E202" i="20"/>
  <c r="F202" i="20"/>
  <c r="H13" i="26"/>
  <c r="G211" i="26"/>
  <c r="G98" i="26"/>
  <c r="E98" i="26"/>
  <c r="G126" i="26"/>
  <c r="E168" i="26"/>
  <c r="E126" i="26"/>
  <c r="G205" i="20"/>
  <c r="G163" i="20"/>
  <c r="G129" i="20"/>
  <c r="G36" i="30" s="1"/>
  <c r="G185" i="30" s="1"/>
  <c r="H31" i="20"/>
  <c r="H109" i="20" s="1"/>
  <c r="G253" i="20"/>
  <c r="E253" i="20"/>
  <c r="E205" i="20"/>
  <c r="E163" i="20"/>
  <c r="E129" i="20"/>
  <c r="E36" i="30" s="1"/>
  <c r="E185" i="30" s="1"/>
  <c r="E97" i="20"/>
  <c r="F97" i="20"/>
  <c r="H55" i="20"/>
  <c r="H150" i="20" s="1"/>
  <c r="K63" i="30" s="1"/>
  <c r="I107" i="20"/>
  <c r="G159" i="31"/>
  <c r="F74" i="26"/>
  <c r="E74" i="26"/>
  <c r="K122" i="26"/>
  <c r="J122" i="26"/>
  <c r="I122" i="26"/>
  <c r="H122" i="26"/>
  <c r="G122" i="26"/>
  <c r="K121" i="26"/>
  <c r="J121" i="26"/>
  <c r="I121" i="26"/>
  <c r="H121" i="26"/>
  <c r="G121" i="26"/>
  <c r="F37" i="26"/>
  <c r="E37" i="26"/>
  <c r="F36" i="26"/>
  <c r="E36" i="26"/>
  <c r="G199" i="26"/>
  <c r="G157" i="31" s="1"/>
  <c r="H198" i="26"/>
  <c r="I198" i="26"/>
  <c r="J198" i="26"/>
  <c r="K198" i="26"/>
  <c r="G198" i="26"/>
  <c r="G203" i="26"/>
  <c r="G216" i="26"/>
  <c r="G227" i="31" s="1"/>
  <c r="G178" i="26"/>
  <c r="G135" i="31" s="1"/>
  <c r="N71" i="30" l="1"/>
  <c r="N134" i="30" s="1"/>
  <c r="N73" i="31"/>
  <c r="N123" i="31" s="1"/>
  <c r="M71" i="30"/>
  <c r="M134" i="30" s="1"/>
  <c r="M73" i="31"/>
  <c r="M123" i="31" s="1"/>
  <c r="L73" i="30"/>
  <c r="L136" i="30" s="1"/>
  <c r="L74" i="31"/>
  <c r="L124" i="31" s="1"/>
  <c r="M167" i="30"/>
  <c r="M155" i="31"/>
  <c r="M73" i="30"/>
  <c r="M136" i="30" s="1"/>
  <c r="M74" i="31"/>
  <c r="M124" i="31" s="1"/>
  <c r="K73" i="30"/>
  <c r="K136" i="30" s="1"/>
  <c r="K74" i="31"/>
  <c r="K124" i="31" s="1"/>
  <c r="K71" i="30"/>
  <c r="K134" i="30" s="1"/>
  <c r="K73" i="31"/>
  <c r="K123" i="31" s="1"/>
  <c r="N167" i="30"/>
  <c r="N155" i="31"/>
  <c r="L167" i="30"/>
  <c r="L155" i="31"/>
  <c r="N73" i="30"/>
  <c r="N136" i="30" s="1"/>
  <c r="N74" i="31"/>
  <c r="N124" i="31" s="1"/>
  <c r="K167" i="30"/>
  <c r="K155" i="31"/>
  <c r="L71" i="30"/>
  <c r="L134" i="30" s="1"/>
  <c r="L73" i="31"/>
  <c r="L123" i="31" s="1"/>
  <c r="J39" i="20"/>
  <c r="I132" i="20"/>
  <c r="I33" i="20"/>
  <c r="H131" i="20"/>
  <c r="L21" i="32"/>
  <c r="T7" i="32"/>
  <c r="O7" i="32"/>
  <c r="M7" i="32"/>
  <c r="P21" i="32" s="1"/>
  <c r="G42" i="28"/>
  <c r="G74" i="28" s="1"/>
  <c r="G42" i="34"/>
  <c r="H203" i="26"/>
  <c r="G163" i="31"/>
  <c r="M7" i="24"/>
  <c r="K48" i="31"/>
  <c r="F259" i="20"/>
  <c r="F264" i="20" s="1"/>
  <c r="G155" i="31"/>
  <c r="G199" i="31"/>
  <c r="G171" i="31"/>
  <c r="G78" i="31"/>
  <c r="G220" i="31"/>
  <c r="G120" i="31"/>
  <c r="J48" i="31"/>
  <c r="G172" i="26"/>
  <c r="G160" i="26" s="1"/>
  <c r="H122" i="30" s="1"/>
  <c r="G74" i="31"/>
  <c r="G124" i="31" s="1"/>
  <c r="G171" i="26"/>
  <c r="G73" i="31"/>
  <c r="G123" i="31" s="1"/>
  <c r="F56" i="30"/>
  <c r="F217" i="30"/>
  <c r="E56" i="30"/>
  <c r="E217" i="30"/>
  <c r="I104" i="20"/>
  <c r="L60" i="30" s="1"/>
  <c r="K171" i="26"/>
  <c r="H172" i="26"/>
  <c r="J171" i="26"/>
  <c r="I172" i="26"/>
  <c r="J172" i="26"/>
  <c r="H171" i="26"/>
  <c r="K172" i="26"/>
  <c r="I171" i="26"/>
  <c r="E88" i="30"/>
  <c r="E130" i="30"/>
  <c r="E206" i="30"/>
  <c r="G130" i="30"/>
  <c r="G88" i="30"/>
  <c r="G206" i="30"/>
  <c r="J36" i="30"/>
  <c r="J185" i="30" s="1"/>
  <c r="I13" i="26"/>
  <c r="H39" i="26"/>
  <c r="H62" i="26"/>
  <c r="H78" i="26"/>
  <c r="E153" i="20"/>
  <c r="E156" i="20" s="1"/>
  <c r="E267" i="20"/>
  <c r="H88" i="20"/>
  <c r="I243" i="20"/>
  <c r="G215" i="20"/>
  <c r="H80" i="20"/>
  <c r="F151" i="20"/>
  <c r="F263" i="20"/>
  <c r="H62" i="20"/>
  <c r="H95" i="20"/>
  <c r="E255" i="20"/>
  <c r="J65" i="20"/>
  <c r="K63" i="20"/>
  <c r="H136" i="20"/>
  <c r="G135" i="20"/>
  <c r="G133" i="20"/>
  <c r="G134" i="20" s="1"/>
  <c r="G261" i="20" s="1"/>
  <c r="G216" i="30" s="1"/>
  <c r="H98" i="26"/>
  <c r="H168" i="26"/>
  <c r="H211" i="26"/>
  <c r="H126" i="26"/>
  <c r="I31" i="20"/>
  <c r="I109" i="20" s="1"/>
  <c r="H163" i="20"/>
  <c r="H129" i="20"/>
  <c r="K36" i="30" s="1"/>
  <c r="K185" i="30" s="1"/>
  <c r="H253" i="20"/>
  <c r="H205" i="20"/>
  <c r="J107" i="20"/>
  <c r="E57" i="20"/>
  <c r="I55" i="20"/>
  <c r="I150" i="20" s="1"/>
  <c r="L63" i="30" s="1"/>
  <c r="G70" i="26"/>
  <c r="H70" i="26" s="1"/>
  <c r="I70" i="26" s="1"/>
  <c r="J70" i="26" s="1"/>
  <c r="K70" i="26" s="1"/>
  <c r="F41" i="26"/>
  <c r="E41" i="26"/>
  <c r="F216" i="26"/>
  <c r="F227" i="31" s="1"/>
  <c r="E216" i="26"/>
  <c r="E227" i="31" s="1"/>
  <c r="H110" i="26"/>
  <c r="E195" i="26"/>
  <c r="E171" i="26"/>
  <c r="F171" i="26"/>
  <c r="E172" i="26"/>
  <c r="F172" i="26"/>
  <c r="H104" i="26"/>
  <c r="H82" i="26" s="1"/>
  <c r="E22" i="26"/>
  <c r="E24" i="26"/>
  <c r="E25" i="26" s="1"/>
  <c r="E18" i="26"/>
  <c r="E19" i="26" s="1"/>
  <c r="F18" i="26"/>
  <c r="G18" i="26" s="1"/>
  <c r="F21" i="26"/>
  <c r="E16" i="26"/>
  <c r="F16" i="26"/>
  <c r="F102" i="26"/>
  <c r="F50" i="31" s="1"/>
  <c r="E102" i="26"/>
  <c r="K177" i="30" l="1"/>
  <c r="K163" i="31"/>
  <c r="J122" i="30"/>
  <c r="K26" i="30"/>
  <c r="F22" i="26"/>
  <c r="G21" i="26"/>
  <c r="H18" i="26"/>
  <c r="G100" i="26"/>
  <c r="P7" i="32"/>
  <c r="J33" i="20"/>
  <c r="I131" i="20"/>
  <c r="I135" i="20" s="1"/>
  <c r="K39" i="20"/>
  <c r="K132" i="20" s="1"/>
  <c r="J132" i="20"/>
  <c r="E50" i="31"/>
  <c r="E239" i="31" s="1"/>
  <c r="E219" i="26"/>
  <c r="J104" i="20"/>
  <c r="M21" i="32"/>
  <c r="B16" i="35" s="1"/>
  <c r="N7" i="32"/>
  <c r="V7" i="32" s="1"/>
  <c r="U7" i="32"/>
  <c r="H42" i="28"/>
  <c r="H74" i="28" s="1"/>
  <c r="H42" i="34"/>
  <c r="H160" i="26"/>
  <c r="I160" i="26" s="1"/>
  <c r="J160" i="26" s="1"/>
  <c r="K160" i="26" s="1"/>
  <c r="I126" i="26"/>
  <c r="N7" i="24"/>
  <c r="L48" i="31"/>
  <c r="E259" i="20"/>
  <c r="E264" i="20" s="1"/>
  <c r="E276" i="20"/>
  <c r="E277" i="20" s="1"/>
  <c r="G112" i="31"/>
  <c r="J112" i="31" s="1"/>
  <c r="K199" i="31"/>
  <c r="K120" i="31"/>
  <c r="K78" i="31"/>
  <c r="K171" i="31"/>
  <c r="K220" i="31"/>
  <c r="J120" i="31"/>
  <c r="J78" i="31"/>
  <c r="J171" i="31"/>
  <c r="J199" i="31"/>
  <c r="J220" i="31"/>
  <c r="P7" i="24"/>
  <c r="U7" i="24"/>
  <c r="G189" i="20"/>
  <c r="H148" i="20" s="1"/>
  <c r="K57" i="30" s="1"/>
  <c r="G144" i="30"/>
  <c r="F238" i="31"/>
  <c r="F239" i="31"/>
  <c r="F242" i="31"/>
  <c r="F52" i="31"/>
  <c r="I203" i="26"/>
  <c r="J13" i="26"/>
  <c r="J98" i="26" s="1"/>
  <c r="E65" i="30"/>
  <c r="E208" i="30"/>
  <c r="F65" i="30"/>
  <c r="F208" i="30"/>
  <c r="I168" i="26"/>
  <c r="G233" i="20"/>
  <c r="G38" i="30"/>
  <c r="G40" i="30" s="1"/>
  <c r="E265" i="20"/>
  <c r="E160" i="20"/>
  <c r="J206" i="30"/>
  <c r="J130" i="30"/>
  <c r="J88" i="30"/>
  <c r="K206" i="30"/>
  <c r="K88" i="30"/>
  <c r="K130" i="30"/>
  <c r="I62" i="26"/>
  <c r="I39" i="26"/>
  <c r="I78" i="26"/>
  <c r="I211" i="26"/>
  <c r="I98" i="26"/>
  <c r="F153" i="20"/>
  <c r="F156" i="20" s="1"/>
  <c r="F267" i="20"/>
  <c r="F276" i="20" s="1"/>
  <c r="F277" i="20" s="1"/>
  <c r="E207" i="20"/>
  <c r="E228" i="20" s="1"/>
  <c r="E247" i="20" s="1"/>
  <c r="E250" i="20" s="1"/>
  <c r="F249" i="20" s="1"/>
  <c r="I88" i="20"/>
  <c r="G112" i="20"/>
  <c r="G232" i="20"/>
  <c r="J243" i="20"/>
  <c r="I80" i="20"/>
  <c r="F57" i="20"/>
  <c r="I95" i="20"/>
  <c r="I62" i="20"/>
  <c r="G167" i="20"/>
  <c r="G92" i="30" s="1"/>
  <c r="G230" i="20"/>
  <c r="G191" i="20"/>
  <c r="G169" i="20"/>
  <c r="G94" i="30" s="1"/>
  <c r="G185" i="20"/>
  <c r="E263" i="20"/>
  <c r="K65" i="20"/>
  <c r="G137" i="20"/>
  <c r="H133" i="20"/>
  <c r="H134" i="20" s="1"/>
  <c r="G213" i="20"/>
  <c r="G212" i="20"/>
  <c r="G139" i="30" s="1"/>
  <c r="I136" i="20"/>
  <c r="H135" i="20"/>
  <c r="G142" i="20"/>
  <c r="G141" i="20"/>
  <c r="J31" i="20"/>
  <c r="J109" i="20" s="1"/>
  <c r="I129" i="20"/>
  <c r="L36" i="30" s="1"/>
  <c r="L185" i="30" s="1"/>
  <c r="I253" i="20"/>
  <c r="I205" i="20"/>
  <c r="I163" i="20"/>
  <c r="J55" i="20"/>
  <c r="J150" i="20" s="1"/>
  <c r="M63" i="30" s="1"/>
  <c r="K107" i="20"/>
  <c r="E57" i="26"/>
  <c r="E60" i="26"/>
  <c r="E59" i="26"/>
  <c r="F59" i="26"/>
  <c r="F57" i="26"/>
  <c r="F60" i="26"/>
  <c r="E51" i="26"/>
  <c r="E52" i="26"/>
  <c r="F47" i="26"/>
  <c r="F52" i="26"/>
  <c r="F51" i="26"/>
  <c r="F42" i="26"/>
  <c r="F105" i="26"/>
  <c r="F220" i="26" s="1"/>
  <c r="E105" i="26"/>
  <c r="E220" i="26" s="1"/>
  <c r="I104" i="26"/>
  <c r="I82" i="26" s="1"/>
  <c r="H216" i="26"/>
  <c r="K227" i="31" s="1"/>
  <c r="H178" i="26"/>
  <c r="E49" i="26"/>
  <c r="F49" i="26"/>
  <c r="E47" i="26"/>
  <c r="E42" i="26"/>
  <c r="F29" i="26"/>
  <c r="E30" i="26"/>
  <c r="E29" i="26"/>
  <c r="F30" i="26"/>
  <c r="I110" i="26"/>
  <c r="F195" i="26"/>
  <c r="F24" i="26"/>
  <c r="F19" i="26"/>
  <c r="F161" i="26"/>
  <c r="F155" i="26"/>
  <c r="F149" i="26"/>
  <c r="E161" i="26"/>
  <c r="E155" i="26"/>
  <c r="E149" i="26"/>
  <c r="L177" i="30" l="1"/>
  <c r="L163" i="31"/>
  <c r="K147" i="30"/>
  <c r="K135" i="31"/>
  <c r="E241" i="31"/>
  <c r="K104" i="20"/>
  <c r="N60" i="30" s="1"/>
  <c r="M60" i="30"/>
  <c r="H261" i="20"/>
  <c r="K38" i="30"/>
  <c r="E242" i="31"/>
  <c r="E238" i="31"/>
  <c r="E52" i="31"/>
  <c r="E231" i="31" s="1"/>
  <c r="F25" i="26"/>
  <c r="G24" i="26"/>
  <c r="H24" i="26" s="1"/>
  <c r="I24" i="26" s="1"/>
  <c r="J24" i="26" s="1"/>
  <c r="K24" i="26" s="1"/>
  <c r="I18" i="26"/>
  <c r="H100" i="26"/>
  <c r="H21" i="26"/>
  <c r="K33" i="20"/>
  <c r="K131" i="20" s="1"/>
  <c r="K135" i="20" s="1"/>
  <c r="J131" i="20"/>
  <c r="J135" i="20" s="1"/>
  <c r="N21" i="32"/>
  <c r="B17" i="35" s="1"/>
  <c r="Q7" i="32"/>
  <c r="Q21" i="32"/>
  <c r="G209" i="30"/>
  <c r="I42" i="28"/>
  <c r="I74" i="28" s="1"/>
  <c r="I42" i="34"/>
  <c r="J126" i="26"/>
  <c r="J168" i="26"/>
  <c r="G110" i="30"/>
  <c r="G225" i="20"/>
  <c r="G155" i="30" s="1"/>
  <c r="G176" i="20"/>
  <c r="G101" i="30" s="1"/>
  <c r="G163" i="30"/>
  <c r="J39" i="26"/>
  <c r="M48" i="31"/>
  <c r="L199" i="31"/>
  <c r="L78" i="31"/>
  <c r="L220" i="31"/>
  <c r="L171" i="31"/>
  <c r="L120" i="31"/>
  <c r="Q7" i="24"/>
  <c r="V7" i="24"/>
  <c r="G116" i="30"/>
  <c r="G226" i="20"/>
  <c r="G156" i="30" s="1"/>
  <c r="G273" i="20"/>
  <c r="G162" i="30"/>
  <c r="G228" i="30" s="1"/>
  <c r="G272" i="20"/>
  <c r="G141" i="30"/>
  <c r="G211" i="30" s="1"/>
  <c r="G270" i="20"/>
  <c r="G160" i="30"/>
  <c r="G225" i="30" s="1"/>
  <c r="G114" i="30"/>
  <c r="J203" i="26"/>
  <c r="F231" i="31"/>
  <c r="J78" i="26"/>
  <c r="K13" i="26"/>
  <c r="K78" i="26" s="1"/>
  <c r="J211" i="26"/>
  <c r="J62" i="26"/>
  <c r="F214" i="30"/>
  <c r="F219" i="30" s="1"/>
  <c r="F218" i="30"/>
  <c r="F69" i="30"/>
  <c r="F74" i="30" s="1"/>
  <c r="F222" i="30"/>
  <c r="F231" i="30" s="1"/>
  <c r="F232" i="30" s="1"/>
  <c r="E218" i="30"/>
  <c r="E214" i="30"/>
  <c r="E219" i="30" s="1"/>
  <c r="E69" i="30"/>
  <c r="E74" i="30" s="1"/>
  <c r="E222" i="30"/>
  <c r="E231" i="30" s="1"/>
  <c r="E232" i="30" s="1"/>
  <c r="H233" i="20"/>
  <c r="F207" i="20"/>
  <c r="F228" i="20" s="1"/>
  <c r="F247" i="20" s="1"/>
  <c r="F250" i="20" s="1"/>
  <c r="G249" i="20" s="1"/>
  <c r="F160" i="20"/>
  <c r="G42" i="30"/>
  <c r="G44" i="30" s="1"/>
  <c r="L206" i="30"/>
  <c r="L88" i="30"/>
  <c r="L130" i="30"/>
  <c r="H215" i="20"/>
  <c r="K144" i="30" s="1"/>
  <c r="G173" i="20"/>
  <c r="G269" i="20"/>
  <c r="F265" i="20"/>
  <c r="G114" i="20"/>
  <c r="G175" i="20"/>
  <c r="G100" i="30" s="1"/>
  <c r="G234" i="20"/>
  <c r="H112" i="20"/>
  <c r="H232" i="20"/>
  <c r="J88" i="20"/>
  <c r="K243" i="20"/>
  <c r="J80" i="20"/>
  <c r="J62" i="20"/>
  <c r="J95" i="20"/>
  <c r="G184" i="20"/>
  <c r="G109" i="30" s="1"/>
  <c r="H167" i="20"/>
  <c r="H220" i="20" s="1"/>
  <c r="H230" i="20"/>
  <c r="H191" i="20"/>
  <c r="H226" i="20" s="1"/>
  <c r="H169" i="20"/>
  <c r="H185" i="20"/>
  <c r="H225" i="20" s="1"/>
  <c r="H141" i="20"/>
  <c r="G222" i="20"/>
  <c r="G152" i="30" s="1"/>
  <c r="H142" i="20"/>
  <c r="H213" i="20"/>
  <c r="H212" i="20"/>
  <c r="G220" i="20"/>
  <c r="G150" i="30" s="1"/>
  <c r="G168" i="20"/>
  <c r="G93" i="30" s="1"/>
  <c r="G174" i="20"/>
  <c r="G99" i="30" s="1"/>
  <c r="G138" i="20"/>
  <c r="G262" i="20" s="1"/>
  <c r="H137" i="20"/>
  <c r="H138" i="20" s="1"/>
  <c r="G257" i="20"/>
  <c r="G256" i="20"/>
  <c r="G145" i="20"/>
  <c r="G48" i="30" s="1"/>
  <c r="G54" i="30" s="1"/>
  <c r="K136" i="20"/>
  <c r="J136" i="20"/>
  <c r="I133" i="20"/>
  <c r="I134" i="20" s="1"/>
  <c r="L38" i="30" s="1"/>
  <c r="I137" i="20"/>
  <c r="L42" i="30" s="1"/>
  <c r="K31" i="20"/>
  <c r="K109" i="20" s="1"/>
  <c r="J205" i="20"/>
  <c r="J163" i="20"/>
  <c r="J253" i="20"/>
  <c r="J129" i="20"/>
  <c r="M36" i="30" s="1"/>
  <c r="M185" i="30" s="1"/>
  <c r="K55" i="20"/>
  <c r="K150" i="20" s="1"/>
  <c r="N63" i="30" s="1"/>
  <c r="G47" i="26"/>
  <c r="H47" i="26" s="1"/>
  <c r="G42" i="26"/>
  <c r="H42" i="26" s="1"/>
  <c r="G49" i="26"/>
  <c r="H49" i="26" s="1"/>
  <c r="I49" i="26" s="1"/>
  <c r="J49" i="26" s="1"/>
  <c r="K49" i="26" s="1"/>
  <c r="J104" i="26"/>
  <c r="J82" i="26" s="1"/>
  <c r="I216" i="26"/>
  <c r="L227" i="31" s="1"/>
  <c r="I178" i="26"/>
  <c r="J110" i="26"/>
  <c r="F157" i="26"/>
  <c r="F163" i="26" s="1"/>
  <c r="E141" i="26"/>
  <c r="E157" i="26"/>
  <c r="E163" i="26" s="1"/>
  <c r="F141" i="26"/>
  <c r="L147" i="30" l="1"/>
  <c r="L135" i="31"/>
  <c r="M177" i="30"/>
  <c r="M163" i="31"/>
  <c r="H272" i="20"/>
  <c r="K42" i="30"/>
  <c r="G101" i="26"/>
  <c r="G102" i="26" s="1"/>
  <c r="I21" i="26"/>
  <c r="H101" i="26"/>
  <c r="J18" i="26"/>
  <c r="I100" i="26"/>
  <c r="G224" i="20"/>
  <c r="G154" i="30" s="1"/>
  <c r="G227" i="30"/>
  <c r="G164" i="30"/>
  <c r="J42" i="28"/>
  <c r="J74" i="28" s="1"/>
  <c r="J42" i="34"/>
  <c r="K126" i="26"/>
  <c r="K168" i="26"/>
  <c r="K211" i="26"/>
  <c r="H270" i="20"/>
  <c r="K98" i="26"/>
  <c r="N48" i="31"/>
  <c r="M199" i="31"/>
  <c r="M120" i="31"/>
  <c r="M78" i="31"/>
  <c r="M220" i="31"/>
  <c r="M171" i="31"/>
  <c r="H176" i="20"/>
  <c r="I261" i="20"/>
  <c r="K203" i="26"/>
  <c r="K62" i="26"/>
  <c r="K39" i="26"/>
  <c r="F220" i="30"/>
  <c r="F80" i="30"/>
  <c r="F132" i="30"/>
  <c r="F158" i="30" s="1"/>
  <c r="F179" i="30" s="1"/>
  <c r="G46" i="30"/>
  <c r="G217" i="30" s="1"/>
  <c r="G224" i="30"/>
  <c r="E220" i="30"/>
  <c r="E80" i="30"/>
  <c r="E132" i="30"/>
  <c r="E158" i="30" s="1"/>
  <c r="E179" i="30" s="1"/>
  <c r="E182" i="30" s="1"/>
  <c r="F181" i="30" s="1"/>
  <c r="H189" i="20"/>
  <c r="I148" i="20" s="1"/>
  <c r="H273" i="20"/>
  <c r="M206" i="30"/>
  <c r="M130" i="30"/>
  <c r="M88" i="30"/>
  <c r="G186" i="20"/>
  <c r="G98" i="30"/>
  <c r="H269" i="20"/>
  <c r="I112" i="20"/>
  <c r="I232" i="20"/>
  <c r="H175" i="20"/>
  <c r="H234" i="20"/>
  <c r="K88" i="20"/>
  <c r="H173" i="20"/>
  <c r="I233" i="20"/>
  <c r="H184" i="20"/>
  <c r="H224" i="20" s="1"/>
  <c r="H257" i="20"/>
  <c r="H114" i="20"/>
  <c r="K80" i="20"/>
  <c r="K95" i="20"/>
  <c r="K62" i="20"/>
  <c r="H174" i="20"/>
  <c r="H223" i="20" s="1"/>
  <c r="H145" i="20"/>
  <c r="K48" i="30" s="1"/>
  <c r="H256" i="20"/>
  <c r="H168" i="20"/>
  <c r="H221" i="20" s="1"/>
  <c r="I138" i="20"/>
  <c r="I262" i="20" s="1"/>
  <c r="I141" i="20"/>
  <c r="I191" i="20"/>
  <c r="I226" i="20" s="1"/>
  <c r="I230" i="20"/>
  <c r="I185" i="20"/>
  <c r="I225" i="20" s="1"/>
  <c r="I167" i="20"/>
  <c r="I220" i="20" s="1"/>
  <c r="I169" i="20"/>
  <c r="K133" i="20"/>
  <c r="K134" i="20" s="1"/>
  <c r="N38" i="30" s="1"/>
  <c r="H222" i="20"/>
  <c r="I168" i="20"/>
  <c r="G223" i="20"/>
  <c r="G153" i="30" s="1"/>
  <c r="G190" i="20"/>
  <c r="I184" i="20"/>
  <c r="K137" i="20"/>
  <c r="N42" i="30" s="1"/>
  <c r="G221" i="20"/>
  <c r="G151" i="30" s="1"/>
  <c r="I142" i="20"/>
  <c r="J133" i="20"/>
  <c r="J134" i="20" s="1"/>
  <c r="M38" i="30" s="1"/>
  <c r="G147" i="20"/>
  <c r="G151" i="20" s="1"/>
  <c r="H262" i="20"/>
  <c r="I212" i="20"/>
  <c r="I213" i="20"/>
  <c r="J137" i="20"/>
  <c r="J184" i="20" s="1"/>
  <c r="K253" i="20"/>
  <c r="K205" i="20"/>
  <c r="K163" i="20"/>
  <c r="K129" i="20"/>
  <c r="N36" i="30" s="1"/>
  <c r="N185" i="30" s="1"/>
  <c r="F107" i="20"/>
  <c r="K104" i="26"/>
  <c r="K82" i="26" s="1"/>
  <c r="J178" i="26"/>
  <c r="J216" i="26"/>
  <c r="M227" i="31" s="1"/>
  <c r="I42" i="26"/>
  <c r="I47" i="26"/>
  <c r="K110" i="26"/>
  <c r="H102" i="26"/>
  <c r="M147" i="30" l="1"/>
  <c r="M135" i="31"/>
  <c r="N177" i="30"/>
  <c r="N163" i="31"/>
  <c r="K39" i="30"/>
  <c r="K40" i="30" s="1"/>
  <c r="K50" i="31"/>
  <c r="I215" i="20"/>
  <c r="L144" i="30" s="1"/>
  <c r="L57" i="30"/>
  <c r="M42" i="30"/>
  <c r="K18" i="26"/>
  <c r="K100" i="26" s="1"/>
  <c r="J100" i="26"/>
  <c r="J21" i="26"/>
  <c r="I101" i="26"/>
  <c r="J224" i="20"/>
  <c r="I224" i="20"/>
  <c r="K261" i="20"/>
  <c r="K42" i="28"/>
  <c r="K42" i="34"/>
  <c r="I269" i="20"/>
  <c r="N199" i="31"/>
  <c r="N171" i="31"/>
  <c r="N220" i="31"/>
  <c r="N78" i="31"/>
  <c r="N120" i="31"/>
  <c r="G50" i="31"/>
  <c r="G56" i="30"/>
  <c r="I270" i="20"/>
  <c r="J261" i="20"/>
  <c r="F182" i="30"/>
  <c r="G181" i="30" s="1"/>
  <c r="I176" i="20"/>
  <c r="I273" i="20"/>
  <c r="K232" i="20"/>
  <c r="J233" i="20"/>
  <c r="G111" i="30"/>
  <c r="G192" i="20"/>
  <c r="G194" i="20" s="1"/>
  <c r="G115" i="30"/>
  <c r="N206" i="30"/>
  <c r="N130" i="30"/>
  <c r="N88" i="30"/>
  <c r="I114" i="20"/>
  <c r="I272" i="20"/>
  <c r="I173" i="20"/>
  <c r="K233" i="20"/>
  <c r="I175" i="20"/>
  <c r="J212" i="20"/>
  <c r="J232" i="20"/>
  <c r="I234" i="20"/>
  <c r="J112" i="20"/>
  <c r="H186" i="20"/>
  <c r="K112" i="20"/>
  <c r="G152" i="20"/>
  <c r="G67" i="30" s="1"/>
  <c r="G111" i="20"/>
  <c r="G115" i="20" s="1"/>
  <c r="G118" i="20" s="1"/>
  <c r="G119" i="20" s="1"/>
  <c r="G122" i="20" s="1"/>
  <c r="G124" i="20" s="1"/>
  <c r="H147" i="20"/>
  <c r="J141" i="20"/>
  <c r="J168" i="20"/>
  <c r="J221" i="20" s="1"/>
  <c r="J213" i="20"/>
  <c r="J142" i="20"/>
  <c r="I221" i="20"/>
  <c r="J138" i="20"/>
  <c r="J262" i="20" s="1"/>
  <c r="K230" i="20"/>
  <c r="K191" i="20"/>
  <c r="K185" i="20"/>
  <c r="K167" i="20"/>
  <c r="K169" i="20"/>
  <c r="K142" i="20"/>
  <c r="J230" i="20"/>
  <c r="J191" i="20"/>
  <c r="J226" i="20" s="1"/>
  <c r="J185" i="20"/>
  <c r="J225" i="20" s="1"/>
  <c r="J167" i="20"/>
  <c r="J169" i="20"/>
  <c r="K212" i="20"/>
  <c r="K141" i="20"/>
  <c r="K213" i="20"/>
  <c r="I222" i="20"/>
  <c r="I186" i="20"/>
  <c r="H190" i="20"/>
  <c r="H192" i="20" s="1"/>
  <c r="G227" i="20"/>
  <c r="G157" i="30" s="1"/>
  <c r="K138" i="20"/>
  <c r="K262" i="20" s="1"/>
  <c r="I174" i="20"/>
  <c r="K168" i="20"/>
  <c r="K184" i="20"/>
  <c r="K224" i="20" s="1"/>
  <c r="I257" i="20"/>
  <c r="I256" i="20"/>
  <c r="I145" i="20"/>
  <c r="L48" i="30" s="1"/>
  <c r="G255" i="20"/>
  <c r="G259" i="20" s="1"/>
  <c r="G264" i="20" s="1"/>
  <c r="G193" i="26"/>
  <c r="G194" i="26"/>
  <c r="H194" i="26"/>
  <c r="H193" i="26"/>
  <c r="G174" i="26"/>
  <c r="G127" i="31" s="1"/>
  <c r="G225" i="31" s="1"/>
  <c r="G173" i="26"/>
  <c r="G191" i="26"/>
  <c r="H132" i="26"/>
  <c r="H191" i="26"/>
  <c r="H173" i="26"/>
  <c r="H174" i="26"/>
  <c r="H148" i="26"/>
  <c r="J47" i="26"/>
  <c r="H154" i="26"/>
  <c r="J42" i="26"/>
  <c r="G103" i="26"/>
  <c r="G154" i="26"/>
  <c r="H116" i="30" s="1"/>
  <c r="J116" i="30" s="1"/>
  <c r="G132" i="26"/>
  <c r="I94" i="30" s="1"/>
  <c r="J94" i="30" s="1"/>
  <c r="G148" i="26"/>
  <c r="H110" i="30" s="1"/>
  <c r="J110" i="30" s="1"/>
  <c r="K178" i="26"/>
  <c r="K216" i="26"/>
  <c r="N227" i="31" s="1"/>
  <c r="H109" i="26"/>
  <c r="H108" i="26"/>
  <c r="G109" i="26"/>
  <c r="G108" i="26"/>
  <c r="H103" i="26"/>
  <c r="I102" i="26"/>
  <c r="L42" i="28" l="1"/>
  <c r="K74" i="28"/>
  <c r="L42" i="34"/>
  <c r="K141" i="30"/>
  <c r="K127" i="31"/>
  <c r="K43" i="30"/>
  <c r="K44" i="30" s="1"/>
  <c r="K46" i="30" s="1"/>
  <c r="K51" i="31"/>
  <c r="K52" i="31" s="1"/>
  <c r="K139" i="30"/>
  <c r="K125" i="31"/>
  <c r="K160" i="30"/>
  <c r="K148" i="31"/>
  <c r="K163" i="30"/>
  <c r="K151" i="31"/>
  <c r="L39" i="30"/>
  <c r="L40" i="30" s="1"/>
  <c r="L50" i="31"/>
  <c r="L230" i="31" s="1"/>
  <c r="N147" i="30"/>
  <c r="N135" i="31"/>
  <c r="K162" i="30"/>
  <c r="K150" i="31"/>
  <c r="K242" i="31" s="1"/>
  <c r="I189" i="20"/>
  <c r="J148" i="20" s="1"/>
  <c r="K21" i="26"/>
  <c r="K101" i="26" s="1"/>
  <c r="K102" i="26" s="1"/>
  <c r="J101" i="26"/>
  <c r="H186" i="26"/>
  <c r="J176" i="20"/>
  <c r="K176" i="20" s="1"/>
  <c r="G208" i="30"/>
  <c r="G218" i="30" s="1"/>
  <c r="G65" i="30"/>
  <c r="G222" i="30" s="1"/>
  <c r="K230" i="31"/>
  <c r="G100" i="31"/>
  <c r="J100" i="31" s="1"/>
  <c r="G186" i="26"/>
  <c r="G143" i="31" s="1"/>
  <c r="G84" i="31"/>
  <c r="J84" i="31" s="1"/>
  <c r="G151" i="31"/>
  <c r="G139" i="26"/>
  <c r="I101" i="30" s="1"/>
  <c r="K272" i="20"/>
  <c r="G106" i="31"/>
  <c r="J106" i="31" s="1"/>
  <c r="G187" i="26"/>
  <c r="G144" i="31" s="1"/>
  <c r="G150" i="31"/>
  <c r="G242" i="31" s="1"/>
  <c r="G105" i="26"/>
  <c r="G220" i="26" s="1"/>
  <c r="G51" i="31"/>
  <c r="G52" i="31" s="1"/>
  <c r="J272" i="20"/>
  <c r="K228" i="30"/>
  <c r="G148" i="31"/>
  <c r="K225" i="20"/>
  <c r="J269" i="20"/>
  <c r="H187" i="26"/>
  <c r="G125" i="31"/>
  <c r="K226" i="20"/>
  <c r="K227" i="30"/>
  <c r="K216" i="30"/>
  <c r="K273" i="20"/>
  <c r="J273" i="20"/>
  <c r="H83" i="26"/>
  <c r="G83" i="26"/>
  <c r="H105" i="26"/>
  <c r="H220" i="26" s="1"/>
  <c r="G117" i="30"/>
  <c r="G119" i="30" s="1"/>
  <c r="J270" i="20"/>
  <c r="K270" i="20"/>
  <c r="K256" i="20"/>
  <c r="K269" i="20"/>
  <c r="G153" i="20"/>
  <c r="G156" i="20" s="1"/>
  <c r="G267" i="20"/>
  <c r="G276" i="20" s="1"/>
  <c r="J173" i="20"/>
  <c r="K173" i="20" s="1"/>
  <c r="K234" i="20"/>
  <c r="J175" i="20"/>
  <c r="K175" i="20" s="1"/>
  <c r="J256" i="20"/>
  <c r="J234" i="20"/>
  <c r="H194" i="20"/>
  <c r="H255" i="20"/>
  <c r="H263" i="20" s="1"/>
  <c r="G120" i="20"/>
  <c r="G126" i="20"/>
  <c r="G216" i="20" s="1"/>
  <c r="K257" i="20"/>
  <c r="K114" i="20"/>
  <c r="J257" i="20"/>
  <c r="J114" i="20"/>
  <c r="I147" i="20"/>
  <c r="J145" i="20"/>
  <c r="M48" i="30" s="1"/>
  <c r="J174" i="20"/>
  <c r="J223" i="20" s="1"/>
  <c r="K221" i="20"/>
  <c r="K145" i="20"/>
  <c r="N48" i="30" s="1"/>
  <c r="K174" i="20"/>
  <c r="K222" i="20"/>
  <c r="K220" i="20"/>
  <c r="J186" i="20"/>
  <c r="J220" i="20"/>
  <c r="J222" i="20"/>
  <c r="K186" i="20"/>
  <c r="I190" i="20"/>
  <c r="I192" i="20" s="1"/>
  <c r="I194" i="20" s="1"/>
  <c r="H227" i="20"/>
  <c r="I223" i="20"/>
  <c r="G263" i="20"/>
  <c r="G138" i="26"/>
  <c r="I194" i="26"/>
  <c r="I193" i="26"/>
  <c r="G183" i="26"/>
  <c r="G140" i="31" s="1"/>
  <c r="H183" i="26"/>
  <c r="I132" i="26"/>
  <c r="I173" i="26"/>
  <c r="I191" i="26"/>
  <c r="I174" i="26"/>
  <c r="G111" i="26"/>
  <c r="K42" i="26"/>
  <c r="I154" i="26"/>
  <c r="I187" i="26" s="1"/>
  <c r="I148" i="26"/>
  <c r="I186" i="26" s="1"/>
  <c r="H111" i="26"/>
  <c r="K47" i="26"/>
  <c r="I109" i="26"/>
  <c r="I108" i="26"/>
  <c r="I103" i="26"/>
  <c r="J102" i="26"/>
  <c r="M42" i="28" l="1"/>
  <c r="L74" i="28"/>
  <c r="M42" i="34"/>
  <c r="K231" i="31"/>
  <c r="K49" i="30"/>
  <c r="K54" i="30" s="1"/>
  <c r="K56" i="30" s="1"/>
  <c r="K54" i="31"/>
  <c r="K59" i="31" s="1"/>
  <c r="K61" i="31" s="1"/>
  <c r="L156" i="30"/>
  <c r="L144" i="31"/>
  <c r="L155" i="30"/>
  <c r="L143" i="31"/>
  <c r="M39" i="30"/>
  <c r="M40" i="30" s="1"/>
  <c r="M50" i="31"/>
  <c r="L162" i="30"/>
  <c r="L150" i="31"/>
  <c r="L242" i="31" s="1"/>
  <c r="K156" i="30"/>
  <c r="K144" i="31"/>
  <c r="K155" i="30"/>
  <c r="K143" i="31"/>
  <c r="L43" i="30"/>
  <c r="L44" i="30" s="1"/>
  <c r="L46" i="30" s="1"/>
  <c r="L51" i="31"/>
  <c r="L52" i="31" s="1"/>
  <c r="L231" i="31" s="1"/>
  <c r="L141" i="30"/>
  <c r="L211" i="30" s="1"/>
  <c r="L127" i="31"/>
  <c r="L163" i="30"/>
  <c r="L151" i="31"/>
  <c r="L160" i="30"/>
  <c r="L148" i="31"/>
  <c r="K152" i="30"/>
  <c r="K140" i="31"/>
  <c r="N39" i="30"/>
  <c r="N40" i="30" s="1"/>
  <c r="N50" i="31"/>
  <c r="N230" i="31" s="1"/>
  <c r="L139" i="30"/>
  <c r="L125" i="31"/>
  <c r="J215" i="20"/>
  <c r="M57" i="30"/>
  <c r="J101" i="30"/>
  <c r="K20" i="30"/>
  <c r="G90" i="31"/>
  <c r="J90" i="31" s="1"/>
  <c r="I100" i="30"/>
  <c r="J100" i="30" s="1"/>
  <c r="G69" i="30"/>
  <c r="G74" i="30" s="1"/>
  <c r="G132" i="30" s="1"/>
  <c r="G214" i="30"/>
  <c r="G219" i="30" s="1"/>
  <c r="K209" i="30"/>
  <c r="K225" i="30"/>
  <c r="L227" i="30"/>
  <c r="G223" i="31"/>
  <c r="G238" i="31"/>
  <c r="H117" i="20"/>
  <c r="G197" i="30"/>
  <c r="K239" i="31"/>
  <c r="H139" i="26"/>
  <c r="G91" i="31"/>
  <c r="J91" i="31" s="1"/>
  <c r="M230" i="31"/>
  <c r="L228" i="30"/>
  <c r="K225" i="31"/>
  <c r="G231" i="31"/>
  <c r="K223" i="31"/>
  <c r="K238" i="31"/>
  <c r="G113" i="26"/>
  <c r="G54" i="31"/>
  <c r="L225" i="31"/>
  <c r="G239" i="31"/>
  <c r="K211" i="30"/>
  <c r="G231" i="30"/>
  <c r="K217" i="30"/>
  <c r="K224" i="30"/>
  <c r="L216" i="30"/>
  <c r="G177" i="20"/>
  <c r="G102" i="30" s="1"/>
  <c r="G146" i="30"/>
  <c r="I105" i="26"/>
  <c r="I220" i="26" s="1"/>
  <c r="I83" i="26"/>
  <c r="H138" i="26"/>
  <c r="H113" i="26"/>
  <c r="G207" i="20"/>
  <c r="G228" i="20" s="1"/>
  <c r="G247" i="20" s="1"/>
  <c r="G250" i="20" s="1"/>
  <c r="G166" i="20" s="1"/>
  <c r="G91" i="30" s="1"/>
  <c r="G265" i="20"/>
  <c r="H259" i="20"/>
  <c r="H264" i="20" s="1"/>
  <c r="I255" i="20"/>
  <c r="I259" i="20" s="1"/>
  <c r="I264" i="20" s="1"/>
  <c r="K147" i="20"/>
  <c r="K223" i="20"/>
  <c r="J147" i="20"/>
  <c r="J190" i="20"/>
  <c r="I227" i="20"/>
  <c r="K193" i="26"/>
  <c r="K194" i="26"/>
  <c r="J193" i="26"/>
  <c r="J194" i="26"/>
  <c r="J191" i="26"/>
  <c r="J173" i="26"/>
  <c r="J174" i="26"/>
  <c r="K174" i="26"/>
  <c r="K191" i="26"/>
  <c r="K173" i="26"/>
  <c r="I183" i="26"/>
  <c r="K148" i="26"/>
  <c r="J154" i="26"/>
  <c r="J187" i="26" s="1"/>
  <c r="J148" i="26"/>
  <c r="J186" i="26" s="1"/>
  <c r="K154" i="26"/>
  <c r="J132" i="26"/>
  <c r="J183" i="26" s="1"/>
  <c r="K132" i="26"/>
  <c r="I111" i="26"/>
  <c r="K109" i="26"/>
  <c r="K108" i="26"/>
  <c r="J109" i="26"/>
  <c r="J108" i="26"/>
  <c r="K103" i="26"/>
  <c r="J103" i="26"/>
  <c r="N42" i="28" l="1"/>
  <c r="M74" i="28"/>
  <c r="N42" i="34"/>
  <c r="M163" i="30"/>
  <c r="M151" i="31"/>
  <c r="M155" i="30"/>
  <c r="M143" i="31"/>
  <c r="M156" i="30"/>
  <c r="M144" i="31"/>
  <c r="M162" i="30"/>
  <c r="M228" i="30" s="1"/>
  <c r="M150" i="31"/>
  <c r="M242" i="31" s="1"/>
  <c r="L49" i="30"/>
  <c r="L54" i="30" s="1"/>
  <c r="L56" i="30" s="1"/>
  <c r="L54" i="31"/>
  <c r="L59" i="31" s="1"/>
  <c r="L61" i="31" s="1"/>
  <c r="N163" i="30"/>
  <c r="N151" i="31"/>
  <c r="N139" i="30"/>
  <c r="N209" i="30" s="1"/>
  <c r="N125" i="31"/>
  <c r="N160" i="30"/>
  <c r="N148" i="31"/>
  <c r="N162" i="30"/>
  <c r="N150" i="31"/>
  <c r="N242" i="31" s="1"/>
  <c r="M160" i="30"/>
  <c r="M148" i="31"/>
  <c r="M152" i="30"/>
  <c r="M140" i="31"/>
  <c r="N141" i="30"/>
  <c r="N211" i="30" s="1"/>
  <c r="N127" i="31"/>
  <c r="N225" i="31" s="1"/>
  <c r="M139" i="30"/>
  <c r="M125" i="31"/>
  <c r="L152" i="30"/>
  <c r="L140" i="31"/>
  <c r="M43" i="30"/>
  <c r="M44" i="30" s="1"/>
  <c r="M46" i="30" s="1"/>
  <c r="M51" i="31"/>
  <c r="M52" i="31" s="1"/>
  <c r="M231" i="31" s="1"/>
  <c r="N43" i="30"/>
  <c r="N44" i="30" s="1"/>
  <c r="N46" i="30" s="1"/>
  <c r="N51" i="31"/>
  <c r="N52" i="31" s="1"/>
  <c r="M141" i="30"/>
  <c r="M211" i="30" s="1"/>
  <c r="M127" i="31"/>
  <c r="M225" i="31" s="1"/>
  <c r="M144" i="30"/>
  <c r="J189" i="20"/>
  <c r="G220" i="30"/>
  <c r="G158" i="30"/>
  <c r="G179" i="30" s="1"/>
  <c r="G182" i="30" s="1"/>
  <c r="K187" i="26"/>
  <c r="G178" i="20"/>
  <c r="L209" i="30"/>
  <c r="M227" i="30"/>
  <c r="K222" i="31"/>
  <c r="K232" i="31" s="1"/>
  <c r="L225" i="30"/>
  <c r="L239" i="31"/>
  <c r="I139" i="26"/>
  <c r="M209" i="30"/>
  <c r="K186" i="26"/>
  <c r="M225" i="30"/>
  <c r="G59" i="31"/>
  <c r="G61" i="31" s="1"/>
  <c r="L223" i="31"/>
  <c r="L238" i="31"/>
  <c r="N225" i="30"/>
  <c r="N228" i="30"/>
  <c r="L217" i="30"/>
  <c r="L224" i="30"/>
  <c r="M216" i="30"/>
  <c r="N216" i="30"/>
  <c r="G196" i="20"/>
  <c r="J105" i="26"/>
  <c r="J220" i="26" s="1"/>
  <c r="K105" i="26"/>
  <c r="K220" i="26" s="1"/>
  <c r="I138" i="26"/>
  <c r="I113" i="26"/>
  <c r="J83" i="26"/>
  <c r="K83" i="26"/>
  <c r="G103" i="30"/>
  <c r="G95" i="30"/>
  <c r="H249" i="20"/>
  <c r="I263" i="20"/>
  <c r="G170" i="20"/>
  <c r="H149" i="20"/>
  <c r="K61" i="30" s="1"/>
  <c r="K255" i="20"/>
  <c r="K259" i="20" s="1"/>
  <c r="K264" i="20" s="1"/>
  <c r="J255" i="20"/>
  <c r="K190" i="20"/>
  <c r="J227" i="20"/>
  <c r="K111" i="26"/>
  <c r="K183" i="26"/>
  <c r="J111" i="26"/>
  <c r="O42" i="28" l="1"/>
  <c r="N74" i="28"/>
  <c r="O42" i="34"/>
  <c r="N227" i="30"/>
  <c r="N231" i="31"/>
  <c r="M49" i="30"/>
  <c r="M54" i="30" s="1"/>
  <c r="M56" i="30" s="1"/>
  <c r="M54" i="31"/>
  <c r="M59" i="31" s="1"/>
  <c r="M61" i="31" s="1"/>
  <c r="N156" i="30"/>
  <c r="N144" i="31"/>
  <c r="N152" i="30"/>
  <c r="N140" i="31"/>
  <c r="N49" i="30"/>
  <c r="N54" i="30" s="1"/>
  <c r="N56" i="30" s="1"/>
  <c r="N54" i="31"/>
  <c r="N59" i="31" s="1"/>
  <c r="N61" i="31" s="1"/>
  <c r="N155" i="30"/>
  <c r="N143" i="31"/>
  <c r="K148" i="20"/>
  <c r="J192" i="20"/>
  <c r="J194" i="20" s="1"/>
  <c r="G180" i="20"/>
  <c r="K208" i="30"/>
  <c r="K218" i="30" s="1"/>
  <c r="L222" i="31"/>
  <c r="L228" i="31" s="1"/>
  <c r="K228" i="31"/>
  <c r="M239" i="31"/>
  <c r="J138" i="26"/>
  <c r="K138" i="26" s="1"/>
  <c r="N239" i="31"/>
  <c r="J139" i="26"/>
  <c r="G222" i="31"/>
  <c r="M223" i="31"/>
  <c r="M238" i="31"/>
  <c r="N223" i="31"/>
  <c r="N238" i="31"/>
  <c r="G198" i="20"/>
  <c r="G200" i="20" s="1"/>
  <c r="G275" i="20"/>
  <c r="G277" i="20" s="1"/>
  <c r="M217" i="30"/>
  <c r="M224" i="30"/>
  <c r="N217" i="30"/>
  <c r="N224" i="30"/>
  <c r="G121" i="30"/>
  <c r="K113" i="26"/>
  <c r="J113" i="26"/>
  <c r="G105" i="30"/>
  <c r="H151" i="20"/>
  <c r="H111" i="20" s="1"/>
  <c r="H115" i="20" s="1"/>
  <c r="H118" i="20" s="1"/>
  <c r="K263" i="20"/>
  <c r="K227" i="20"/>
  <c r="J263" i="20"/>
  <c r="J259" i="20"/>
  <c r="J264" i="20" s="1"/>
  <c r="P42" i="28" l="1"/>
  <c r="O74" i="28"/>
  <c r="P42" i="34"/>
  <c r="K215" i="20"/>
  <c r="N57" i="30"/>
  <c r="G202" i="20"/>
  <c r="K214" i="30"/>
  <c r="K219" i="30" s="1"/>
  <c r="L208" i="30"/>
  <c r="L218" i="30" s="1"/>
  <c r="L232" i="31"/>
  <c r="K233" i="31"/>
  <c r="M222" i="31"/>
  <c r="M228" i="31" s="1"/>
  <c r="M233" i="31" s="1"/>
  <c r="N222" i="31"/>
  <c r="N228" i="31" s="1"/>
  <c r="N233" i="31" s="1"/>
  <c r="L233" i="31"/>
  <c r="K139" i="26"/>
  <c r="G232" i="31"/>
  <c r="G228" i="31"/>
  <c r="G123" i="30"/>
  <c r="G125" i="30" s="1"/>
  <c r="G127" i="30" s="1"/>
  <c r="G230" i="30"/>
  <c r="H152" i="20"/>
  <c r="H153" i="20" s="1"/>
  <c r="H156" i="20" s="1"/>
  <c r="H119" i="20"/>
  <c r="H122" i="20" s="1"/>
  <c r="H124" i="20" s="1"/>
  <c r="Q42" i="28" l="1"/>
  <c r="P74" i="28"/>
  <c r="Q42" i="34"/>
  <c r="N144" i="30"/>
  <c r="K189" i="20"/>
  <c r="K192" i="20" s="1"/>
  <c r="K194" i="20" s="1"/>
  <c r="H126" i="20"/>
  <c r="H216" i="20" s="1"/>
  <c r="H177" i="20" s="1"/>
  <c r="H178" i="20" s="1"/>
  <c r="N208" i="30"/>
  <c r="N218" i="30" s="1"/>
  <c r="M208" i="30"/>
  <c r="M218" i="30" s="1"/>
  <c r="L214" i="30"/>
  <c r="L219" i="30" s="1"/>
  <c r="M232" i="31"/>
  <c r="N232" i="31"/>
  <c r="H267" i="20"/>
  <c r="H276" i="20" s="1"/>
  <c r="G233" i="31"/>
  <c r="G232" i="30"/>
  <c r="H207" i="20"/>
  <c r="H196" i="20" s="1"/>
  <c r="H275" i="20" s="1"/>
  <c r="H265" i="20"/>
  <c r="H120" i="20"/>
  <c r="I117" i="20" s="1"/>
  <c r="R42" i="28" l="1"/>
  <c r="Q74" i="28"/>
  <c r="R42" i="34"/>
  <c r="H277" i="20"/>
  <c r="M214" i="30"/>
  <c r="M219" i="30" s="1"/>
  <c r="N214" i="30"/>
  <c r="N219" i="30" s="1"/>
  <c r="H228" i="20"/>
  <c r="H247" i="20" s="1"/>
  <c r="H250" i="20" s="1"/>
  <c r="H166" i="20" s="1"/>
  <c r="H198" i="20"/>
  <c r="H200" i="20" s="1"/>
  <c r="S42" i="28" l="1"/>
  <c r="R74" i="28"/>
  <c r="S42" i="34"/>
  <c r="I249" i="20"/>
  <c r="H170" i="20"/>
  <c r="H180" i="20" s="1"/>
  <c r="H202" i="20" s="1"/>
  <c r="I149" i="20"/>
  <c r="L61" i="30" s="1"/>
  <c r="C27" i="29"/>
  <c r="C26" i="29"/>
  <c r="B23" i="29"/>
  <c r="E14" i="29"/>
  <c r="G14" i="29"/>
  <c r="B14" i="29"/>
  <c r="B2" i="29"/>
  <c r="C100" i="28"/>
  <c r="L22" i="28"/>
  <c r="L20" i="28"/>
  <c r="L19" i="28"/>
  <c r="L17" i="28"/>
  <c r="T42" i="28" l="1"/>
  <c r="S74" i="28"/>
  <c r="T42" i="34"/>
  <c r="I151" i="20"/>
  <c r="I111" i="20" s="1"/>
  <c r="I115" i="20" s="1"/>
  <c r="I118" i="20" s="1"/>
  <c r="K21" i="29"/>
  <c r="U42" i="28" l="1"/>
  <c r="T74" i="28"/>
  <c r="U42" i="34"/>
  <c r="I152" i="20"/>
  <c r="I153" i="20" s="1"/>
  <c r="I156" i="20" s="1"/>
  <c r="I119" i="20"/>
  <c r="I122" i="20" s="1"/>
  <c r="I124" i="20" s="1"/>
  <c r="D21" i="29"/>
  <c r="E21" i="29"/>
  <c r="J17" i="28" l="1"/>
  <c r="O18" i="28"/>
  <c r="U74" i="28"/>
  <c r="J18" i="28"/>
  <c r="O17" i="28"/>
  <c r="I126" i="20"/>
  <c r="I216" i="20" s="1"/>
  <c r="I177" i="20" s="1"/>
  <c r="I178" i="20" s="1"/>
  <c r="I265" i="20"/>
  <c r="I207" i="20"/>
  <c r="I196" i="20" s="1"/>
  <c r="I275" i="20" s="1"/>
  <c r="I267" i="20"/>
  <c r="I276" i="20" s="1"/>
  <c r="I120" i="20"/>
  <c r="J117" i="20" s="1"/>
  <c r="F31" i="24"/>
  <c r="C27" i="24"/>
  <c r="C28" i="24"/>
  <c r="C29" i="24"/>
  <c r="C30" i="24"/>
  <c r="C31" i="24"/>
  <c r="B27" i="24"/>
  <c r="B28" i="24"/>
  <c r="B29" i="24"/>
  <c r="B30" i="24"/>
  <c r="B31" i="24"/>
  <c r="J19" i="28" l="1"/>
  <c r="J20" i="28" s="1"/>
  <c r="J22" i="28" s="1"/>
  <c r="O19" i="28"/>
  <c r="O20" i="28" s="1"/>
  <c r="I277" i="20"/>
  <c r="I228" i="20"/>
  <c r="I247" i="20" s="1"/>
  <c r="I250" i="20" s="1"/>
  <c r="J249" i="20" s="1"/>
  <c r="I198" i="20"/>
  <c r="I200" i="20" s="1"/>
  <c r="O30" i="24"/>
  <c r="L31" i="24"/>
  <c r="G21" i="29"/>
  <c r="F30" i="24"/>
  <c r="O34" i="28" l="1"/>
  <c r="O38" i="28" s="1"/>
  <c r="O39" i="28" s="1"/>
  <c r="D85" i="28"/>
  <c r="D99" i="28"/>
  <c r="J34" i="28"/>
  <c r="J38" i="28" s="1"/>
  <c r="J39" i="28" s="1"/>
  <c r="O22" i="28"/>
  <c r="I166" i="20"/>
  <c r="I170" i="20" s="1"/>
  <c r="I180" i="20" s="1"/>
  <c r="I202" i="20" s="1"/>
  <c r="F18" i="29"/>
  <c r="H18" i="29"/>
  <c r="J18" i="29"/>
  <c r="J19" i="29"/>
  <c r="F19" i="29"/>
  <c r="H19" i="29"/>
  <c r="O31" i="24"/>
  <c r="K31" i="24"/>
  <c r="P31" i="24"/>
  <c r="Q31" i="24"/>
  <c r="M31" i="24"/>
  <c r="N31" i="24"/>
  <c r="L30" i="24"/>
  <c r="K30" i="24"/>
  <c r="M30" i="24"/>
  <c r="P30" i="24"/>
  <c r="Q30" i="24"/>
  <c r="N30" i="24"/>
  <c r="J149" i="20" l="1"/>
  <c r="E32" i="26"/>
  <c r="F32" i="26"/>
  <c r="H76" i="26"/>
  <c r="H65" i="26"/>
  <c r="H197" i="26" s="1"/>
  <c r="I65" i="26"/>
  <c r="I197" i="26" s="1"/>
  <c r="J65" i="26"/>
  <c r="J197" i="26" s="1"/>
  <c r="K65" i="26"/>
  <c r="K197" i="26" s="1"/>
  <c r="G65" i="26"/>
  <c r="G197" i="26" s="1"/>
  <c r="E63" i="26"/>
  <c r="F63" i="26"/>
  <c r="E65" i="26"/>
  <c r="F65" i="26"/>
  <c r="H72" i="26"/>
  <c r="F72" i="26"/>
  <c r="E72" i="26"/>
  <c r="E58" i="26"/>
  <c r="F58" i="26"/>
  <c r="E55" i="26"/>
  <c r="F55" i="26"/>
  <c r="N166" i="30" l="1"/>
  <c r="N154" i="31"/>
  <c r="M166" i="30"/>
  <c r="M154" i="31"/>
  <c r="M241" i="31" s="1"/>
  <c r="K166" i="30"/>
  <c r="K154" i="31"/>
  <c r="K241" i="31" s="1"/>
  <c r="L166" i="30"/>
  <c r="L154" i="31"/>
  <c r="L241" i="31" s="1"/>
  <c r="J151" i="20"/>
  <c r="J152" i="20" s="1"/>
  <c r="M61" i="30"/>
  <c r="G154" i="31"/>
  <c r="N241" i="31"/>
  <c r="J153" i="20"/>
  <c r="J156" i="20" s="1"/>
  <c r="J265" i="20" s="1"/>
  <c r="J267" i="20"/>
  <c r="J276" i="20" s="1"/>
  <c r="G201" i="26"/>
  <c r="I72" i="26"/>
  <c r="H199" i="26"/>
  <c r="I76" i="26"/>
  <c r="G58" i="26"/>
  <c r="G55" i="26"/>
  <c r="F64" i="26"/>
  <c r="G32" i="26"/>
  <c r="E64" i="26"/>
  <c r="K170" i="30" l="1"/>
  <c r="K175" i="30" s="1"/>
  <c r="K157" i="31"/>
  <c r="J111" i="20"/>
  <c r="J115" i="20" s="1"/>
  <c r="J118" i="20" s="1"/>
  <c r="J119" i="20" s="1"/>
  <c r="J122" i="20" s="1"/>
  <c r="J124" i="20" s="1"/>
  <c r="J126" i="20" s="1"/>
  <c r="J216" i="20" s="1"/>
  <c r="J177" i="20" s="1"/>
  <c r="J178" i="20" s="1"/>
  <c r="H201" i="26"/>
  <c r="G161" i="31"/>
  <c r="G241" i="31"/>
  <c r="J207" i="20"/>
  <c r="J196" i="20" s="1"/>
  <c r="J275" i="20" s="1"/>
  <c r="J277" i="20" s="1"/>
  <c r="H32" i="26"/>
  <c r="H117" i="26" s="1"/>
  <c r="G117" i="26"/>
  <c r="G69" i="31" s="1"/>
  <c r="J76" i="26"/>
  <c r="H55" i="26"/>
  <c r="G179" i="26"/>
  <c r="G136" i="31" s="1"/>
  <c r="J72" i="26"/>
  <c r="I199" i="26"/>
  <c r="H58" i="26"/>
  <c r="G192" i="26"/>
  <c r="G149" i="31" s="1"/>
  <c r="G152" i="31" s="1"/>
  <c r="E111" i="26"/>
  <c r="E54" i="31" s="1"/>
  <c r="E59" i="31" s="1"/>
  <c r="E61" i="31" s="1"/>
  <c r="F111" i="26"/>
  <c r="F54" i="31" s="1"/>
  <c r="K64" i="30" l="1"/>
  <c r="K69" i="31"/>
  <c r="J120" i="20"/>
  <c r="K117" i="20" s="1"/>
  <c r="L170" i="30"/>
  <c r="L175" i="30" s="1"/>
  <c r="L157" i="31"/>
  <c r="J228" i="20"/>
  <c r="J247" i="20" s="1"/>
  <c r="J250" i="20" s="1"/>
  <c r="K249" i="20" s="1"/>
  <c r="E70" i="31"/>
  <c r="E222" i="31"/>
  <c r="F59" i="31"/>
  <c r="F61" i="31" s="1"/>
  <c r="F241" i="31"/>
  <c r="J198" i="20"/>
  <c r="J200" i="20" s="1"/>
  <c r="I32" i="26"/>
  <c r="I117" i="26" s="1"/>
  <c r="G195" i="26"/>
  <c r="G136" i="26"/>
  <c r="I201" i="26"/>
  <c r="K72" i="26"/>
  <c r="K199" i="26" s="1"/>
  <c r="J199" i="26"/>
  <c r="I55" i="26"/>
  <c r="H179" i="26"/>
  <c r="K76" i="26"/>
  <c r="I58" i="26"/>
  <c r="H192" i="26"/>
  <c r="F231" i="26"/>
  <c r="E231" i="26"/>
  <c r="F54" i="26"/>
  <c r="E54" i="26"/>
  <c r="G54" i="26" s="1"/>
  <c r="F201" i="26"/>
  <c r="E201" i="26"/>
  <c r="F215" i="26"/>
  <c r="F230" i="26" s="1"/>
  <c r="E215" i="26"/>
  <c r="E230" i="26" s="1"/>
  <c r="F228" i="26"/>
  <c r="E228" i="26"/>
  <c r="F46" i="26"/>
  <c r="E46" i="26"/>
  <c r="F44" i="26"/>
  <c r="G44" i="26" s="1"/>
  <c r="E44" i="26"/>
  <c r="N170" i="30" l="1"/>
  <c r="N175" i="30" s="1"/>
  <c r="N157" i="31"/>
  <c r="K161" i="30"/>
  <c r="K164" i="30" s="1"/>
  <c r="K149" i="31"/>
  <c r="K152" i="31" s="1"/>
  <c r="K148" i="30"/>
  <c r="K136" i="31"/>
  <c r="L64" i="30"/>
  <c r="L69" i="31"/>
  <c r="M170" i="30"/>
  <c r="M175" i="30" s="1"/>
  <c r="M157" i="31"/>
  <c r="G88" i="31"/>
  <c r="J88" i="31" s="1"/>
  <c r="I98" i="30"/>
  <c r="J98" i="30" s="1"/>
  <c r="J166" i="20"/>
  <c r="K149" i="20" s="1"/>
  <c r="N61" i="30" s="1"/>
  <c r="F70" i="31"/>
  <c r="F222" i="31"/>
  <c r="E232" i="31"/>
  <c r="E228" i="31"/>
  <c r="E233" i="31" s="1"/>
  <c r="E72" i="31"/>
  <c r="E75" i="31" s="1"/>
  <c r="E236" i="31"/>
  <c r="H195" i="26"/>
  <c r="G81" i="26"/>
  <c r="H54" i="26"/>
  <c r="J32" i="26"/>
  <c r="J117" i="26" s="1"/>
  <c r="H136" i="26"/>
  <c r="J55" i="26"/>
  <c r="I179" i="26"/>
  <c r="J201" i="26"/>
  <c r="K201" i="26"/>
  <c r="J58" i="26"/>
  <c r="I192" i="26"/>
  <c r="H44" i="26"/>
  <c r="G137" i="26"/>
  <c r="G231" i="26"/>
  <c r="H231" i="26"/>
  <c r="F214" i="26"/>
  <c r="F227" i="26" s="1"/>
  <c r="E214" i="26"/>
  <c r="E227" i="26" s="1"/>
  <c r="F27" i="26"/>
  <c r="G41" i="26"/>
  <c r="G46" i="26"/>
  <c r="G147" i="26" s="1"/>
  <c r="F40" i="26"/>
  <c r="E113" i="26"/>
  <c r="E40" i="26"/>
  <c r="E27" i="26"/>
  <c r="G114" i="26"/>
  <c r="F113" i="26"/>
  <c r="E230" i="31"/>
  <c r="F219" i="26"/>
  <c r="F230" i="31" s="1"/>
  <c r="L161" i="30" l="1"/>
  <c r="L164" i="30" s="1"/>
  <c r="L149" i="31"/>
  <c r="L152" i="31" s="1"/>
  <c r="M64" i="30"/>
  <c r="M69" i="31"/>
  <c r="L148" i="30"/>
  <c r="L136" i="31"/>
  <c r="G99" i="31"/>
  <c r="J99" i="31" s="1"/>
  <c r="J101" i="31" s="1"/>
  <c r="H109" i="30"/>
  <c r="J109" i="30" s="1"/>
  <c r="J111" i="30" s="1"/>
  <c r="G89" i="31"/>
  <c r="J89" i="31" s="1"/>
  <c r="I99" i="30"/>
  <c r="J99" i="30" s="1"/>
  <c r="J170" i="20"/>
  <c r="J180" i="20" s="1"/>
  <c r="J202" i="20" s="1"/>
  <c r="E245" i="31"/>
  <c r="G176" i="26"/>
  <c r="G130" i="31" s="1"/>
  <c r="G62" i="31"/>
  <c r="E122" i="31"/>
  <c r="E146" i="31" s="1"/>
  <c r="E165" i="31" s="1"/>
  <c r="E168" i="31" s="1"/>
  <c r="F167" i="31" s="1"/>
  <c r="E234" i="31"/>
  <c r="F232" i="31"/>
  <c r="F228" i="31"/>
  <c r="F233" i="31" s="1"/>
  <c r="I195" i="26"/>
  <c r="F72" i="31"/>
  <c r="F75" i="31" s="1"/>
  <c r="F236" i="31"/>
  <c r="H81" i="26"/>
  <c r="I54" i="26"/>
  <c r="K151" i="20"/>
  <c r="K111" i="20" s="1"/>
  <c r="K115" i="20" s="1"/>
  <c r="K118" i="20" s="1"/>
  <c r="K32" i="26"/>
  <c r="K117" i="26" s="1"/>
  <c r="I136" i="26"/>
  <c r="K55" i="26"/>
  <c r="K179" i="26" s="1"/>
  <c r="J179" i="26"/>
  <c r="K58" i="26"/>
  <c r="K192" i="26" s="1"/>
  <c r="J192" i="26"/>
  <c r="H41" i="26"/>
  <c r="G131" i="26"/>
  <c r="I93" i="30" s="1"/>
  <c r="J93" i="30" s="1"/>
  <c r="G153" i="26"/>
  <c r="H115" i="30" s="1"/>
  <c r="J115" i="30" s="1"/>
  <c r="G184" i="26"/>
  <c r="G141" i="31" s="1"/>
  <c r="H46" i="26"/>
  <c r="H147" i="26" s="1"/>
  <c r="G185" i="26"/>
  <c r="I44" i="26"/>
  <c r="H137" i="26"/>
  <c r="I231" i="26"/>
  <c r="G215" i="26"/>
  <c r="G230" i="26" s="1"/>
  <c r="E213" i="26"/>
  <c r="E221" i="26"/>
  <c r="F221" i="26"/>
  <c r="G40" i="26"/>
  <c r="E118" i="26"/>
  <c r="G219" i="26"/>
  <c r="G230" i="31" s="1"/>
  <c r="F213" i="26"/>
  <c r="F118" i="26"/>
  <c r="F34" i="26" s="1"/>
  <c r="N161" i="30" l="1"/>
  <c r="N164" i="30" s="1"/>
  <c r="N149" i="31"/>
  <c r="N152" i="31" s="1"/>
  <c r="M148" i="30"/>
  <c r="M136" i="31"/>
  <c r="N148" i="30"/>
  <c r="N136" i="31"/>
  <c r="M161" i="30"/>
  <c r="M164" i="30" s="1"/>
  <c r="M149" i="31"/>
  <c r="M152" i="31" s="1"/>
  <c r="N64" i="30"/>
  <c r="N69" i="31"/>
  <c r="F245" i="31"/>
  <c r="F246" i="31" s="1"/>
  <c r="G105" i="31"/>
  <c r="J105" i="31" s="1"/>
  <c r="J195" i="26"/>
  <c r="G83" i="31"/>
  <c r="J83" i="31" s="1"/>
  <c r="K152" i="20"/>
  <c r="K153" i="20" s="1"/>
  <c r="K156" i="20" s="1"/>
  <c r="K265" i="20" s="1"/>
  <c r="F122" i="31"/>
  <c r="F146" i="31" s="1"/>
  <c r="F165" i="31" s="1"/>
  <c r="F168" i="31" s="1"/>
  <c r="G167" i="31" s="1"/>
  <c r="F234" i="31"/>
  <c r="K195" i="26"/>
  <c r="H184" i="26"/>
  <c r="I81" i="26"/>
  <c r="J54" i="26"/>
  <c r="K119" i="20"/>
  <c r="K122" i="20" s="1"/>
  <c r="K124" i="20" s="1"/>
  <c r="J136" i="26"/>
  <c r="E120" i="26"/>
  <c r="E123" i="26" s="1"/>
  <c r="E170" i="26" s="1"/>
  <c r="E189" i="26" s="1"/>
  <c r="E205" i="26" s="1"/>
  <c r="E208" i="26" s="1"/>
  <c r="E34" i="26"/>
  <c r="H40" i="26"/>
  <c r="G130" i="26"/>
  <c r="I92" i="30" s="1"/>
  <c r="J92" i="30" s="1"/>
  <c r="G142" i="31"/>
  <c r="G149" i="26"/>
  <c r="G182" i="26"/>
  <c r="G139" i="31" s="1"/>
  <c r="H153" i="26"/>
  <c r="G188" i="26"/>
  <c r="G145" i="31" s="1"/>
  <c r="J44" i="26"/>
  <c r="I137" i="26"/>
  <c r="I46" i="26"/>
  <c r="I147" i="26" s="1"/>
  <c r="H185" i="26"/>
  <c r="I41" i="26"/>
  <c r="H131" i="26"/>
  <c r="H182" i="26" s="1"/>
  <c r="J231" i="26"/>
  <c r="H215" i="26"/>
  <c r="H230" i="26" s="1"/>
  <c r="F217" i="26"/>
  <c r="E217" i="26"/>
  <c r="E222" i="26" s="1"/>
  <c r="E225" i="26"/>
  <c r="E234" i="26" s="1"/>
  <c r="E235" i="26" s="1"/>
  <c r="F120" i="26"/>
  <c r="F123" i="26" s="1"/>
  <c r="F170" i="26" s="1"/>
  <c r="F225" i="26"/>
  <c r="F234" i="26" s="1"/>
  <c r="F235" i="26" s="1"/>
  <c r="G228" i="26"/>
  <c r="H219" i="26"/>
  <c r="G214" i="26"/>
  <c r="G227" i="26" s="1"/>
  <c r="K151" i="30" l="1"/>
  <c r="K139" i="31"/>
  <c r="K154" i="30"/>
  <c r="K142" i="31"/>
  <c r="K153" i="30"/>
  <c r="K141" i="31"/>
  <c r="K126" i="20"/>
  <c r="K216" i="20" s="1"/>
  <c r="K177" i="20" s="1"/>
  <c r="K178" i="20" s="1"/>
  <c r="K267" i="20"/>
  <c r="K276" i="20" s="1"/>
  <c r="G82" i="31"/>
  <c r="J82" i="31" s="1"/>
  <c r="G101" i="31"/>
  <c r="J81" i="26"/>
  <c r="K54" i="26"/>
  <c r="K81" i="26" s="1"/>
  <c r="K136" i="26"/>
  <c r="K207" i="20"/>
  <c r="K196" i="20" s="1"/>
  <c r="E223" i="26"/>
  <c r="I184" i="26"/>
  <c r="K120" i="20"/>
  <c r="F207" i="26"/>
  <c r="E129" i="26"/>
  <c r="K44" i="26"/>
  <c r="K137" i="26" s="1"/>
  <c r="J137" i="26"/>
  <c r="J41" i="26"/>
  <c r="I131" i="26"/>
  <c r="H149" i="26"/>
  <c r="I153" i="26"/>
  <c r="H188" i="26"/>
  <c r="G181" i="26"/>
  <c r="G138" i="31" s="1"/>
  <c r="J46" i="26"/>
  <c r="J147" i="26" s="1"/>
  <c r="I185" i="26"/>
  <c r="I40" i="26"/>
  <c r="H130" i="26"/>
  <c r="H181" i="26" s="1"/>
  <c r="G221" i="26"/>
  <c r="K231" i="26"/>
  <c r="I215" i="26"/>
  <c r="I230" i="26" s="1"/>
  <c r="F222" i="26"/>
  <c r="H214" i="26"/>
  <c r="H227" i="26" s="1"/>
  <c r="G213" i="26"/>
  <c r="I219" i="26"/>
  <c r="F189" i="26"/>
  <c r="F205" i="26" s="1"/>
  <c r="F223" i="26"/>
  <c r="H228" i="26"/>
  <c r="L153" i="30" l="1"/>
  <c r="L141" i="31"/>
  <c r="K150" i="30"/>
  <c r="K138" i="31"/>
  <c r="L154" i="30"/>
  <c r="L142" i="31"/>
  <c r="K157" i="30"/>
  <c r="K145" i="31"/>
  <c r="E81" i="31"/>
  <c r="E85" i="31" s="1"/>
  <c r="E95" i="31" s="1"/>
  <c r="E117" i="31" s="1"/>
  <c r="F76" i="26"/>
  <c r="K198" i="20"/>
  <c r="K200" i="20" s="1"/>
  <c r="K275" i="20"/>
  <c r="K277" i="20" s="1"/>
  <c r="K228" i="20"/>
  <c r="K247" i="20" s="1"/>
  <c r="K250" i="20" s="1"/>
  <c r="K166" i="20" s="1"/>
  <c r="K170" i="20" s="1"/>
  <c r="K180" i="20" s="1"/>
  <c r="J184" i="26"/>
  <c r="F208" i="26"/>
  <c r="G207" i="26" s="1"/>
  <c r="E133" i="26"/>
  <c r="E143" i="26" s="1"/>
  <c r="E165" i="26" s="1"/>
  <c r="K41" i="26"/>
  <c r="K131" i="26" s="1"/>
  <c r="J131" i="26"/>
  <c r="J40" i="26"/>
  <c r="I130" i="26"/>
  <c r="J153" i="26"/>
  <c r="I188" i="26"/>
  <c r="K184" i="26"/>
  <c r="I149" i="26"/>
  <c r="K46" i="26"/>
  <c r="K147" i="26" s="1"/>
  <c r="J185" i="26"/>
  <c r="I182" i="26"/>
  <c r="J215" i="26"/>
  <c r="J230" i="26" s="1"/>
  <c r="G217" i="26"/>
  <c r="I214" i="26"/>
  <c r="I227" i="26" s="1"/>
  <c r="H221" i="26"/>
  <c r="J219" i="26"/>
  <c r="K219" i="26"/>
  <c r="I228" i="26"/>
  <c r="N153" i="30" l="1"/>
  <c r="N141" i="31"/>
  <c r="M153" i="30"/>
  <c r="M141" i="31"/>
  <c r="L151" i="30"/>
  <c r="L139" i="31"/>
  <c r="M154" i="30"/>
  <c r="M142" i="31"/>
  <c r="L157" i="30"/>
  <c r="L145" i="31"/>
  <c r="K185" i="26"/>
  <c r="K202" i="20"/>
  <c r="G222" i="26"/>
  <c r="F129" i="26"/>
  <c r="G116" i="26"/>
  <c r="G68" i="31" s="1"/>
  <c r="G70" i="31" s="1"/>
  <c r="K182" i="26"/>
  <c r="K40" i="26"/>
  <c r="K130" i="26" s="1"/>
  <c r="J130" i="26"/>
  <c r="J149" i="26"/>
  <c r="K149" i="26"/>
  <c r="I181" i="26"/>
  <c r="K153" i="26"/>
  <c r="J188" i="26"/>
  <c r="J182" i="26"/>
  <c r="K215" i="26"/>
  <c r="K230" i="26" s="1"/>
  <c r="J214" i="26"/>
  <c r="J227" i="26" s="1"/>
  <c r="K214" i="26"/>
  <c r="K227" i="26" s="1"/>
  <c r="I221" i="26"/>
  <c r="I213" i="26"/>
  <c r="K228" i="26"/>
  <c r="H213" i="26"/>
  <c r="J228" i="26"/>
  <c r="M151" i="30" l="1"/>
  <c r="M139" i="31"/>
  <c r="N151" i="30"/>
  <c r="N139" i="31"/>
  <c r="M157" i="30"/>
  <c r="M145" i="31"/>
  <c r="L150" i="30"/>
  <c r="L138" i="31"/>
  <c r="N154" i="30"/>
  <c r="N142" i="31"/>
  <c r="F133" i="26"/>
  <c r="F143" i="26" s="1"/>
  <c r="F165" i="26" s="1"/>
  <c r="F81" i="31"/>
  <c r="F85" i="31" s="1"/>
  <c r="F95" i="31" s="1"/>
  <c r="F117" i="31" s="1"/>
  <c r="K181" i="26"/>
  <c r="K188" i="26"/>
  <c r="J181" i="26"/>
  <c r="I217" i="26"/>
  <c r="H217" i="26"/>
  <c r="K221" i="26"/>
  <c r="J221" i="26"/>
  <c r="K213" i="26"/>
  <c r="M150" i="30" l="1"/>
  <c r="M138" i="31"/>
  <c r="N150" i="30"/>
  <c r="N138" i="31"/>
  <c r="N157" i="30"/>
  <c r="N145" i="31"/>
  <c r="I222" i="26"/>
  <c r="H222" i="26"/>
  <c r="K217" i="26"/>
  <c r="J213" i="26"/>
  <c r="K222" i="26" l="1"/>
  <c r="J217" i="26"/>
  <c r="J222" i="26" l="1"/>
  <c r="C26" i="24" l="1"/>
  <c r="B26" i="24"/>
  <c r="O25" i="24"/>
  <c r="L25" i="24"/>
  <c r="O19" i="24"/>
  <c r="L19" i="24"/>
  <c r="D19" i="24"/>
  <c r="O18" i="24"/>
  <c r="L18" i="24"/>
  <c r="D18" i="24"/>
  <c r="O17" i="24"/>
  <c r="L17" i="24"/>
  <c r="D17" i="24"/>
  <c r="O16" i="24"/>
  <c r="L16" i="24"/>
  <c r="D16" i="24"/>
  <c r="O15" i="24"/>
  <c r="L15" i="24"/>
  <c r="D15" i="24"/>
  <c r="O7" i="24"/>
  <c r="K27" i="24" l="1"/>
  <c r="H17" i="29"/>
  <c r="F28" i="24"/>
  <c r="I14" i="29"/>
  <c r="P26" i="24"/>
  <c r="Q26" i="24"/>
  <c r="N26" i="24"/>
  <c r="F29" i="24"/>
  <c r="F27" i="24"/>
  <c r="T19" i="24"/>
  <c r="T15" i="24"/>
  <c r="T16" i="24"/>
  <c r="T17" i="24"/>
  <c r="T18" i="24"/>
  <c r="F26" i="24"/>
  <c r="F17" i="29" l="1"/>
  <c r="J17" i="29"/>
  <c r="J16" i="29"/>
  <c r="H16" i="29"/>
  <c r="F16" i="29"/>
  <c r="Q29" i="24"/>
  <c r="M29" i="24"/>
  <c r="N29" i="24"/>
  <c r="P29" i="24"/>
  <c r="Q28" i="24"/>
  <c r="M28" i="24"/>
  <c r="N28" i="24"/>
  <c r="P28" i="24"/>
  <c r="L14" i="29"/>
  <c r="H14" i="29"/>
  <c r="J14" i="29"/>
  <c r="F14" i="29"/>
  <c r="L27" i="24"/>
  <c r="Q27" i="24"/>
  <c r="P27" i="24"/>
  <c r="N27" i="24"/>
  <c r="O29" i="24"/>
  <c r="L29" i="24"/>
  <c r="K29" i="24"/>
  <c r="K28" i="24"/>
  <c r="O28" i="24"/>
  <c r="L28" i="24"/>
  <c r="O27" i="24"/>
  <c r="M27" i="24"/>
  <c r="O26" i="24"/>
  <c r="L26" i="24"/>
  <c r="K26" i="24"/>
  <c r="M26" i="24"/>
  <c r="H21" i="29" l="1"/>
  <c r="H27" i="29" s="1"/>
  <c r="F21" i="29"/>
  <c r="F27" i="29" s="1"/>
  <c r="L21" i="29"/>
  <c r="D26" i="29" s="1"/>
  <c r="D27" i="29" l="1"/>
  <c r="I15" i="20" l="1"/>
  <c r="M18" i="24" l="1"/>
  <c r="M16" i="24"/>
  <c r="M15" i="24"/>
  <c r="M17" i="24"/>
  <c r="M19" i="24"/>
  <c r="N16" i="24" l="1"/>
  <c r="N17" i="24"/>
  <c r="N19" i="24"/>
  <c r="N15" i="24"/>
  <c r="N18" i="24"/>
  <c r="R19" i="24" l="1"/>
  <c r="R18" i="24"/>
  <c r="R15" i="24"/>
  <c r="R17" i="24"/>
  <c r="R16" i="24"/>
  <c r="P17" i="24" l="1"/>
  <c r="P19" i="24"/>
  <c r="P18" i="24"/>
  <c r="P16" i="24"/>
  <c r="P15" i="24"/>
  <c r="U19" i="24" l="1"/>
  <c r="U17" i="24"/>
  <c r="U18" i="24"/>
  <c r="U15" i="24"/>
  <c r="U16" i="24"/>
  <c r="Q16" i="24" l="1"/>
  <c r="Q17" i="24"/>
  <c r="Q18" i="24"/>
  <c r="Q15" i="24"/>
  <c r="Q19" i="24"/>
  <c r="V19" i="24" l="1"/>
  <c r="V16" i="24"/>
  <c r="V15" i="24"/>
  <c r="V18" i="24"/>
  <c r="V17" i="24"/>
  <c r="S15" i="24"/>
  <c r="S18" i="24"/>
  <c r="S17" i="24"/>
  <c r="S16" i="24"/>
  <c r="S19" i="24"/>
  <c r="M25" i="24" l="1"/>
  <c r="B27" i="35" s="1"/>
  <c r="P25" i="24"/>
  <c r="N25" i="24" l="1"/>
  <c r="B28" i="35" s="1"/>
  <c r="Q25" i="24"/>
  <c r="K14" i="20" l="1"/>
  <c r="K15" i="20" s="1"/>
  <c r="E15" i="20" s="1"/>
  <c r="E11" i="31" s="1"/>
  <c r="E14" i="31" l="1"/>
  <c r="E18" i="31" s="1"/>
  <c r="E17" i="20"/>
  <c r="H158" i="20"/>
  <c r="I158" i="20" l="1"/>
  <c r="K76" i="30"/>
  <c r="K78" i="30" s="1"/>
  <c r="E19" i="31"/>
  <c r="E21" i="31" s="1"/>
  <c r="K30" i="31"/>
  <c r="I24" i="33"/>
  <c r="G160" i="20"/>
  <c r="G76" i="30"/>
  <c r="G78" i="30" s="1"/>
  <c r="G80" i="30" s="1"/>
  <c r="H160" i="20"/>
  <c r="K82" i="30" s="1"/>
  <c r="J158" i="20" l="1"/>
  <c r="L76" i="30"/>
  <c r="L78" i="30" s="1"/>
  <c r="I26" i="29"/>
  <c r="I160" i="20"/>
  <c r="L82" i="30" s="1"/>
  <c r="K158" i="20" l="1"/>
  <c r="N76" i="30" s="1"/>
  <c r="N78" i="30" s="1"/>
  <c r="M76" i="30"/>
  <c r="M78" i="30" s="1"/>
  <c r="J160" i="20"/>
  <c r="M82" i="30" s="1"/>
  <c r="K160" i="20" l="1"/>
  <c r="N82" i="30" s="1"/>
  <c r="J21" i="29"/>
  <c r="J27" i="29" s="1"/>
  <c r="I21" i="29"/>
  <c r="F16" i="24" l="1"/>
  <c r="F37" i="24"/>
  <c r="F15" i="24"/>
  <c r="F19" i="24"/>
  <c r="F17" i="24"/>
  <c r="F18" i="24"/>
  <c r="K17" i="24"/>
  <c r="K19" i="24"/>
  <c r="K16" i="24"/>
  <c r="K15" i="24"/>
  <c r="K18" i="24"/>
  <c r="E28" i="20"/>
  <c r="O37" i="24" l="1"/>
  <c r="M34" i="24"/>
  <c r="Q35" i="24"/>
  <c r="P37" i="24"/>
  <c r="L37" i="24"/>
  <c r="F33" i="24"/>
  <c r="F36" i="24"/>
  <c r="F34" i="24"/>
  <c r="F35" i="24"/>
  <c r="N34" i="24"/>
  <c r="N35" i="24"/>
  <c r="N37" i="24"/>
  <c r="N33" i="24"/>
  <c r="N36" i="24"/>
  <c r="K34" i="24"/>
  <c r="K36" i="24"/>
  <c r="K33" i="24"/>
  <c r="K37" i="24"/>
  <c r="K35" i="24"/>
  <c r="O33" i="24" l="1"/>
  <c r="O36" i="24"/>
  <c r="Q37" i="24"/>
  <c r="Q36" i="24"/>
  <c r="Q33" i="24"/>
  <c r="Q34" i="24"/>
  <c r="O34" i="24"/>
  <c r="O35" i="24"/>
  <c r="L33" i="24"/>
  <c r="P36" i="24"/>
  <c r="P35" i="24"/>
  <c r="P34" i="24"/>
  <c r="P33" i="24"/>
  <c r="L36" i="24"/>
  <c r="M33" i="24"/>
  <c r="M36" i="24"/>
  <c r="L34" i="24"/>
  <c r="M35" i="24"/>
  <c r="M37" i="24"/>
  <c r="L35" i="24"/>
  <c r="G118" i="26" l="1"/>
  <c r="G119" i="26" s="1"/>
  <c r="G152" i="26"/>
  <c r="G104" i="31" l="1"/>
  <c r="J104" i="31" s="1"/>
  <c r="H114" i="30"/>
  <c r="G107" i="31"/>
  <c r="G109" i="31" s="1"/>
  <c r="G71" i="31"/>
  <c r="G80" i="26"/>
  <c r="G84" i="26" s="1"/>
  <c r="H114" i="26"/>
  <c r="G155" i="26"/>
  <c r="G157" i="26" s="1"/>
  <c r="G225" i="26"/>
  <c r="G234" i="26" s="1"/>
  <c r="J107" i="31" l="1"/>
  <c r="J109" i="31" s="1"/>
  <c r="K58" i="30"/>
  <c r="K62" i="31"/>
  <c r="J114" i="30"/>
  <c r="J117" i="30" s="1"/>
  <c r="J119" i="30" s="1"/>
  <c r="K23" i="30"/>
  <c r="E24" i="33"/>
  <c r="G236" i="31"/>
  <c r="G72" i="31"/>
  <c r="G75" i="31" s="1"/>
  <c r="G120" i="26"/>
  <c r="G223" i="26" s="1"/>
  <c r="H176" i="26"/>
  <c r="G87" i="26"/>
  <c r="G88" i="26" s="1"/>
  <c r="G89" i="26" s="1"/>
  <c r="K132" i="31" l="1"/>
  <c r="K130" i="31"/>
  <c r="F24" i="33"/>
  <c r="H24" i="33"/>
  <c r="I25" i="33"/>
  <c r="G25" i="33"/>
  <c r="E25" i="33"/>
  <c r="L24" i="33"/>
  <c r="L27" i="33" s="1"/>
  <c r="J24" i="33"/>
  <c r="E26" i="29"/>
  <c r="G123" i="26"/>
  <c r="G170" i="26" s="1"/>
  <c r="G159" i="26" s="1"/>
  <c r="H121" i="30" s="1"/>
  <c r="G122" i="31"/>
  <c r="G234" i="31"/>
  <c r="G245" i="31"/>
  <c r="H86" i="26"/>
  <c r="G91" i="26"/>
  <c r="G93" i="26" l="1"/>
  <c r="G95" i="26" s="1"/>
  <c r="G177" i="26" s="1"/>
  <c r="L33" i="33"/>
  <c r="L35" i="33"/>
  <c r="L25" i="33"/>
  <c r="G233" i="26"/>
  <c r="G235" i="26" s="1"/>
  <c r="G111" i="31"/>
  <c r="H26" i="29"/>
  <c r="J26" i="29"/>
  <c r="F26" i="29"/>
  <c r="E27" i="29"/>
  <c r="G27" i="29"/>
  <c r="L26" i="29"/>
  <c r="L29" i="29" s="1"/>
  <c r="I27" i="29"/>
  <c r="G161" i="26"/>
  <c r="G163" i="26" s="1"/>
  <c r="G134" i="31" l="1"/>
  <c r="G146" i="31" s="1"/>
  <c r="G165" i="31" s="1"/>
  <c r="G168" i="31" s="1"/>
  <c r="G140" i="26"/>
  <c r="G92" i="31" s="1"/>
  <c r="J92" i="31" s="1"/>
  <c r="J93" i="31" s="1"/>
  <c r="G189" i="26"/>
  <c r="G205" i="26" s="1"/>
  <c r="G208" i="26" s="1"/>
  <c r="H207" i="26" s="1"/>
  <c r="L28" i="33"/>
  <c r="L27" i="29"/>
  <c r="L30" i="29" s="1"/>
  <c r="L35" i="29" s="1"/>
  <c r="L34" i="29"/>
  <c r="G244" i="31"/>
  <c r="G113" i="31"/>
  <c r="G115" i="31" s="1"/>
  <c r="G141" i="26" l="1"/>
  <c r="I102" i="30"/>
  <c r="J102" i="30" s="1"/>
  <c r="J103" i="30" s="1"/>
  <c r="G129" i="26"/>
  <c r="L34" i="33"/>
  <c r="L37" i="33" s="1"/>
  <c r="L37" i="29"/>
  <c r="G246" i="31"/>
  <c r="G93" i="31"/>
  <c r="H116" i="26"/>
  <c r="O14" i="34" l="1"/>
  <c r="J15" i="34"/>
  <c r="G74" i="34"/>
  <c r="H74" i="34"/>
  <c r="I74" i="34"/>
  <c r="J74" i="34"/>
  <c r="K74" i="34"/>
  <c r="L74" i="34"/>
  <c r="M74" i="34"/>
  <c r="N74" i="34"/>
  <c r="O74" i="34"/>
  <c r="P74" i="34"/>
  <c r="Q74" i="34"/>
  <c r="R74" i="34"/>
  <c r="S74" i="34"/>
  <c r="T74" i="34"/>
  <c r="O18" i="34"/>
  <c r="U74" i="34"/>
  <c r="J18" i="34"/>
  <c r="J17" i="34"/>
  <c r="K62" i="30"/>
  <c r="K65" i="30" s="1"/>
  <c r="K68" i="31"/>
  <c r="K70" i="31" s="1"/>
  <c r="K201" i="31" s="1"/>
  <c r="K206" i="31" s="1"/>
  <c r="K209" i="31" s="1"/>
  <c r="K67" i="30"/>
  <c r="K69" i="30" s="1"/>
  <c r="K74" i="30" s="1"/>
  <c r="G133" i="26"/>
  <c r="G143" i="26" s="1"/>
  <c r="G165" i="26" s="1"/>
  <c r="I91" i="30"/>
  <c r="G81" i="31"/>
  <c r="E33" i="31" s="1"/>
  <c r="E39" i="31" s="1"/>
  <c r="E41" i="31" s="1"/>
  <c r="H118" i="26"/>
  <c r="H80" i="26" s="1"/>
  <c r="H84" i="26" s="1"/>
  <c r="H152" i="26"/>
  <c r="I114" i="26" s="1"/>
  <c r="O19" i="34" l="1"/>
  <c r="J19" i="34"/>
  <c r="J20" i="34" s="1"/>
  <c r="O15" i="34"/>
  <c r="O17" i="34"/>
  <c r="K210" i="31"/>
  <c r="K213" i="31" s="1"/>
  <c r="K215" i="31" s="1"/>
  <c r="K71" i="31"/>
  <c r="K72" i="31" s="1"/>
  <c r="K75" i="31" s="1"/>
  <c r="K122" i="31" s="1"/>
  <c r="L58" i="30"/>
  <c r="L62" i="31"/>
  <c r="K132" i="30"/>
  <c r="K158" i="30" s="1"/>
  <c r="K179" i="30" s="1"/>
  <c r="K80" i="30"/>
  <c r="K84" i="30" s="1"/>
  <c r="K85" i="30" s="1"/>
  <c r="G85" i="31"/>
  <c r="G95" i="31" s="1"/>
  <c r="G117" i="31" s="1"/>
  <c r="E10" i="30"/>
  <c r="H91" i="30" s="1"/>
  <c r="K18" i="30" s="1"/>
  <c r="K28" i="30" s="1"/>
  <c r="I81" i="31"/>
  <c r="H81" i="31"/>
  <c r="K222" i="30"/>
  <c r="K231" i="30" s="1"/>
  <c r="I176" i="26"/>
  <c r="H87" i="26"/>
  <c r="H88" i="26" s="1"/>
  <c r="H89" i="26" s="1"/>
  <c r="I86" i="26" s="1"/>
  <c r="I152" i="26"/>
  <c r="H119" i="26"/>
  <c r="H155" i="26"/>
  <c r="H157" i="26" s="1"/>
  <c r="J22" i="34" l="1"/>
  <c r="D99" i="34"/>
  <c r="J34" i="34"/>
  <c r="J38" i="34" s="1"/>
  <c r="J39" i="34" s="1"/>
  <c r="O20" i="34"/>
  <c r="K211" i="31"/>
  <c r="L208" i="31" s="1"/>
  <c r="K217" i="31"/>
  <c r="K134" i="31" s="1"/>
  <c r="K146" i="31" s="1"/>
  <c r="K173" i="31" s="1"/>
  <c r="K31" i="31"/>
  <c r="K41" i="31" s="1"/>
  <c r="L130" i="31"/>
  <c r="L132" i="31"/>
  <c r="E43" i="31"/>
  <c r="E45" i="31" s="1"/>
  <c r="I111" i="31" s="1"/>
  <c r="J111" i="31" s="1"/>
  <c r="J113" i="31" s="1"/>
  <c r="J115" i="31" s="1"/>
  <c r="J81" i="31"/>
  <c r="J91" i="30"/>
  <c r="E27" i="30"/>
  <c r="E29" i="30" s="1"/>
  <c r="I121" i="30" s="1"/>
  <c r="J121" i="30" s="1"/>
  <c r="J123" i="30" s="1"/>
  <c r="J125" i="30" s="1"/>
  <c r="K236" i="31"/>
  <c r="K245" i="31" s="1"/>
  <c r="K220" i="30"/>
  <c r="H91" i="26"/>
  <c r="H93" i="26" s="1"/>
  <c r="H95" i="26" s="1"/>
  <c r="H177" i="26" s="1"/>
  <c r="J114" i="26"/>
  <c r="I155" i="26"/>
  <c r="I157" i="26" s="1"/>
  <c r="H225" i="26"/>
  <c r="H234" i="26" s="1"/>
  <c r="H120" i="26"/>
  <c r="O22" i="34" l="1"/>
  <c r="O34" i="34"/>
  <c r="O38" i="34" s="1"/>
  <c r="O39" i="34" s="1"/>
  <c r="D85" i="34"/>
  <c r="J85" i="31"/>
  <c r="J95" i="31" s="1"/>
  <c r="J117" i="31" s="1"/>
  <c r="K167" i="31"/>
  <c r="M58" i="30"/>
  <c r="M62" i="31"/>
  <c r="J95" i="30"/>
  <c r="J105" i="30" s="1"/>
  <c r="J127" i="30" s="1"/>
  <c r="K181" i="30"/>
  <c r="K182" i="30" s="1"/>
  <c r="L181" i="30" s="1"/>
  <c r="K234" i="31"/>
  <c r="J230" i="30"/>
  <c r="H140" i="26"/>
  <c r="K230" i="30"/>
  <c r="J176" i="26"/>
  <c r="H123" i="26"/>
  <c r="H223" i="26"/>
  <c r="K174" i="31" l="1"/>
  <c r="K175" i="31" s="1"/>
  <c r="K177" i="31" s="1"/>
  <c r="K179" i="31" s="1"/>
  <c r="M130" i="31"/>
  <c r="M132" i="31"/>
  <c r="J244" i="31"/>
  <c r="K232" i="30"/>
  <c r="J152" i="26"/>
  <c r="K114" i="26" s="1"/>
  <c r="H170" i="26"/>
  <c r="H159" i="26" s="1"/>
  <c r="H233" i="26" s="1"/>
  <c r="H235" i="26" s="1"/>
  <c r="H141" i="26"/>
  <c r="K181" i="31" l="1"/>
  <c r="K158" i="31" s="1"/>
  <c r="K180" i="31"/>
  <c r="N58" i="30"/>
  <c r="N62" i="31"/>
  <c r="H189" i="26"/>
  <c r="H205" i="26" s="1"/>
  <c r="H208" i="26" s="1"/>
  <c r="I207" i="26" s="1"/>
  <c r="J155" i="26"/>
  <c r="J157" i="26" s="1"/>
  <c r="K176" i="26"/>
  <c r="H161" i="26"/>
  <c r="H163" i="26" s="1"/>
  <c r="K183" i="31" l="1"/>
  <c r="K156" i="31"/>
  <c r="L186" i="31"/>
  <c r="L63" i="31" s="1"/>
  <c r="K184" i="31"/>
  <c r="L187" i="31" s="1"/>
  <c r="L64" i="31" s="1"/>
  <c r="K152" i="26"/>
  <c r="K155" i="26" s="1"/>
  <c r="K157" i="26" s="1"/>
  <c r="N130" i="31"/>
  <c r="N132" i="31"/>
  <c r="H129" i="26"/>
  <c r="K161" i="31" l="1"/>
  <c r="K165" i="31" s="1"/>
  <c r="K168" i="31" s="1"/>
  <c r="L167" i="31" s="1"/>
  <c r="L174" i="31" s="1"/>
  <c r="K104" i="31"/>
  <c r="L189" i="31"/>
  <c r="I116" i="26"/>
  <c r="H133" i="26"/>
  <c r="H143" i="26" s="1"/>
  <c r="H165" i="26" s="1"/>
  <c r="K244" i="31" l="1"/>
  <c r="K246" i="31" s="1"/>
  <c r="L62" i="30"/>
  <c r="L65" i="30" s="1"/>
  <c r="L67" i="30" s="1"/>
  <c r="L69" i="30" s="1"/>
  <c r="L74" i="30" s="1"/>
  <c r="L132" i="30" s="1"/>
  <c r="L158" i="30" s="1"/>
  <c r="L179" i="30" s="1"/>
  <c r="L182" i="30" s="1"/>
  <c r="M181" i="30" s="1"/>
  <c r="L68" i="31"/>
  <c r="L70" i="31" s="1"/>
  <c r="L201" i="31" s="1"/>
  <c r="L206" i="31" s="1"/>
  <c r="L209" i="31" s="1"/>
  <c r="I118" i="26"/>
  <c r="I80" i="26" s="1"/>
  <c r="I84" i="26" s="1"/>
  <c r="I87" i="26" s="1"/>
  <c r="I88" i="26" s="1"/>
  <c r="I91" i="26" s="1"/>
  <c r="I93" i="26" s="1"/>
  <c r="L210" i="31" l="1"/>
  <c r="L213" i="31" s="1"/>
  <c r="L215" i="31" s="1"/>
  <c r="L80" i="30"/>
  <c r="L84" i="30" s="1"/>
  <c r="L85" i="30" s="1"/>
  <c r="L71" i="31"/>
  <c r="L72" i="31" s="1"/>
  <c r="L75" i="31" s="1"/>
  <c r="L122" i="31" s="1"/>
  <c r="I119" i="26"/>
  <c r="I120" i="26" s="1"/>
  <c r="I123" i="26" s="1"/>
  <c r="I89" i="26"/>
  <c r="J86" i="26" s="1"/>
  <c r="L217" i="31" l="1"/>
  <c r="L134" i="31" s="1"/>
  <c r="L146" i="31"/>
  <c r="L211" i="31"/>
  <c r="M208" i="31" s="1"/>
  <c r="L173" i="31"/>
  <c r="L175" i="31" s="1"/>
  <c r="L177" i="31" s="1"/>
  <c r="L179" i="31" s="1"/>
  <c r="L180" i="31" s="1"/>
  <c r="L156" i="31" s="1"/>
  <c r="L104" i="31" s="1"/>
  <c r="I225" i="26"/>
  <c r="I234" i="26" s="1"/>
  <c r="I95" i="26"/>
  <c r="I177" i="26" s="1"/>
  <c r="I140" i="26" s="1"/>
  <c r="I223" i="26"/>
  <c r="L236" i="31"/>
  <c r="L245" i="31" s="1"/>
  <c r="L222" i="30"/>
  <c r="L231" i="30" s="1"/>
  <c r="I170" i="26"/>
  <c r="I159" i="26" s="1"/>
  <c r="I233" i="26" s="1"/>
  <c r="I235" i="26" s="1"/>
  <c r="L181" i="31" l="1"/>
  <c r="L158" i="31" s="1"/>
  <c r="L161" i="31" s="1"/>
  <c r="L165" i="31" s="1"/>
  <c r="L168" i="31" s="1"/>
  <c r="M167" i="31" s="1"/>
  <c r="M174" i="31" s="1"/>
  <c r="L183" i="31"/>
  <c r="L234" i="31"/>
  <c r="I189" i="26"/>
  <c r="I205" i="26" s="1"/>
  <c r="I208" i="26" s="1"/>
  <c r="J207" i="26" s="1"/>
  <c r="L220" i="30"/>
  <c r="L230" i="30"/>
  <c r="L232" i="30" s="1"/>
  <c r="I141" i="26"/>
  <c r="I161" i="26"/>
  <c r="I163" i="26" s="1"/>
  <c r="M186" i="31" l="1"/>
  <c r="M63" i="31" s="1"/>
  <c r="L184" i="31"/>
  <c r="M187" i="31" s="1"/>
  <c r="M64" i="31" s="1"/>
  <c r="I129" i="26"/>
  <c r="M189" i="31" l="1"/>
  <c r="J116" i="26"/>
  <c r="I133" i="26"/>
  <c r="I143" i="26" s="1"/>
  <c r="I165" i="26" s="1"/>
  <c r="M62" i="30" l="1"/>
  <c r="M65" i="30" s="1"/>
  <c r="M67" i="30" s="1"/>
  <c r="M69" i="30" s="1"/>
  <c r="M74" i="30" s="1"/>
  <c r="M132" i="30" s="1"/>
  <c r="M158" i="30" s="1"/>
  <c r="M179" i="30" s="1"/>
  <c r="M182" i="30" s="1"/>
  <c r="N181" i="30" s="1"/>
  <c r="M68" i="31"/>
  <c r="M70" i="31" s="1"/>
  <c r="M201" i="31" s="1"/>
  <c r="M206" i="31" s="1"/>
  <c r="M209" i="31" s="1"/>
  <c r="J118" i="26"/>
  <c r="J80" i="26" s="1"/>
  <c r="J84" i="26" s="1"/>
  <c r="J87" i="26" s="1"/>
  <c r="J88" i="26" s="1"/>
  <c r="J89" i="26" s="1"/>
  <c r="K86" i="26" s="1"/>
  <c r="M210" i="31" l="1"/>
  <c r="M213" i="31" s="1"/>
  <c r="M215" i="31" s="1"/>
  <c r="M80" i="30"/>
  <c r="M84" i="30" s="1"/>
  <c r="M85" i="30" s="1"/>
  <c r="M71" i="31"/>
  <c r="M72" i="31" s="1"/>
  <c r="M75" i="31" s="1"/>
  <c r="M122" i="31" s="1"/>
  <c r="J119" i="26"/>
  <c r="J120" i="26" s="1"/>
  <c r="J223" i="26" s="1"/>
  <c r="L244" i="31"/>
  <c r="L246" i="31" s="1"/>
  <c r="J91" i="26"/>
  <c r="J93" i="26" s="1"/>
  <c r="M217" i="31" l="1"/>
  <c r="M134" i="31" s="1"/>
  <c r="M146" i="31" s="1"/>
  <c r="M173" i="31" s="1"/>
  <c r="M175" i="31" s="1"/>
  <c r="M177" i="31" s="1"/>
  <c r="M179" i="31" s="1"/>
  <c r="M211" i="31"/>
  <c r="N208" i="31" s="1"/>
  <c r="J225" i="26"/>
  <c r="J234" i="26" s="1"/>
  <c r="J123" i="26"/>
  <c r="J170" i="26" s="1"/>
  <c r="J159" i="26" s="1"/>
  <c r="J233" i="26" s="1"/>
  <c r="J95" i="26"/>
  <c r="J177" i="26" s="1"/>
  <c r="J140" i="26" s="1"/>
  <c r="M236" i="31"/>
  <c r="M245" i="31" s="1"/>
  <c r="M222" i="30"/>
  <c r="M231" i="30" s="1"/>
  <c r="M180" i="31" l="1"/>
  <c r="J235" i="26"/>
  <c r="J189" i="26"/>
  <c r="J205" i="26" s="1"/>
  <c r="J208" i="26" s="1"/>
  <c r="K207" i="26" s="1"/>
  <c r="M234" i="31"/>
  <c r="M220" i="30"/>
  <c r="M230" i="30"/>
  <c r="M232" i="30" s="1"/>
  <c r="J141" i="26"/>
  <c r="J161" i="26"/>
  <c r="J163" i="26" s="1"/>
  <c r="M183" i="31" l="1"/>
  <c r="N186" i="31" s="1"/>
  <c r="N63" i="31" s="1"/>
  <c r="M156" i="31"/>
  <c r="M104" i="31" s="1"/>
  <c r="M181" i="31"/>
  <c r="M158" i="31" s="1"/>
  <c r="M161" i="31" s="1"/>
  <c r="M165" i="31" s="1"/>
  <c r="M168" i="31" s="1"/>
  <c r="N167" i="31" s="1"/>
  <c r="N174" i="31" s="1"/>
  <c r="J129" i="26"/>
  <c r="M184" i="31" l="1"/>
  <c r="N187" i="31" s="1"/>
  <c r="N64" i="31" s="1"/>
  <c r="J133" i="26"/>
  <c r="J143" i="26" s="1"/>
  <c r="J165" i="26" s="1"/>
  <c r="K116" i="26"/>
  <c r="N189" i="31" l="1"/>
  <c r="N62" i="30"/>
  <c r="N65" i="30" s="1"/>
  <c r="N67" i="30" s="1"/>
  <c r="N69" i="30" s="1"/>
  <c r="N74" i="30" s="1"/>
  <c r="N68" i="31"/>
  <c r="N70" i="31" s="1"/>
  <c r="N201" i="31" s="1"/>
  <c r="N206" i="31" s="1"/>
  <c r="N209" i="31" s="1"/>
  <c r="N132" i="30"/>
  <c r="N158" i="30" s="1"/>
  <c r="N179" i="30" s="1"/>
  <c r="N182" i="30" s="1"/>
  <c r="N80" i="30"/>
  <c r="N84" i="30" s="1"/>
  <c r="N85" i="30" s="1"/>
  <c r="M244" i="31"/>
  <c r="M246" i="31" s="1"/>
  <c r="K118" i="26"/>
  <c r="K80" i="26" s="1"/>
  <c r="K84" i="26" s="1"/>
  <c r="K87" i="26" s="1"/>
  <c r="K88" i="26" s="1"/>
  <c r="K89" i="26" s="1"/>
  <c r="N210" i="31" l="1"/>
  <c r="N213" i="31" s="1"/>
  <c r="N215" i="31" s="1"/>
  <c r="N71" i="31"/>
  <c r="N72" i="31" s="1"/>
  <c r="N75" i="31" s="1"/>
  <c r="N122" i="31" s="1"/>
  <c r="K119" i="26"/>
  <c r="K225" i="26" s="1"/>
  <c r="K234" i="26" s="1"/>
  <c r="K91" i="26"/>
  <c r="K93" i="26" s="1"/>
  <c r="N217" i="31" l="1"/>
  <c r="N134" i="31" s="1"/>
  <c r="N146" i="31" s="1"/>
  <c r="N173" i="31" s="1"/>
  <c r="N175" i="31" s="1"/>
  <c r="N177" i="31" s="1"/>
  <c r="N179" i="31" s="1"/>
  <c r="N180" i="31" s="1"/>
  <c r="N156" i="31" s="1"/>
  <c r="N104" i="31" s="1"/>
  <c r="N211" i="31"/>
  <c r="N222" i="30"/>
  <c r="N231" i="30" s="1"/>
  <c r="K120" i="26"/>
  <c r="K223" i="26" s="1"/>
  <c r="K95" i="26"/>
  <c r="K177" i="26" s="1"/>
  <c r="N181" i="31" l="1"/>
  <c r="N158" i="31" s="1"/>
  <c r="N161" i="31" s="1"/>
  <c r="N165" i="31" s="1"/>
  <c r="N168" i="31" s="1"/>
  <c r="N183" i="31"/>
  <c r="N184" i="31" s="1"/>
  <c r="K123" i="26"/>
  <c r="K170" i="26" s="1"/>
  <c r="K159" i="26" s="1"/>
  <c r="K233" i="26" s="1"/>
  <c r="K235" i="26" s="1"/>
  <c r="K140" i="26"/>
  <c r="K141" i="26" s="1"/>
  <c r="N220" i="30"/>
  <c r="N236" i="31" l="1"/>
  <c r="N245" i="31" s="1"/>
  <c r="K161" i="26"/>
  <c r="K163" i="26" s="1"/>
  <c r="K189" i="26"/>
  <c r="K205" i="26" s="1"/>
  <c r="K208" i="26" s="1"/>
  <c r="K129" i="26" s="1"/>
  <c r="K133" i="26" s="1"/>
  <c r="K143" i="26" s="1"/>
  <c r="N230" i="30"/>
  <c r="N232" i="30" s="1"/>
  <c r="K165" i="26" l="1"/>
  <c r="N234" i="31"/>
  <c r="N244" i="31" l="1"/>
  <c r="N246" i="3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22" authorId="0" shapeId="0" xr:uid="{6B659B4E-E33A-400F-B561-9713B6AD403A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Reducing this proportionally by the valuation allowance.</t>
        </r>
      </text>
    </comment>
    <comment ref="E23" authorId="0" shapeId="0" xr:uid="{D5F5EFD2-EAAE-4393-915F-E202D0C629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Market Value of Convertible Bond is $719.7 vs. Face Value of $825.0 million. Using Face Values for the smaller issuances.</t>
        </r>
      </text>
    </comment>
    <comment ref="G55" authorId="0" shapeId="0" xr:uid="{96C21862-810C-4972-914E-219915501A1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Setting to much lower levels based on historical percentages.</t>
        </r>
      </text>
    </comment>
    <comment ref="G97" authorId="0" shapeId="0" xr:uid="{E6CB1153-2AAC-41F0-8ABA-E29E38C7F5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higher historical Issuance / Repayment percentages.</t>
        </r>
      </text>
    </comment>
    <comment ref="G117" authorId="0" shapeId="0" xr:uid="{1F88183A-9A85-4BE5-810B-4A21BD5C6508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Our own estimate, based on company's on-BS NOLs and effective tax rate.</t>
        </r>
      </text>
    </comment>
    <comment ref="G158" authorId="0" shapeId="0" xr:uid="{1742F727-E148-4601-A7A4-DEFBD5160F49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Used Goal Seek to match this to share count just before the transaction close in real life.</t>
        </r>
      </text>
    </comment>
    <comment ref="G214" authorId="0" shapeId="0" xr:uid="{4F1417ED-DFE0-47DE-9B8F-BA40CED0B3C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Setting to 0 to avoid share count issues here, but counting it in the Tax Schedule.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  <author>Brian DeChesare</author>
  </authors>
  <commentList>
    <comment ref="E10" authorId="0" shapeId="0" xr:uid="{4719A19E-69D3-4D0B-8146-DA370A7C539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21% statutory rate + 1% for state/foreign taxes because the company will pay almost nothing in Cash Taxes anyway.</t>
        </r>
      </text>
    </comment>
    <comment ref="K15" authorId="0" shapeId="0" xr:uid="{6B5CDEAB-9993-4ACF-8F71-B76C109387C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 ~10% premium to market CAGR over the next 5 years.</t>
        </r>
      </text>
    </comment>
    <comment ref="E16" authorId="0" shapeId="0" xr:uid="{4B9DB0A3-1CF5-4DA5-A2A2-D778E2667098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Estimated based on graph in Aug 2020 presentation.</t>
        </r>
      </text>
    </comment>
    <comment ref="E21" authorId="0" shapeId="0" xr:uid="{16258E04-38C4-4CAA-9A5C-79FB268554AD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Estimated based on graph.</t>
        </r>
      </text>
    </comment>
    <comment ref="F21" authorId="0" shapeId="0" xr:uid="{332457E7-4014-415F-BC43-7EAEA14A446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total installations of 1,850 MW in 2019.</t>
        </r>
      </text>
    </comment>
    <comment ref="K21" authorId="0" shapeId="0" xr:uid="{23340BBD-DF8A-4A62-B8A9-DDD8667EAB16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 ~10% premium to market CAGR over the next 5 years.</t>
        </r>
      </text>
    </comment>
    <comment ref="E22" authorId="0" shapeId="0" xr:uid="{7413B2BF-C83A-4D84-BE94-D9489743F1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Estimated based on graph in Aug 2020 presentation.</t>
        </r>
      </text>
    </comment>
    <comment ref="G64" authorId="1" shapeId="0" xr:uid="{62961806-DADF-4A5F-A3AC-22CA6F719448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Company appears to be repaying more Debt than it is issuing each year, historically.</t>
        </r>
      </text>
    </comment>
    <comment ref="J67" authorId="1" shapeId="0" xr:uid="{9992F945-B047-4651-819F-6B7F287F5C3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The 4.00% Debentures mature in Jan 2023, so no Interest Expense after that.</t>
        </r>
      </text>
    </comment>
    <comment ref="F69" authorId="1" shapeId="0" xr:uid="{DC4B5AC2-B589-4F24-91FA-222244D6575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This is mostly non-cash accretion charges, so the cash interest rate is much lower.</t>
        </r>
      </text>
    </comment>
    <comment ref="G72" authorId="0" shapeId="0" xr:uid="{29B07FB7-6B4A-4F96-A2D8-EA671E48754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Zero'd out to avoid share count issues.</t>
        </r>
      </text>
    </comment>
    <comment ref="G74" authorId="1" shapeId="0" xr:uid="{37FE6EF7-428D-4D87-B29D-BDDE61AAD65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Linked to the company's CapEx requirements in future years and maintenance of a &gt; $50 million Cash balance.</t>
        </r>
      </text>
    </comment>
    <comment ref="G86" authorId="0" shapeId="0" xr:uid="{93B49C9C-9B03-43C9-A526-668FC269F8A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Our own estimate, based on company's on-BS NOLs and effective tax rate.</t>
        </r>
      </text>
    </comment>
    <comment ref="G175" authorId="0" shapeId="0" xr:uid="{0DA23708-C000-4A28-BC30-B5DCAB91776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Setting to 0 to avoid share count issues here, but counting it in the Tax Schedule.</t>
        </r>
      </text>
    </comment>
    <comment ref="G191" authorId="0" shapeId="0" xr:uid="{FE7E8706-CD49-4F71-AFAE-CD04CCCDA20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estimates on Aug 2020 presentation pg. 17.</t>
        </r>
      </text>
    </comment>
    <comment ref="H191" authorId="0" shapeId="0" xr:uid="{38C4B8F6-E00F-4F17-B70D-80FCBE8FDB4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estimates on Aug 2020 presentation pg. 17.</t>
        </r>
      </text>
    </comment>
    <comment ref="I191" authorId="0" shapeId="0" xr:uid="{BC463711-CD6B-4474-A6C3-C647BDD9CBD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estimates on Aug 2020 presentation pg. 17.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0D164F34-7F63-419D-8CDA-7D6B601EB2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10-Year US Treasury yield as of valuation date.</t>
        </r>
      </text>
    </comment>
    <comment ref="F7" authorId="0" shapeId="0" xr:uid="{D6217675-2B10-41E8-9B2E-7990D063A6A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U.S. Equity Risk Premium for 2020 per Damodaran's data.</t>
        </r>
      </text>
    </comment>
    <comment ref="F8" authorId="0" shapeId="0" xr:uid="{31867CFB-EB4F-47EB-AF27-F51CC5527E6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Convertible bonds have a 4.0% coupon rate, and the CEDA loan is at 8.5%. Using a number in between, but significantly higher than the convertible rate.</t>
        </r>
      </text>
    </comment>
    <comment ref="F9" authorId="0" shapeId="0" xr:uid="{522E9695-B8D4-4D99-AB9B-B05A60117F6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outstanding Preferred Stock.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  <author>Brian DeChesare</author>
  </authors>
  <commentList>
    <comment ref="F6" authorId="0" shapeId="0" xr:uid="{173F3323-6FDC-4E43-B5A9-0C7249D041EA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10-Year US Treasury yield as of valuation date.</t>
        </r>
      </text>
    </comment>
    <comment ref="F7" authorId="0" shapeId="0" xr:uid="{4E745C7D-4EB3-4825-8D72-0180F780177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U.S. Equity Risk Premium for 2020 per Damodaran's data.</t>
        </r>
      </text>
    </comment>
    <comment ref="F8" authorId="1" shapeId="0" xr:uid="{6A794BAA-88BC-418E-A50D-7F9150BB7DE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Assuming a ~3.5% premium to the coupon rate on the new Convertible Notes.</t>
        </r>
      </text>
    </comment>
    <comment ref="F9" authorId="0" shapeId="0" xr:uid="{F8C1CAE0-C96B-49B7-9315-FC360B723BA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outstanding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K18" authorId="0" shapeId="0" xr:uid="{83396D2D-87F6-4E75-A55A-2E9A04FF395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the FY 19 number (current) and adjusting for MAXN's portion of the Cash and the excess/deficit payments.</t>
        </r>
      </text>
    </comment>
    <comment ref="K20" authorId="0" shapeId="0" xr:uid="{B1DDA087-4DC2-435D-A575-9A1DBC344E2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the FY 19 number (current) and adjusting for MAXN's portion of the Equity Investments.</t>
        </r>
      </text>
    </comment>
    <comment ref="K22" authorId="0" shapeId="0" xr:uid="{388A0C5E-8BE9-4AC6-A83A-FA460405FD4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Reducing the FY 19 number (current) proportionally by the valuation allowance.</t>
        </r>
      </text>
    </comment>
    <comment ref="K23" authorId="0" shapeId="0" xr:uid="{AC3051BF-28F6-44C4-869B-E080D4BAD0AD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the number as of FY 19 (due to Fair Value estimates) and subtracting the Debt transferred to MAXN in the deal.</t>
        </r>
      </text>
    </comment>
    <comment ref="K26" authorId="0" shapeId="0" xr:uid="{6357DB03-917D-469C-A902-B79BBFAA3C29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the FY 19 number (current) and adjusting for MAXN's portion of the NCI.</t>
        </r>
      </text>
    </comment>
    <comment ref="K58" authorId="0" shapeId="0" xr:uid="{16A9DC8B-967F-4995-9174-3A1530C63C49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Majority of Sub Co.'s Interest Expense actually belongs to the Parent and reverts post-deal.</t>
        </r>
      </text>
    </comment>
    <comment ref="K144" authorId="0" shapeId="0" xr:uid="{24011F1F-C4BE-4568-AB00-24792F8D058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Not factoring in Sub Co.'s numbers here because its "non-cash interest" just indicates that it's the Parent's responsibility anyway.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23" authorId="0" shapeId="0" xr:uid="{5296F2C8-4A8D-4809-B74E-BFB608D4A47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Singapore corporate tax rate is 17%, but company will still owe higher taxes in other regions.</t>
        </r>
      </text>
    </comment>
    <comment ref="E25" authorId="0" shapeId="0" xr:uid="{4DF99C83-6ABF-4FF1-8425-271E15A01EE6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estimate on pg. 80 of 20-F form.</t>
        </r>
      </text>
    </comment>
    <comment ref="K31" authorId="0" shapeId="0" xr:uid="{13E1D34E-E16F-4ACA-B2B8-95430A4949B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the FY 19 number (current) and adjusting for the changes in the deal.</t>
        </r>
      </text>
    </comment>
    <comment ref="K33" authorId="0" shapeId="0" xr:uid="{517D904F-4EB8-4DE6-B81D-AE07C025EA0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the FY 19 number (current) and adjusting for the changes in the deal.</t>
        </r>
      </text>
    </comment>
    <comment ref="K35" authorId="0" shapeId="0" xr:uid="{70D839DA-70AD-41E0-8512-86F9C51481D6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Reducing the FY 19 (current) NOLs proportionally by the valuation allowance.</t>
        </r>
      </text>
    </comment>
    <comment ref="K36" authorId="0" shapeId="0" xr:uid="{06D6AC95-3A9A-48F1-AB07-FCC2DECAF02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Face Value of Debt as of the end of FY 19 (no Market Value available) and adding the Drawn Revolver + Face Value of Convertible.</t>
        </r>
      </text>
    </comment>
    <comment ref="K39" authorId="0" shapeId="0" xr:uid="{914F8615-BA8B-4B50-9FD7-C31459C45F5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Taking the FY 19 number (current) and adjusting for the changes in the deal.</t>
        </r>
      </text>
    </comment>
    <comment ref="E41" authorId="0" shapeId="0" xr:uid="{D2056C37-E004-44A9-8DC2-63674ADDBBFA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If this is positive, it must be distributed to SPWR. If it's negative, SPWR must pay this additional amount to MAXN.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J28" authorId="0" shapeId="0" xr:uid="{71436BCE-8DB8-4D6A-A2D5-CC5146284C7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O28" authorId="0" shapeId="0" xr:uid="{A635CB18-EE0B-48F4-AC49-62CD811E7C6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J28" authorId="0" shapeId="0" xr:uid="{F20E3437-5449-44C2-9E0C-F451901A3F5A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O28" authorId="0" shapeId="0" xr:uid="{CD3CF8DE-EA53-45B3-BE2A-6CD4798256C8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8" authorId="0" shapeId="0" xr:uid="{FEF54696-D6B2-4832-8FDE-83233397B61A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Deliberately using the basic share count and excluding RSUs because TOTAL does not own any RSUs. Percentage ownership is based on the basic share count instead.</t>
        </r>
      </text>
    </comment>
    <comment ref="F37" authorId="0" shapeId="0" xr:uid="{D9608B88-9BB2-4D29-BF89-E3B71D78492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This is 0 here because we're reallocating corporate overhead and assuming dis-synergies in the 3-statement models instead.</t>
        </r>
      </text>
    </comment>
  </commentList>
</comments>
</file>

<file path=xl/sharedStrings.xml><?xml version="1.0" encoding="utf-8"?>
<sst xmlns="http://schemas.openxmlformats.org/spreadsheetml/2006/main" count="2034" uniqueCount="598">
  <si>
    <t>Operating Income:</t>
  </si>
  <si>
    <t>Pre-Tax Income:</t>
  </si>
  <si>
    <t>Net Income:</t>
  </si>
  <si>
    <t>Revenue:</t>
  </si>
  <si>
    <t>Long-Term Assets:</t>
  </si>
  <si>
    <t>Total Current Assets:</t>
  </si>
  <si>
    <t>Current Assets:</t>
  </si>
  <si>
    <t>Total Liabilities:</t>
  </si>
  <si>
    <t>Other Intangible Assets:</t>
  </si>
  <si>
    <t>Exercise</t>
  </si>
  <si>
    <t>Number</t>
  </si>
  <si>
    <t>Accounts Receivable:</t>
  </si>
  <si>
    <t>Cash &amp; Cash Equivalents:</t>
  </si>
  <si>
    <t>Last Fiscal Year:</t>
  </si>
  <si>
    <t>Projected</t>
  </si>
  <si>
    <t>Revenue Growth:</t>
  </si>
  <si>
    <t>Operating Margin:</t>
  </si>
  <si>
    <t>EBITDA Margin:</t>
  </si>
  <si>
    <t>Net Margin:</t>
  </si>
  <si>
    <t>Effective Tax Rate:</t>
  </si>
  <si>
    <t>EBITDA:</t>
  </si>
  <si>
    <t>CapEx % Revenue:</t>
  </si>
  <si>
    <t>Total Long-Term Assets:</t>
  </si>
  <si>
    <t>TOTAL ASSETS:</t>
  </si>
  <si>
    <t>TOTAL LIABILITIES &amp; EQUITY:</t>
  </si>
  <si>
    <t>Balance Sheet Check:</t>
  </si>
  <si>
    <t>Name:</t>
  </si>
  <si>
    <t>(Millions):</t>
  </si>
  <si>
    <t>Price:</t>
  </si>
  <si>
    <t>Dilution:</t>
  </si>
  <si>
    <t>Total:</t>
  </si>
  <si>
    <t>N/A</t>
  </si>
  <si>
    <t>%</t>
  </si>
  <si>
    <t>$ / Share</t>
  </si>
  <si>
    <t>M Shares</t>
  </si>
  <si>
    <t>Total Revenue:</t>
  </si>
  <si>
    <t>Cash Flow from Operations:</t>
  </si>
  <si>
    <t>(-) Cash &amp; Cash-Equivalents:</t>
  </si>
  <si>
    <t>(-) Equity Investments:</t>
  </si>
  <si>
    <t>(-) Other Non-Core Assets, Net:</t>
  </si>
  <si>
    <t>(-) Net Operating Losses:</t>
  </si>
  <si>
    <t>(+) Preferred Stock:</t>
  </si>
  <si>
    <t>(+) Noncontrolling Interests:</t>
  </si>
  <si>
    <t>Current Enterprise Value:</t>
  </si>
  <si>
    <t>Current Equity Value:</t>
  </si>
  <si>
    <t>(+) Depreciation &amp; Amortization:</t>
  </si>
  <si>
    <t>$ M</t>
  </si>
  <si>
    <t>ASSETS:</t>
  </si>
  <si>
    <t>LIABILITIES &amp; EQUITY:</t>
  </si>
  <si>
    <t>(-) Capital Expenditures:</t>
  </si>
  <si>
    <t>(+) Interest Income:</t>
  </si>
  <si>
    <t>(-) Interest Expense:</t>
  </si>
  <si>
    <t>Units:</t>
  </si>
  <si>
    <t>Transaction Assumptions:</t>
  </si>
  <si>
    <t>Long-Term Liabilities:</t>
  </si>
  <si>
    <t>Total Long-Term Liabilities:</t>
  </si>
  <si>
    <t>Current Liabilities:</t>
  </si>
  <si>
    <t>Total Current Liabilities:</t>
  </si>
  <si>
    <t>Other Long-Term Assets:</t>
  </si>
  <si>
    <t>(+) Stock-Based Compensation:</t>
  </si>
  <si>
    <t>(+) Deferred Income Taxes:</t>
  </si>
  <si>
    <t>Cash Flow from Investing:</t>
  </si>
  <si>
    <t>(+) Issuances of Common Stock:</t>
  </si>
  <si>
    <t>Cash Flow from Financing:</t>
  </si>
  <si>
    <t>Net Change in Cash:</t>
  </si>
  <si>
    <t>Other Items:</t>
  </si>
  <si>
    <t>Issuances of Common Stock:</t>
  </si>
  <si>
    <t>(+/-) Other Items:</t>
  </si>
  <si>
    <t>Other Long-Term Liabilities:</t>
  </si>
  <si>
    <t>Historical:</t>
  </si>
  <si>
    <t>Projected:</t>
  </si>
  <si>
    <t>Operating Statistics:</t>
  </si>
  <si>
    <t>Capitalization</t>
  </si>
  <si>
    <t>Share</t>
  </si>
  <si>
    <t>Diluted</t>
  </si>
  <si>
    <t>Equity</t>
  </si>
  <si>
    <t>Preferred</t>
  </si>
  <si>
    <t>Other &amp;</t>
  </si>
  <si>
    <t>Enterprise</t>
  </si>
  <si>
    <t>Revenue</t>
  </si>
  <si>
    <t>EBITDA</t>
  </si>
  <si>
    <t>EBITDA Margin</t>
  </si>
  <si>
    <t>Company Name</t>
  </si>
  <si>
    <t>Ticker</t>
  </si>
  <si>
    <t>Price</t>
  </si>
  <si>
    <t>Shares</t>
  </si>
  <si>
    <t>Value</t>
  </si>
  <si>
    <t>Stock</t>
  </si>
  <si>
    <t>NCI</t>
  </si>
  <si>
    <t>Growth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</si>
  <si>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</si>
  <si>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</si>
  <si>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</si>
  <si>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</si>
  <si>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</si>
  <si>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</si>
  <si>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</si>
  <si>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Date</t>
  </si>
  <si>
    <t>(-) Cost of Sales:</t>
  </si>
  <si>
    <t>Gross Profit:</t>
  </si>
  <si>
    <t>(-) Selling, General &amp; Administrative:</t>
  </si>
  <si>
    <t>Operating Expenses:</t>
  </si>
  <si>
    <t>Total Operating Expenses:</t>
  </si>
  <si>
    <t>Total Debt:</t>
  </si>
  <si>
    <t>Common Shareholders' Equity:</t>
  </si>
  <si>
    <t>Operating Lease Assets:</t>
  </si>
  <si>
    <t>Operating Lease Liabilities:</t>
  </si>
  <si>
    <t>Net Plants, Property &amp; Equipment:</t>
  </si>
  <si>
    <t>Changes in Working Capital:</t>
  </si>
  <si>
    <t>(+/-) Change in Accounts Receivable:</t>
  </si>
  <si>
    <t>(+/-) Change in Operating Lease Assets:</t>
  </si>
  <si>
    <t>(+/-) Change in Operating Lease Liabilities:</t>
  </si>
  <si>
    <t>(+) Proceeds from Sale of PP&amp;E:</t>
  </si>
  <si>
    <t>(+) Debt Issuances:</t>
  </si>
  <si>
    <t>(-) Debt Repayments:</t>
  </si>
  <si>
    <t>Beginning Cash:</t>
  </si>
  <si>
    <t>Ending Cash:</t>
  </si>
  <si>
    <t>Cost of Sales % Revenue:</t>
  </si>
  <si>
    <t>Growth Rate:</t>
  </si>
  <si>
    <t>#</t>
  </si>
  <si>
    <t>$ as Stated</t>
  </si>
  <si>
    <t>Restricted Stock Units:</t>
  </si>
  <si>
    <t>Accounts Receivable % Revenue:</t>
  </si>
  <si>
    <t>Operating Lease Assets % SG&amp;A:</t>
  </si>
  <si>
    <t>Issuances % Maturities &amp; Repayments:</t>
  </si>
  <si>
    <t>Millions</t>
  </si>
  <si>
    <t>Basic Shares Outstanding:</t>
  </si>
  <si>
    <t>Diluted Shares Outstanding:</t>
  </si>
  <si>
    <t>Name</t>
  </si>
  <si>
    <t>Debt Issuances:</t>
  </si>
  <si>
    <t>Depreciation % Revenue:</t>
  </si>
  <si>
    <t>(+) Depreciation:</t>
  </si>
  <si>
    <t>(+) Amortization of Intangibles:</t>
  </si>
  <si>
    <t>Balance Sheet and Cash Flow Statement Drivers:</t>
  </si>
  <si>
    <t>Income Statement Drivers:</t>
  </si>
  <si>
    <t>Stock-Based Compensation % Revenue:</t>
  </si>
  <si>
    <t>Proceeds from Sale of PP&amp;E:</t>
  </si>
  <si>
    <t>(-) Financial Investments:</t>
  </si>
  <si>
    <t>(+) Operating Leases:</t>
  </si>
  <si>
    <t>(+) Unfunded Pensions:</t>
  </si>
  <si>
    <t>(+) Total Debt &amp; Finance Leases:</t>
  </si>
  <si>
    <t>(+) Other Income, Net:</t>
  </si>
  <si>
    <t>Debt Maturities &amp; Repayments:</t>
  </si>
  <si>
    <t>Interest Income % Beginning Cash Balance:</t>
  </si>
  <si>
    <t>Other Income, Net:</t>
  </si>
  <si>
    <t>(+) Amortization of Intangible Assets:</t>
  </si>
  <si>
    <t>Risk-Free Rate:</t>
  </si>
  <si>
    <t>Equity Risk Premium:</t>
  </si>
  <si>
    <t>Transaction Close Date:</t>
  </si>
  <si>
    <t>DCF Assumptions &amp; Output:</t>
  </si>
  <si>
    <t>Discount Rate (WACC):</t>
  </si>
  <si>
    <t>Terminal Value - Multiples Method:</t>
  </si>
  <si>
    <t>Terminal Value - Perpetuity Growth Method:</t>
  </si>
  <si>
    <t>Expected Long-Term GDP Growth:</t>
  </si>
  <si>
    <t>Baseline Terminal EBITDA Multiple:</t>
  </si>
  <si>
    <t>Baseline Terminal FCF Growth Rate:</t>
  </si>
  <si>
    <t>Baseline Terminal Value:</t>
  </si>
  <si>
    <t>Implied Terminal FCF Growth Rate:</t>
  </si>
  <si>
    <t>Implied Terminal EBITDA Multiple:</t>
  </si>
  <si>
    <t>(+) PV of Terminal Value:</t>
  </si>
  <si>
    <t>(+) Sum of PV of Free Cash Flows:</t>
  </si>
  <si>
    <t>Implied Enterprise Value:</t>
  </si>
  <si>
    <t>(+) Cash &amp; Cash-Equivalents:</t>
  </si>
  <si>
    <t>(+) Equity Investments:</t>
  </si>
  <si>
    <t>(+) Other Non-Core Assets, Net:</t>
  </si>
  <si>
    <t>(+) Net Operating Losses:</t>
  </si>
  <si>
    <t>(-) Preferred Stock:</t>
  </si>
  <si>
    <t>(-) Noncontrolling Interests:</t>
  </si>
  <si>
    <t>Implied Equity Value:</t>
  </si>
  <si>
    <t>Implied Share Price from DCF:</t>
  </si>
  <si>
    <t>Premium / (Discount) to Current:</t>
  </si>
  <si>
    <t>Unlevered Free Cash Flow Projections:</t>
  </si>
  <si>
    <t>Net Operating Profit After Tax (NOPAT):</t>
  </si>
  <si>
    <t>Adjustments for Non-Cash Charges:</t>
  </si>
  <si>
    <t>% Revenue:</t>
  </si>
  <si>
    <t>% Change in Revenue:</t>
  </si>
  <si>
    <t>(-) Capital Expenditures &amp; Acquisitions:</t>
  </si>
  <si>
    <t>Annual Unlevered Free Cash Flow:</t>
  </si>
  <si>
    <t>PV of Unlevered FCF:</t>
  </si>
  <si>
    <t>Sensitivity Tables:</t>
  </si>
  <si>
    <t>Terminal FCF Growth Rate:</t>
  </si>
  <si>
    <t>Terminal EBITDA Multiple:</t>
  </si>
  <si>
    <t>Discount Rate Calculations - Assumptions:</t>
  </si>
  <si>
    <t>Pre-Tax Cost of Debt:</t>
  </si>
  <si>
    <t>Cost of Preferred Stock:</t>
  </si>
  <si>
    <t>Comparable Companies - Unlevered Beta Calculation:</t>
  </si>
  <si>
    <t>Levered</t>
  </si>
  <si>
    <t>Unlevered</t>
  </si>
  <si>
    <t>Beta</t>
  </si>
  <si>
    <t>Debt</t>
  </si>
  <si>
    <t>% Debt</t>
  </si>
  <si>
    <t>% Preferred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</si>
  <si>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</si>
  <si>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</si>
  <si>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</si>
  <si>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</si>
  <si>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</si>
  <si>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</si>
  <si>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</si>
  <si>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WACC = Cost of Equity * % Equity + Cost of Debt * % Debt * (1 - Tax Rate) + Cost of Preferred Stock * % Preferred Stock</t>
  </si>
  <si>
    <t>WACC, Current Capital Structure:</t>
  </si>
  <si>
    <t>WACC, "Optimal" Capital Structure:</t>
  </si>
  <si>
    <t>Cash</t>
  </si>
  <si>
    <t>Total Debt</t>
  </si>
  <si>
    <t>% of Implied TEV from Terminal Value:</t>
  </si>
  <si>
    <t>(+) Financial Investments:</t>
  </si>
  <si>
    <t>(-) Total Debt &amp; Finance Leases:</t>
  </si>
  <si>
    <t>(-) Operating Leases:</t>
  </si>
  <si>
    <t>(-) Unfunded Pensions:</t>
  </si>
  <si>
    <t>Amortization of Intangibles % Revenue:</t>
  </si>
  <si>
    <t>Acquisitions % Revenue:</t>
  </si>
  <si>
    <t>Amortization % Revenue:</t>
  </si>
  <si>
    <t>Earnings Before Interest &amp; Taxes (EBIT):</t>
  </si>
  <si>
    <t>EBIT Margin:</t>
  </si>
  <si>
    <t>Valuation/Analysis Date:</t>
  </si>
  <si>
    <t>Median Forward TEV / EBITDA of Comps:</t>
  </si>
  <si>
    <t>Maxeon Solar Technologies, Ltd.</t>
  </si>
  <si>
    <t>MAXN</t>
  </si>
  <si>
    <t>Other Current Assets:</t>
  </si>
  <si>
    <t>Inventory:</t>
  </si>
  <si>
    <t>Total Contract Liabilities:</t>
  </si>
  <si>
    <t>Noncontrolling Interests:</t>
  </si>
  <si>
    <t>Total Equity:</t>
  </si>
  <si>
    <t>(-) Impairment of Manufacturing Assets:</t>
  </si>
  <si>
    <t>(-) Research &amp; Development:</t>
  </si>
  <si>
    <t>(-) Restructuring Costs / (Benefits):</t>
  </si>
  <si>
    <t>(-) Income Tax Provision / (Benefit):</t>
  </si>
  <si>
    <t>(+/-) Net Income from Equity Investments:</t>
  </si>
  <si>
    <t>Net Income to Parent:</t>
  </si>
  <si>
    <t>(+) DG Rooftop:</t>
  </si>
  <si>
    <t>(+) Large Scale:</t>
  </si>
  <si>
    <t>(+) Impairment of Manufacturing Assets:</t>
  </si>
  <si>
    <t>DG Rooftop Installations:</t>
  </si>
  <si>
    <t>MW</t>
  </si>
  <si>
    <t>Large-Scale Installations:</t>
  </si>
  <si>
    <t>$ / W</t>
  </si>
  <si>
    <t>Price per DG Rooftop Watt:</t>
  </si>
  <si>
    <t>Price per Large Scale Watt:</t>
  </si>
  <si>
    <t>Net Income Attributable to Parent:</t>
  </si>
  <si>
    <t>(+/-) Net Income Attrib. to Noncontrolling Interests:</t>
  </si>
  <si>
    <t>(-/+) Net Income from Equity Investments:</t>
  </si>
  <si>
    <t>(-/+) Net Income Attrib. to Noncontrolling Interests:</t>
  </si>
  <si>
    <t>(+) Impairment of PP&amp;E:</t>
  </si>
  <si>
    <t>(-) Purchases of Intangibles:</t>
  </si>
  <si>
    <t>(-) Purchases of Equity Investments:</t>
  </si>
  <si>
    <t>(+/-) Change in Inventory:</t>
  </si>
  <si>
    <t>(+/-) Change in Accounts Payable &amp; Accrued Liab.:</t>
  </si>
  <si>
    <t>(+) Net Parent Contribution:</t>
  </si>
  <si>
    <t>FX Rate Effects:</t>
  </si>
  <si>
    <t>SG&amp;A % Revenue:</t>
  </si>
  <si>
    <t>R&amp;D % Revenue:</t>
  </si>
  <si>
    <t>Inventory % Cost of Sales:</t>
  </si>
  <si>
    <t>Other Current Assets % Revenue:</t>
  </si>
  <si>
    <t>Accounts Payable % Cost of Sales:</t>
  </si>
  <si>
    <t>Contract Liabilities % Revenue:</t>
  </si>
  <si>
    <t>Other Long-Term Liabilities % Revenue:</t>
  </si>
  <si>
    <t>(+/-) Change in Other Liabilities:</t>
  </si>
  <si>
    <t>Purchases of Intangibles % Revenue:</t>
  </si>
  <si>
    <t>Purchases of Eq. Investments % Revenue:</t>
  </si>
  <si>
    <t>Net Income from Equity Investments:</t>
  </si>
  <si>
    <t>Net Income Attrib. to Noncontrolling Interests:</t>
  </si>
  <si>
    <t>(+/-) Change in Other Current Assets:</t>
  </si>
  <si>
    <t>Financing Schedule:</t>
  </si>
  <si>
    <t>Net Parent Contribution:</t>
  </si>
  <si>
    <t>SunPower Corporation</t>
  </si>
  <si>
    <t>SPWR</t>
  </si>
  <si>
    <t>Parent Company - Financial Profile:</t>
  </si>
  <si>
    <t>Parent Company - Key Drivers:</t>
  </si>
  <si>
    <t>Parent Company - Income Statement:</t>
  </si>
  <si>
    <t>Parent Company - Balance Sheet:</t>
  </si>
  <si>
    <t>Parent Company - Cash Flow Statement:</t>
  </si>
  <si>
    <t>Parent Company - Key Metrics and Ratios:</t>
  </si>
  <si>
    <t>(+) SunPower Energy Services:</t>
  </si>
  <si>
    <t>(+) SunPower Technologies:</t>
  </si>
  <si>
    <t>(-) Intersegment Eliminations:</t>
  </si>
  <si>
    <t>(-) Cost of SunPower Energy Services:</t>
  </si>
  <si>
    <t>(-) Cost of SunPower Technologies:</t>
  </si>
  <si>
    <t>(+) Intersegment Eliminations:</t>
  </si>
  <si>
    <t>(-) Losses / (+) Gains on Assets and Divestitures:</t>
  </si>
  <si>
    <t>Equity Investments:</t>
  </si>
  <si>
    <t>(+) Non-Cash Interest Expense:</t>
  </si>
  <si>
    <t>(+/-) Gains, Losses, and Other Items:</t>
  </si>
  <si>
    <t>(+) Dividends from Equity Investments:</t>
  </si>
  <si>
    <t>(-) Gains / (+) Losses on Equity Investments:</t>
  </si>
  <si>
    <t>(+) Contributions from Noncontrolling Interests:</t>
  </si>
  <si>
    <t>(-) Distributions to Noncontrolling Interests:</t>
  </si>
  <si>
    <t>SPES - Price per Watt:</t>
  </si>
  <si>
    <t>SunPower Energy Services (SPES) - MW Recognized:</t>
  </si>
  <si>
    <t>SPT - Price per Watt:</t>
  </si>
  <si>
    <t>SunPower Technologies (SPT) - MW Recognized:</t>
  </si>
  <si>
    <t>Intersegment Eliminations % Total Revenue:</t>
  </si>
  <si>
    <t>SPES - Cost of Sales % Revenue:</t>
  </si>
  <si>
    <t>SPT - Cost of Sales % Revenue:</t>
  </si>
  <si>
    <t>Intersegment Eliminations % Total Cost of Sales:</t>
  </si>
  <si>
    <t>Gross Margin:</t>
  </si>
  <si>
    <t>Portion of Parent's Interest Expense:</t>
  </si>
  <si>
    <t>(-) Portion of Parent's Interest Expense:</t>
  </si>
  <si>
    <t>Non-Cash % of Total Interest Expense:</t>
  </si>
  <si>
    <t>Effective Interest Rate:</t>
  </si>
  <si>
    <t>Tax Schedule:</t>
  </si>
  <si>
    <t>Book Pre-Tax Income:</t>
  </si>
  <si>
    <t>(+) Amortization of Acquired Intangibles:</t>
  </si>
  <si>
    <t>Taxable Income:</t>
  </si>
  <si>
    <t>(+) Asset Impairments:</t>
  </si>
  <si>
    <t>Beginning Net Operating Loss (NOL) Balance:</t>
  </si>
  <si>
    <t>(+) NOLs Created:</t>
  </si>
  <si>
    <t>(-) NOLs Used:</t>
  </si>
  <si>
    <t>Ending NOL Balance:</t>
  </si>
  <si>
    <t>NOL-Adjusted Taxable Income:</t>
  </si>
  <si>
    <t>Cash Taxes Payable:</t>
  </si>
  <si>
    <t>Deferred Income Taxes:</t>
  </si>
  <si>
    <t>Funding Required by Maxeon:</t>
  </si>
  <si>
    <t>% Funded by Additional Debt Issuances:</t>
  </si>
  <si>
    <t>(+) Debt Issuances to Fund Maxeon:</t>
  </si>
  <si>
    <t>(+) Common Stock Issuances to Fund Maxeon:</t>
  </si>
  <si>
    <t>% Funded by Common Stock Issuances:</t>
  </si>
  <si>
    <t>Dividends from Equity Investments:</t>
  </si>
  <si>
    <t>Impairment of PP&amp;E:</t>
  </si>
  <si>
    <t>Gains, Losses, and Other Items:</t>
  </si>
  <si>
    <t>Gains and Losses on Equity Investments:</t>
  </si>
  <si>
    <t>(-) Proceeds from PP&amp;E Sales and Other Items:</t>
  </si>
  <si>
    <t>(-) Acquisitions and Purchases of Intangibles:</t>
  </si>
  <si>
    <t>Proceeds from PP&amp;E Sales and Other Items:</t>
  </si>
  <si>
    <t>Acquisitions and Purchases of Intangibles % Revenue:</t>
  </si>
  <si>
    <t>Contributions from NCI % NCI Net Income:</t>
  </si>
  <si>
    <t>Distributions to NCI % NCI Net Income:</t>
  </si>
  <si>
    <t>Parent Company Name:</t>
  </si>
  <si>
    <t>Parent Company Ticker:</t>
  </si>
  <si>
    <t>Distribution Ratio:</t>
  </si>
  <si>
    <t>TZS Investment Post-Transaction:</t>
  </si>
  <si>
    <t>Transaction Adjustments:</t>
  </si>
  <si>
    <t>Separated Company:</t>
  </si>
  <si>
    <t>Debit</t>
  </si>
  <si>
    <t>Credit</t>
  </si>
  <si>
    <t>Parent - Total Revenue:</t>
  </si>
  <si>
    <t>(-) Sub Co.'s Revenue:</t>
  </si>
  <si>
    <t>Post-Transaction Revenue:</t>
  </si>
  <si>
    <t>Parent - Cost of Revenue:</t>
  </si>
  <si>
    <t>Post-Transaction Cost of Revenue:</t>
  </si>
  <si>
    <t>(+) Sub Co.'s Cost of Revenue:</t>
  </si>
  <si>
    <t>Post-Transaction Gross Profit:</t>
  </si>
  <si>
    <t>Parent - Operating Expenses:</t>
  </si>
  <si>
    <t>(+) Sub Co.'s Operating Expenses:</t>
  </si>
  <si>
    <t>Post-Transaction Operating Expenses:</t>
  </si>
  <si>
    <t>Post-Transaction Operating Income:</t>
  </si>
  <si>
    <t>(-) Parent's Interest Expense:</t>
  </si>
  <si>
    <t>(+) Sub Co.'s Interest Expense:</t>
  </si>
  <si>
    <t>(+) Parent's Interest Income:</t>
  </si>
  <si>
    <t>(-) Sub Co.'s Interest Income:</t>
  </si>
  <si>
    <t>(+) Parent's Other Income:</t>
  </si>
  <si>
    <t>(-) Sub Co.'s Other Income:</t>
  </si>
  <si>
    <t>Post-Transaction Pre-Tax Income:</t>
  </si>
  <si>
    <t>TZS Implied Ownership:</t>
  </si>
  <si>
    <t>Weighted Average Diluted Shares Outstanding:</t>
  </si>
  <si>
    <t>Earnings per Share (EPS):</t>
  </si>
  <si>
    <t>Spinoff Accretion / (Dilution) - $:</t>
  </si>
  <si>
    <t>Spinoff Accretion / (Dilution) - %:</t>
  </si>
  <si>
    <t>($ USD in Millions Except for Per-Share Figures and Other Per-Unit Data)</t>
  </si>
  <si>
    <t>(+/-) Reversal of Sub Co.'s NI from Equity Investments:</t>
  </si>
  <si>
    <t>(+/-) Reversal of Sub Co.'s NI Attrib. to NCI:</t>
  </si>
  <si>
    <t>(-) Reduction in Shares from Sub Co. Funding:</t>
  </si>
  <si>
    <t>(+) Interest Expense Reduction from Sub Co. Funding:</t>
  </si>
  <si>
    <t>Post-Transaction Weighted Avg. Diluted Shares:</t>
  </si>
  <si>
    <t>Post-Transaction Earnings per Share (EPS):</t>
  </si>
  <si>
    <t>Pre-Transaction Combined Company EPS:</t>
  </si>
  <si>
    <t>(+) Common Stock Issuances:</t>
  </si>
  <si>
    <t>Accounts Payable &amp; Accrued Liabilities:</t>
  </si>
  <si>
    <t>(+/-) Change in Contract Liabilities:</t>
  </si>
  <si>
    <t>Pro-Forma Balance Sheet Adjustments:</t>
  </si>
  <si>
    <t>Sub Co. Min Cash Pre-TZS:</t>
  </si>
  <si>
    <t>Sub Co. Promissory Note Proceeds:</t>
  </si>
  <si>
    <t>Reimbursed Transaction Expenses:</t>
  </si>
  <si>
    <t>Intercompany Prepaid Expenses:</t>
  </si>
  <si>
    <t>Intercompany Accrued Liabilities:</t>
  </si>
  <si>
    <t>Net PP&amp;E Adjustments:</t>
  </si>
  <si>
    <t>Operating Lease Asset Adjustments:</t>
  </si>
  <si>
    <t>Operating Lease Liability Adjustments:</t>
  </si>
  <si>
    <t>Other Intangible Asset Adjustments:</t>
  </si>
  <si>
    <t>Contingent Liability/Legal Adjustments:</t>
  </si>
  <si>
    <t>Income Tax Effects (Accrued Liab.):</t>
  </si>
  <si>
    <t>Cash that Sub Co. Pays to Parent:</t>
  </si>
  <si>
    <t>Adjustment Required in Equity:</t>
  </si>
  <si>
    <t>Pro-Forma Income Statement Adjustments:</t>
  </si>
  <si>
    <t>Amortization Allocated to Sub Co.:</t>
  </si>
  <si>
    <t>Depreciation Allocated to Sub Co.:</t>
  </si>
  <si>
    <t>One-Time Transaction Costs:</t>
  </si>
  <si>
    <t>Corp. Overhead Allocated to Sub Co.:</t>
  </si>
  <si>
    <t>Sub Co.'s Non-Cash Accretion:</t>
  </si>
  <si>
    <t>(+) Amortization Allocated to Sub Co.:</t>
  </si>
  <si>
    <t>(+) Depreciation Allocated to Sub Co.:</t>
  </si>
  <si>
    <t>(+) Corp. Overhead Allocated to Sub Co.:</t>
  </si>
  <si>
    <t>(-) One-Time Transaction Fees:</t>
  </si>
  <si>
    <t>(-) Sub Co.'s Non-Cash Accretion:</t>
  </si>
  <si>
    <t>(-) Depreciation Allocated to Sub Co.:</t>
  </si>
  <si>
    <t>(-) Amortization Allocated to Sub Co.:</t>
  </si>
  <si>
    <t>(+) Sub Co.'s Non-Cash Accretion:</t>
  </si>
  <si>
    <t>(-) Removal of Debt Issuances to Fund Maxeon:</t>
  </si>
  <si>
    <t>(-) Removal of Stock Issuances to Fund Maxeon:</t>
  </si>
  <si>
    <t>Post-Transaction Tax Schedule:</t>
  </si>
  <si>
    <t>NOPAT:</t>
  </si>
  <si>
    <t>Return on Invested Capital (ROIC):</t>
  </si>
  <si>
    <t>Invested Capital (CSE + Debt):</t>
  </si>
  <si>
    <t>Subsidiary Company - Financial Profile:</t>
  </si>
  <si>
    <t>Subsidiary Company - Key Drivers:</t>
  </si>
  <si>
    <t>Subsidiary Company - Income Statement:</t>
  </si>
  <si>
    <t>Subsidiary Company - Balance Sheet:</t>
  </si>
  <si>
    <t>Subsidiary Company - Cash Flow Statement:</t>
  </si>
  <si>
    <t>Subsidiary Company - Key Metrics and Ratios:</t>
  </si>
  <si>
    <t>(-) Post-Transaction Cost of Goods Sold (COGS):</t>
  </si>
  <si>
    <t>Sub Co. - Operating Expenses:</t>
  </si>
  <si>
    <t>(-) Corp. Overhead Allocated to Sub Co.:</t>
  </si>
  <si>
    <t>Interest Rate:</t>
  </si>
  <si>
    <t>Issuance Fee %:</t>
  </si>
  <si>
    <t>Commitment Fee %:</t>
  </si>
  <si>
    <t>Maturity:</t>
  </si>
  <si>
    <t>Annual Amortization of Issuance Fees:</t>
  </si>
  <si>
    <t>(-) Interest Expense on New Debt:</t>
  </si>
  <si>
    <t>(-) Commitment Fees &amp; Amortization of Issuance Fees:</t>
  </si>
  <si>
    <t>(+) Reversal of Parent's Interest Expense:</t>
  </si>
  <si>
    <t>(+) Reversal of Non-Cash Accretion:</t>
  </si>
  <si>
    <t>Book Value of Drawn Revolver:</t>
  </si>
  <si>
    <t>Coupon Rate:</t>
  </si>
  <si>
    <t>Prepaid Forward Facility:</t>
  </si>
  <si>
    <t>Initial Book Value of Convertible Bond:</t>
  </si>
  <si>
    <t>Equity Component of Convertible Bond:</t>
  </si>
  <si>
    <t>(-) Reimbursed Transaction Expenses:</t>
  </si>
  <si>
    <t>(+) Revolver Proceeds:</t>
  </si>
  <si>
    <t>(+) Convertible Senior Note Proceeds:</t>
  </si>
  <si>
    <t>(-) Prepaid Forward Facility:</t>
  </si>
  <si>
    <t>Cash Balance Prior to TZS Investment:</t>
  </si>
  <si>
    <t>Excess / (Deficit) Cash:</t>
  </si>
  <si>
    <t>Pre-Transaction Cash Balance:</t>
  </si>
  <si>
    <t>(-) Removal of Net Parent Contribution:</t>
  </si>
  <si>
    <t>(-) Removal of Parent Non-Cash Interest Expense:</t>
  </si>
  <si>
    <t>(+) Revolver Draws / (-) Repayments:</t>
  </si>
  <si>
    <t>(+) Common Stock Issued to Meet Minimum Cash:</t>
  </si>
  <si>
    <t>(-) Reversal of Non-Cash Accretion:</t>
  </si>
  <si>
    <t>(+) Total Adjustments to Assets:</t>
  </si>
  <si>
    <t>(-) Total Adjustments to Liabilities:</t>
  </si>
  <si>
    <t>(-) Non-Removal Adj. to Liabilities:</t>
  </si>
  <si>
    <t>(+) Non-Removal Adj. to Assets:</t>
  </si>
  <si>
    <t>Ending Cash Before Financing:</t>
  </si>
  <si>
    <t>(+) Net Change in Cash Before New Financing:</t>
  </si>
  <si>
    <t>(+) Beginning Cash:</t>
  </si>
  <si>
    <t>(-) Minimum Cash Balance:</t>
  </si>
  <si>
    <t>(+) Funding Surplus / (-) Deficit:</t>
  </si>
  <si>
    <t>Debt or Equity Funding Required:</t>
  </si>
  <si>
    <t>Drawn Revolver:</t>
  </si>
  <si>
    <t>(+) Revolver Draw / (-) Repayment:</t>
  </si>
  <si>
    <t>Undrawn Revolver:</t>
  </si>
  <si>
    <t>Total Revolver Interest Expense:</t>
  </si>
  <si>
    <t>(+) Undrawn Commitment Fee:</t>
  </si>
  <si>
    <t>(+) Interest Expense:</t>
  </si>
  <si>
    <t>(+) Amortization of Issuance Fees:</t>
  </si>
  <si>
    <t>(+) Additional Equity Issuance:</t>
  </si>
  <si>
    <t>Initial Revolver Draw (Face Value):</t>
  </si>
  <si>
    <t>New Convertible Notes (Face Value):</t>
  </si>
  <si>
    <t>Convertible Notes Outstanding:</t>
  </si>
  <si>
    <t>Total Convertible Interest Expense:</t>
  </si>
  <si>
    <t>LONGi Green Energy Technology Co., Ltd.</t>
  </si>
  <si>
    <t>SHSE:601012</t>
  </si>
  <si>
    <t>JinkoSolar Holding Co., Ltd.</t>
  </si>
  <si>
    <t>NYSE:JKS</t>
  </si>
  <si>
    <t>JA Solar Technology Co., Ltd.</t>
  </si>
  <si>
    <t>SZSE:002459</t>
  </si>
  <si>
    <t>First Solar, Inc.</t>
  </si>
  <si>
    <t>NasdaqGS:FSLR</t>
  </si>
  <si>
    <t>Canadian Solar Inc.</t>
  </si>
  <si>
    <t>NasdaqGS:CSIQ</t>
  </si>
  <si>
    <t>Risen Energy Co.,Ltd.</t>
  </si>
  <si>
    <t>SZSE:300118</t>
  </si>
  <si>
    <t>Projected Revenue</t>
  </si>
  <si>
    <t>Average WACC:</t>
  </si>
  <si>
    <t>Beginning NOL Balance:</t>
  </si>
  <si>
    <t>(-) Cash Taxes:</t>
  </si>
  <si>
    <t>(+/-) Change in Working Capital:</t>
  </si>
  <si>
    <t>NOL-Adjusted Operating Income:</t>
  </si>
  <si>
    <t>(+) PV of Year 15 NOL Balance:</t>
  </si>
  <si>
    <t>Sunrun Inc.</t>
  </si>
  <si>
    <t>Vivint Solar, Inc.</t>
  </si>
  <si>
    <t>NasdaqGS:RUN</t>
  </si>
  <si>
    <t>NYSE:VLSR</t>
  </si>
  <si>
    <t>Restricted Stock Units and Other Sources of Dilution:</t>
  </si>
  <si>
    <t>Current Share Price:</t>
  </si>
  <si>
    <t>New Revolver - Maximum Capacity:</t>
  </si>
  <si>
    <t>Transaction-Adjusted Enterprise Value:</t>
  </si>
  <si>
    <t>Cost of Equity Based on Historical Beta:</t>
  </si>
  <si>
    <t>WACC, Current Capital Structure and Historical Cost of Equity:</t>
  </si>
  <si>
    <t>Average WACC Produced by All Methods:</t>
  </si>
  <si>
    <t>DTA Valuation Allowance:</t>
  </si>
  <si>
    <t>Gross DTA:</t>
  </si>
  <si>
    <t>Adjustments to Cash, Equity, Equity Value, and Enterprise Value:</t>
  </si>
  <si>
    <t>Post-Money Equity Value:</t>
  </si>
  <si>
    <t>Business Segment</t>
  </si>
  <si>
    <t>Figure</t>
  </si>
  <si>
    <t xml:space="preserve">Applicable </t>
  </si>
  <si>
    <t>25th</t>
  </si>
  <si>
    <t>Percentile</t>
  </si>
  <si>
    <t>Multiple</t>
  </si>
  <si>
    <t>75th</t>
  </si>
  <si>
    <t>Implied Enterprise Value</t>
  </si>
  <si>
    <t>Range</t>
  </si>
  <si>
    <t>Sensitivity - Terminal FCF Growth Rate vs. Discount Rate and Implied Enterprise Value from DCF Analysis:</t>
  </si>
  <si>
    <t>Sensitivity - Terminal EBITDA Multiple vs. Discount Rate and Implied Enterprise Value from DCF Analysis:</t>
  </si>
  <si>
    <t>Implied Equity Value</t>
  </si>
  <si>
    <t>15-Year Unlevered DCF Analysis:</t>
  </si>
  <si>
    <t>Blended Average Range:</t>
  </si>
  <si>
    <t>Combined Enterprise Value:</t>
  </si>
  <si>
    <t>Combined Equity Value:</t>
  </si>
  <si>
    <t>Range of Implied Share Prices:</t>
  </si>
  <si>
    <t>Premiums to Current Share Price:</t>
  </si>
  <si>
    <t>Ownership Assumptions:</t>
  </si>
  <si>
    <t>Value of TOTAL SE's Stake @ Current Equity Value:</t>
  </si>
  <si>
    <t>Value of TOTAL SE's Stake @ Implied Equity Value:</t>
  </si>
  <si>
    <t>TOTAL SE's Stake @ Current Equity Value:</t>
  </si>
  <si>
    <t>TOTAL SE's Stake @ Implied Equity Value:</t>
  </si>
  <si>
    <t>(-/+) Reversal of Sub Co.'s NI from Equity Investments:</t>
  </si>
  <si>
    <t>(-/+) Reversal of Sub Co.'s NI Attrib. to NCI:</t>
  </si>
  <si>
    <t>New Effective Tax Rate:</t>
  </si>
  <si>
    <t>Current Effective Tax Rate:</t>
  </si>
  <si>
    <t>Subsidiary Company Name:</t>
  </si>
  <si>
    <t>Subsidiary Company New Ticker:</t>
  </si>
  <si>
    <t>Accounts Payable &amp; Accrued Liab. % Cost of Sales:</t>
  </si>
  <si>
    <t>Shares Created in New Company:</t>
  </si>
  <si>
    <t>New Company Share Price:</t>
  </si>
  <si>
    <t>New Company's Distribution Value:</t>
  </si>
  <si>
    <t>New Company's Post-Money Equity Value:</t>
  </si>
  <si>
    <t>New Company's Post-Money Share Count:</t>
  </si>
  <si>
    <t>New Company - Income Statement:</t>
  </si>
  <si>
    <t>New Company - Balance Sheet:</t>
  </si>
  <si>
    <t>New Company - Cash Flow Statement:</t>
  </si>
  <si>
    <t>New Company - Debt &amp; Equity Schedule:</t>
  </si>
  <si>
    <t>New Company - Tax Schedule:</t>
  </si>
  <si>
    <t>New Company - Key Metrics and Ratios:</t>
  </si>
  <si>
    <t>(-) Annual Dis-Synergies:</t>
  </si>
  <si>
    <t>Annual Dis-Synergies:</t>
  </si>
  <si>
    <t>Parent's Separate Off-Balance Sheet NOLs:</t>
  </si>
  <si>
    <t>Parent's Separate Valuation Allowance:</t>
  </si>
  <si>
    <t>Parent's Separate Gross DTA:</t>
  </si>
  <si>
    <t>DTA Valuation Allowance (Current):</t>
  </si>
  <si>
    <t>Gross DTA (Current):</t>
  </si>
  <si>
    <t>Margin:</t>
  </si>
  <si>
    <t>(-) Adjustment for Corporate Overhead:</t>
  </si>
  <si>
    <t>Combined Share Count of Parent and Sub:</t>
  </si>
  <si>
    <t>(-) Promissory Note Payment:</t>
  </si>
  <si>
    <t>(+) Amortization of Convertible Discount:</t>
  </si>
  <si>
    <t>Amortization of Discount:</t>
  </si>
  <si>
    <t>(+) New Amortization of Fees &amp; Bond Discount:</t>
  </si>
  <si>
    <t>Transaction-Adjusted Equity Value:</t>
  </si>
  <si>
    <t>Premium / (Discount):</t>
  </si>
  <si>
    <t>N/M</t>
  </si>
  <si>
    <t>Lesson Outline:</t>
  </si>
  <si>
    <r>
      <t>Advance Warning:</t>
    </r>
    <r>
      <rPr>
        <sz val="12"/>
        <color theme="1"/>
        <rFont val="Calibri"/>
        <family val="2"/>
        <scheme val="minor"/>
      </rPr>
      <t xml:space="preserve"> Some parts of this get confusing because it's not always clear if we should be using the separate #'s,</t>
    </r>
  </si>
  <si>
    <t>the combined company #'s, or something else. Also, the analyses themselves are a bit confusing because the DCF for each</t>
  </si>
  <si>
    <t>company has 1 combined year, and then all separate years after that…</t>
  </si>
  <si>
    <r>
      <t>Goal:</t>
    </r>
    <r>
      <rPr>
        <sz val="12"/>
        <color theme="1"/>
        <rFont val="Calibri"/>
        <family val="2"/>
        <scheme val="minor"/>
      </rPr>
      <t xml:space="preserve"> Figure out what the separate companies here are worth, and how it compares to SunPower's current value as a combined</t>
    </r>
  </si>
  <si>
    <t>entity.</t>
  </si>
  <si>
    <t>under the assumption that TOTAL SE does not own any of SPWR's RSUs.</t>
  </si>
  <si>
    <t>Pull the financial metrics and multiples from the Comps sheets and focus on the 25th to 75th percentile ranges.</t>
  </si>
  <si>
    <r>
      <t xml:space="preserve">For the Implied Equity Value, we can take the Implied TEV and then </t>
    </r>
    <r>
      <rPr>
        <b/>
        <sz val="12"/>
        <color theme="1"/>
        <rFont val="Calibri"/>
        <family val="2"/>
        <scheme val="minor"/>
      </rPr>
      <t>subtract</t>
    </r>
    <r>
      <rPr>
        <sz val="12"/>
        <color theme="1"/>
        <rFont val="Calibri"/>
        <family val="2"/>
        <scheme val="minor"/>
      </rPr>
      <t xml:space="preserve"> the bridge items. For the DCF, technically, we</t>
    </r>
  </si>
  <si>
    <t>should use the bridge on the DCF tabs that sets the NOLs to 0 (but not a huge difference).</t>
  </si>
  <si>
    <r>
      <t xml:space="preserve">Then, we need to "combine" all these methodologies somehow. One solution is to use a </t>
    </r>
    <r>
      <rPr>
        <b/>
        <sz val="12"/>
        <color theme="1"/>
        <rFont val="Calibri"/>
        <family val="2"/>
        <scheme val="minor"/>
      </rPr>
      <t>blended average</t>
    </r>
    <r>
      <rPr>
        <sz val="12"/>
        <color theme="1"/>
        <rFont val="Calibri"/>
        <family val="2"/>
        <scheme val="minor"/>
      </rPr>
      <t xml:space="preserve"> that averages</t>
    </r>
  </si>
  <si>
    <t>the implied values from the TEV / Revenue multiples first, and then averages those with the DCF output.</t>
  </si>
  <si>
    <t>Not really viable to create a "multi-dimensional" sensitivity table or football field graph here.</t>
  </si>
  <si>
    <t>Step 1: Link in the Implied TEV for Each Company</t>
  </si>
  <si>
    <t>We're going to add up each company's Implied TEV in this 25th percentile to 75th percentile range, and then adjust for</t>
  </si>
  <si>
    <t>corporate overhead - but we don't need to do that here because we've already reallocated corp. overhead to MAXN, and</t>
  </si>
  <si>
    <t>we've even included "dis-synergies" each year.</t>
  </si>
  <si>
    <t>And we'll now go across SunPower's bridge as a combined entity - because we're still acting as if it *is* a combined</t>
  </si>
  <si>
    <t>entity at this point.</t>
  </si>
  <si>
    <r>
      <t xml:space="preserve">Yes, you </t>
    </r>
    <r>
      <rPr>
        <i/>
        <sz val="12"/>
        <color theme="1"/>
        <rFont val="Calibri"/>
        <family val="2"/>
        <scheme val="minor"/>
      </rPr>
      <t>could</t>
    </r>
    <r>
      <rPr>
        <sz val="12"/>
        <color theme="1"/>
        <rFont val="Calibri"/>
        <family val="2"/>
        <scheme val="minor"/>
      </rPr>
      <t xml:space="preserve"> argue that maybe we should use the combined, transaction-adjusted bridges, but it makes a very small</t>
    </r>
  </si>
  <si>
    <t>difference no matter what we do… so it's best not to over-think this.</t>
  </si>
  <si>
    <r>
      <t>Combined Share Count:</t>
    </r>
    <r>
      <rPr>
        <sz val="12"/>
        <color theme="1"/>
        <rFont val="Calibri"/>
        <family val="2"/>
        <scheme val="minor"/>
      </rPr>
      <t xml:space="preserve"> Want the Parent's Diluted Shares and the Sub's shares </t>
    </r>
    <r>
      <rPr>
        <i/>
        <sz val="12"/>
        <color theme="1"/>
        <rFont val="Calibri"/>
        <family val="2"/>
        <scheme val="minor"/>
      </rPr>
      <t>when the spinoff takes place but before the</t>
    </r>
  </si>
  <si>
    <r>
      <rPr>
        <i/>
        <sz val="12"/>
        <color theme="1"/>
        <rFont val="Calibri"/>
        <family val="2"/>
        <scheme val="minor"/>
      </rPr>
      <t>TZS investment</t>
    </r>
    <r>
      <rPr>
        <sz val="12"/>
        <color theme="1"/>
        <rFont val="Calibri"/>
        <family val="2"/>
        <scheme val="minor"/>
      </rPr>
      <t xml:space="preserve"> - rationale is the same, that we're pretending as if it's still the end of FY 19 or the start of FY 20, and that</t>
    </r>
  </si>
  <si>
    <t>the TZS investment, therefore, does not contribute to the Equity Value.</t>
  </si>
  <si>
    <r>
      <t>Why not just SunPower's standalone share count?</t>
    </r>
    <r>
      <rPr>
        <sz val="12"/>
        <color theme="1"/>
        <rFont val="Calibri"/>
        <family val="2"/>
        <scheme val="minor"/>
      </rPr>
      <t xml:space="preserve"> It's not a great idea to use that because we're considering SPWR</t>
    </r>
  </si>
  <si>
    <r>
      <t>and Maxeon as</t>
    </r>
    <r>
      <rPr>
        <i/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two separate entities</t>
    </r>
    <r>
      <rPr>
        <sz val="12"/>
        <color theme="1"/>
        <rFont val="Calibri"/>
        <family val="2"/>
        <scheme val="minor"/>
      </rPr>
      <t xml:space="preserve"> here. And the implied share prices would be much too high with only this one share count.</t>
    </r>
  </si>
  <si>
    <t>Step 2: Calculate the "Combined" TEV and Eq Val</t>
  </si>
  <si>
    <t>And we can then calculate the premium based on the Parent's Current Share Price - because we're comparing both these</t>
  </si>
  <si>
    <t>companies separately to the current SunPower.</t>
  </si>
  <si>
    <t>Step 3: Estimate TOTAL SE's Stake</t>
  </si>
  <si>
    <r>
      <rPr>
        <sz val="12"/>
        <color theme="1"/>
        <rFont val="Calibri"/>
        <family val="2"/>
        <scheme val="minor"/>
      </rPr>
      <t>First, we need TOTAL SE's ownership in Maxeon after the spinoff takes place.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We'll base this on the </t>
    </r>
    <r>
      <rPr>
        <i/>
        <sz val="12"/>
        <color theme="1"/>
        <rFont val="Calibri"/>
        <family val="2"/>
        <scheme val="minor"/>
      </rPr>
      <t>Basic Share Count</t>
    </r>
    <r>
      <rPr>
        <sz val="12"/>
        <color theme="1"/>
        <rFont val="Calibri"/>
        <family val="2"/>
        <scheme val="minor"/>
      </rPr>
      <t>,</t>
    </r>
  </si>
  <si>
    <t>And then we need to look at this stake at each company's Current Equity Value (or the Transaction-Adjusted one for</t>
  </si>
  <si>
    <t>SunPower) and the Implied Equity Value.</t>
  </si>
  <si>
    <t>Add these up, and we can see there's significant potential upside for TOTAL as well - maybe a 3-4x increase, in-line</t>
  </si>
  <si>
    <t>with what the valuation already told us.</t>
  </si>
  <si>
    <r>
      <t xml:space="preserve">Yes, there are some lingering questions here about </t>
    </r>
    <r>
      <rPr>
        <i/>
        <sz val="12"/>
        <color theme="1"/>
        <rFont val="Calibri"/>
        <family val="2"/>
        <scheme val="minor"/>
      </rPr>
      <t>which</t>
    </r>
    <r>
      <rPr>
        <sz val="12"/>
        <color theme="1"/>
        <rFont val="Calibri"/>
        <family val="2"/>
        <scheme val="minor"/>
      </rPr>
      <t xml:space="preserve"> share count to use, which TEV bridge items to reference, etc.,</t>
    </r>
  </si>
  <si>
    <t>but these are fairly minor points next to the main one: that these companies, separately, would be worth more than</t>
  </si>
  <si>
    <t>they currently are together.</t>
  </si>
  <si>
    <t>Step 4: Case Study Answers</t>
  </si>
  <si>
    <r>
      <t xml:space="preserve">We'll go back to Word and PowerPoint for this part and walk through the main points. Overall, this deal makes sense, </t>
    </r>
    <r>
      <rPr>
        <i/>
        <sz val="12"/>
        <color theme="1"/>
        <rFont val="Calibri"/>
        <family val="2"/>
        <scheme val="minor"/>
      </rPr>
      <t>but</t>
    </r>
  </si>
  <si>
    <t>there are definitely some risk factors - mostly relating to the DCF projections and how realistic they are.</t>
  </si>
  <si>
    <t>Data for Graphs (Sorted by revenue growth in ascending order):</t>
  </si>
  <si>
    <t>Year 2 Rev. Multiple:</t>
  </si>
  <si>
    <t>Helper</t>
  </si>
  <si>
    <t>RUN</t>
  </si>
  <si>
    <t>VLSR</t>
  </si>
  <si>
    <t>Year 2 Projected Revenue Growth: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</si>
</sst>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%;[Red]\(0.0%\)"/>
    <numFmt numFmtId="166" formatCode="#,##0.000"/>
    <numFmt numFmtId="167" formatCode="0.0%;\(0.0%\)"/>
    <numFmt numFmtId="168" formatCode="_(0.0%_);\(0.0%\);_(&quot;–&quot;_)_%;_(@_)_%"/>
    <numFmt numFmtId="169" formatCode="yyyy\-mm\-dd"/>
    <numFmt numFmtId="170" formatCode="&quot;FY&quot;yy"/>
    <numFmt numFmtId="171" formatCode="_(&quot;$&quot;* #,##0.0_);_(&quot;$&quot;* \(#,##0.0\);_(&quot;$&quot;* &quot;-&quot;?_);_(@_)"/>
    <numFmt numFmtId="172" formatCode="_(* #,##0.0_);_(* \(#,##0.0\);_(* &quot;-&quot;?_);_(@_)"/>
    <numFmt numFmtId="173" formatCode="_(* #,##0.000_);_(* \(#,##0.000\);_(* &quot;-&quot;???_);_(@_)"/>
    <numFmt numFmtId="174" formatCode="&quot;$&quot;#,##0_);\(&quot;$&quot;#,##0\);&quot;OK!&quot;;&quot;ERROR&quot;"/>
    <numFmt numFmtId="175" formatCode="_-* #,##0.00\ [$€-40C]_-;\-* #,##0.00\ [$€-40C]_-;_-* &quot;-&quot;??\ [$€-40C]_-;_-@_-"/>
    <numFmt numFmtId="176" formatCode="0.0\ \x"/>
    <numFmt numFmtId="177" formatCode="#,##0.0"/>
    <numFmt numFmtId="178" formatCode="_(#,##0.0%_);\(#,##0.0%\);_(&quot;–&quot;_)_%;_(@_)_%"/>
    <numFmt numFmtId="179" formatCode="_(&quot;$&quot;* #,##0.0_);_(&quot;$&quot;* \(#,##0.0\);_(&quot;$&quot;* &quot;-&quot;??_);_(@_)"/>
    <numFmt numFmtId="180" formatCode="_(* #,##0.0_);_(* \(#,##0.0\);_(* &quot;-&quot;??_);_(@_)"/>
    <numFmt numFmtId="181" formatCode="_(* #,##0.00_);_(* \(#,##0.00\);_(* &quot;-&quot;?_);_(@_)"/>
    <numFmt numFmtId="182" formatCode="_(* #,##0.0_);_(* \(#,##0.0\);_(* &quot;-&quot;_);_(@_)"/>
    <numFmt numFmtId="183" formatCode="_(* #,##0.000_);_(* \(#,##0.000\);_(* &quot;-&quot;?_);_(@_)"/>
    <numFmt numFmtId="184" formatCode="_(* #,##0.000_);_(* \(#,##0.000\);_(* &quot;-&quot;??_);_(@_)"/>
    <numFmt numFmtId="185" formatCode="0.0000\ \x"/>
    <numFmt numFmtId="186" formatCode="_(0.00%_);\(0.00%\);_(&quot;–&quot;_)_%;_(@_)_%"/>
    <numFmt numFmtId="187" formatCode="_(&quot;$&quot;* #,##0.0_);_(&quot;$&quot;* \(#,##0.0\);_(&quot;$&quot;* &quot;-&quot;_);_(@_)"/>
    <numFmt numFmtId="188" formatCode="0.00%;\(0.00%\)"/>
    <numFmt numFmtId="189" formatCode="#,##0_);\(#,##0\);\-_);@_)"/>
    <numFmt numFmtId="190" formatCode="_(0.0\ \x_);\(0.0\ \x\);_(&quot;–&quot;_);_(@_)"/>
    <numFmt numFmtId="191" formatCode="_(0.00%_);\(0.00%\);_(&quot;–&quot;_);_(@_)"/>
    <numFmt numFmtId="192" formatCode="_(&quot;$&quot;* #,##0_);_(&quot;$&quot;* \(#,##0\);_(&quot;$&quot;* &quot;-&quot;?_);_(@_)"/>
    <numFmt numFmtId="193" formatCode="_(* #,##0_);_(* \(#,##0\);_(* &quot;-&quot;?_);_(@_)"/>
    <numFmt numFmtId="194" formatCode="_(0.0%_);\(0.0%\);_(&quot;–&quot;_);_(@_)"/>
    <numFmt numFmtId="195" formatCode="0.00%;\(0.00%\);\-_)_%;@_)_%"/>
    <numFmt numFmtId="196" formatCode="0.0000%"/>
    <numFmt numFmtId="197" formatCode="_(#,##0.00_)_%;\(#,##0.00\)_%;_(&quot;–&quot;_)_%;_(@_)_%"/>
    <numFmt numFmtId="198" formatCode="_(#,##0.00_);\(#,##0.00\);_(&quot;–&quot;_);_(@_)"/>
    <numFmt numFmtId="199" formatCode="0.0_);\(0.0\)"/>
    <numFmt numFmtId="200" formatCode="0.000%"/>
    <numFmt numFmtId="201" formatCode="&quot;$&quot;#,##0.00_);\(&quot;$&quot;#,##0.00\);&quot;OK!&quot;;&quot;ERROR&quot;"/>
    <numFmt numFmtId="202" formatCode="_(&quot;$&quot;* #,##0.00_);_(&quot;$&quot;* \(#,##0.00\);_(&quot;$&quot;* &quot;-&quot;?_);_(@_)"/>
    <numFmt numFmtId="203" formatCode="0.000%;\(0.000%\)"/>
    <numFmt numFmtId="204" formatCode="&quot;$&quot;#,##0.000_);\(&quot;$&quot;#,##0.000\);&quot;OK!&quot;;&quot;ERROR&quot;"/>
  </numFmts>
  <fonts count="7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</font>
    <font>
      <sz val="12"/>
      <name val="Calibri"/>
      <family val="2"/>
    </font>
    <font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</font>
    <font>
      <b/>
      <sz val="1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B05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FF"/>
      <name val="Calibri"/>
      <family val="2"/>
    </font>
    <font>
      <b/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00B05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CE6F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</borders>
  <cellStyleXfs count="10">
    <xf numFmtId="0" fontId="0" fillId="0" borderId="0"/>
    <xf numFmtId="0" fontId="27" fillId="0" borderId="0"/>
    <xf numFmtId="0" fontId="28" fillId="2" borderId="4" applyNumberFormat="0" applyFont="0" applyAlignment="0" applyProtection="0"/>
    <xf numFmtId="0" fontId="28" fillId="0" borderId="0"/>
    <xf numFmtId="0" fontId="55" fillId="0" borderId="0" applyAlignment="0"/>
    <xf numFmtId="0" fontId="60" fillId="0" borderId="0"/>
    <xf numFmtId="0" fontId="28" fillId="2" borderId="4" applyNumberFormat="0" applyFont="0" applyAlignment="0" applyProtection="0"/>
    <xf numFmtId="0" fontId="62" fillId="3" borderId="4" applyNumberFormat="0" applyAlignment="0" applyProtection="0"/>
    <xf numFmtId="0" fontId="28" fillId="0" borderId="0"/>
    <xf numFmtId="0" fontId="27" fillId="0" borderId="0"/>
  </cellStyleXfs>
  <cellXfs count="823">
    <xf numFmtId="0" fontId="0" fillId="0" borderId="0" xfId="0"/>
    <xf numFmtId="0" fontId="29" fillId="5" borderId="1" xfId="1" applyFont="1" applyFill="1" applyBorder="1"/>
    <xf numFmtId="0" fontId="30" fillId="0" borderId="0" xfId="0" applyFont="1"/>
    <xf numFmtId="44" fontId="31" fillId="3" borderId="4" xfId="2" applyNumberFormat="1" applyFont="1" applyFill="1" applyBorder="1" applyAlignment="1"/>
    <xf numFmtId="167" fontId="35" fillId="0" borderId="0" xfId="0" applyNumberFormat="1" applyFont="1" applyBorder="1" applyAlignment="1"/>
    <xf numFmtId="171" fontId="30" fillId="0" borderId="5" xfId="0" applyNumberFormat="1" applyFont="1" applyBorder="1"/>
    <xf numFmtId="0" fontId="30" fillId="0" borderId="0" xfId="0" applyFont="1" applyBorder="1"/>
    <xf numFmtId="172" fontId="33" fillId="0" borderId="0" xfId="0" applyNumberFormat="1" applyFont="1" applyFill="1" applyBorder="1"/>
    <xf numFmtId="171" fontId="34" fillId="0" borderId="0" xfId="0" applyNumberFormat="1" applyFont="1" applyBorder="1" applyAlignment="1"/>
    <xf numFmtId="171" fontId="33" fillId="0" borderId="0" xfId="0" applyNumberFormat="1" applyFont="1" applyBorder="1" applyAlignment="1"/>
    <xf numFmtId="171" fontId="42" fillId="0" borderId="0" xfId="0" applyNumberFormat="1" applyFont="1" applyBorder="1" applyAlignment="1"/>
    <xf numFmtId="172" fontId="33" fillId="0" borderId="0" xfId="0" applyNumberFormat="1" applyFont="1" applyBorder="1" applyAlignment="1"/>
    <xf numFmtId="172" fontId="34" fillId="0" borderId="5" xfId="0" applyNumberFormat="1" applyFont="1" applyBorder="1" applyAlignment="1"/>
    <xf numFmtId="172" fontId="34" fillId="0" borderId="0" xfId="0" applyNumberFormat="1" applyFont="1" applyBorder="1" applyAlignment="1"/>
    <xf numFmtId="172" fontId="30" fillId="0" borderId="0" xfId="0" applyNumberFormat="1" applyFont="1" applyBorder="1"/>
    <xf numFmtId="172" fontId="35" fillId="0" borderId="0" xfId="0" applyNumberFormat="1" applyFont="1" applyBorder="1" applyAlignment="1"/>
    <xf numFmtId="0" fontId="30" fillId="0" borderId="0" xfId="0" applyFont="1" applyBorder="1" applyAlignment="1">
      <alignment horizontal="left"/>
    </xf>
    <xf numFmtId="172" fontId="38" fillId="0" borderId="0" xfId="0" applyNumberFormat="1" applyFont="1" applyFill="1" applyBorder="1" applyAlignment="1"/>
    <xf numFmtId="172" fontId="38" fillId="0" borderId="0" xfId="0" applyNumberFormat="1" applyFont="1" applyBorder="1" applyAlignment="1"/>
    <xf numFmtId="0" fontId="30" fillId="0" borderId="5" xfId="0" applyFont="1" applyBorder="1" applyAlignment="1">
      <alignment horizontal="left"/>
    </xf>
    <xf numFmtId="173" fontId="38" fillId="0" borderId="0" xfId="0" applyNumberFormat="1" applyFont="1" applyBorder="1" applyAlignment="1"/>
    <xf numFmtId="168" fontId="38" fillId="0" borderId="0" xfId="0" applyNumberFormat="1" applyFont="1" applyBorder="1"/>
    <xf numFmtId="165" fontId="30" fillId="0" borderId="0" xfId="0" applyNumberFormat="1" applyFont="1" applyBorder="1"/>
    <xf numFmtId="172" fontId="33" fillId="0" borderId="0" xfId="0" applyNumberFormat="1" applyFont="1"/>
    <xf numFmtId="0" fontId="30" fillId="0" borderId="5" xfId="0" applyFont="1" applyBorder="1"/>
    <xf numFmtId="172" fontId="30" fillId="0" borderId="5" xfId="0" applyNumberFormat="1" applyFont="1" applyBorder="1"/>
    <xf numFmtId="0" fontId="41" fillId="0" borderId="0" xfId="0" applyFont="1"/>
    <xf numFmtId="167" fontId="43" fillId="0" borderId="0" xfId="0" applyNumberFormat="1" applyFont="1" applyBorder="1" applyAlignment="1"/>
    <xf numFmtId="0" fontId="45" fillId="5" borderId="0" xfId="0" applyFont="1" applyFill="1"/>
    <xf numFmtId="0" fontId="45" fillId="5" borderId="0" xfId="0" applyFont="1" applyFill="1" applyBorder="1"/>
    <xf numFmtId="0" fontId="29" fillId="5" borderId="1" xfId="0" applyFont="1" applyFill="1" applyBorder="1" applyAlignment="1">
      <alignment horizontal="left"/>
    </xf>
    <xf numFmtId="0" fontId="45" fillId="5" borderId="1" xfId="0" applyFont="1" applyFill="1" applyBorder="1"/>
    <xf numFmtId="170" fontId="29" fillId="5" borderId="1" xfId="0" applyNumberFormat="1" applyFont="1" applyFill="1" applyBorder="1" applyAlignment="1">
      <alignment horizontal="center"/>
    </xf>
    <xf numFmtId="0" fontId="29" fillId="5" borderId="14" xfId="0" applyFont="1" applyFill="1" applyBorder="1" applyAlignment="1">
      <alignment horizontal="centerContinuous"/>
    </xf>
    <xf numFmtId="0" fontId="29" fillId="5" borderId="16" xfId="0" applyFont="1" applyFill="1" applyBorder="1" applyAlignment="1">
      <alignment horizontal="centerContinuous"/>
    </xf>
    <xf numFmtId="170" fontId="29" fillId="5" borderId="15" xfId="0" applyNumberFormat="1" applyFont="1" applyFill="1" applyBorder="1" applyAlignment="1">
      <alignment horizontal="center"/>
    </xf>
    <xf numFmtId="0" fontId="47" fillId="5" borderId="1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43" fillId="0" borderId="0" xfId="0" applyNumberFormat="1" applyFont="1" applyBorder="1" applyAlignment="1">
      <alignment horizontal="center"/>
    </xf>
    <xf numFmtId="0" fontId="43" fillId="0" borderId="5" xfId="0" applyNumberFormat="1" applyFont="1" applyBorder="1" applyAlignment="1">
      <alignment horizontal="center"/>
    </xf>
    <xf numFmtId="168" fontId="38" fillId="0" borderId="0" xfId="0" applyNumberFormat="1" applyFont="1" applyBorder="1" applyAlignment="1">
      <alignment horizontal="center"/>
    </xf>
    <xf numFmtId="0" fontId="41" fillId="0" borderId="5" xfId="0" applyFont="1" applyFill="1" applyBorder="1" applyAlignment="1">
      <alignment horizontal="center"/>
    </xf>
    <xf numFmtId="172" fontId="38" fillId="0" borderId="0" xfId="0" applyNumberFormat="1" applyFont="1" applyBorder="1"/>
    <xf numFmtId="165" fontId="35" fillId="0" borderId="1" xfId="0" applyNumberFormat="1" applyFont="1" applyBorder="1" applyAlignment="1">
      <alignment horizontal="left" indent="1"/>
    </xf>
    <xf numFmtId="165" fontId="43" fillId="0" borderId="0" xfId="0" applyNumberFormat="1" applyFont="1" applyBorder="1"/>
    <xf numFmtId="165" fontId="34" fillId="0" borderId="0" xfId="0" applyNumberFormat="1" applyFont="1" applyBorder="1"/>
    <xf numFmtId="0" fontId="41" fillId="0" borderId="0" xfId="0" applyFont="1" applyAlignment="1">
      <alignment horizontal="center"/>
    </xf>
    <xf numFmtId="171" fontId="30" fillId="0" borderId="0" xfId="0" applyNumberFormat="1" applyFont="1"/>
    <xf numFmtId="171" fontId="30" fillId="0" borderId="0" xfId="0" applyNumberFormat="1" applyFont="1" applyBorder="1"/>
    <xf numFmtId="171" fontId="38" fillId="0" borderId="0" xfId="0" applyNumberFormat="1" applyFont="1" applyBorder="1"/>
    <xf numFmtId="172" fontId="38" fillId="0" borderId="1" xfId="0" applyNumberFormat="1" applyFont="1" applyBorder="1"/>
    <xf numFmtId="0" fontId="41" fillId="0" borderId="0" xfId="0" applyFont="1" applyFill="1"/>
    <xf numFmtId="174" fontId="41" fillId="0" borderId="0" xfId="0" applyNumberFormat="1" applyFont="1" applyFill="1"/>
    <xf numFmtId="9" fontId="38" fillId="0" borderId="0" xfId="0" applyNumberFormat="1" applyFont="1" applyBorder="1" applyAlignment="1">
      <alignment horizontal="right"/>
    </xf>
    <xf numFmtId="0" fontId="36" fillId="0" borderId="0" xfId="0" applyFont="1" applyFill="1" applyBorder="1"/>
    <xf numFmtId="170" fontId="30" fillId="0" borderId="0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30" fillId="6" borderId="7" xfId="0" applyFont="1" applyFill="1" applyBorder="1" applyAlignment="1">
      <alignment horizontal="left"/>
    </xf>
    <xf numFmtId="0" fontId="39" fillId="0" borderId="0" xfId="0" applyFont="1" applyBorder="1" applyAlignment="1">
      <alignment horizontal="right"/>
    </xf>
    <xf numFmtId="39" fontId="38" fillId="3" borderId="4" xfId="2" applyNumberFormat="1" applyFont="1" applyFill="1" applyBorder="1" applyAlignment="1">
      <alignment horizontal="center"/>
    </xf>
    <xf numFmtId="173" fontId="38" fillId="0" borderId="0" xfId="0" applyNumberFormat="1" applyFont="1" applyFill="1" applyBorder="1"/>
    <xf numFmtId="173" fontId="30" fillId="0" borderId="5" xfId="0" applyNumberFormat="1" applyFont="1" applyBorder="1"/>
    <xf numFmtId="175" fontId="38" fillId="0" borderId="0" xfId="0" applyNumberFormat="1" applyFont="1" applyFill="1" applyBorder="1"/>
    <xf numFmtId="166" fontId="36" fillId="0" borderId="0" xfId="0" applyNumberFormat="1" applyFont="1" applyBorder="1"/>
    <xf numFmtId="0" fontId="30" fillId="6" borderId="0" xfId="0" applyFont="1" applyFill="1" applyBorder="1" applyAlignment="1">
      <alignment horizontal="center"/>
    </xf>
    <xf numFmtId="0" fontId="30" fillId="6" borderId="1" xfId="0" applyFont="1" applyFill="1" applyBorder="1" applyAlignment="1">
      <alignment horizontal="center"/>
    </xf>
    <xf numFmtId="0" fontId="34" fillId="6" borderId="1" xfId="1" applyFont="1" applyFill="1" applyBorder="1" applyAlignment="1">
      <alignment horizontal="left"/>
    </xf>
    <xf numFmtId="171" fontId="30" fillId="6" borderId="1" xfId="0" applyNumberFormat="1" applyFont="1" applyFill="1" applyBorder="1"/>
    <xf numFmtId="0" fontId="34" fillId="6" borderId="5" xfId="1" applyFont="1" applyFill="1" applyBorder="1" applyAlignment="1">
      <alignment horizontal="left"/>
    </xf>
    <xf numFmtId="171" fontId="30" fillId="6" borderId="5" xfId="0" applyNumberFormat="1" applyFont="1" applyFill="1" applyBorder="1"/>
    <xf numFmtId="0" fontId="30" fillId="6" borderId="1" xfId="0" applyFont="1" applyFill="1" applyBorder="1" applyAlignment="1">
      <alignment horizontal="left"/>
    </xf>
    <xf numFmtId="172" fontId="35" fillId="0" borderId="0" xfId="0" applyNumberFormat="1" applyFont="1" applyBorder="1"/>
    <xf numFmtId="43" fontId="38" fillId="3" borderId="4" xfId="0" applyNumberFormat="1" applyFont="1" applyFill="1" applyBorder="1"/>
    <xf numFmtId="43" fontId="35" fillId="3" borderId="6" xfId="0" applyNumberFormat="1" applyFont="1" applyFill="1" applyBorder="1"/>
    <xf numFmtId="171" fontId="38" fillId="0" borderId="0" xfId="0" applyNumberFormat="1" applyFont="1" applyBorder="1" applyAlignment="1"/>
    <xf numFmtId="172" fontId="42" fillId="0" borderId="0" xfId="0" applyNumberFormat="1" applyFont="1" applyBorder="1" applyAlignment="1"/>
    <xf numFmtId="171" fontId="42" fillId="0" borderId="0" xfId="0" applyNumberFormat="1" applyFont="1" applyBorder="1"/>
    <xf numFmtId="164" fontId="42" fillId="0" borderId="0" xfId="0" applyNumberFormat="1" applyFont="1" applyBorder="1" applyAlignment="1"/>
    <xf numFmtId="171" fontId="35" fillId="0" borderId="0" xfId="0" applyNumberFormat="1" applyFont="1" applyBorder="1"/>
    <xf numFmtId="172" fontId="35" fillId="0" borderId="1" xfId="0" applyNumberFormat="1" applyFont="1" applyBorder="1"/>
    <xf numFmtId="39" fontId="38" fillId="3" borderId="4" xfId="2" applyNumberFormat="1" applyFont="1" applyFill="1" applyBorder="1" applyAlignment="1">
      <alignment horizontal="centerContinuous"/>
    </xf>
    <xf numFmtId="172" fontId="35" fillId="4" borderId="7" xfId="0" applyNumberFormat="1" applyFont="1" applyFill="1" applyBorder="1"/>
    <xf numFmtId="172" fontId="35" fillId="0" borderId="0" xfId="0" applyNumberFormat="1" applyFont="1"/>
    <xf numFmtId="172" fontId="38" fillId="0" borderId="0" xfId="0" applyNumberFormat="1" applyFont="1"/>
    <xf numFmtId="0" fontId="30" fillId="0" borderId="0" xfId="0" applyFont="1" applyFill="1" applyBorder="1" applyAlignment="1">
      <alignment horizontal="left"/>
    </xf>
    <xf numFmtId="0" fontId="48" fillId="0" borderId="0" xfId="1" applyFont="1"/>
    <xf numFmtId="0" fontId="49" fillId="0" borderId="0" xfId="1" applyNumberFormat="1" applyFont="1" applyBorder="1" applyAlignment="1"/>
    <xf numFmtId="0" fontId="50" fillId="0" borderId="0" xfId="1" applyNumberFormat="1" applyFont="1" applyBorder="1" applyAlignment="1"/>
    <xf numFmtId="0" fontId="48" fillId="0" borderId="0" xfId="1" applyNumberFormat="1" applyFont="1" applyBorder="1" applyAlignment="1"/>
    <xf numFmtId="0" fontId="48" fillId="0" borderId="0" xfId="1" applyFont="1" applyBorder="1"/>
    <xf numFmtId="0" fontId="35" fillId="0" borderId="0" xfId="1" applyFont="1"/>
    <xf numFmtId="0" fontId="34" fillId="0" borderId="0" xfId="1" applyFont="1"/>
    <xf numFmtId="1" fontId="35" fillId="0" borderId="0" xfId="1" applyNumberFormat="1" applyFont="1"/>
    <xf numFmtId="0" fontId="51" fillId="5" borderId="0" xfId="3" applyFont="1" applyFill="1" applyBorder="1" applyAlignment="1">
      <alignment horizontal="left"/>
    </xf>
    <xf numFmtId="0" fontId="51" fillId="5" borderId="0" xfId="1" applyFont="1" applyFill="1" applyBorder="1"/>
    <xf numFmtId="0" fontId="52" fillId="5" borderId="0" xfId="1" applyFont="1" applyFill="1" applyBorder="1" applyAlignment="1">
      <alignment horizontal="centerContinuous"/>
    </xf>
    <xf numFmtId="0" fontId="53" fillId="5" borderId="0" xfId="1" applyFont="1" applyFill="1" applyBorder="1" applyAlignment="1">
      <alignment horizontal="centerContinuous"/>
    </xf>
    <xf numFmtId="0" fontId="54" fillId="5" borderId="0" xfId="1" applyFont="1" applyFill="1" applyBorder="1"/>
    <xf numFmtId="0" fontId="51" fillId="5" borderId="0" xfId="1" applyFont="1" applyFill="1" applyBorder="1" applyAlignment="1">
      <alignment horizontal="center"/>
    </xf>
    <xf numFmtId="0" fontId="54" fillId="5" borderId="0" xfId="1" applyFont="1" applyFill="1" applyBorder="1" applyAlignment="1">
      <alignment horizontal="centerContinuous"/>
    </xf>
    <xf numFmtId="0" fontId="51" fillId="5" borderId="1" xfId="1" applyFont="1" applyFill="1" applyBorder="1"/>
    <xf numFmtId="0" fontId="51" fillId="5" borderId="1" xfId="1" applyFont="1" applyFill="1" applyBorder="1" applyAlignment="1">
      <alignment horizontal="center"/>
    </xf>
    <xf numFmtId="170" fontId="29" fillId="7" borderId="1" xfId="0" applyNumberFormat="1" applyFont="1" applyFill="1" applyBorder="1" applyAlignment="1">
      <alignment horizontal="center"/>
    </xf>
    <xf numFmtId="44" fontId="38" fillId="0" borderId="0" xfId="1" applyNumberFormat="1" applyFont="1"/>
    <xf numFmtId="172" fontId="38" fillId="0" borderId="0" xfId="1" applyNumberFormat="1" applyFont="1"/>
    <xf numFmtId="171" fontId="35" fillId="0" borderId="0" xfId="1" applyNumberFormat="1" applyFont="1"/>
    <xf numFmtId="171" fontId="38" fillId="0" borderId="0" xfId="1" applyNumberFormat="1" applyFont="1"/>
    <xf numFmtId="178" fontId="35" fillId="0" borderId="0" xfId="1" applyNumberFormat="1" applyFont="1"/>
    <xf numFmtId="43" fontId="38" fillId="0" borderId="0" xfId="1" applyNumberFormat="1" applyFont="1"/>
    <xf numFmtId="172" fontId="35" fillId="0" borderId="0" xfId="1" applyNumberFormat="1" applyFont="1"/>
    <xf numFmtId="0" fontId="35" fillId="0" borderId="8" xfId="1" applyFont="1" applyFill="1" applyBorder="1"/>
    <xf numFmtId="0" fontId="35" fillId="0" borderId="5" xfId="1" applyFont="1" applyFill="1" applyBorder="1"/>
    <xf numFmtId="44" fontId="35" fillId="0" borderId="5" xfId="1" applyNumberFormat="1" applyFont="1" applyFill="1" applyBorder="1"/>
    <xf numFmtId="179" fontId="35" fillId="0" borderId="5" xfId="1" applyNumberFormat="1" applyFont="1" applyFill="1" applyBorder="1"/>
    <xf numFmtId="178" fontId="35" fillId="0" borderId="5" xfId="1" applyNumberFormat="1" applyFont="1" applyFill="1" applyBorder="1"/>
    <xf numFmtId="178" fontId="35" fillId="0" borderId="9" xfId="1" applyNumberFormat="1" applyFont="1" applyFill="1" applyBorder="1"/>
    <xf numFmtId="0" fontId="35" fillId="0" borderId="10" xfId="1" applyFont="1" applyFill="1" applyBorder="1"/>
    <xf numFmtId="0" fontId="35" fillId="0" borderId="0" xfId="1" applyFont="1" applyFill="1" applyBorder="1"/>
    <xf numFmtId="43" fontId="35" fillId="0" borderId="0" xfId="1" applyNumberFormat="1" applyFont="1"/>
    <xf numFmtId="180" fontId="35" fillId="0" borderId="0" xfId="1" applyNumberFormat="1" applyFont="1"/>
    <xf numFmtId="178" fontId="35" fillId="0" borderId="11" xfId="1" applyNumberFormat="1" applyFont="1" applyBorder="1"/>
    <xf numFmtId="0" fontId="34" fillId="8" borderId="12" xfId="1" applyFont="1" applyFill="1" applyBorder="1"/>
    <xf numFmtId="0" fontId="34" fillId="8" borderId="7" xfId="1" applyFont="1" applyFill="1" applyBorder="1"/>
    <xf numFmtId="44" fontId="34" fillId="8" borderId="7" xfId="1" applyNumberFormat="1" applyFont="1" applyFill="1" applyBorder="1"/>
    <xf numFmtId="179" fontId="34" fillId="8" borderId="7" xfId="1" applyNumberFormat="1" applyFont="1" applyFill="1" applyBorder="1"/>
    <xf numFmtId="178" fontId="34" fillId="8" borderId="7" xfId="1" applyNumberFormat="1" applyFont="1" applyFill="1" applyBorder="1"/>
    <xf numFmtId="178" fontId="34" fillId="8" borderId="13" xfId="1" applyNumberFormat="1" applyFont="1" applyFill="1" applyBorder="1"/>
    <xf numFmtId="0" fontId="34" fillId="0" borderId="0" xfId="1" applyFont="1" applyFill="1" applyBorder="1"/>
    <xf numFmtId="0" fontId="35" fillId="0" borderId="2" xfId="1" applyFont="1" applyFill="1" applyBorder="1"/>
    <xf numFmtId="0" fontId="34" fillId="0" borderId="1" xfId="1" applyFont="1" applyFill="1" applyBorder="1"/>
    <xf numFmtId="43" fontId="35" fillId="0" borderId="1" xfId="1" applyNumberFormat="1" applyFont="1" applyBorder="1"/>
    <xf numFmtId="180" fontId="35" fillId="0" borderId="1" xfId="1" applyNumberFormat="1" applyFont="1" applyBorder="1"/>
    <xf numFmtId="178" fontId="35" fillId="0" borderId="1" xfId="1" applyNumberFormat="1" applyFont="1" applyBorder="1"/>
    <xf numFmtId="178" fontId="35" fillId="0" borderId="3" xfId="1" applyNumberFormat="1" applyFont="1" applyBorder="1"/>
    <xf numFmtId="0" fontId="51" fillId="5" borderId="0" xfId="1" applyFont="1" applyFill="1" applyBorder="1" applyAlignment="1"/>
    <xf numFmtId="0" fontId="35" fillId="0" borderId="0" xfId="1" applyFont="1" applyAlignment="1">
      <alignment horizontal="center"/>
    </xf>
    <xf numFmtId="0" fontId="34" fillId="0" borderId="0" xfId="1" applyFont="1" applyAlignment="1">
      <alignment horizontal="center"/>
    </xf>
    <xf numFmtId="176" fontId="35" fillId="0" borderId="0" xfId="1" applyNumberFormat="1" applyFont="1"/>
    <xf numFmtId="176" fontId="35" fillId="0" borderId="5" xfId="1" applyNumberFormat="1" applyFont="1" applyFill="1" applyBorder="1"/>
    <xf numFmtId="176" fontId="35" fillId="0" borderId="9" xfId="1" applyNumberFormat="1" applyFont="1" applyFill="1" applyBorder="1"/>
    <xf numFmtId="176" fontId="35" fillId="0" borderId="11" xfId="1" applyNumberFormat="1" applyFont="1" applyBorder="1"/>
    <xf numFmtId="176" fontId="34" fillId="8" borderId="7" xfId="1" applyNumberFormat="1" applyFont="1" applyFill="1" applyBorder="1"/>
    <xf numFmtId="176" fontId="34" fillId="8" borderId="13" xfId="1" applyNumberFormat="1" applyFont="1" applyFill="1" applyBorder="1"/>
    <xf numFmtId="176" fontId="35" fillId="0" borderId="1" xfId="1" applyNumberFormat="1" applyFont="1" applyBorder="1"/>
    <xf numFmtId="176" fontId="35" fillId="0" borderId="3" xfId="1" applyNumberFormat="1" applyFont="1" applyBorder="1"/>
    <xf numFmtId="0" fontId="56" fillId="0" borderId="0" xfId="0" applyFont="1"/>
    <xf numFmtId="167" fontId="31" fillId="3" borderId="4" xfId="2" applyNumberFormat="1" applyFont="1" applyFill="1" applyBorder="1" applyAlignment="1">
      <alignment horizontal="center"/>
    </xf>
    <xf numFmtId="0" fontId="30" fillId="0" borderId="0" xfId="0" applyFont="1" applyFill="1" applyBorder="1" applyAlignment="1">
      <alignment horizontal="left" indent="1"/>
    </xf>
    <xf numFmtId="171" fontId="35" fillId="0" borderId="0" xfId="0" applyNumberFormat="1" applyFont="1"/>
    <xf numFmtId="37" fontId="38" fillId="0" borderId="0" xfId="0" applyNumberFormat="1" applyFont="1"/>
    <xf numFmtId="37" fontId="35" fillId="0" borderId="0" xfId="0" applyNumberFormat="1" applyFont="1"/>
    <xf numFmtId="167" fontId="32" fillId="3" borderId="4" xfId="2" applyNumberFormat="1" applyFont="1" applyFill="1" applyBorder="1" applyAlignment="1">
      <alignment horizontal="center"/>
    </xf>
    <xf numFmtId="172" fontId="38" fillId="3" borderId="4" xfId="0" applyNumberFormat="1" applyFont="1" applyFill="1" applyBorder="1"/>
    <xf numFmtId="172" fontId="35" fillId="0" borderId="0" xfId="0" applyNumberFormat="1" applyFont="1" applyBorder="1" applyAlignment="1">
      <alignment horizontal="right"/>
    </xf>
    <xf numFmtId="172" fontId="35" fillId="3" borderId="4" xfId="0" applyNumberFormat="1" applyFont="1" applyFill="1" applyBorder="1"/>
    <xf numFmtId="167" fontId="32" fillId="0" borderId="0" xfId="2" applyNumberFormat="1" applyFont="1" applyFill="1" applyBorder="1" applyAlignment="1">
      <alignment horizontal="center"/>
    </xf>
    <xf numFmtId="181" fontId="35" fillId="0" borderId="0" xfId="0" applyNumberFormat="1" applyFont="1" applyBorder="1" applyAlignment="1"/>
    <xf numFmtId="171" fontId="34" fillId="0" borderId="0" xfId="0" applyNumberFormat="1" applyFont="1" applyBorder="1"/>
    <xf numFmtId="182" fontId="35" fillId="3" borderId="4" xfId="0" applyNumberFormat="1" applyFont="1" applyFill="1" applyBorder="1"/>
    <xf numFmtId="182" fontId="38" fillId="3" borderId="4" xfId="0" applyNumberFormat="1" applyFont="1" applyFill="1" applyBorder="1"/>
    <xf numFmtId="0" fontId="43" fillId="6" borderId="1" xfId="1" applyFont="1" applyFill="1" applyBorder="1" applyAlignment="1">
      <alignment horizontal="center"/>
    </xf>
    <xf numFmtId="0" fontId="43" fillId="6" borderId="5" xfId="1" applyFont="1" applyFill="1" applyBorder="1" applyAlignment="1">
      <alignment horizontal="center"/>
    </xf>
    <xf numFmtId="0" fontId="26" fillId="0" borderId="0" xfId="0" applyFont="1" applyBorder="1"/>
    <xf numFmtId="0" fontId="26" fillId="0" borderId="0" xfId="0" applyFont="1"/>
    <xf numFmtId="44" fontId="26" fillId="0" borderId="0" xfId="0" applyNumberFormat="1" applyFont="1"/>
    <xf numFmtId="183" fontId="35" fillId="0" borderId="0" xfId="0" applyNumberFormat="1" applyFont="1" applyBorder="1" applyAlignment="1">
      <alignment horizontal="right"/>
    </xf>
    <xf numFmtId="0" fontId="26" fillId="0" borderId="0" xfId="0" applyFont="1" applyFill="1" applyBorder="1" applyAlignment="1">
      <alignment horizontal="left" indent="1"/>
    </xf>
    <xf numFmtId="0" fontId="26" fillId="0" borderId="0" xfId="0" applyFont="1" applyBorder="1" applyAlignment="1">
      <alignment horizontal="left" indent="1"/>
    </xf>
    <xf numFmtId="0" fontId="26" fillId="6" borderId="1" xfId="0" applyFont="1" applyFill="1" applyBorder="1" applyAlignment="1">
      <alignment horizontal="centerContinuous"/>
    </xf>
    <xf numFmtId="172" fontId="26" fillId="0" borderId="0" xfId="0" applyNumberFormat="1" applyFont="1"/>
    <xf numFmtId="43" fontId="26" fillId="0" borderId="0" xfId="0" applyNumberFormat="1" applyFont="1"/>
    <xf numFmtId="172" fontId="26" fillId="0" borderId="0" xfId="0" applyNumberFormat="1" applyFont="1" applyBorder="1"/>
    <xf numFmtId="171" fontId="34" fillId="0" borderId="5" xfId="0" applyNumberFormat="1" applyFont="1" applyBorder="1" applyAlignment="1"/>
    <xf numFmtId="0" fontId="26" fillId="6" borderId="7" xfId="0" applyFont="1" applyFill="1" applyBorder="1" applyAlignment="1">
      <alignment horizontal="centerContinuous"/>
    </xf>
    <xf numFmtId="185" fontId="38" fillId="3" borderId="4" xfId="0" applyNumberFormat="1" applyFont="1" applyFill="1" applyBorder="1" applyAlignment="1">
      <alignment horizontal="center"/>
    </xf>
    <xf numFmtId="0" fontId="61" fillId="0" borderId="0" xfId="5" applyFont="1"/>
    <xf numFmtId="0" fontId="26" fillId="0" borderId="0" xfId="5" applyFont="1"/>
    <xf numFmtId="0" fontId="61" fillId="0" borderId="0" xfId="5" applyFont="1" applyAlignment="1">
      <alignment horizontal="left" indent="1"/>
    </xf>
    <xf numFmtId="0" fontId="41" fillId="0" borderId="0" xfId="5" applyFont="1" applyAlignment="1">
      <alignment horizontal="center"/>
    </xf>
    <xf numFmtId="43" fontId="34" fillId="8" borderId="7" xfId="1" applyNumberFormat="1" applyFont="1" applyFill="1" applyBorder="1"/>
    <xf numFmtId="172" fontId="34" fillId="8" borderId="7" xfId="1" applyNumberFormat="1" applyFont="1" applyFill="1" applyBorder="1"/>
    <xf numFmtId="0" fontId="41" fillId="0" borderId="0" xfId="5" applyFont="1"/>
    <xf numFmtId="0" fontId="56" fillId="0" borderId="0" xfId="5" applyFont="1"/>
    <xf numFmtId="0" fontId="26" fillId="7" borderId="0" xfId="5" applyFont="1" applyFill="1"/>
    <xf numFmtId="0" fontId="41" fillId="7" borderId="0" xfId="5" applyFont="1" applyFill="1"/>
    <xf numFmtId="0" fontId="51" fillId="7" borderId="1" xfId="5" applyFont="1" applyFill="1" applyBorder="1" applyAlignment="1">
      <alignment horizontal="left"/>
    </xf>
    <xf numFmtId="0" fontId="52" fillId="7" borderId="1" xfId="5" applyFont="1" applyFill="1" applyBorder="1" applyAlignment="1">
      <alignment horizontal="left"/>
    </xf>
    <xf numFmtId="167" fontId="41" fillId="0" borderId="0" xfId="5" applyNumberFormat="1" applyFont="1"/>
    <xf numFmtId="0" fontId="36" fillId="0" borderId="0" xfId="1" applyFont="1"/>
    <xf numFmtId="188" fontId="33" fillId="3" borderId="4" xfId="7" applyNumberFormat="1" applyFont="1" applyAlignment="1">
      <alignment horizontal="center"/>
    </xf>
    <xf numFmtId="0" fontId="30" fillId="6" borderId="1" xfId="5" applyFont="1" applyFill="1" applyBorder="1"/>
    <xf numFmtId="0" fontId="26" fillId="6" borderId="1" xfId="5" applyFont="1" applyFill="1" applyBorder="1"/>
    <xf numFmtId="0" fontId="40" fillId="0" borderId="0" xfId="1" applyFont="1"/>
    <xf numFmtId="190" fontId="38" fillId="3" borderId="17" xfId="5" applyNumberFormat="1" applyFont="1" applyFill="1" applyBorder="1" applyAlignment="1">
      <alignment horizontal="center"/>
    </xf>
    <xf numFmtId="191" fontId="38" fillId="3" borderId="17" xfId="5" applyNumberFormat="1" applyFont="1" applyFill="1" applyBorder="1" applyAlignment="1">
      <alignment horizontal="center"/>
    </xf>
    <xf numFmtId="171" fontId="63" fillId="0" borderId="0" xfId="1" applyNumberFormat="1" applyFont="1"/>
    <xf numFmtId="171" fontId="34" fillId="0" borderId="0" xfId="1" applyNumberFormat="1" applyFont="1"/>
    <xf numFmtId="0" fontId="36" fillId="0" borderId="0" xfId="1" applyFont="1" applyAlignment="1">
      <alignment horizontal="left" indent="1"/>
    </xf>
    <xf numFmtId="0" fontId="36" fillId="0" borderId="0" xfId="5" applyFont="1" applyAlignment="1">
      <alignment horizontal="left" indent="1"/>
    </xf>
    <xf numFmtId="190" fontId="40" fillId="0" borderId="0" xfId="5" applyNumberFormat="1" applyFont="1" applyAlignment="1">
      <alignment horizontal="center"/>
    </xf>
    <xf numFmtId="194" fontId="38" fillId="0" borderId="0" xfId="5" applyNumberFormat="1" applyFont="1" applyAlignment="1">
      <alignment horizontal="center"/>
    </xf>
    <xf numFmtId="188" fontId="36" fillId="0" borderId="0" xfId="1" applyNumberFormat="1" applyFont="1" applyAlignment="1">
      <alignment horizontal="center"/>
    </xf>
    <xf numFmtId="176" fontId="36" fillId="0" borderId="0" xfId="1" applyNumberFormat="1" applyFont="1" applyAlignment="1">
      <alignment horizontal="center"/>
    </xf>
    <xf numFmtId="0" fontId="36" fillId="0" borderId="1" xfId="1" applyFont="1" applyBorder="1" applyAlignment="1">
      <alignment horizontal="left" indent="1"/>
    </xf>
    <xf numFmtId="0" fontId="40" fillId="0" borderId="1" xfId="1" applyFont="1" applyBorder="1"/>
    <xf numFmtId="0" fontId="35" fillId="0" borderId="1" xfId="1" applyFont="1" applyBorder="1"/>
    <xf numFmtId="0" fontId="34" fillId="6" borderId="0" xfId="1" applyFont="1" applyFill="1"/>
    <xf numFmtId="0" fontId="40" fillId="6" borderId="0" xfId="1" applyFont="1" applyFill="1"/>
    <xf numFmtId="0" fontId="35" fillId="6" borderId="0" xfId="1" applyFont="1" applyFill="1"/>
    <xf numFmtId="0" fontId="64" fillId="0" borderId="0" xfId="1" applyFont="1"/>
    <xf numFmtId="167" fontId="64" fillId="0" borderId="0" xfId="1" applyNumberFormat="1" applyFont="1"/>
    <xf numFmtId="0" fontId="43" fillId="0" borderId="0" xfId="1" applyFont="1"/>
    <xf numFmtId="167" fontId="43" fillId="0" borderId="0" xfId="1" applyNumberFormat="1" applyFont="1"/>
    <xf numFmtId="0" fontId="40" fillId="0" borderId="0" xfId="5" applyFont="1"/>
    <xf numFmtId="0" fontId="26" fillId="0" borderId="0" xfId="5" applyFont="1" applyAlignment="1">
      <alignment horizontal="left" indent="1"/>
    </xf>
    <xf numFmtId="188" fontId="38" fillId="0" borderId="0" xfId="7" applyNumberFormat="1" applyFont="1" applyFill="1" applyBorder="1" applyAlignment="1">
      <alignment horizontal="center"/>
    </xf>
    <xf numFmtId="0" fontId="40" fillId="6" borderId="5" xfId="1" applyFont="1" applyFill="1" applyBorder="1"/>
    <xf numFmtId="0" fontId="35" fillId="6" borderId="5" xfId="1" applyFont="1" applyFill="1" applyBorder="1"/>
    <xf numFmtId="173" fontId="33" fillId="0" borderId="0" xfId="5" applyNumberFormat="1" applyFont="1"/>
    <xf numFmtId="44" fontId="40" fillId="0" borderId="0" xfId="1" applyNumberFormat="1" applyFont="1"/>
    <xf numFmtId="0" fontId="34" fillId="4" borderId="8" xfId="1" applyFont="1" applyFill="1" applyBorder="1"/>
    <xf numFmtId="0" fontId="40" fillId="4" borderId="5" xfId="1" applyFont="1" applyFill="1" applyBorder="1"/>
    <xf numFmtId="44" fontId="37" fillId="4" borderId="9" xfId="1" applyNumberFormat="1" applyFont="1" applyFill="1" applyBorder="1"/>
    <xf numFmtId="0" fontId="35" fillId="4" borderId="5" xfId="1" applyFont="1" applyFill="1" applyBorder="1"/>
    <xf numFmtId="0" fontId="34" fillId="4" borderId="2" xfId="1" applyFont="1" applyFill="1" applyBorder="1"/>
    <xf numFmtId="0" fontId="40" fillId="4" borderId="1" xfId="1" applyFont="1" applyFill="1" applyBorder="1"/>
    <xf numFmtId="167" fontId="37" fillId="4" borderId="3" xfId="1" applyNumberFormat="1" applyFont="1" applyFill="1" applyBorder="1"/>
    <xf numFmtId="0" fontId="35" fillId="4" borderId="1" xfId="1" applyFont="1" applyFill="1" applyBorder="1"/>
    <xf numFmtId="0" fontId="45" fillId="7" borderId="0" xfId="5" applyFont="1" applyFill="1"/>
    <xf numFmtId="0" fontId="46" fillId="7" borderId="0" xfId="5" applyFont="1" applyFill="1"/>
    <xf numFmtId="0" fontId="29" fillId="7" borderId="14" xfId="5" applyFont="1" applyFill="1" applyBorder="1" applyAlignment="1">
      <alignment horizontal="centerContinuous"/>
    </xf>
    <xf numFmtId="0" fontId="29" fillId="7" borderId="16" xfId="5" applyFont="1" applyFill="1" applyBorder="1" applyAlignment="1">
      <alignment horizontal="centerContinuous"/>
    </xf>
    <xf numFmtId="0" fontId="26" fillId="0" borderId="18" xfId="5" applyFont="1" applyBorder="1"/>
    <xf numFmtId="0" fontId="29" fillId="7" borderId="1" xfId="5" applyFont="1" applyFill="1" applyBorder="1"/>
    <xf numFmtId="170" fontId="29" fillId="7" borderId="1" xfId="5" applyNumberFormat="1" applyFont="1" applyFill="1" applyBorder="1" applyAlignment="1">
      <alignment horizontal="center"/>
    </xf>
    <xf numFmtId="0" fontId="29" fillId="0" borderId="0" xfId="5" applyFont="1"/>
    <xf numFmtId="0" fontId="47" fillId="0" borderId="0" xfId="5" applyFont="1" applyAlignment="1">
      <alignment horizontal="center"/>
    </xf>
    <xf numFmtId="170" fontId="29" fillId="0" borderId="0" xfId="5" applyNumberFormat="1" applyFont="1" applyAlignment="1">
      <alignment horizontal="center"/>
    </xf>
    <xf numFmtId="0" fontId="37" fillId="0" borderId="0" xfId="5" applyFont="1" applyAlignment="1">
      <alignment horizontal="left"/>
    </xf>
    <xf numFmtId="0" fontId="64" fillId="0" borderId="0" xfId="5" applyFont="1" applyAlignment="1">
      <alignment horizontal="center"/>
    </xf>
    <xf numFmtId="168" fontId="36" fillId="0" borderId="0" xfId="5" applyNumberFormat="1" applyFont="1"/>
    <xf numFmtId="168" fontId="31" fillId="3" borderId="4" xfId="7" applyNumberFormat="1" applyFont="1" applyAlignment="1">
      <alignment horizontal="center"/>
    </xf>
    <xf numFmtId="0" fontId="26" fillId="0" borderId="0" xfId="5" applyFont="1" applyAlignment="1">
      <alignment horizontal="left"/>
    </xf>
    <xf numFmtId="42" fontId="38" fillId="0" borderId="0" xfId="5" applyNumberFormat="1" applyFont="1"/>
    <xf numFmtId="41" fontId="33" fillId="0" borderId="0" xfId="5" applyNumberFormat="1" applyFont="1"/>
    <xf numFmtId="0" fontId="26" fillId="0" borderId="0" xfId="5" applyFont="1" applyAlignment="1">
      <alignment horizontal="center"/>
    </xf>
    <xf numFmtId="168" fontId="26" fillId="0" borderId="0" xfId="5" applyNumberFormat="1" applyFont="1"/>
    <xf numFmtId="0" fontId="65" fillId="0" borderId="0" xfId="5" applyFont="1"/>
    <xf numFmtId="0" fontId="61" fillId="0" borderId="0" xfId="5" applyFont="1" applyAlignment="1">
      <alignment horizontal="left" indent="2"/>
    </xf>
    <xf numFmtId="0" fontId="65" fillId="9" borderId="0" xfId="5" applyFont="1" applyFill="1"/>
    <xf numFmtId="0" fontId="41" fillId="9" borderId="0" xfId="5" applyFont="1" applyFill="1" applyAlignment="1">
      <alignment horizontal="center"/>
    </xf>
    <xf numFmtId="0" fontId="43" fillId="0" borderId="0" xfId="1" applyFont="1" applyAlignment="1">
      <alignment horizontal="left" indent="1"/>
    </xf>
    <xf numFmtId="0" fontId="43" fillId="0" borderId="0" xfId="1" applyFont="1" applyAlignment="1">
      <alignment horizontal="center"/>
    </xf>
    <xf numFmtId="0" fontId="34" fillId="10" borderId="0" xfId="1" applyFont="1" applyFill="1"/>
    <xf numFmtId="0" fontId="43" fillId="10" borderId="0" xfId="1" applyFont="1" applyFill="1" applyAlignment="1">
      <alignment horizontal="center"/>
    </xf>
    <xf numFmtId="0" fontId="47" fillId="7" borderId="1" xfId="5" applyFont="1" applyFill="1" applyBorder="1"/>
    <xf numFmtId="0" fontId="46" fillId="7" borderId="1" xfId="5" applyFont="1" applyFill="1" applyBorder="1"/>
    <xf numFmtId="0" fontId="45" fillId="7" borderId="1" xfId="5" applyFont="1" applyFill="1" applyBorder="1"/>
    <xf numFmtId="0" fontId="30" fillId="0" borderId="0" xfId="5" applyFont="1"/>
    <xf numFmtId="0" fontId="45" fillId="5" borderId="8" xfId="5" applyFont="1" applyFill="1" applyBorder="1"/>
    <xf numFmtId="0" fontId="45" fillId="5" borderId="7" xfId="5" applyFont="1" applyFill="1" applyBorder="1"/>
    <xf numFmtId="0" fontId="29" fillId="5" borderId="7" xfId="5" applyFont="1" applyFill="1" applyBorder="1" applyAlignment="1">
      <alignment horizontal="centerContinuous"/>
    </xf>
    <xf numFmtId="0" fontId="29" fillId="5" borderId="13" xfId="5" applyFont="1" applyFill="1" applyBorder="1" applyAlignment="1">
      <alignment horizontal="centerContinuous"/>
    </xf>
    <xf numFmtId="0" fontId="45" fillId="5" borderId="10" xfId="5" applyFont="1" applyFill="1" applyBorder="1"/>
    <xf numFmtId="167" fontId="39" fillId="11" borderId="10" xfId="5" applyNumberFormat="1" applyFont="1" applyFill="1" applyBorder="1"/>
    <xf numFmtId="195" fontId="29" fillId="11" borderId="7" xfId="5" applyNumberFormat="1" applyFont="1" applyFill="1" applyBorder="1" applyAlignment="1">
      <alignment horizontal="center"/>
    </xf>
    <xf numFmtId="188" fontId="29" fillId="11" borderId="0" xfId="5" applyNumberFormat="1" applyFont="1" applyFill="1" applyAlignment="1">
      <alignment horizontal="center"/>
    </xf>
    <xf numFmtId="44" fontId="26" fillId="0" borderId="0" xfId="5" applyNumberFormat="1" applyFont="1"/>
    <xf numFmtId="196" fontId="26" fillId="0" borderId="0" xfId="5" applyNumberFormat="1" applyFont="1"/>
    <xf numFmtId="43" fontId="26" fillId="0" borderId="0" xfId="5" applyNumberFormat="1" applyFont="1"/>
    <xf numFmtId="188" fontId="29" fillId="11" borderId="11" xfId="5" applyNumberFormat="1" applyFont="1" applyFill="1" applyBorder="1" applyAlignment="1">
      <alignment horizontal="center"/>
    </xf>
    <xf numFmtId="188" fontId="29" fillId="11" borderId="3" xfId="5" applyNumberFormat="1" applyFont="1" applyFill="1" applyBorder="1" applyAlignment="1">
      <alignment horizontal="center"/>
    </xf>
    <xf numFmtId="190" fontId="29" fillId="11" borderId="7" xfId="5" applyNumberFormat="1" applyFont="1" applyFill="1" applyBorder="1" applyAlignment="1">
      <alignment horizontal="center"/>
    </xf>
    <xf numFmtId="190" fontId="29" fillId="11" borderId="13" xfId="5" applyNumberFormat="1" applyFont="1" applyFill="1" applyBorder="1" applyAlignment="1">
      <alignment horizontal="center"/>
    </xf>
    <xf numFmtId="0" fontId="66" fillId="0" borderId="0" xfId="5" applyFont="1"/>
    <xf numFmtId="0" fontId="67" fillId="5" borderId="1" xfId="5" applyFont="1" applyFill="1" applyBorder="1"/>
    <xf numFmtId="0" fontId="68" fillId="5" borderId="1" xfId="5" applyFont="1" applyFill="1" applyBorder="1"/>
    <xf numFmtId="0" fontId="68" fillId="0" borderId="0" xfId="5" applyFont="1"/>
    <xf numFmtId="186" fontId="38" fillId="3" borderId="17" xfId="5" applyNumberFormat="1" applyFont="1" applyFill="1" applyBorder="1" applyAlignment="1">
      <alignment horizontal="center"/>
    </xf>
    <xf numFmtId="186" fontId="31" fillId="0" borderId="0" xfId="5" applyNumberFormat="1" applyFont="1"/>
    <xf numFmtId="168" fontId="32" fillId="0" borderId="0" xfId="5" applyNumberFormat="1" applyFont="1"/>
    <xf numFmtId="0" fontId="69" fillId="0" borderId="0" xfId="5" applyFont="1"/>
    <xf numFmtId="0" fontId="51" fillId="5" borderId="0" xfId="1" applyFont="1" applyFill="1"/>
    <xf numFmtId="0" fontId="51" fillId="5" borderId="0" xfId="1" applyFont="1" applyFill="1" applyAlignment="1">
      <alignment horizontal="center"/>
    </xf>
    <xf numFmtId="168" fontId="70" fillId="0" borderId="0" xfId="5" applyNumberFormat="1" applyFont="1"/>
    <xf numFmtId="198" fontId="70" fillId="0" borderId="0" xfId="5" applyNumberFormat="1" applyFont="1"/>
    <xf numFmtId="0" fontId="34" fillId="8" borderId="12" xfId="1" applyFont="1" applyFill="1" applyBorder="1" applyAlignment="1">
      <alignment horizontal="left"/>
    </xf>
    <xf numFmtId="197" fontId="34" fillId="8" borderId="7" xfId="1" applyNumberFormat="1" applyFont="1" applyFill="1" applyBorder="1"/>
    <xf numFmtId="168" fontId="34" fillId="8" borderId="7" xfId="1" applyNumberFormat="1" applyFont="1" applyFill="1" applyBorder="1"/>
    <xf numFmtId="43" fontId="34" fillId="8" borderId="13" xfId="1" applyNumberFormat="1" applyFont="1" applyFill="1" applyBorder="1"/>
    <xf numFmtId="0" fontId="29" fillId="12" borderId="12" xfId="1" applyFont="1" applyFill="1" applyBorder="1"/>
    <xf numFmtId="0" fontId="29" fillId="12" borderId="7" xfId="1" applyFont="1" applyFill="1" applyBorder="1"/>
    <xf numFmtId="187" fontId="29" fillId="12" borderId="7" xfId="1" applyNumberFormat="1" applyFont="1" applyFill="1" applyBorder="1"/>
    <xf numFmtId="42" fontId="29" fillId="12" borderId="7" xfId="1" applyNumberFormat="1" applyFont="1" applyFill="1" applyBorder="1"/>
    <xf numFmtId="0" fontId="36" fillId="0" borderId="5" xfId="1" applyFont="1" applyBorder="1"/>
    <xf numFmtId="197" fontId="36" fillId="0" borderId="5" xfId="1" applyNumberFormat="1" applyFont="1" applyBorder="1"/>
    <xf numFmtId="168" fontId="36" fillId="0" borderId="5" xfId="1" applyNumberFormat="1" applyFont="1" applyBorder="1"/>
    <xf numFmtId="164" fontId="36" fillId="0" borderId="5" xfId="1" applyNumberFormat="1" applyFont="1" applyBorder="1"/>
    <xf numFmtId="43" fontId="36" fillId="0" borderId="5" xfId="1" applyNumberFormat="1" applyFont="1" applyBorder="1"/>
    <xf numFmtId="197" fontId="36" fillId="0" borderId="0" xfId="1" applyNumberFormat="1" applyFont="1"/>
    <xf numFmtId="193" fontId="36" fillId="0" borderId="0" xfId="1" applyNumberFormat="1" applyFont="1"/>
    <xf numFmtId="168" fontId="36" fillId="0" borderId="0" xfId="1" applyNumberFormat="1" applyFont="1"/>
    <xf numFmtId="164" fontId="36" fillId="0" borderId="0" xfId="1" applyNumberFormat="1" applyFont="1"/>
    <xf numFmtId="43" fontId="36" fillId="0" borderId="0" xfId="1" applyNumberFormat="1" applyFont="1"/>
    <xf numFmtId="0" fontId="29" fillId="12" borderId="8" xfId="1" applyFont="1" applyFill="1" applyBorder="1"/>
    <xf numFmtId="0" fontId="29" fillId="12" borderId="5" xfId="1" applyFont="1" applyFill="1" applyBorder="1"/>
    <xf numFmtId="188" fontId="29" fillId="12" borderId="5" xfId="1" applyNumberFormat="1" applyFont="1" applyFill="1" applyBorder="1"/>
    <xf numFmtId="0" fontId="29" fillId="12" borderId="10" xfId="1" applyFont="1" applyFill="1" applyBorder="1"/>
    <xf numFmtId="0" fontId="29" fillId="12" borderId="0" xfId="1" applyFont="1" applyFill="1"/>
    <xf numFmtId="188" fontId="29" fillId="12" borderId="0" xfId="1" applyNumberFormat="1" applyFont="1" applyFill="1"/>
    <xf numFmtId="0" fontId="29" fillId="12" borderId="2" xfId="1" applyFont="1" applyFill="1" applyBorder="1"/>
    <xf numFmtId="0" fontId="29" fillId="12" borderId="1" xfId="1" applyFont="1" applyFill="1" applyBorder="1"/>
    <xf numFmtId="0" fontId="35" fillId="0" borderId="5" xfId="1" applyFont="1" applyBorder="1"/>
    <xf numFmtId="186" fontId="29" fillId="12" borderId="9" xfId="1" applyNumberFormat="1" applyFont="1" applyFill="1" applyBorder="1"/>
    <xf numFmtId="186" fontId="29" fillId="12" borderId="3" xfId="1" applyNumberFormat="1" applyFont="1" applyFill="1" applyBorder="1"/>
    <xf numFmtId="186" fontId="29" fillId="12" borderId="13" xfId="1" applyNumberFormat="1" applyFont="1" applyFill="1" applyBorder="1"/>
    <xf numFmtId="197" fontId="31" fillId="0" borderId="0" xfId="5" applyNumberFormat="1" applyFont="1"/>
    <xf numFmtId="192" fontId="33" fillId="0" borderId="5" xfId="1" applyNumberFormat="1" applyFont="1" applyBorder="1"/>
    <xf numFmtId="170" fontId="29" fillId="7" borderId="21" xfId="5" applyNumberFormat="1" applyFont="1" applyFill="1" applyBorder="1" applyAlignment="1">
      <alignment horizontal="center"/>
    </xf>
    <xf numFmtId="182" fontId="35" fillId="0" borderId="0" xfId="5" applyNumberFormat="1" applyFont="1"/>
    <xf numFmtId="182" fontId="33" fillId="0" borderId="0" xfId="5" applyNumberFormat="1" applyFont="1"/>
    <xf numFmtId="171" fontId="44" fillId="0" borderId="0" xfId="5" applyNumberFormat="1" applyFont="1"/>
    <xf numFmtId="171" fontId="37" fillId="0" borderId="0" xfId="5" applyNumberFormat="1" applyFont="1"/>
    <xf numFmtId="171" fontId="34" fillId="10" borderId="0" xfId="1" applyNumberFormat="1" applyFont="1" applyFill="1"/>
    <xf numFmtId="182" fontId="37" fillId="9" borderId="0" xfId="5" applyNumberFormat="1" applyFont="1" applyFill="1"/>
    <xf numFmtId="182" fontId="35" fillId="0" borderId="0" xfId="1" applyNumberFormat="1" applyFont="1"/>
    <xf numFmtId="172" fontId="36" fillId="0" borderId="1" xfId="5" applyNumberFormat="1" applyFont="1" applyBorder="1"/>
    <xf numFmtId="182" fontId="37" fillId="6" borderId="0" xfId="5" applyNumberFormat="1" applyFont="1" applyFill="1"/>
    <xf numFmtId="0" fontId="36" fillId="0" borderId="0" xfId="5" applyFont="1" applyFill="1"/>
    <xf numFmtId="189" fontId="35" fillId="0" borderId="22" xfId="5" applyNumberFormat="1" applyFont="1" applyFill="1" applyBorder="1" applyAlignment="1">
      <alignment horizontal="center"/>
    </xf>
    <xf numFmtId="179" fontId="36" fillId="0" borderId="0" xfId="5" applyNumberFormat="1" applyFont="1"/>
    <xf numFmtId="172" fontId="36" fillId="0" borderId="0" xfId="5" applyNumberFormat="1" applyFont="1"/>
    <xf numFmtId="171" fontId="36" fillId="0" borderId="0" xfId="5" applyNumberFormat="1" applyFont="1"/>
    <xf numFmtId="171" fontId="34" fillId="6" borderId="1" xfId="5" applyNumberFormat="1" applyFont="1" applyFill="1" applyBorder="1"/>
    <xf numFmtId="172" fontId="33" fillId="0" borderId="0" xfId="5" applyNumberFormat="1" applyFont="1"/>
    <xf numFmtId="187" fontId="34" fillId="6" borderId="0" xfId="1" applyNumberFormat="1" applyFont="1" applyFill="1"/>
    <xf numFmtId="172" fontId="35" fillId="0" borderId="0" xfId="5" applyNumberFormat="1" applyFont="1"/>
    <xf numFmtId="172" fontId="35" fillId="0" borderId="1" xfId="5" applyNumberFormat="1" applyFont="1" applyBorder="1"/>
    <xf numFmtId="182" fontId="36" fillId="0" borderId="0" xfId="5" applyNumberFormat="1" applyFont="1"/>
    <xf numFmtId="182" fontId="36" fillId="0" borderId="1" xfId="5" applyNumberFormat="1" applyFont="1" applyBorder="1"/>
    <xf numFmtId="172" fontId="37" fillId="6" borderId="0" xfId="1" applyNumberFormat="1" applyFont="1" applyFill="1"/>
    <xf numFmtId="184" fontId="26" fillId="0" borderId="0" xfId="0" applyNumberFormat="1" applyFont="1" applyBorder="1"/>
    <xf numFmtId="0" fontId="26" fillId="0" borderId="0" xfId="0" applyFont="1" applyFill="1" applyBorder="1" applyAlignment="1">
      <alignment horizontal="left" indent="2"/>
    </xf>
    <xf numFmtId="43" fontId="35" fillId="0" borderId="0" xfId="0" applyNumberFormat="1" applyFont="1" applyFill="1" applyBorder="1"/>
    <xf numFmtId="0" fontId="25" fillId="0" borderId="0" xfId="5" applyFont="1" applyFill="1" applyBorder="1"/>
    <xf numFmtId="168" fontId="64" fillId="0" borderId="0" xfId="5" applyNumberFormat="1" applyFont="1"/>
    <xf numFmtId="188" fontId="35" fillId="0" borderId="5" xfId="1" applyNumberFormat="1" applyFont="1" applyBorder="1"/>
    <xf numFmtId="39" fontId="38" fillId="3" borderId="4" xfId="2" applyNumberFormat="1" applyFont="1" applyFill="1" applyBorder="1" applyAlignment="1">
      <alignment horizontal="centerContinuous" wrapText="1"/>
    </xf>
    <xf numFmtId="0" fontId="24" fillId="0" borderId="0" xfId="0" applyFont="1" applyBorder="1" applyAlignment="1">
      <alignment horizontal="left" indent="1"/>
    </xf>
    <xf numFmtId="0" fontId="24" fillId="0" borderId="0" xfId="0" applyFont="1" applyAlignment="1">
      <alignment horizontal="left" indent="1"/>
    </xf>
    <xf numFmtId="0" fontId="23" fillId="0" borderId="0" xfId="0" applyFont="1" applyBorder="1" applyAlignment="1">
      <alignment horizontal="left" indent="1"/>
    </xf>
    <xf numFmtId="0" fontId="23" fillId="0" borderId="0" xfId="0" applyFont="1" applyBorder="1"/>
    <xf numFmtId="43" fontId="26" fillId="0" borderId="0" xfId="0" applyNumberFormat="1" applyFont="1" applyBorder="1"/>
    <xf numFmtId="0" fontId="23" fillId="0" borderId="0" xfId="0" applyFont="1" applyFill="1" applyBorder="1" applyAlignment="1">
      <alignment horizontal="left" indent="1"/>
    </xf>
    <xf numFmtId="167" fontId="31" fillId="0" borderId="0" xfId="2" applyNumberFormat="1" applyFont="1" applyFill="1" applyBorder="1" applyAlignment="1">
      <alignment horizontal="center"/>
    </xf>
    <xf numFmtId="0" fontId="23" fillId="0" borderId="0" xfId="0" applyFont="1" applyBorder="1" applyAlignment="1">
      <alignment horizontal="left"/>
    </xf>
    <xf numFmtId="44" fontId="35" fillId="0" borderId="0" xfId="0" applyNumberFormat="1" applyFont="1" applyBorder="1" applyAlignment="1"/>
    <xf numFmtId="167" fontId="26" fillId="0" borderId="0" xfId="0" applyNumberFormat="1" applyFont="1"/>
    <xf numFmtId="0" fontId="23" fillId="0" borderId="0" xfId="0" applyFont="1" applyFill="1" applyBorder="1" applyAlignment="1">
      <alignment horizontal="left" indent="2"/>
    </xf>
    <xf numFmtId="0" fontId="22" fillId="0" borderId="0" xfId="0" applyFont="1" applyBorder="1"/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indent="2"/>
    </xf>
    <xf numFmtId="171" fontId="30" fillId="0" borderId="0" xfId="0" applyNumberFormat="1" applyFont="1" applyBorder="1" applyAlignment="1">
      <alignment horizontal="left"/>
    </xf>
    <xf numFmtId="172" fontId="35" fillId="0" borderId="1" xfId="0" applyNumberFormat="1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/>
    <xf numFmtId="0" fontId="21" fillId="0" borderId="0" xfId="0" applyFont="1" applyBorder="1" applyAlignment="1">
      <alignment horizontal="left" indent="1"/>
    </xf>
    <xf numFmtId="0" fontId="21" fillId="0" borderId="0" xfId="0" applyFont="1" applyFill="1" applyBorder="1" applyAlignment="1">
      <alignment horizontal="left" indent="1"/>
    </xf>
    <xf numFmtId="9" fontId="30" fillId="0" borderId="0" xfId="0" applyNumberFormat="1" applyFont="1" applyBorder="1" applyAlignment="1">
      <alignment horizontal="center"/>
    </xf>
    <xf numFmtId="199" fontId="38" fillId="0" borderId="0" xfId="0" applyNumberFormat="1" applyFont="1"/>
    <xf numFmtId="199" fontId="35" fillId="0" borderId="0" xfId="0" applyNumberFormat="1" applyFont="1"/>
    <xf numFmtId="199" fontId="35" fillId="0" borderId="0" xfId="0" applyNumberFormat="1" applyFont="1" applyBorder="1" applyAlignment="1"/>
    <xf numFmtId="0" fontId="21" fillId="0" borderId="0" xfId="0" applyFont="1" applyBorder="1"/>
    <xf numFmtId="172" fontId="35" fillId="0" borderId="0" xfId="0" applyNumberFormat="1" applyFont="1" applyFill="1" applyBorder="1"/>
    <xf numFmtId="200" fontId="26" fillId="0" borderId="0" xfId="0" applyNumberFormat="1" applyFont="1" applyBorder="1"/>
    <xf numFmtId="172" fontId="34" fillId="0" borderId="0" xfId="0" applyNumberFormat="1" applyFont="1"/>
    <xf numFmtId="172" fontId="30" fillId="0" borderId="0" xfId="0" applyNumberFormat="1" applyFont="1" applyBorder="1" applyAlignment="1">
      <alignment horizontal="left"/>
    </xf>
    <xf numFmtId="0" fontId="20" fillId="0" borderId="0" xfId="0" applyFont="1" applyBorder="1"/>
    <xf numFmtId="0" fontId="20" fillId="0" borderId="0" xfId="0" applyFont="1"/>
    <xf numFmtId="0" fontId="20" fillId="0" borderId="0" xfId="0" applyFont="1" applyAlignment="1">
      <alignment horizontal="left" indent="1"/>
    </xf>
    <xf numFmtId="0" fontId="41" fillId="0" borderId="5" xfId="0" applyFont="1" applyBorder="1" applyAlignment="1">
      <alignment horizontal="center"/>
    </xf>
    <xf numFmtId="172" fontId="20" fillId="0" borderId="0" xfId="0" applyNumberFormat="1" applyFont="1"/>
    <xf numFmtId="0" fontId="20" fillId="0" borderId="5" xfId="0" applyFont="1" applyBorder="1"/>
    <xf numFmtId="9" fontId="38" fillId="0" borderId="1" xfId="0" applyNumberFormat="1" applyFont="1" applyBorder="1" applyAlignment="1">
      <alignment horizontal="right"/>
    </xf>
    <xf numFmtId="43" fontId="26" fillId="0" borderId="1" xfId="0" applyNumberFormat="1" applyFont="1" applyBorder="1"/>
    <xf numFmtId="172" fontId="35" fillId="3" borderId="4" xfId="0" applyNumberFormat="1" applyFont="1" applyFill="1" applyBorder="1" applyAlignment="1">
      <alignment horizontal="center"/>
    </xf>
    <xf numFmtId="170" fontId="30" fillId="6" borderId="1" xfId="0" applyNumberFormat="1" applyFont="1" applyFill="1" applyBorder="1" applyAlignment="1">
      <alignment horizontal="centerContinuous"/>
    </xf>
    <xf numFmtId="0" fontId="20" fillId="0" borderId="0" xfId="0" applyFont="1" applyBorder="1" applyAlignment="1">
      <alignment horizontal="left" indent="1"/>
    </xf>
    <xf numFmtId="172" fontId="33" fillId="0" borderId="0" xfId="0" applyNumberFormat="1" applyFont="1" applyBorder="1" applyAlignment="1">
      <alignment horizontal="right"/>
    </xf>
    <xf numFmtId="0" fontId="20" fillId="0" borderId="0" xfId="0" applyFont="1" applyAlignment="1">
      <alignment horizontal="left"/>
    </xf>
    <xf numFmtId="0" fontId="20" fillId="6" borderId="0" xfId="0" applyFont="1" applyFill="1"/>
    <xf numFmtId="0" fontId="20" fillId="6" borderId="1" xfId="0" applyFont="1" applyFill="1" applyBorder="1"/>
    <xf numFmtId="173" fontId="20" fillId="0" borderId="0" xfId="0" applyNumberFormat="1" applyFont="1"/>
    <xf numFmtId="43" fontId="20" fillId="0" borderId="0" xfId="0" applyNumberFormat="1" applyFont="1"/>
    <xf numFmtId="0" fontId="20" fillId="6" borderId="1" xfId="0" applyFont="1" applyFill="1" applyBorder="1" applyAlignment="1">
      <alignment horizontal="centerContinuous"/>
    </xf>
    <xf numFmtId="0" fontId="20" fillId="0" borderId="0" xfId="0" applyFont="1" applyFill="1" applyBorder="1" applyAlignment="1">
      <alignment horizontal="centerContinuous"/>
    </xf>
    <xf numFmtId="0" fontId="20" fillId="0" borderId="0" xfId="0" applyFont="1" applyFill="1" applyBorder="1" applyAlignment="1"/>
    <xf numFmtId="177" fontId="20" fillId="0" borderId="0" xfId="0" applyNumberFormat="1" applyFont="1" applyFill="1" applyBorder="1" applyAlignment="1">
      <alignment horizontal="centerContinuous"/>
    </xf>
    <xf numFmtId="0" fontId="20" fillId="0" borderId="0" xfId="0" applyFont="1" applyBorder="1" applyAlignment="1">
      <alignment horizontal="left"/>
    </xf>
    <xf numFmtId="172" fontId="20" fillId="0" borderId="0" xfId="0" applyNumberFormat="1" applyFont="1" applyBorder="1"/>
    <xf numFmtId="184" fontId="20" fillId="0" borderId="0" xfId="0" applyNumberFormat="1" applyFont="1" applyBorder="1"/>
    <xf numFmtId="43" fontId="20" fillId="0" borderId="0" xfId="0" applyNumberFormat="1" applyFont="1" applyBorder="1"/>
    <xf numFmtId="167" fontId="20" fillId="0" borderId="0" xfId="0" applyNumberFormat="1" applyFont="1"/>
    <xf numFmtId="0" fontId="20" fillId="0" borderId="0" xfId="0" applyFont="1" applyFill="1" applyBorder="1" applyAlignment="1">
      <alignment horizontal="left" indent="1"/>
    </xf>
    <xf numFmtId="0" fontId="20" fillId="6" borderId="7" xfId="0" applyFont="1" applyFill="1" applyBorder="1" applyAlignment="1">
      <alignment horizontal="centerContinuous"/>
    </xf>
    <xf numFmtId="0" fontId="20" fillId="0" borderId="0" xfId="0" applyFont="1" applyFill="1" applyBorder="1" applyAlignment="1">
      <alignment horizontal="left" indent="2"/>
    </xf>
    <xf numFmtId="0" fontId="19" fillId="0" borderId="0" xfId="0" applyFont="1" applyBorder="1"/>
    <xf numFmtId="0" fontId="19" fillId="0" borderId="0" xfId="0" applyFont="1"/>
    <xf numFmtId="0" fontId="19" fillId="0" borderId="0" xfId="0" applyFont="1" applyBorder="1" applyAlignment="1">
      <alignment horizontal="left" indent="1"/>
    </xf>
    <xf numFmtId="201" fontId="41" fillId="0" borderId="0" xfId="0" applyNumberFormat="1" applyFont="1" applyFill="1"/>
    <xf numFmtId="7" fontId="20" fillId="0" borderId="0" xfId="0" applyNumberFormat="1" applyFont="1"/>
    <xf numFmtId="169" fontId="38" fillId="3" borderId="4" xfId="0" applyNumberFormat="1" applyFont="1" applyFill="1" applyBorder="1" applyAlignment="1">
      <alignment horizontal="center"/>
    </xf>
    <xf numFmtId="172" fontId="38" fillId="0" borderId="0" xfId="0" applyNumberFormat="1" applyFont="1" applyFill="1" applyBorder="1"/>
    <xf numFmtId="0" fontId="29" fillId="5" borderId="23" xfId="0" applyFont="1" applyFill="1" applyBorder="1" applyAlignment="1">
      <alignment horizontal="centerContinuous"/>
    </xf>
    <xf numFmtId="170" fontId="29" fillId="5" borderId="24" xfId="0" applyNumberFormat="1" applyFont="1" applyFill="1" applyBorder="1" applyAlignment="1">
      <alignment horizontal="center"/>
    </xf>
    <xf numFmtId="167" fontId="20" fillId="0" borderId="8" xfId="0" applyNumberFormat="1" applyFont="1" applyBorder="1"/>
    <xf numFmtId="167" fontId="20" fillId="0" borderId="5" xfId="0" applyNumberFormat="1" applyFont="1" applyBorder="1"/>
    <xf numFmtId="167" fontId="20" fillId="0" borderId="9" xfId="0" applyNumberFormat="1" applyFont="1" applyBorder="1"/>
    <xf numFmtId="172" fontId="35" fillId="0" borderId="10" xfId="0" applyNumberFormat="1" applyFont="1" applyBorder="1"/>
    <xf numFmtId="172" fontId="35" fillId="0" borderId="11" xfId="0" applyNumberFormat="1" applyFont="1" applyBorder="1"/>
    <xf numFmtId="172" fontId="34" fillId="0" borderId="8" xfId="0" applyNumberFormat="1" applyFont="1" applyBorder="1" applyAlignment="1"/>
    <xf numFmtId="172" fontId="34" fillId="0" borderId="9" xfId="0" applyNumberFormat="1" applyFont="1" applyBorder="1" applyAlignment="1"/>
    <xf numFmtId="172" fontId="35" fillId="0" borderId="10" xfId="0" applyNumberFormat="1" applyFont="1" applyBorder="1" applyAlignment="1"/>
    <xf numFmtId="172" fontId="35" fillId="0" borderId="11" xfId="0" applyNumberFormat="1" applyFont="1" applyBorder="1" applyAlignment="1"/>
    <xf numFmtId="172" fontId="35" fillId="0" borderId="10" xfId="0" applyNumberFormat="1" applyFont="1" applyFill="1" applyBorder="1"/>
    <xf numFmtId="172" fontId="35" fillId="0" borderId="11" xfId="0" applyNumberFormat="1" applyFont="1" applyFill="1" applyBorder="1"/>
    <xf numFmtId="171" fontId="34" fillId="0" borderId="10" xfId="0" applyNumberFormat="1" applyFont="1" applyBorder="1" applyAlignment="1"/>
    <xf numFmtId="171" fontId="34" fillId="0" borderId="11" xfId="0" applyNumberFormat="1" applyFont="1" applyBorder="1" applyAlignment="1"/>
    <xf numFmtId="172" fontId="38" fillId="0" borderId="10" xfId="0" applyNumberFormat="1" applyFont="1" applyFill="1" applyBorder="1"/>
    <xf numFmtId="172" fontId="38" fillId="0" borderId="11" xfId="0" applyNumberFormat="1" applyFont="1" applyFill="1" applyBorder="1"/>
    <xf numFmtId="172" fontId="30" fillId="0" borderId="10" xfId="0" applyNumberFormat="1" applyFont="1" applyBorder="1"/>
    <xf numFmtId="172" fontId="30" fillId="0" borderId="11" xfId="0" applyNumberFormat="1" applyFont="1" applyBorder="1"/>
    <xf numFmtId="172" fontId="34" fillId="0" borderId="10" xfId="0" applyNumberFormat="1" applyFont="1" applyBorder="1" applyAlignment="1"/>
    <xf numFmtId="172" fontId="34" fillId="0" borderId="11" xfId="0" applyNumberFormat="1" applyFont="1" applyBorder="1" applyAlignment="1"/>
    <xf numFmtId="172" fontId="30" fillId="0" borderId="8" xfId="0" applyNumberFormat="1" applyFont="1" applyBorder="1"/>
    <xf numFmtId="172" fontId="30" fillId="0" borderId="9" xfId="0" applyNumberFormat="1" applyFont="1" applyBorder="1"/>
    <xf numFmtId="172" fontId="20" fillId="0" borderId="10" xfId="0" applyNumberFormat="1" applyFont="1" applyBorder="1"/>
    <xf numFmtId="172" fontId="20" fillId="0" borderId="11" xfId="0" applyNumberFormat="1" applyFont="1" applyBorder="1"/>
    <xf numFmtId="171" fontId="34" fillId="0" borderId="8" xfId="0" applyNumberFormat="1" applyFont="1" applyBorder="1" applyAlignment="1"/>
    <xf numFmtId="171" fontId="34" fillId="0" borderId="9" xfId="0" applyNumberFormat="1" applyFont="1" applyBorder="1" applyAlignment="1"/>
    <xf numFmtId="0" fontId="20" fillId="0" borderId="8" xfId="0" applyFont="1" applyBorder="1"/>
    <xf numFmtId="0" fontId="20" fillId="0" borderId="9" xfId="0" applyFont="1" applyBorder="1"/>
    <xf numFmtId="0" fontId="20" fillId="0" borderId="10" xfId="0" applyFont="1" applyBorder="1"/>
    <xf numFmtId="0" fontId="20" fillId="0" borderId="11" xfId="0" applyFont="1" applyBorder="1"/>
    <xf numFmtId="171" fontId="30" fillId="0" borderId="10" xfId="0" applyNumberFormat="1" applyFont="1" applyBorder="1"/>
    <xf numFmtId="171" fontId="30" fillId="0" borderId="11" xfId="0" applyNumberFormat="1" applyFont="1" applyBorder="1"/>
    <xf numFmtId="0" fontId="20" fillId="6" borderId="12" xfId="0" applyFont="1" applyFill="1" applyBorder="1" applyAlignment="1">
      <alignment horizontal="centerContinuous"/>
    </xf>
    <xf numFmtId="0" fontId="20" fillId="6" borderId="13" xfId="0" applyFont="1" applyFill="1" applyBorder="1" applyAlignment="1">
      <alignment horizontal="centerContinuous"/>
    </xf>
    <xf numFmtId="171" fontId="34" fillId="0" borderId="11" xfId="0" applyNumberFormat="1" applyFont="1" applyBorder="1"/>
    <xf numFmtId="171" fontId="30" fillId="0" borderId="8" xfId="0" applyNumberFormat="1" applyFont="1" applyBorder="1"/>
    <xf numFmtId="171" fontId="30" fillId="0" borderId="9" xfId="0" applyNumberFormat="1" applyFont="1" applyBorder="1"/>
    <xf numFmtId="201" fontId="41" fillId="0" borderId="10" xfId="0" applyNumberFormat="1" applyFont="1" applyFill="1" applyBorder="1"/>
    <xf numFmtId="201" fontId="41" fillId="0" borderId="0" xfId="0" applyNumberFormat="1" applyFont="1" applyFill="1" applyBorder="1"/>
    <xf numFmtId="201" fontId="41" fillId="0" borderId="11" xfId="0" applyNumberFormat="1" applyFont="1" applyFill="1" applyBorder="1"/>
    <xf numFmtId="167" fontId="20" fillId="0" borderId="10" xfId="0" applyNumberFormat="1" applyFont="1" applyBorder="1"/>
    <xf numFmtId="167" fontId="20" fillId="0" borderId="0" xfId="0" applyNumberFormat="1" applyFont="1" applyBorder="1"/>
    <xf numFmtId="167" fontId="20" fillId="0" borderId="11" xfId="0" applyNumberFormat="1" applyFont="1" applyBorder="1"/>
    <xf numFmtId="0" fontId="19" fillId="13" borderId="7" xfId="0" applyFont="1" applyFill="1" applyBorder="1" applyAlignment="1">
      <alignment horizontal="left" indent="1"/>
    </xf>
    <xf numFmtId="0" fontId="41" fillId="13" borderId="7" xfId="0" applyFont="1" applyFill="1" applyBorder="1" applyAlignment="1">
      <alignment horizontal="center"/>
    </xf>
    <xf numFmtId="167" fontId="20" fillId="13" borderId="7" xfId="0" applyNumberFormat="1" applyFont="1" applyFill="1" applyBorder="1"/>
    <xf numFmtId="167" fontId="20" fillId="13" borderId="12" xfId="0" applyNumberFormat="1" applyFont="1" applyFill="1" applyBorder="1"/>
    <xf numFmtId="167" fontId="20" fillId="13" borderId="13" xfId="0" applyNumberFormat="1" applyFont="1" applyFill="1" applyBorder="1"/>
    <xf numFmtId="172" fontId="30" fillId="0" borderId="5" xfId="0" applyNumberFormat="1" applyFont="1" applyBorder="1" applyAlignment="1">
      <alignment horizontal="center"/>
    </xf>
    <xf numFmtId="172" fontId="33" fillId="4" borderId="7" xfId="0" applyNumberFormat="1" applyFont="1" applyFill="1" applyBorder="1"/>
    <xf numFmtId="172" fontId="33" fillId="0" borderId="0" xfId="0" applyNumberFormat="1" applyFont="1" applyBorder="1"/>
    <xf numFmtId="172" fontId="33" fillId="0" borderId="1" xfId="0" applyNumberFormat="1" applyFont="1" applyBorder="1"/>
    <xf numFmtId="171" fontId="44" fillId="0" borderId="0" xfId="0" applyNumberFormat="1" applyFont="1" applyBorder="1"/>
    <xf numFmtId="166" fontId="36" fillId="0" borderId="8" xfId="0" applyNumberFormat="1" applyFont="1" applyBorder="1"/>
    <xf numFmtId="166" fontId="36" fillId="0" borderId="5" xfId="0" applyNumberFormat="1" applyFont="1" applyBorder="1"/>
    <xf numFmtId="166" fontId="36" fillId="0" borderId="9" xfId="0" applyNumberFormat="1" applyFont="1" applyBorder="1"/>
    <xf numFmtId="172" fontId="38" fillId="0" borderId="10" xfId="0" applyNumberFormat="1" applyFont="1" applyBorder="1"/>
    <xf numFmtId="172" fontId="38" fillId="0" borderId="11" xfId="0" applyNumberFormat="1" applyFont="1" applyBorder="1"/>
    <xf numFmtId="172" fontId="33" fillId="0" borderId="10" xfId="0" applyNumberFormat="1" applyFont="1" applyBorder="1"/>
    <xf numFmtId="167" fontId="43" fillId="0" borderId="10" xfId="0" applyNumberFormat="1" applyFont="1" applyBorder="1" applyAlignment="1"/>
    <xf numFmtId="167" fontId="43" fillId="0" borderId="11" xfId="0" applyNumberFormat="1" applyFont="1" applyBorder="1" applyAlignment="1"/>
    <xf numFmtId="0" fontId="19" fillId="13" borderId="5" xfId="0" applyFont="1" applyFill="1" applyBorder="1" applyAlignment="1">
      <alignment horizontal="left" indent="1"/>
    </xf>
    <xf numFmtId="0" fontId="41" fillId="13" borderId="5" xfId="0" applyFont="1" applyFill="1" applyBorder="1" applyAlignment="1">
      <alignment horizontal="center"/>
    </xf>
    <xf numFmtId="172" fontId="35" fillId="4" borderId="5" xfId="0" applyNumberFormat="1" applyFont="1" applyFill="1" applyBorder="1"/>
    <xf numFmtId="167" fontId="20" fillId="13" borderId="8" xfId="0" applyNumberFormat="1" applyFont="1" applyFill="1" applyBorder="1"/>
    <xf numFmtId="167" fontId="20" fillId="13" borderId="5" xfId="0" applyNumberFormat="1" applyFont="1" applyFill="1" applyBorder="1"/>
    <xf numFmtId="167" fontId="20" fillId="13" borderId="9" xfId="0" applyNumberFormat="1" applyFont="1" applyFill="1" applyBorder="1"/>
    <xf numFmtId="0" fontId="41" fillId="13" borderId="1" xfId="0" applyFont="1" applyFill="1" applyBorder="1" applyAlignment="1">
      <alignment horizontal="center"/>
    </xf>
    <xf numFmtId="172" fontId="35" fillId="4" borderId="1" xfId="0" applyNumberFormat="1" applyFont="1" applyFill="1" applyBorder="1"/>
    <xf numFmtId="167" fontId="20" fillId="13" borderId="2" xfId="0" applyNumberFormat="1" applyFont="1" applyFill="1" applyBorder="1"/>
    <xf numFmtId="167" fontId="20" fillId="13" borderId="1" xfId="0" applyNumberFormat="1" applyFont="1" applyFill="1" applyBorder="1"/>
    <xf numFmtId="167" fontId="20" fillId="13" borderId="3" xfId="0" applyNumberFormat="1" applyFont="1" applyFill="1" applyBorder="1"/>
    <xf numFmtId="0" fontId="18" fillId="0" borderId="0" xfId="0" applyFont="1" applyBorder="1" applyAlignment="1">
      <alignment horizontal="left" indent="1"/>
    </xf>
    <xf numFmtId="0" fontId="18" fillId="0" borderId="0" xfId="0" applyFont="1"/>
    <xf numFmtId="0" fontId="18" fillId="0" borderId="0" xfId="0" applyFont="1" applyBorder="1"/>
    <xf numFmtId="202" fontId="34" fillId="0" borderId="0" xfId="0" applyNumberFormat="1" applyFont="1" applyBorder="1" applyAlignment="1"/>
    <xf numFmtId="171" fontId="42" fillId="0" borderId="10" xfId="0" applyNumberFormat="1" applyFont="1" applyBorder="1" applyAlignment="1"/>
    <xf numFmtId="171" fontId="42" fillId="0" borderId="11" xfId="0" applyNumberFormat="1" applyFont="1" applyBorder="1" applyAlignment="1"/>
    <xf numFmtId="0" fontId="18" fillId="0" borderId="0" xfId="0" applyFont="1" applyAlignment="1">
      <alignment horizontal="left"/>
    </xf>
    <xf numFmtId="0" fontId="71" fillId="6" borderId="1" xfId="0" applyFont="1" applyFill="1" applyBorder="1" applyAlignment="1">
      <alignment horizontal="centerContinuous"/>
    </xf>
    <xf numFmtId="0" fontId="20" fillId="13" borderId="7" xfId="0" applyFont="1" applyFill="1" applyBorder="1" applyAlignment="1">
      <alignment horizontal="left" indent="1"/>
    </xf>
    <xf numFmtId="172" fontId="33" fillId="13" borderId="7" xfId="0" applyNumberFormat="1" applyFont="1" applyFill="1" applyBorder="1" applyAlignment="1"/>
    <xf numFmtId="172" fontId="35" fillId="13" borderId="12" xfId="0" applyNumberFormat="1" applyFont="1" applyFill="1" applyBorder="1" applyAlignment="1"/>
    <xf numFmtId="172" fontId="35" fillId="13" borderId="7" xfId="0" applyNumberFormat="1" applyFont="1" applyFill="1" applyBorder="1" applyAlignment="1"/>
    <xf numFmtId="172" fontId="35" fillId="13" borderId="13" xfId="0" applyNumberFormat="1" applyFont="1" applyFill="1" applyBorder="1" applyAlignment="1"/>
    <xf numFmtId="172" fontId="33" fillId="0" borderId="0" xfId="0" applyNumberFormat="1" applyFont="1" applyFill="1" applyBorder="1" applyAlignment="1"/>
    <xf numFmtId="0" fontId="18" fillId="13" borderId="1" xfId="0" applyFont="1" applyFill="1" applyBorder="1" applyAlignment="1">
      <alignment horizontal="left" indent="1"/>
    </xf>
    <xf numFmtId="0" fontId="43" fillId="13" borderId="7" xfId="0" applyNumberFormat="1" applyFont="1" applyFill="1" applyBorder="1" applyAlignment="1">
      <alignment horizontal="center"/>
    </xf>
    <xf numFmtId="172" fontId="38" fillId="13" borderId="7" xfId="0" applyNumberFormat="1" applyFont="1" applyFill="1" applyBorder="1" applyAlignment="1"/>
    <xf numFmtId="167" fontId="35" fillId="0" borderId="0" xfId="0" applyNumberFormat="1" applyFont="1"/>
    <xf numFmtId="43" fontId="44" fillId="0" borderId="0" xfId="0" applyNumberFormat="1" applyFont="1" applyBorder="1" applyAlignment="1"/>
    <xf numFmtId="43" fontId="34" fillId="0" borderId="0" xfId="0" applyNumberFormat="1" applyFont="1" applyBorder="1" applyAlignment="1"/>
    <xf numFmtId="0" fontId="18" fillId="0" borderId="0" xfId="0" applyFont="1" applyFill="1" applyBorder="1" applyAlignment="1">
      <alignment horizontal="left" indent="1"/>
    </xf>
    <xf numFmtId="0" fontId="18" fillId="0" borderId="0" xfId="0" applyFont="1" applyFill="1" applyBorder="1" applyAlignment="1">
      <alignment horizontal="left" indent="2"/>
    </xf>
    <xf numFmtId="172" fontId="30" fillId="0" borderId="0" xfId="0" applyNumberFormat="1" applyFont="1" applyBorder="1" applyAlignment="1">
      <alignment horizontal="center"/>
    </xf>
    <xf numFmtId="0" fontId="17" fillId="0" borderId="0" xfId="0" applyFont="1" applyBorder="1"/>
    <xf numFmtId="0" fontId="20" fillId="6" borderId="1" xfId="0" applyFont="1" applyFill="1" applyBorder="1" applyAlignment="1"/>
    <xf numFmtId="0" fontId="30" fillId="6" borderId="1" xfId="0" applyFont="1" applyFill="1" applyBorder="1" applyAlignment="1"/>
    <xf numFmtId="171" fontId="38" fillId="3" borderId="4" xfId="0" applyNumberFormat="1" applyFont="1" applyFill="1" applyBorder="1"/>
    <xf numFmtId="0" fontId="16" fillId="0" borderId="0" xfId="0" applyFont="1"/>
    <xf numFmtId="0" fontId="16" fillId="0" borderId="0" xfId="0" applyFont="1" applyBorder="1"/>
    <xf numFmtId="0" fontId="16" fillId="13" borderId="5" xfId="0" applyFont="1" applyFill="1" applyBorder="1" applyAlignment="1">
      <alignment horizontal="left" indent="1"/>
    </xf>
    <xf numFmtId="0" fontId="41" fillId="13" borderId="0" xfId="0" applyFont="1" applyFill="1" applyBorder="1" applyAlignment="1">
      <alignment horizontal="center"/>
    </xf>
    <xf numFmtId="172" fontId="35" fillId="4" borderId="0" xfId="0" applyNumberFormat="1" applyFont="1" applyFill="1" applyBorder="1"/>
    <xf numFmtId="167" fontId="20" fillId="13" borderId="10" xfId="0" applyNumberFormat="1" applyFont="1" applyFill="1" applyBorder="1"/>
    <xf numFmtId="167" fontId="20" fillId="13" borderId="0" xfId="0" applyNumberFormat="1" applyFont="1" applyFill="1" applyBorder="1"/>
    <xf numFmtId="167" fontId="20" fillId="13" borderId="11" xfId="0" applyNumberFormat="1" applyFont="1" applyFill="1" applyBorder="1"/>
    <xf numFmtId="0" fontId="16" fillId="13" borderId="0" xfId="0" applyFont="1" applyFill="1" applyBorder="1" applyAlignment="1">
      <alignment horizontal="left" indent="1"/>
    </xf>
    <xf numFmtId="172" fontId="38" fillId="4" borderId="0" xfId="0" applyNumberFormat="1" applyFont="1" applyFill="1" applyBorder="1"/>
    <xf numFmtId="0" fontId="16" fillId="13" borderId="7" xfId="0" applyFont="1" applyFill="1" applyBorder="1" applyAlignment="1">
      <alignment horizontal="left" indent="1"/>
    </xf>
    <xf numFmtId="0" fontId="30" fillId="0" borderId="8" xfId="0" applyFont="1" applyBorder="1" applyAlignment="1">
      <alignment horizontal="left"/>
    </xf>
    <xf numFmtId="0" fontId="30" fillId="0" borderId="9" xfId="0" applyFont="1" applyBorder="1" applyAlignment="1">
      <alignment horizontal="left"/>
    </xf>
    <xf numFmtId="0" fontId="26" fillId="0" borderId="10" xfId="0" applyFont="1" applyBorder="1"/>
    <xf numFmtId="0" fontId="26" fillId="0" borderId="11" xfId="0" applyFont="1" applyBorder="1"/>
    <xf numFmtId="172" fontId="35" fillId="0" borderId="11" xfId="0" applyNumberFormat="1" applyFont="1" applyFill="1" applyBorder="1" applyAlignment="1">
      <alignment horizontal="center"/>
    </xf>
    <xf numFmtId="172" fontId="44" fillId="0" borderId="5" xfId="0" applyNumberFormat="1" applyFont="1" applyBorder="1"/>
    <xf numFmtId="172" fontId="42" fillId="0" borderId="8" xfId="0" applyNumberFormat="1" applyFont="1" applyBorder="1"/>
    <xf numFmtId="172" fontId="20" fillId="13" borderId="7" xfId="0" applyNumberFormat="1" applyFont="1" applyFill="1" applyBorder="1"/>
    <xf numFmtId="172" fontId="20" fillId="13" borderId="12" xfId="0" applyNumberFormat="1" applyFont="1" applyFill="1" applyBorder="1"/>
    <xf numFmtId="172" fontId="20" fillId="13" borderId="13" xfId="0" applyNumberFormat="1" applyFont="1" applyFill="1" applyBorder="1"/>
    <xf numFmtId="167" fontId="72" fillId="0" borderId="0" xfId="0" applyNumberFormat="1" applyFont="1" applyBorder="1" applyAlignment="1"/>
    <xf numFmtId="0" fontId="41" fillId="0" borderId="10" xfId="0" applyFont="1" applyBorder="1"/>
    <xf numFmtId="0" fontId="41" fillId="0" borderId="0" xfId="0" applyFont="1" applyBorder="1"/>
    <xf numFmtId="0" fontId="15" fillId="0" borderId="0" xfId="0" applyFont="1"/>
    <xf numFmtId="0" fontId="15" fillId="0" borderId="0" xfId="0" applyFont="1" applyBorder="1" applyAlignment="1">
      <alignment horizontal="center"/>
    </xf>
    <xf numFmtId="0" fontId="15" fillId="0" borderId="10" xfId="0" applyFont="1" applyBorder="1"/>
    <xf numFmtId="0" fontId="15" fillId="0" borderId="0" xfId="0" applyFont="1" applyBorder="1"/>
    <xf numFmtId="203" fontId="35" fillId="0" borderId="0" xfId="0" applyNumberFormat="1" applyFont="1" applyBorder="1" applyAlignment="1"/>
    <xf numFmtId="170" fontId="29" fillId="5" borderId="25" xfId="0" applyNumberFormat="1" applyFont="1" applyFill="1" applyBorder="1" applyAlignment="1">
      <alignment horizontal="center"/>
    </xf>
    <xf numFmtId="172" fontId="38" fillId="0" borderId="10" xfId="0" applyNumberFormat="1" applyFont="1" applyBorder="1" applyAlignment="1"/>
    <xf numFmtId="172" fontId="38" fillId="0" borderId="10" xfId="0" applyNumberFormat="1" applyFont="1" applyFill="1" applyBorder="1" applyAlignment="1"/>
    <xf numFmtId="172" fontId="26" fillId="0" borderId="11" xfId="0" applyNumberFormat="1" applyFont="1" applyBorder="1"/>
    <xf numFmtId="171" fontId="44" fillId="0" borderId="0" xfId="0" applyNumberFormat="1" applyFont="1" applyBorder="1" applyAlignment="1"/>
    <xf numFmtId="0" fontId="15" fillId="0" borderId="0" xfId="0" applyFont="1" applyBorder="1" applyAlignment="1">
      <alignment horizontal="left" indent="1"/>
    </xf>
    <xf numFmtId="171" fontId="42" fillId="0" borderId="5" xfId="0" applyNumberFormat="1" applyFont="1" applyBorder="1" applyAlignment="1"/>
    <xf numFmtId="171" fontId="42" fillId="0" borderId="8" xfId="0" applyNumberFormat="1" applyFont="1" applyBorder="1" applyAlignment="1"/>
    <xf numFmtId="0" fontId="26" fillId="0" borderId="9" xfId="0" applyFont="1" applyBorder="1"/>
    <xf numFmtId="0" fontId="30" fillId="0" borderId="11" xfId="0" applyFont="1" applyBorder="1"/>
    <xf numFmtId="0" fontId="15" fillId="13" borderId="5" xfId="0" applyFont="1" applyFill="1" applyBorder="1" applyAlignment="1">
      <alignment horizontal="left" indent="1"/>
    </xf>
    <xf numFmtId="0" fontId="15" fillId="13" borderId="0" xfId="0" applyFont="1" applyFill="1" applyBorder="1" applyAlignment="1">
      <alignment horizontal="left" indent="1"/>
    </xf>
    <xf numFmtId="0" fontId="15" fillId="0" borderId="0" xfId="0" applyFont="1" applyAlignment="1">
      <alignment horizontal="center"/>
    </xf>
    <xf numFmtId="188" fontId="31" fillId="3" borderId="4" xfId="2" applyNumberFormat="1" applyFont="1" applyFill="1" applyBorder="1" applyAlignment="1">
      <alignment horizontal="center"/>
    </xf>
    <xf numFmtId="172" fontId="38" fillId="13" borderId="0" xfId="0" applyNumberFormat="1" applyFont="1" applyFill="1" applyBorder="1" applyAlignment="1"/>
    <xf numFmtId="172" fontId="38" fillId="13" borderId="10" xfId="0" applyNumberFormat="1" applyFont="1" applyFill="1" applyBorder="1" applyAlignment="1"/>
    <xf numFmtId="172" fontId="35" fillId="13" borderId="11" xfId="0" applyNumberFormat="1" applyFont="1" applyFill="1" applyBorder="1" applyAlignment="1"/>
    <xf numFmtId="172" fontId="35" fillId="13" borderId="0" xfId="0" applyNumberFormat="1" applyFont="1" applyFill="1" applyBorder="1" applyAlignment="1"/>
    <xf numFmtId="172" fontId="38" fillId="13" borderId="5" xfId="0" applyNumberFormat="1" applyFont="1" applyFill="1" applyBorder="1" applyAlignment="1"/>
    <xf numFmtId="172" fontId="38" fillId="13" borderId="8" xfId="0" applyNumberFormat="1" applyFont="1" applyFill="1" applyBorder="1" applyAlignment="1"/>
    <xf numFmtId="172" fontId="35" fillId="13" borderId="9" xfId="0" applyNumberFormat="1" applyFont="1" applyFill="1" applyBorder="1" applyAlignment="1"/>
    <xf numFmtId="172" fontId="35" fillId="13" borderId="5" xfId="0" applyNumberFormat="1" applyFont="1" applyFill="1" applyBorder="1" applyAlignment="1"/>
    <xf numFmtId="0" fontId="15" fillId="13" borderId="1" xfId="0" applyFont="1" applyFill="1" applyBorder="1" applyAlignment="1">
      <alignment horizontal="left" indent="1"/>
    </xf>
    <xf numFmtId="172" fontId="38" fillId="13" borderId="1" xfId="0" applyNumberFormat="1" applyFont="1" applyFill="1" applyBorder="1" applyAlignment="1"/>
    <xf numFmtId="172" fontId="38" fillId="13" borderId="2" xfId="0" applyNumberFormat="1" applyFont="1" applyFill="1" applyBorder="1" applyAlignment="1"/>
    <xf numFmtId="172" fontId="35" fillId="13" borderId="3" xfId="0" applyNumberFormat="1" applyFont="1" applyFill="1" applyBorder="1" applyAlignment="1"/>
    <xf numFmtId="172" fontId="35" fillId="13" borderId="1" xfId="0" applyNumberFormat="1" applyFont="1" applyFill="1" applyBorder="1" applyAlignment="1"/>
    <xf numFmtId="0" fontId="15" fillId="13" borderId="7" xfId="0" applyFont="1" applyFill="1" applyBorder="1" applyAlignment="1">
      <alignment horizontal="left" indent="1"/>
    </xf>
    <xf numFmtId="172" fontId="38" fillId="13" borderId="12" xfId="0" applyNumberFormat="1" applyFont="1" applyFill="1" applyBorder="1" applyAlignment="1"/>
    <xf numFmtId="0" fontId="20" fillId="13" borderId="0" xfId="0" applyFont="1" applyFill="1" applyBorder="1" applyAlignment="1">
      <alignment horizontal="left" indent="1"/>
    </xf>
    <xf numFmtId="172" fontId="33" fillId="13" borderId="0" xfId="0" applyNumberFormat="1" applyFont="1" applyFill="1" applyBorder="1"/>
    <xf numFmtId="172" fontId="35" fillId="13" borderId="0" xfId="0" applyNumberFormat="1" applyFont="1" applyFill="1" applyBorder="1"/>
    <xf numFmtId="172" fontId="35" fillId="13" borderId="11" xfId="0" applyNumberFormat="1" applyFont="1" applyFill="1" applyBorder="1"/>
    <xf numFmtId="172" fontId="33" fillId="13" borderId="1" xfId="0" applyNumberFormat="1" applyFont="1" applyFill="1" applyBorder="1"/>
    <xf numFmtId="172" fontId="33" fillId="13" borderId="2" xfId="0" applyNumberFormat="1" applyFont="1" applyFill="1" applyBorder="1"/>
    <xf numFmtId="172" fontId="35" fillId="13" borderId="1" xfId="0" applyNumberFormat="1" applyFont="1" applyFill="1" applyBorder="1"/>
    <xf numFmtId="172" fontId="35" fillId="13" borderId="3" xfId="0" applyNumberFormat="1" applyFont="1" applyFill="1" applyBorder="1"/>
    <xf numFmtId="0" fontId="20" fillId="13" borderId="5" xfId="0" applyFont="1" applyFill="1" applyBorder="1" applyAlignment="1">
      <alignment horizontal="left" indent="1"/>
    </xf>
    <xf numFmtId="172" fontId="33" fillId="13" borderId="5" xfId="0" applyNumberFormat="1" applyFont="1" applyFill="1" applyBorder="1"/>
    <xf numFmtId="172" fontId="33" fillId="13" borderId="8" xfId="0" applyNumberFormat="1" applyFont="1" applyFill="1" applyBorder="1"/>
    <xf numFmtId="172" fontId="35" fillId="13" borderId="5" xfId="0" applyNumberFormat="1" applyFont="1" applyFill="1" applyBorder="1"/>
    <xf numFmtId="172" fontId="35" fillId="13" borderId="9" xfId="0" applyNumberFormat="1" applyFont="1" applyFill="1" applyBorder="1"/>
    <xf numFmtId="0" fontId="20" fillId="13" borderId="1" xfId="0" applyFont="1" applyFill="1" applyBorder="1" applyAlignment="1">
      <alignment horizontal="left" indent="1"/>
    </xf>
    <xf numFmtId="0" fontId="18" fillId="13" borderId="7" xfId="0" applyFont="1" applyFill="1" applyBorder="1" applyAlignment="1">
      <alignment horizontal="left" indent="1"/>
    </xf>
    <xf numFmtId="171" fontId="35" fillId="13" borderId="7" xfId="0" applyNumberFormat="1" applyFont="1" applyFill="1" applyBorder="1"/>
    <xf numFmtId="171" fontId="35" fillId="13" borderId="12" xfId="0" applyNumberFormat="1" applyFont="1" applyFill="1" applyBorder="1"/>
    <xf numFmtId="171" fontId="35" fillId="13" borderId="13" xfId="0" applyNumberFormat="1" applyFont="1" applyFill="1" applyBorder="1"/>
    <xf numFmtId="172" fontId="35" fillId="13" borderId="10" xfId="0" applyNumberFormat="1" applyFont="1" applyFill="1" applyBorder="1"/>
    <xf numFmtId="172" fontId="35" fillId="13" borderId="8" xfId="0" applyNumberFormat="1" applyFont="1" applyFill="1" applyBorder="1"/>
    <xf numFmtId="172" fontId="35" fillId="13" borderId="2" xfId="0" applyNumberFormat="1" applyFont="1" applyFill="1" applyBorder="1"/>
    <xf numFmtId="172" fontId="33" fillId="13" borderId="7" xfId="0" applyNumberFormat="1" applyFont="1" applyFill="1" applyBorder="1"/>
    <xf numFmtId="172" fontId="35" fillId="13" borderId="12" xfId="0" applyNumberFormat="1" applyFont="1" applyFill="1" applyBorder="1"/>
    <xf numFmtId="172" fontId="35" fillId="13" borderId="13" xfId="0" applyNumberFormat="1" applyFont="1" applyFill="1" applyBorder="1"/>
    <xf numFmtId="172" fontId="35" fillId="13" borderId="7" xfId="0" applyNumberFormat="1" applyFont="1" applyFill="1" applyBorder="1"/>
    <xf numFmtId="171" fontId="33" fillId="13" borderId="7" xfId="0" applyNumberFormat="1" applyFont="1" applyFill="1" applyBorder="1"/>
    <xf numFmtId="0" fontId="26" fillId="6" borderId="12" xfId="0" applyFont="1" applyFill="1" applyBorder="1" applyAlignment="1">
      <alignment horizontal="centerContinuous"/>
    </xf>
    <xf numFmtId="0" fontId="26" fillId="6" borderId="13" xfId="0" applyFont="1" applyFill="1" applyBorder="1" applyAlignment="1">
      <alignment horizontal="centerContinuous"/>
    </xf>
    <xf numFmtId="43" fontId="26" fillId="0" borderId="10" xfId="0" applyNumberFormat="1" applyFont="1" applyBorder="1"/>
    <xf numFmtId="174" fontId="41" fillId="0" borderId="10" xfId="0" applyNumberFormat="1" applyFont="1" applyFill="1" applyBorder="1"/>
    <xf numFmtId="174" fontId="41" fillId="0" borderId="0" xfId="0" applyNumberFormat="1" applyFont="1" applyFill="1" applyBorder="1"/>
    <xf numFmtId="174" fontId="41" fillId="0" borderId="11" xfId="0" applyNumberFormat="1" applyFont="1" applyFill="1" applyBorder="1"/>
    <xf numFmtId="0" fontId="14" fillId="0" borderId="0" xfId="0" applyFont="1"/>
    <xf numFmtId="169" fontId="35" fillId="3" borderId="4" xfId="0" applyNumberFormat="1" applyFont="1" applyFill="1" applyBorder="1" applyAlignment="1">
      <alignment horizontal="center"/>
    </xf>
    <xf numFmtId="172" fontId="38" fillId="13" borderId="10" xfId="0" applyNumberFormat="1" applyFont="1" applyFill="1" applyBorder="1"/>
    <xf numFmtId="0" fontId="24" fillId="13" borderId="7" xfId="0" applyFont="1" applyFill="1" applyBorder="1" applyAlignment="1">
      <alignment horizontal="left" indent="1"/>
    </xf>
    <xf numFmtId="172" fontId="38" fillId="13" borderId="12" xfId="0" applyNumberFormat="1" applyFont="1" applyFill="1" applyBorder="1"/>
    <xf numFmtId="0" fontId="26" fillId="13" borderId="0" xfId="0" applyFont="1" applyFill="1" applyBorder="1" applyAlignment="1">
      <alignment horizontal="left" indent="1"/>
    </xf>
    <xf numFmtId="0" fontId="26" fillId="13" borderId="5" xfId="0" applyFont="1" applyFill="1" applyBorder="1" applyAlignment="1">
      <alignment horizontal="left" indent="1"/>
    </xf>
    <xf numFmtId="172" fontId="38" fillId="13" borderId="8" xfId="0" applyNumberFormat="1" applyFont="1" applyFill="1" applyBorder="1"/>
    <xf numFmtId="0" fontId="26" fillId="13" borderId="1" xfId="0" applyFont="1" applyFill="1" applyBorder="1" applyAlignment="1">
      <alignment horizontal="left" indent="1"/>
    </xf>
    <xf numFmtId="172" fontId="38" fillId="13" borderId="2" xfId="0" applyNumberFormat="1" applyFont="1" applyFill="1" applyBorder="1"/>
    <xf numFmtId="0" fontId="14" fillId="0" borderId="0" xfId="0" applyFont="1" applyBorder="1" applyAlignment="1">
      <alignment horizontal="left" indent="1"/>
    </xf>
    <xf numFmtId="171" fontId="26" fillId="0" borderId="0" xfId="0" applyNumberFormat="1" applyFont="1"/>
    <xf numFmtId="0" fontId="14" fillId="0" borderId="0" xfId="0" applyFont="1" applyAlignment="1">
      <alignment horizontal="left" indent="1"/>
    </xf>
    <xf numFmtId="0" fontId="26" fillId="0" borderId="5" xfId="0" applyFont="1" applyBorder="1"/>
    <xf numFmtId="172" fontId="44" fillId="0" borderId="0" xfId="0" applyNumberFormat="1" applyFont="1" applyBorder="1" applyAlignment="1"/>
    <xf numFmtId="181" fontId="33" fillId="0" borderId="0" xfId="0" applyNumberFormat="1" applyFont="1" applyBorder="1" applyAlignment="1"/>
    <xf numFmtId="173" fontId="38" fillId="0" borderId="8" xfId="0" applyNumberFormat="1" applyFont="1" applyBorder="1" applyAlignment="1"/>
    <xf numFmtId="173" fontId="38" fillId="0" borderId="5" xfId="0" applyNumberFormat="1" applyFont="1" applyBorder="1" applyAlignment="1"/>
    <xf numFmtId="0" fontId="30" fillId="0" borderId="10" xfId="0" applyFont="1" applyBorder="1" applyAlignment="1">
      <alignment horizontal="left"/>
    </xf>
    <xf numFmtId="181" fontId="35" fillId="0" borderId="11" xfId="0" applyNumberFormat="1" applyFont="1" applyBorder="1" applyAlignment="1"/>
    <xf numFmtId="168" fontId="38" fillId="0" borderId="10" xfId="0" applyNumberFormat="1" applyFont="1" applyBorder="1"/>
    <xf numFmtId="171" fontId="30" fillId="0" borderId="10" xfId="0" applyNumberFormat="1" applyFont="1" applyBorder="1" applyAlignment="1">
      <alignment horizontal="left"/>
    </xf>
    <xf numFmtId="0" fontId="14" fillId="13" borderId="7" xfId="0" applyFont="1" applyFill="1" applyBorder="1" applyAlignment="1">
      <alignment horizontal="left" indent="1"/>
    </xf>
    <xf numFmtId="0" fontId="14" fillId="13" borderId="0" xfId="0" applyFont="1" applyFill="1" applyBorder="1" applyAlignment="1">
      <alignment horizontal="left" indent="1"/>
    </xf>
    <xf numFmtId="0" fontId="43" fillId="13" borderId="0" xfId="0" applyNumberFormat="1" applyFont="1" applyFill="1" applyBorder="1" applyAlignment="1">
      <alignment horizontal="center"/>
    </xf>
    <xf numFmtId="172" fontId="33" fillId="13" borderId="0" xfId="0" applyNumberFormat="1" applyFont="1" applyFill="1" applyBorder="1" applyAlignment="1"/>
    <xf numFmtId="0" fontId="26" fillId="13" borderId="7" xfId="0" applyFont="1" applyFill="1" applyBorder="1" applyAlignment="1">
      <alignment horizontal="left" indent="1"/>
    </xf>
    <xf numFmtId="0" fontId="43" fillId="13" borderId="1" xfId="0" applyNumberFormat="1" applyFont="1" applyFill="1" applyBorder="1" applyAlignment="1">
      <alignment horizontal="center"/>
    </xf>
    <xf numFmtId="172" fontId="33" fillId="13" borderId="1" xfId="0" applyNumberFormat="1" applyFont="1" applyFill="1" applyBorder="1" applyAlignment="1"/>
    <xf numFmtId="181" fontId="35" fillId="13" borderId="13" xfId="0" applyNumberFormat="1" applyFont="1" applyFill="1" applyBorder="1" applyAlignment="1"/>
    <xf numFmtId="171" fontId="33" fillId="13" borderId="12" xfId="0" applyNumberFormat="1" applyFont="1" applyFill="1" applyBorder="1"/>
    <xf numFmtId="171" fontId="38" fillId="13" borderId="7" xfId="0" applyNumberFormat="1" applyFont="1" applyFill="1" applyBorder="1"/>
    <xf numFmtId="172" fontId="33" fillId="13" borderId="10" xfId="0" applyNumberFormat="1" applyFont="1" applyFill="1" applyBorder="1"/>
    <xf numFmtId="172" fontId="38" fillId="13" borderId="0" xfId="0" applyNumberFormat="1" applyFont="1" applyFill="1" applyBorder="1"/>
    <xf numFmtId="172" fontId="38" fillId="13" borderId="1" xfId="0" applyNumberFormat="1" applyFont="1" applyFill="1" applyBorder="1"/>
    <xf numFmtId="0" fontId="30" fillId="13" borderId="7" xfId="0" applyFont="1" applyFill="1" applyBorder="1"/>
    <xf numFmtId="171" fontId="44" fillId="13" borderId="7" xfId="0" applyNumberFormat="1" applyFont="1" applyFill="1" applyBorder="1"/>
    <xf numFmtId="171" fontId="42" fillId="13" borderId="12" xfId="0" applyNumberFormat="1" applyFont="1" applyFill="1" applyBorder="1"/>
    <xf numFmtId="171" fontId="34" fillId="13" borderId="7" xfId="0" applyNumberFormat="1" applyFont="1" applyFill="1" applyBorder="1"/>
    <xf numFmtId="171" fontId="34" fillId="13" borderId="13" xfId="0" applyNumberFormat="1" applyFont="1" applyFill="1" applyBorder="1"/>
    <xf numFmtId="0" fontId="14" fillId="13" borderId="5" xfId="0" applyFont="1" applyFill="1" applyBorder="1" applyAlignment="1">
      <alignment horizontal="left" indent="1"/>
    </xf>
    <xf numFmtId="204" fontId="41" fillId="0" borderId="0" xfId="0" applyNumberFormat="1" applyFont="1" applyFill="1"/>
    <xf numFmtId="0" fontId="14" fillId="0" borderId="0" xfId="0" applyFont="1" applyBorder="1"/>
    <xf numFmtId="171" fontId="26" fillId="0" borderId="0" xfId="0" applyNumberFormat="1" applyFont="1" applyBorder="1"/>
    <xf numFmtId="168" fontId="38" fillId="0" borderId="5" xfId="0" applyNumberFormat="1" applyFont="1" applyBorder="1"/>
    <xf numFmtId="0" fontId="43" fillId="0" borderId="1" xfId="0" applyNumberFormat="1" applyFont="1" applyBorder="1" applyAlignment="1">
      <alignment horizontal="center"/>
    </xf>
    <xf numFmtId="172" fontId="42" fillId="0" borderId="5" xfId="0" applyNumberFormat="1" applyFont="1" applyBorder="1"/>
    <xf numFmtId="172" fontId="14" fillId="0" borderId="0" xfId="0" applyNumberFormat="1" applyFont="1" applyBorder="1"/>
    <xf numFmtId="172" fontId="14" fillId="0" borderId="0" xfId="0" applyNumberFormat="1" applyFont="1" applyBorder="1" applyAlignment="1">
      <alignment horizontal="left"/>
    </xf>
    <xf numFmtId="0" fontId="26" fillId="0" borderId="8" xfId="0" applyFont="1" applyBorder="1"/>
    <xf numFmtId="171" fontId="26" fillId="0" borderId="10" xfId="0" applyNumberFormat="1" applyFont="1" applyBorder="1"/>
    <xf numFmtId="171" fontId="30" fillId="0" borderId="11" xfId="0" applyNumberFormat="1" applyFont="1" applyBorder="1" applyAlignment="1">
      <alignment horizontal="left"/>
    </xf>
    <xf numFmtId="0" fontId="30" fillId="0" borderId="11" xfId="0" applyFont="1" applyBorder="1" applyAlignment="1">
      <alignment horizontal="left"/>
    </xf>
    <xf numFmtId="172" fontId="30" fillId="0" borderId="9" xfId="0" applyNumberFormat="1" applyFont="1" applyBorder="1" applyAlignment="1">
      <alignment horizontal="left"/>
    </xf>
    <xf numFmtId="172" fontId="14" fillId="0" borderId="11" xfId="0" applyNumberFormat="1" applyFont="1" applyBorder="1" applyAlignment="1">
      <alignment horizontal="left"/>
    </xf>
    <xf numFmtId="172" fontId="14" fillId="0" borderId="10" xfId="0" applyNumberFormat="1" applyFont="1" applyBorder="1" applyAlignment="1">
      <alignment horizontal="left"/>
    </xf>
    <xf numFmtId="172" fontId="26" fillId="0" borderId="10" xfId="0" applyNumberFormat="1" applyFont="1" applyBorder="1"/>
    <xf numFmtId="0" fontId="26" fillId="0" borderId="1" xfId="0" applyFont="1" applyBorder="1"/>
    <xf numFmtId="172" fontId="35" fillId="0" borderId="0" xfId="0" applyNumberFormat="1" applyFont="1" applyFill="1" applyBorder="1" applyAlignment="1">
      <alignment horizontal="center"/>
    </xf>
    <xf numFmtId="0" fontId="26" fillId="0" borderId="2" xfId="0" applyFont="1" applyBorder="1"/>
    <xf numFmtId="0" fontId="26" fillId="0" borderId="3" xfId="0" applyFont="1" applyBorder="1"/>
    <xf numFmtId="0" fontId="35" fillId="0" borderId="0" xfId="1" applyFont="1" applyAlignment="1">
      <alignment wrapText="1"/>
    </xf>
    <xf numFmtId="44" fontId="29" fillId="12" borderId="7" xfId="1" applyNumberFormat="1" applyFont="1" applyFill="1" applyBorder="1"/>
    <xf numFmtId="180" fontId="29" fillId="12" borderId="7" xfId="1" applyNumberFormat="1" applyFont="1" applyFill="1" applyBorder="1"/>
    <xf numFmtId="171" fontId="29" fillId="12" borderId="7" xfId="1" applyNumberFormat="1" applyFont="1" applyFill="1" applyBorder="1"/>
    <xf numFmtId="178" fontId="29" fillId="12" borderId="7" xfId="1" applyNumberFormat="1" applyFont="1" applyFill="1" applyBorder="1"/>
    <xf numFmtId="0" fontId="29" fillId="12" borderId="7" xfId="1" applyFont="1" applyFill="1" applyBorder="1" applyAlignment="1">
      <alignment horizontal="center"/>
    </xf>
    <xf numFmtId="178" fontId="29" fillId="0" borderId="0" xfId="1" applyNumberFormat="1" applyFont="1" applyFill="1" applyBorder="1"/>
    <xf numFmtId="178" fontId="29" fillId="12" borderId="13" xfId="1" applyNumberFormat="1" applyFont="1" applyFill="1" applyBorder="1"/>
    <xf numFmtId="176" fontId="29" fillId="12" borderId="7" xfId="1" applyNumberFormat="1" applyFont="1" applyFill="1" applyBorder="1"/>
    <xf numFmtId="176" fontId="29" fillId="0" borderId="0" xfId="1" applyNumberFormat="1" applyFont="1" applyFill="1" applyBorder="1"/>
    <xf numFmtId="172" fontId="59" fillId="0" borderId="0" xfId="5" applyNumberFormat="1" applyFont="1"/>
    <xf numFmtId="171" fontId="59" fillId="0" borderId="0" xfId="5" applyNumberFormat="1" applyFont="1"/>
    <xf numFmtId="171" fontId="33" fillId="0" borderId="5" xfId="1" applyNumberFormat="1" applyFont="1" applyBorder="1"/>
    <xf numFmtId="172" fontId="36" fillId="0" borderId="0" xfId="1" applyNumberFormat="1" applyFont="1"/>
    <xf numFmtId="171" fontId="34" fillId="8" borderId="7" xfId="1" applyNumberFormat="1" applyFont="1" applyFill="1" applyBorder="1"/>
    <xf numFmtId="176" fontId="29" fillId="12" borderId="26" xfId="1" applyNumberFormat="1" applyFont="1" applyFill="1" applyBorder="1"/>
    <xf numFmtId="0" fontId="35" fillId="0" borderId="0" xfId="1" applyFont="1" applyAlignment="1">
      <alignment horizontal="left"/>
    </xf>
    <xf numFmtId="0" fontId="35" fillId="0" borderId="0" xfId="1" applyFont="1" applyAlignment="1">
      <alignment horizontal="left" indent="1"/>
    </xf>
    <xf numFmtId="0" fontId="34" fillId="0" borderId="5" xfId="1" applyFont="1" applyBorder="1" applyAlignment="1">
      <alignment horizontal="left"/>
    </xf>
    <xf numFmtId="182" fontId="35" fillId="0" borderId="1" xfId="5" applyNumberFormat="1" applyFont="1" applyBorder="1"/>
    <xf numFmtId="182" fontId="34" fillId="0" borderId="0" xfId="5" applyNumberFormat="1" applyFont="1"/>
    <xf numFmtId="182" fontId="44" fillId="0" borderId="0" xfId="5" applyNumberFormat="1" applyFont="1"/>
    <xf numFmtId="0" fontId="13" fillId="0" borderId="0" xfId="5" applyFont="1"/>
    <xf numFmtId="0" fontId="36" fillId="0" borderId="0" xfId="1" applyFont="1" applyFill="1"/>
    <xf numFmtId="197" fontId="31" fillId="0" borderId="0" xfId="5" applyNumberFormat="1" applyFont="1" applyFill="1"/>
    <xf numFmtId="172" fontId="59" fillId="0" borderId="0" xfId="5" applyNumberFormat="1" applyFont="1" applyFill="1"/>
    <xf numFmtId="168" fontId="70" fillId="0" borderId="0" xfId="5" applyNumberFormat="1" applyFont="1" applyFill="1"/>
    <xf numFmtId="168" fontId="32" fillId="0" borderId="0" xfId="5" applyNumberFormat="1" applyFont="1" applyFill="1"/>
    <xf numFmtId="198" fontId="70" fillId="0" borderId="0" xfId="5" applyNumberFormat="1" applyFont="1" applyFill="1"/>
    <xf numFmtId="0" fontId="13" fillId="0" borderId="0" xfId="0" applyFont="1"/>
    <xf numFmtId="0" fontId="34" fillId="0" borderId="0" xfId="1" applyNumberFormat="1" applyFont="1" applyBorder="1" applyAlignment="1"/>
    <xf numFmtId="0" fontId="35" fillId="0" borderId="0" xfId="1" applyNumberFormat="1" applyFont="1" applyBorder="1" applyAlignment="1"/>
    <xf numFmtId="0" fontId="35" fillId="0" borderId="0" xfId="1" applyFont="1" applyBorder="1"/>
    <xf numFmtId="0" fontId="13" fillId="0" borderId="0" xfId="0" applyFont="1" applyAlignment="1">
      <alignment horizontal="left"/>
    </xf>
    <xf numFmtId="186" fontId="33" fillId="3" borderId="17" xfId="5" applyNumberFormat="1" applyFont="1" applyFill="1" applyBorder="1" applyAlignment="1">
      <alignment horizontal="center"/>
    </xf>
    <xf numFmtId="0" fontId="12" fillId="0" borderId="0" xfId="0" applyFont="1"/>
    <xf numFmtId="9" fontId="12" fillId="0" borderId="0" xfId="0" applyNumberFormat="1" applyFont="1"/>
    <xf numFmtId="164" fontId="12" fillId="0" borderId="0" xfId="0" applyNumberFormat="1" applyFont="1"/>
    <xf numFmtId="167" fontId="12" fillId="0" borderId="0" xfId="0" applyNumberFormat="1" applyFont="1"/>
    <xf numFmtId="0" fontId="12" fillId="0" borderId="0" xfId="0" applyFont="1" applyFill="1" applyBorder="1"/>
    <xf numFmtId="0" fontId="12" fillId="0" borderId="0" xfId="0" applyFont="1" applyBorder="1"/>
    <xf numFmtId="43" fontId="30" fillId="0" borderId="0" xfId="0" applyNumberFormat="1" applyFont="1" applyBorder="1" applyAlignment="1">
      <alignment horizontal="left"/>
    </xf>
    <xf numFmtId="172" fontId="33" fillId="0" borderId="1" xfId="5" applyNumberFormat="1" applyFont="1" applyBorder="1"/>
    <xf numFmtId="197" fontId="29" fillId="12" borderId="7" xfId="1" applyNumberFormat="1" applyFont="1" applyFill="1" applyBorder="1"/>
    <xf numFmtId="9" fontId="29" fillId="12" borderId="7" xfId="1" applyNumberFormat="1" applyFont="1" applyFill="1" applyBorder="1"/>
    <xf numFmtId="43" fontId="29" fillId="12" borderId="13" xfId="1" applyNumberFormat="1" applyFont="1" applyFill="1" applyBorder="1"/>
    <xf numFmtId="188" fontId="35" fillId="0" borderId="0" xfId="1" applyNumberFormat="1" applyFont="1" applyBorder="1"/>
    <xf numFmtId="188" fontId="29" fillId="12" borderId="3" xfId="1" applyNumberFormat="1" applyFont="1" applyFill="1" applyBorder="1"/>
    <xf numFmtId="0" fontId="29" fillId="12" borderId="0" xfId="1" applyFont="1" applyFill="1" applyBorder="1"/>
    <xf numFmtId="186" fontId="29" fillId="12" borderId="11" xfId="1" applyNumberFormat="1" applyFont="1" applyFill="1" applyBorder="1"/>
    <xf numFmtId="179" fontId="35" fillId="0" borderId="0" xfId="1" applyNumberFormat="1" applyFont="1" applyFill="1" applyBorder="1"/>
    <xf numFmtId="0" fontId="51" fillId="5" borderId="0" xfId="1" applyFont="1" applyFill="1" applyBorder="1" applyAlignment="1">
      <alignment horizontal="centerContinuous"/>
    </xf>
    <xf numFmtId="0" fontId="51" fillId="5" borderId="1" xfId="1" applyFont="1" applyFill="1" applyBorder="1" applyAlignment="1">
      <alignment horizontal="centerContinuous"/>
    </xf>
    <xf numFmtId="172" fontId="61" fillId="0" borderId="10" xfId="5" applyNumberFormat="1" applyFont="1" applyBorder="1"/>
    <xf numFmtId="172" fontId="61" fillId="0" borderId="0" xfId="5" applyNumberFormat="1" applyFont="1"/>
    <xf numFmtId="172" fontId="26" fillId="0" borderId="0" xfId="5" applyNumberFormat="1" applyFont="1"/>
    <xf numFmtId="171" fontId="61" fillId="0" borderId="10" xfId="5" applyNumberFormat="1" applyFont="1" applyBorder="1"/>
    <xf numFmtId="171" fontId="61" fillId="0" borderId="0" xfId="5" applyNumberFormat="1" applyFont="1" applyBorder="1"/>
    <xf numFmtId="171" fontId="26" fillId="0" borderId="0" xfId="5" applyNumberFormat="1" applyFont="1" applyBorder="1"/>
    <xf numFmtId="171" fontId="26" fillId="0" borderId="0" xfId="5" applyNumberFormat="1" applyFont="1"/>
    <xf numFmtId="171" fontId="61" fillId="0" borderId="8" xfId="5" applyNumberFormat="1" applyFont="1" applyBorder="1"/>
    <xf numFmtId="171" fontId="61" fillId="0" borderId="5" xfId="5" applyNumberFormat="1" applyFont="1" applyBorder="1"/>
    <xf numFmtId="171" fontId="26" fillId="0" borderId="5" xfId="5" applyNumberFormat="1" applyFont="1" applyBorder="1"/>
    <xf numFmtId="195" fontId="29" fillId="0" borderId="0" xfId="5" applyNumberFormat="1" applyFont="1" applyFill="1" applyBorder="1" applyAlignment="1">
      <alignment horizontal="center"/>
    </xf>
    <xf numFmtId="195" fontId="29" fillId="11" borderId="13" xfId="5" applyNumberFormat="1" applyFont="1" applyFill="1" applyBorder="1" applyAlignment="1">
      <alignment horizontal="center"/>
    </xf>
    <xf numFmtId="190" fontId="29" fillId="0" borderId="0" xfId="5" applyNumberFormat="1" applyFont="1" applyFill="1" applyBorder="1" applyAlignment="1">
      <alignment horizontal="center"/>
    </xf>
    <xf numFmtId="171" fontId="26" fillId="0" borderId="0" xfId="5" applyNumberFormat="1" applyFont="1" applyFill="1" applyBorder="1"/>
    <xf numFmtId="172" fontId="26" fillId="0" borderId="0" xfId="5" applyNumberFormat="1" applyFont="1" applyFill="1" applyBorder="1"/>
    <xf numFmtId="0" fontId="29" fillId="0" borderId="0" xfId="5" applyFont="1" applyFill="1" applyBorder="1" applyAlignment="1"/>
    <xf numFmtId="172" fontId="65" fillId="0" borderId="0" xfId="5" applyNumberFormat="1" applyFont="1"/>
    <xf numFmtId="172" fontId="30" fillId="0" borderId="0" xfId="5" applyNumberFormat="1" applyFont="1"/>
    <xf numFmtId="0" fontId="34" fillId="0" borderId="0" xfId="1" applyFont="1" applyAlignment="1">
      <alignment horizontal="left" indent="1"/>
    </xf>
    <xf numFmtId="180" fontId="34" fillId="0" borderId="0" xfId="1" applyNumberFormat="1" applyFont="1"/>
    <xf numFmtId="180" fontId="33" fillId="0" borderId="0" xfId="1" applyNumberFormat="1" applyFont="1"/>
    <xf numFmtId="176" fontId="33" fillId="0" borderId="0" xfId="1" applyNumberFormat="1" applyFont="1"/>
    <xf numFmtId="179" fontId="33" fillId="0" borderId="0" xfId="1" applyNumberFormat="1" applyFont="1" applyFill="1" applyBorder="1"/>
    <xf numFmtId="195" fontId="29" fillId="0" borderId="0" xfId="5" applyNumberFormat="1" applyFont="1" applyFill="1" applyBorder="1" applyAlignment="1"/>
    <xf numFmtId="190" fontId="29" fillId="0" borderId="0" xfId="5" applyNumberFormat="1" applyFont="1" applyFill="1" applyBorder="1" applyAlignment="1"/>
    <xf numFmtId="0" fontId="12" fillId="0" borderId="0" xfId="0" applyFont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/>
    </xf>
    <xf numFmtId="0" fontId="12" fillId="0" borderId="5" xfId="0" applyFont="1" applyBorder="1"/>
    <xf numFmtId="180" fontId="30" fillId="0" borderId="5" xfId="0" applyNumberFormat="1" applyFont="1" applyBorder="1"/>
    <xf numFmtId="44" fontId="34" fillId="0" borderId="0" xfId="1" applyNumberFormat="1" applyFont="1"/>
    <xf numFmtId="1" fontId="35" fillId="0" borderId="0" xfId="1" applyNumberFormat="1" applyFont="1" applyAlignment="1">
      <alignment horizontal="left" indent="1"/>
    </xf>
    <xf numFmtId="184" fontId="35" fillId="0" borderId="0" xfId="0" applyNumberFormat="1" applyFont="1" applyFill="1" applyBorder="1"/>
    <xf numFmtId="0" fontId="12" fillId="13" borderId="7" xfId="0" applyFont="1" applyFill="1" applyBorder="1" applyAlignment="1">
      <alignment horizontal="left" indent="1"/>
    </xf>
    <xf numFmtId="0" fontId="11" fillId="0" borderId="0" xfId="0" applyFont="1" applyBorder="1" applyAlignment="1">
      <alignment horizontal="left" indent="1"/>
    </xf>
    <xf numFmtId="0" fontId="11" fillId="0" borderId="0" xfId="0" applyFont="1" applyBorder="1"/>
    <xf numFmtId="171" fontId="20" fillId="0" borderId="0" xfId="0" applyNumberFormat="1" applyFont="1"/>
    <xf numFmtId="0" fontId="11" fillId="0" borderId="0" xfId="0" applyFont="1"/>
    <xf numFmtId="172" fontId="33" fillId="4" borderId="5" xfId="0" applyNumberFormat="1" applyFont="1" applyFill="1" applyBorder="1"/>
    <xf numFmtId="0" fontId="11" fillId="13" borderId="0" xfId="0" applyFont="1" applyFill="1" applyBorder="1" applyAlignment="1">
      <alignment horizontal="left" indent="1"/>
    </xf>
    <xf numFmtId="182" fontId="38" fillId="3" borderId="27" xfId="0" applyNumberFormat="1" applyFont="1" applyFill="1" applyBorder="1"/>
    <xf numFmtId="172" fontId="33" fillId="3" borderId="4" xfId="0" applyNumberFormat="1" applyFont="1" applyFill="1" applyBorder="1"/>
    <xf numFmtId="172" fontId="33" fillId="3" borderId="27" xfId="0" applyNumberFormat="1" applyFont="1" applyFill="1" applyBorder="1"/>
    <xf numFmtId="0" fontId="41" fillId="0" borderId="0" xfId="5" applyFont="1" applyAlignment="1">
      <alignment horizontal="left" indent="1"/>
    </xf>
    <xf numFmtId="168" fontId="32" fillId="3" borderId="4" xfId="7" applyNumberFormat="1" applyFont="1" applyAlignment="1">
      <alignment horizontal="center"/>
    </xf>
    <xf numFmtId="168" fontId="33" fillId="0" borderId="0" xfId="5" applyNumberFormat="1" applyFont="1"/>
    <xf numFmtId="0" fontId="35" fillId="0" borderId="0" xfId="1" applyFont="1" applyAlignment="1">
      <alignment horizontal="left" indent="2"/>
    </xf>
    <xf numFmtId="173" fontId="35" fillId="0" borderId="0" xfId="5" applyNumberFormat="1" applyFont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4" fontId="10" fillId="0" borderId="0" xfId="0" applyNumberFormat="1" applyFont="1" applyFill="1" applyBorder="1"/>
    <xf numFmtId="9" fontId="35" fillId="0" borderId="0" xfId="0" applyNumberFormat="1" applyFont="1" applyFill="1" applyBorder="1" applyAlignment="1"/>
    <xf numFmtId="43" fontId="10" fillId="0" borderId="0" xfId="0" applyNumberFormat="1" applyFont="1" applyFill="1" applyBorder="1"/>
    <xf numFmtId="0" fontId="10" fillId="0" borderId="0" xfId="0" applyFont="1" applyAlignment="1">
      <alignment horizontal="left" indent="1"/>
    </xf>
    <xf numFmtId="0" fontId="9" fillId="0" borderId="0" xfId="0" applyFont="1"/>
    <xf numFmtId="0" fontId="9" fillId="0" borderId="0" xfId="0" applyFont="1" applyFill="1" applyBorder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Continuous"/>
    </xf>
    <xf numFmtId="171" fontId="44" fillId="0" borderId="10" xfId="0" applyNumberFormat="1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Continuous"/>
    </xf>
    <xf numFmtId="0" fontId="35" fillId="0" borderId="0" xfId="1" applyFont="1" applyFill="1" applyBorder="1" applyAlignment="1">
      <alignment horizontal="left"/>
    </xf>
    <xf numFmtId="172" fontId="33" fillId="4" borderId="8" xfId="0" applyNumberFormat="1" applyFont="1" applyFill="1" applyBorder="1"/>
    <xf numFmtId="0" fontId="6" fillId="0" borderId="0" xfId="0" applyFont="1"/>
    <xf numFmtId="0" fontId="6" fillId="0" borderId="0" xfId="0" applyFont="1" applyFill="1" applyBorder="1"/>
    <xf numFmtId="0" fontId="6" fillId="0" borderId="0" xfId="0" quotePrefix="1" applyFont="1" applyFill="1" applyBorder="1"/>
    <xf numFmtId="172" fontId="33" fillId="4" borderId="0" xfId="0" applyNumberFormat="1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 applyAlignment="1">
      <alignment horizontal="left" indent="1"/>
    </xf>
    <xf numFmtId="0" fontId="5" fillId="13" borderId="1" xfId="0" applyFont="1" applyFill="1" applyBorder="1" applyAlignment="1">
      <alignment horizontal="left" indent="1"/>
    </xf>
    <xf numFmtId="0" fontId="5" fillId="0" borderId="0" xfId="0" quotePrefix="1" applyFont="1" applyFill="1" applyBorder="1"/>
    <xf numFmtId="0" fontId="5" fillId="13" borderId="7" xfId="0" applyFont="1" applyFill="1" applyBorder="1" applyAlignment="1">
      <alignment horizontal="left" indent="1"/>
    </xf>
    <xf numFmtId="0" fontId="4" fillId="0" borderId="0" xfId="0" applyFont="1" applyFill="1" applyBorder="1"/>
    <xf numFmtId="0" fontId="3" fillId="0" borderId="0" xfId="0" applyFont="1" applyFill="1" applyBorder="1"/>
    <xf numFmtId="171" fontId="44" fillId="6" borderId="1" xfId="5" applyNumberFormat="1" applyFont="1" applyFill="1" applyBorder="1"/>
    <xf numFmtId="0" fontId="12" fillId="6" borderId="1" xfId="0" applyFont="1" applyFill="1" applyBorder="1"/>
    <xf numFmtId="0" fontId="30" fillId="6" borderId="1" xfId="0" applyFont="1" applyFill="1" applyBorder="1"/>
    <xf numFmtId="0" fontId="2" fillId="0" borderId="0" xfId="0" applyFont="1"/>
    <xf numFmtId="0" fontId="29" fillId="7" borderId="19" xfId="5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0" fillId="0" borderId="0" xfId="8" applyFont="1"/>
    <xf numFmtId="0" fontId="1" fillId="0" borderId="0" xfId="8" applyFont="1"/>
    <xf numFmtId="0" fontId="30" fillId="0" borderId="0" xfId="8" applyFont="1" applyAlignment="1">
      <alignment horizontal="centerContinuous"/>
    </xf>
    <xf numFmtId="0" fontId="1" fillId="0" borderId="0" xfId="8" applyFont="1" applyAlignment="1">
      <alignment horizontal="centerContinuous"/>
    </xf>
    <xf numFmtId="42" fontId="1" fillId="0" borderId="0" xfId="8" applyNumberFormat="1" applyFont="1"/>
    <xf numFmtId="9" fontId="1" fillId="0" borderId="0" xfId="8" applyNumberFormat="1" applyFont="1"/>
    <xf numFmtId="176" fontId="35" fillId="0" borderId="0" xfId="9" applyNumberFormat="1" applyFont="1"/>
    <xf numFmtId="41" fontId="1" fillId="0" borderId="0" xfId="8" applyNumberFormat="1" applyFont="1"/>
    <xf numFmtId="0" fontId="1" fillId="0" borderId="1" xfId="8" applyFont="1" applyBorder="1" applyAlignment="1">
      <alignment horizontal="center"/>
    </xf>
    <xf numFmtId="168" fontId="35" fillId="0" borderId="0" xfId="3" applyNumberFormat="1" applyFont="1" applyAlignment="1">
      <alignment horizontal="center"/>
    </xf>
    <xf numFmtId="176" fontId="35" fillId="0" borderId="0" xfId="9" applyNumberFormat="1" applyFont="1" applyAlignment="1">
      <alignment horizontal="center"/>
    </xf>
    <xf numFmtId="14" fontId="33" fillId="0" borderId="0" xfId="8" applyNumberFormat="1" applyFont="1" applyBorder="1"/>
    <xf numFmtId="0" fontId="1" fillId="0" borderId="0" xfId="8" applyFont="1" applyBorder="1"/>
    <xf numFmtId="0" fontId="13" fillId="0" borderId="0" xfId="0" applyFont="1" applyBorder="1"/>
    <xf numFmtId="1" fontId="33" fillId="0" borderId="0" xfId="1" applyNumberFormat="1" applyFont="1" applyBorder="1"/>
    <xf numFmtId="0" fontId="1" fillId="0" borderId="0" xfId="8" applyFont="1" applyBorder="1" applyAlignment="1">
      <alignment horizontal="center"/>
    </xf>
    <xf numFmtId="0" fontId="30" fillId="0" borderId="0" xfId="8" applyFont="1" applyBorder="1" applyAlignment="1">
      <alignment horizontal="centerContinuous"/>
    </xf>
    <xf numFmtId="176" fontId="35" fillId="0" borderId="0" xfId="9" applyNumberFormat="1" applyFont="1" applyBorder="1"/>
    <xf numFmtId="176" fontId="35" fillId="0" borderId="0" xfId="9" applyNumberFormat="1" applyFont="1" applyBorder="1" applyAlignment="1">
      <alignment horizontal="center"/>
    </xf>
    <xf numFmtId="169" fontId="33" fillId="0" borderId="1" xfId="1" applyNumberFormat="1" applyFont="1" applyBorder="1"/>
  </cellXfs>
  <cellStyles count="10">
    <cellStyle name="Normal" xfId="0" builtinId="0"/>
    <cellStyle name="Normal 2" xfId="1" xr:uid="{00000000-0005-0000-0000-000001000000}"/>
    <cellStyle name="Normal 2 2 2" xfId="9" xr:uid="{52DE8CA8-A77B-4A48-8385-B15BED9813BB}"/>
    <cellStyle name="Normal 3" xfId="5" xr:uid="{DE190727-0ED5-47BE-A9D9-5A36D1F32173}"/>
    <cellStyle name="Normal 3 2" xfId="3" xr:uid="{00000000-0005-0000-0000-000002000000}"/>
    <cellStyle name="Normal 3 2 2" xfId="8" xr:uid="{F0C191F9-1FB7-4D42-94F4-19463839580E}"/>
    <cellStyle name="Note" xfId="2" builtinId="10"/>
    <cellStyle name="Note 2" xfId="6" xr:uid="{953A50C4-B1A5-46BA-9CED-DCD85FCC020E}"/>
    <cellStyle name="Note 3" xfId="7" xr:uid="{4345BD9C-4CE2-48BF-B266-65D801C62905}"/>
    <cellStyle name="TextNormal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DCE6F1"/>
      <color rgb="FFB2B2B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 Revenue Growth,</a:t>
            </a:r>
            <a:r>
              <a:rPr lang="en-US" baseline="0"/>
              <a:t> </a:t>
            </a:r>
            <a:r>
              <a:rPr lang="en-US"/>
              <a:t>FY 21 - FY 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SPWR_Comps!$T$46</c:f>
              <c:strCache>
                <c:ptCount val="1"/>
                <c:pt idx="0">
                  <c:v>Year 2 Projected Revenue Growth: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SPWR_Comps!$S$47:$S$49</c:f>
              <c:strCache>
                <c:ptCount val="3"/>
                <c:pt idx="0">
                  <c:v>RUN</c:v>
                </c:pt>
                <c:pt idx="1">
                  <c:v>VLSR</c:v>
                </c:pt>
                <c:pt idx="2">
                  <c:v>SPWR</c:v>
                </c:pt>
              </c:strCache>
            </c:strRef>
          </c:cat>
          <c:val>
            <c:numRef>
              <c:f>SPWR_Comps!$T$47:$T$49</c:f>
              <c:numCache>
                <c:formatCode>_(0.0%_);\(0.0%\);_("–"_)_%;_(@_)_%</c:formatCode>
                <c:ptCount val="3"/>
                <c:pt idx="0">
                  <c:v>0.1213474781313979</c:v>
                </c:pt>
                <c:pt idx="1">
                  <c:v>0.18900000000000006</c:v>
                </c:pt>
                <c:pt idx="2">
                  <c:v>0.17258174188063236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4-4CF9-BB36-969BA5D3A057}"/>
            </c:ext>
          </c:extLst>
        </c:ser>
        <c:ser>
          <c:idx val="1"/>
          <c:order val="1"/>
          <c:tx>
            <c:strRef>
              <c:f>SPWR_Comps!$U$46</c:f>
              <c:strCache>
                <c:ptCount val="1"/>
                <c:pt idx="0">
                  <c:v>Helper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SPWR_Comps!$S$47:$S$49</c:f>
              <c:strCache>
                <c:ptCount val="3"/>
                <c:pt idx="0">
                  <c:v>RUN</c:v>
                </c:pt>
                <c:pt idx="1">
                  <c:v>VLSR</c:v>
                </c:pt>
                <c:pt idx="2">
                  <c:v>SPWR</c:v>
                </c:pt>
              </c:strCache>
            </c:strRef>
          </c:cat>
          <c:val>
            <c:numRef>
              <c:f>SPWR_Comps!$U$47:$U$49</c:f>
              <c:numCache>
                <c:formatCode>_(0.0%_);\(0.0%\);_("–"_)_%;_(@_)_%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0.17258174188063236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74-4CF9-BB36-969BA5D3A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FY 22 Revenue Multiple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SPWR_Comps!$S$47:$S$49</c:f>
              <c:strCache>
                <c:ptCount val="3"/>
                <c:pt idx="0">
                  <c:v>RUN</c:v>
                </c:pt>
                <c:pt idx="1">
                  <c:v>VLSR</c:v>
                </c:pt>
                <c:pt idx="2">
                  <c:v>SPWR</c:v>
                </c:pt>
              </c:strCache>
            </c:strRef>
          </c:cat>
          <c:val>
            <c:numRef>
              <c:f>SPWR_Comps!$X$47:$X$49</c:f>
              <c:numCache>
                <c:formatCode>0.0\ \x</c:formatCode>
                <c:ptCount val="3"/>
                <c:pt idx="0">
                  <c:v>4.2844663900414943</c:v>
                </c:pt>
                <c:pt idx="1">
                  <c:v>4.2499827986261263</c:v>
                </c:pt>
                <c:pt idx="2">
                  <c:v>0.52824129825063026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2-42DA-8233-EE98C1067A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SPWR_Comps!$S$47:$S$49</c:f>
              <c:strCache>
                <c:ptCount val="3"/>
                <c:pt idx="0">
                  <c:v>RUN</c:v>
                </c:pt>
                <c:pt idx="1">
                  <c:v>VLSR</c:v>
                </c:pt>
                <c:pt idx="2">
                  <c:v>SPWR</c:v>
                </c:pt>
              </c:strCache>
            </c:strRef>
          </c:cat>
          <c:val>
            <c:numRef>
              <c:f>SPWR_Comps!$Y$47:$Y$49</c:f>
              <c:numCache>
                <c:formatCode>0.0\ \x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0.52824129825063026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12-42DA-8233-EE98C1067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33</xdr:row>
      <xdr:rowOff>0</xdr:rowOff>
    </xdr:from>
    <xdr:to>
      <xdr:col>11</xdr:col>
      <xdr:colOff>823914</xdr:colOff>
      <xdr:row>47</xdr:row>
      <xdr:rowOff>31433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BF866-D2E0-400A-BA62-EA3ACE402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48</xdr:row>
      <xdr:rowOff>133351</xdr:rowOff>
    </xdr:from>
    <xdr:to>
      <xdr:col>11</xdr:col>
      <xdr:colOff>808038</xdr:colOff>
      <xdr:row>62</xdr:row>
      <xdr:rowOff>166689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B9742-FC9D-406F-A2D4-E2DC2C370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BIWS)/BIWS-All-Courses/00-Excellence-with-Excel-2020-Edition/XL-Walmart-Model-Complete-No-Mac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Graphs"/>
      <sheetName val="WMT_Model"/>
      <sheetName val="Q1_Results"/>
      <sheetName val="DCF"/>
      <sheetName val="WACC"/>
      <sheetName val="ValSum"/>
      <sheetName val="ValGraph"/>
      <sheetName val="Public_Comps"/>
      <sheetName val="Public_Comps_Data"/>
      <sheetName val="MA_Comps"/>
    </sheetNames>
    <sheetDataSet>
      <sheetData sheetId="0" refreshError="1"/>
      <sheetData sheetId="1" refreshError="1"/>
      <sheetData sheetId="2">
        <row r="77">
          <cell r="P77" t="str">
            <v>Projected Revenue Growth, FY20 - FY21</v>
          </cell>
        </row>
        <row r="78">
          <cell r="P78" t="str">
            <v>Projected EBITDA Growth, FY20 - FY21</v>
          </cell>
        </row>
        <row r="80">
          <cell r="P80" t="str">
            <v>FY21 Revenue Multiples</v>
          </cell>
        </row>
        <row r="81">
          <cell r="P81" t="str">
            <v>FY21 EBITDA Multiples</v>
          </cell>
        </row>
        <row r="100">
          <cell r="P100" t="str">
            <v>BBY</v>
          </cell>
          <cell r="Q100">
            <v>1.4335990941681587E-2</v>
          </cell>
          <cell r="R100" t="e">
            <v>#N/A</v>
          </cell>
          <cell r="T100">
            <v>2.3051603350507266E-2</v>
          </cell>
          <cell r="U100" t="e">
            <v>#N/A</v>
          </cell>
          <cell r="W100">
            <v>0.38012869664022414</v>
          </cell>
          <cell r="X100" t="e">
            <v>#N/A</v>
          </cell>
          <cell r="Z100">
            <v>5.83384831785893</v>
          </cell>
          <cell r="AA100" t="e">
            <v>#N/A</v>
          </cell>
        </row>
        <row r="101">
          <cell r="P101" t="str">
            <v>WBA</v>
          </cell>
          <cell r="Q101">
            <v>2.5569792996638308E-2</v>
          </cell>
          <cell r="R101" t="e">
            <v>#N/A</v>
          </cell>
          <cell r="T101">
            <v>1.9732327362442792E-3</v>
          </cell>
          <cell r="U101" t="e">
            <v>#N/A</v>
          </cell>
          <cell r="W101">
            <v>0.4088146094372051</v>
          </cell>
          <cell r="X101" t="e">
            <v>#N/A</v>
          </cell>
          <cell r="Z101">
            <v>6.6937669922395928</v>
          </cell>
          <cell r="AA101" t="e">
            <v>#N/A</v>
          </cell>
        </row>
        <row r="102">
          <cell r="P102" t="str">
            <v>KR</v>
          </cell>
          <cell r="Q102">
            <v>2.5753587799988154E-2</v>
          </cell>
          <cell r="R102" t="e">
            <v>#N/A</v>
          </cell>
          <cell r="T102">
            <v>2.4166762324067559E-2</v>
          </cell>
          <cell r="U102" t="e">
            <v>#N/A</v>
          </cell>
          <cell r="W102">
            <v>0.25098923600854905</v>
          </cell>
          <cell r="X102" t="e">
            <v>#N/A</v>
          </cell>
          <cell r="Z102">
            <v>5.7243222929549473</v>
          </cell>
          <cell r="AA102" t="e">
            <v>#N/A</v>
          </cell>
        </row>
        <row r="103">
          <cell r="P103" t="str">
            <v>TGT</v>
          </cell>
          <cell r="Q103">
            <v>3.0321024983518852E-2</v>
          </cell>
          <cell r="R103" t="e">
            <v>#N/A</v>
          </cell>
          <cell r="T103">
            <v>3.0310394542041541E-2</v>
          </cell>
          <cell r="U103" t="e">
            <v>#N/A</v>
          </cell>
          <cell r="W103">
            <v>0.69439392734970939</v>
          </cell>
          <cell r="X103" t="e">
            <v>#N/A</v>
          </cell>
          <cell r="Z103">
            <v>8.0860657909839571</v>
          </cell>
          <cell r="AA103" t="e">
            <v>#N/A</v>
          </cell>
        </row>
        <row r="104">
          <cell r="P104" t="str">
            <v>WMT</v>
          </cell>
          <cell r="Q104">
            <v>3.842478826947926E-2</v>
          </cell>
          <cell r="R104">
            <v>3.842478826947926E-2</v>
          </cell>
          <cell r="T104">
            <v>2.2267168516260316E-2</v>
          </cell>
          <cell r="U104">
            <v>2.2267168516260316E-2</v>
          </cell>
          <cell r="W104">
            <v>0.64360060419186793</v>
          </cell>
          <cell r="X104">
            <v>0.64360060419186793</v>
          </cell>
          <cell r="Z104">
            <v>10.754910576225143</v>
          </cell>
          <cell r="AA104">
            <v>10.754910576225143</v>
          </cell>
        </row>
        <row r="105">
          <cell r="P105" t="str">
            <v>COST</v>
          </cell>
          <cell r="Q105">
            <v>7.0334683761819505E-2</v>
          </cell>
          <cell r="R105" t="e">
            <v>#N/A</v>
          </cell>
          <cell r="T105">
            <v>7.7636643767701852E-2</v>
          </cell>
          <cell r="U105" t="e">
            <v>#N/A</v>
          </cell>
          <cell r="W105">
            <v>0.66210451243662238</v>
          </cell>
          <cell r="X105" t="e">
            <v>#N/A</v>
          </cell>
          <cell r="Z105">
            <v>15.686911155437361</v>
          </cell>
          <cell r="AA105" t="e">
            <v>#N/A</v>
          </cell>
        </row>
      </sheetData>
      <sheetData sheetId="3">
        <row r="8">
          <cell r="D8" t="str">
            <v>WMT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B1" t="str">
            <v>Ticker:</v>
          </cell>
          <cell r="G1" t="str">
            <v>COST</v>
          </cell>
          <cell r="L1" t="str">
            <v>WBA</v>
          </cell>
          <cell r="Q1" t="str">
            <v>KR</v>
          </cell>
          <cell r="V1" t="str">
            <v>TGT</v>
          </cell>
          <cell r="AA1" t="str">
            <v>BBY</v>
          </cell>
          <cell r="AF1" t="str">
            <v>WMT</v>
          </cell>
        </row>
        <row r="2">
          <cell r="B2" t="str">
            <v>Company Name:</v>
          </cell>
          <cell r="G2" t="str">
            <v xml:space="preserve">Costco Wholesale Corporation </v>
          </cell>
          <cell r="L2" t="str">
            <v xml:space="preserve">Walgreens Boots Alliance, Inc. </v>
          </cell>
          <cell r="Q2" t="str">
            <v>The Kroger Co.</v>
          </cell>
          <cell r="V2" t="str">
            <v>Target Corporation</v>
          </cell>
          <cell r="AA2" t="str">
            <v>Best Buy Co., Inc.</v>
          </cell>
          <cell r="AF2" t="str">
            <v>Walmart Inc.</v>
          </cell>
        </row>
        <row r="3">
          <cell r="D3" t="str">
            <v>Calendarization:</v>
          </cell>
          <cell r="I3" t="str">
            <v>Calendarization:</v>
          </cell>
          <cell r="N3" t="str">
            <v>Calendarization:</v>
          </cell>
          <cell r="S3" t="str">
            <v>Calendarization:</v>
          </cell>
          <cell r="X3" t="str">
            <v>Calendarization:</v>
          </cell>
          <cell r="AC3" t="str">
            <v>Calendarization:</v>
          </cell>
        </row>
        <row r="4">
          <cell r="D4">
            <v>43233</v>
          </cell>
          <cell r="E4">
            <v>43598</v>
          </cell>
          <cell r="F4">
            <v>43345</v>
          </cell>
          <cell r="G4">
            <v>43598</v>
          </cell>
          <cell r="I4">
            <v>43159</v>
          </cell>
          <cell r="J4">
            <v>43524</v>
          </cell>
          <cell r="K4">
            <v>43343</v>
          </cell>
          <cell r="L4">
            <v>43524</v>
          </cell>
          <cell r="N4">
            <v>43246</v>
          </cell>
          <cell r="O4">
            <v>43610</v>
          </cell>
          <cell r="P4">
            <v>43498</v>
          </cell>
          <cell r="Q4">
            <v>43610</v>
          </cell>
          <cell r="S4">
            <v>43225</v>
          </cell>
          <cell r="T4">
            <v>43589</v>
          </cell>
          <cell r="U4">
            <v>43498</v>
          </cell>
          <cell r="V4">
            <v>43589</v>
          </cell>
          <cell r="X4">
            <v>43225</v>
          </cell>
          <cell r="Y4">
            <v>43589</v>
          </cell>
          <cell r="Z4">
            <v>43498</v>
          </cell>
          <cell r="AA4">
            <v>43589</v>
          </cell>
          <cell r="AC4">
            <v>43220</v>
          </cell>
          <cell r="AD4">
            <v>43585</v>
          </cell>
          <cell r="AE4">
            <v>43496</v>
          </cell>
          <cell r="AF4">
            <v>43585</v>
          </cell>
        </row>
        <row r="5">
          <cell r="D5" t="str">
            <v>Old Partial</v>
          </cell>
          <cell r="E5" t="str">
            <v>New Partial</v>
          </cell>
          <cell r="F5" t="str">
            <v>FY</v>
          </cell>
          <cell r="G5" t="str">
            <v>LTM</v>
          </cell>
          <cell r="I5" t="str">
            <v>Old Partial</v>
          </cell>
          <cell r="J5" t="str">
            <v>New Partial</v>
          </cell>
          <cell r="K5" t="str">
            <v>FY</v>
          </cell>
          <cell r="L5" t="str">
            <v>LTM</v>
          </cell>
          <cell r="N5" t="str">
            <v>Old Partial</v>
          </cell>
          <cell r="O5" t="str">
            <v>New Partial</v>
          </cell>
          <cell r="P5" t="str">
            <v>FY</v>
          </cell>
          <cell r="Q5" t="str">
            <v>LTM</v>
          </cell>
          <cell r="S5" t="str">
            <v>Old Partial</v>
          </cell>
          <cell r="T5" t="str">
            <v>New Partial</v>
          </cell>
          <cell r="U5" t="str">
            <v>FY</v>
          </cell>
          <cell r="V5" t="str">
            <v>LTM</v>
          </cell>
          <cell r="X5" t="str">
            <v>Old Partial</v>
          </cell>
          <cell r="Y5" t="str">
            <v>New Partial</v>
          </cell>
          <cell r="Z5" t="str">
            <v>FY</v>
          </cell>
          <cell r="AA5" t="str">
            <v>LTM</v>
          </cell>
          <cell r="AC5" t="str">
            <v>Old Partial</v>
          </cell>
          <cell r="AD5" t="str">
            <v>New Partial</v>
          </cell>
          <cell r="AE5" t="str">
            <v>FY</v>
          </cell>
          <cell r="AF5" t="str">
            <v>LTM</v>
          </cell>
        </row>
        <row r="6">
          <cell r="B6" t="str">
            <v>LTM Revenue:</v>
          </cell>
          <cell r="D6">
            <v>97165</v>
          </cell>
          <cell r="E6">
            <v>105205</v>
          </cell>
          <cell r="F6">
            <v>141576</v>
          </cell>
          <cell r="G6">
            <v>149616</v>
          </cell>
          <cell r="I6">
            <v>63761</v>
          </cell>
          <cell r="J6">
            <v>68321</v>
          </cell>
          <cell r="K6">
            <v>131537</v>
          </cell>
          <cell r="L6">
            <v>136097</v>
          </cell>
          <cell r="N6">
            <v>37722</v>
          </cell>
          <cell r="O6">
            <v>37251</v>
          </cell>
          <cell r="P6">
            <v>121162</v>
          </cell>
          <cell r="Q6">
            <v>120691</v>
          </cell>
          <cell r="S6">
            <v>16781</v>
          </cell>
          <cell r="T6">
            <v>17627</v>
          </cell>
          <cell r="U6">
            <v>75356</v>
          </cell>
          <cell r="V6">
            <v>76202</v>
          </cell>
          <cell r="X6">
            <v>9109</v>
          </cell>
          <cell r="Y6">
            <v>9142</v>
          </cell>
          <cell r="Z6">
            <v>42879</v>
          </cell>
          <cell r="AA6">
            <v>42912</v>
          </cell>
          <cell r="AC6">
            <v>122690</v>
          </cell>
          <cell r="AD6">
            <v>123925</v>
          </cell>
          <cell r="AE6">
            <v>514405</v>
          </cell>
          <cell r="AF6">
            <v>515640</v>
          </cell>
        </row>
        <row r="7">
          <cell r="B7" t="str">
            <v>LTM Reported Net Income:</v>
          </cell>
          <cell r="D7">
            <v>2091</v>
          </cell>
          <cell r="E7">
            <v>2562</v>
          </cell>
          <cell r="F7">
            <v>3134</v>
          </cell>
          <cell r="G7">
            <v>3605</v>
          </cell>
          <cell r="I7">
            <v>2170</v>
          </cell>
          <cell r="J7">
            <v>2279</v>
          </cell>
          <cell r="K7">
            <v>5024</v>
          </cell>
          <cell r="L7">
            <v>5133</v>
          </cell>
          <cell r="N7">
            <v>2026</v>
          </cell>
          <cell r="O7">
            <v>772</v>
          </cell>
          <cell r="P7">
            <v>3110</v>
          </cell>
          <cell r="Q7">
            <v>1856</v>
          </cell>
          <cell r="S7">
            <v>718</v>
          </cell>
          <cell r="T7">
            <v>795</v>
          </cell>
          <cell r="U7">
            <v>2937</v>
          </cell>
          <cell r="V7">
            <v>3014</v>
          </cell>
          <cell r="X7">
            <v>208</v>
          </cell>
          <cell r="Y7">
            <v>265</v>
          </cell>
          <cell r="Z7">
            <v>1464</v>
          </cell>
          <cell r="AA7">
            <v>1521</v>
          </cell>
          <cell r="AC7">
            <v>2134</v>
          </cell>
          <cell r="AD7">
            <v>3842</v>
          </cell>
          <cell r="AE7">
            <v>6670</v>
          </cell>
          <cell r="AF7">
            <v>8378</v>
          </cell>
        </row>
        <row r="9">
          <cell r="B9" t="str">
            <v>LTM Operating Income (EBIT):</v>
          </cell>
          <cell r="D9">
            <v>3034</v>
          </cell>
          <cell r="E9">
            <v>3274</v>
          </cell>
          <cell r="F9">
            <v>4480</v>
          </cell>
          <cell r="G9">
            <v>4720</v>
          </cell>
          <cell r="I9">
            <v>3386</v>
          </cell>
          <cell r="J9">
            <v>3039</v>
          </cell>
          <cell r="K9">
            <v>6605</v>
          </cell>
          <cell r="L9">
            <v>6258</v>
          </cell>
          <cell r="N9">
            <v>1029</v>
          </cell>
          <cell r="O9">
            <v>901</v>
          </cell>
          <cell r="P9">
            <v>2614</v>
          </cell>
          <cell r="Q9">
            <v>2486</v>
          </cell>
          <cell r="S9">
            <v>1041</v>
          </cell>
          <cell r="T9">
            <v>1135</v>
          </cell>
          <cell r="U9">
            <v>4110</v>
          </cell>
          <cell r="V9">
            <v>4204</v>
          </cell>
          <cell r="X9">
            <v>265</v>
          </cell>
          <cell r="Y9">
            <v>334</v>
          </cell>
          <cell r="Z9">
            <v>1900</v>
          </cell>
          <cell r="AA9">
            <v>1969</v>
          </cell>
          <cell r="AC9">
            <v>5154</v>
          </cell>
          <cell r="AD9">
            <v>4945</v>
          </cell>
          <cell r="AE9">
            <v>21957</v>
          </cell>
          <cell r="AF9">
            <v>21748</v>
          </cell>
        </row>
        <row r="10">
          <cell r="B10" t="str">
            <v>(+) Non-Recurring Items in EBIT: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B11" t="str">
            <v>(+) Depreciation &amp; Amortization:</v>
          </cell>
          <cell r="D11">
            <v>1006</v>
          </cell>
          <cell r="E11">
            <v>1019</v>
          </cell>
          <cell r="F11">
            <v>1437</v>
          </cell>
          <cell r="G11">
            <v>1450</v>
          </cell>
          <cell r="I11">
            <v>858</v>
          </cell>
          <cell r="J11">
            <v>990</v>
          </cell>
          <cell r="K11">
            <v>1770</v>
          </cell>
          <cell r="L11">
            <v>1902</v>
          </cell>
          <cell r="N11">
            <v>741</v>
          </cell>
          <cell r="O11">
            <v>779</v>
          </cell>
          <cell r="P11">
            <v>2465</v>
          </cell>
          <cell r="Q11">
            <v>2503</v>
          </cell>
          <cell r="S11">
            <v>631</v>
          </cell>
          <cell r="T11">
            <v>644</v>
          </cell>
          <cell r="U11">
            <v>2474</v>
          </cell>
          <cell r="V11">
            <v>2487</v>
          </cell>
          <cell r="X11">
            <v>176</v>
          </cell>
          <cell r="Y11">
            <v>200</v>
          </cell>
          <cell r="Z11">
            <v>770</v>
          </cell>
          <cell r="AA11">
            <v>794</v>
          </cell>
          <cell r="AC11">
            <v>2678</v>
          </cell>
          <cell r="AD11">
            <v>2714</v>
          </cell>
          <cell r="AE11">
            <v>10678</v>
          </cell>
          <cell r="AF11">
            <v>10714</v>
          </cell>
        </row>
        <row r="12">
          <cell r="B12" t="str">
            <v>LTM EBITDA:</v>
          </cell>
          <cell r="G12">
            <v>6170</v>
          </cell>
          <cell r="L12">
            <v>8160</v>
          </cell>
          <cell r="Q12">
            <v>4989</v>
          </cell>
          <cell r="V12">
            <v>6691</v>
          </cell>
          <cell r="AA12">
            <v>2763</v>
          </cell>
          <cell r="AF12">
            <v>32462</v>
          </cell>
        </row>
        <row r="14">
          <cell r="B14" t="str">
            <v>Effective Tax Rate:</v>
          </cell>
          <cell r="G14">
            <v>0.20745493431102963</v>
          </cell>
          <cell r="L14">
            <v>0.15490270888973673</v>
          </cell>
          <cell r="Q14">
            <v>0.22851365015166836</v>
          </cell>
          <cell r="V14">
            <v>0.22428991185112634</v>
          </cell>
          <cell r="AA14">
            <v>0.19696969696969696</v>
          </cell>
          <cell r="AF14">
            <v>0.2425828970331588</v>
          </cell>
        </row>
        <row r="16">
          <cell r="D16" t="str">
            <v>Balance Sheet Data:</v>
          </cell>
          <cell r="I16" t="str">
            <v>Balance Sheet Data:</v>
          </cell>
          <cell r="N16" t="str">
            <v>Balance Sheet Data:</v>
          </cell>
          <cell r="S16" t="str">
            <v>Balance Sheet Data:</v>
          </cell>
          <cell r="X16" t="str">
            <v>Balance Sheet Data:</v>
          </cell>
          <cell r="AC16" t="str">
            <v>Balance Sheet Data:</v>
          </cell>
        </row>
        <row r="17">
          <cell r="B17" t="str">
            <v>(-) Cash &amp; Cash-Equivalents:</v>
          </cell>
          <cell r="G17">
            <v>-8167</v>
          </cell>
          <cell r="L17">
            <v>-818</v>
          </cell>
          <cell r="Q17">
            <v>-409</v>
          </cell>
          <cell r="V17">
            <v>-1173</v>
          </cell>
          <cell r="AA17">
            <v>-1561</v>
          </cell>
          <cell r="AF17">
            <v>-9255</v>
          </cell>
        </row>
        <row r="18">
          <cell r="B18" t="str">
            <v>(-) Equity Investments:</v>
          </cell>
          <cell r="G18">
            <v>0</v>
          </cell>
          <cell r="L18">
            <v>-6683</v>
          </cell>
          <cell r="Q18">
            <v>-726</v>
          </cell>
          <cell r="V18">
            <v>0</v>
          </cell>
          <cell r="AA18">
            <v>0</v>
          </cell>
          <cell r="AF18">
            <v>-4366</v>
          </cell>
        </row>
        <row r="19">
          <cell r="B19" t="str">
            <v>(-) Other Non-Core Assets, Net:</v>
          </cell>
          <cell r="G19">
            <v>0</v>
          </cell>
          <cell r="L19">
            <v>0</v>
          </cell>
          <cell r="Q19">
            <v>0</v>
          </cell>
          <cell r="V19">
            <v>0</v>
          </cell>
          <cell r="AA19">
            <v>0</v>
          </cell>
          <cell r="AF19">
            <v>0</v>
          </cell>
        </row>
        <row r="20">
          <cell r="B20" t="str">
            <v>(-) Net Operating Losses:</v>
          </cell>
          <cell r="G20">
            <v>0</v>
          </cell>
          <cell r="L20">
            <v>0</v>
          </cell>
          <cell r="Q20">
            <v>-100.67503924646782</v>
          </cell>
          <cell r="V20">
            <v>0</v>
          </cell>
          <cell r="AA20">
            <v>-104.89737470167066</v>
          </cell>
          <cell r="AF20">
            <v>-1843.4020077220077</v>
          </cell>
        </row>
        <row r="21">
          <cell r="B21" t="str">
            <v>(+) Debt &amp; Capital Leases:</v>
          </cell>
          <cell r="G21">
            <v>6529</v>
          </cell>
          <cell r="L21">
            <v>18041</v>
          </cell>
          <cell r="Q21">
            <v>13469</v>
          </cell>
          <cell r="V21">
            <v>12413</v>
          </cell>
          <cell r="AA21">
            <v>1393</v>
          </cell>
          <cell r="AF21">
            <v>57962</v>
          </cell>
        </row>
        <row r="22">
          <cell r="B22" t="str">
            <v>(+) Preferred Stock:</v>
          </cell>
          <cell r="G22">
            <v>0</v>
          </cell>
          <cell r="L22">
            <v>0</v>
          </cell>
          <cell r="Q22">
            <v>0</v>
          </cell>
          <cell r="V22">
            <v>0</v>
          </cell>
          <cell r="AA22">
            <v>0</v>
          </cell>
          <cell r="AF22">
            <v>0</v>
          </cell>
        </row>
        <row r="23">
          <cell r="B23" t="str">
            <v>(+) Noncontrolling Interests:</v>
          </cell>
          <cell r="G23">
            <v>334</v>
          </cell>
          <cell r="L23">
            <v>643</v>
          </cell>
          <cell r="Q23">
            <v>-51</v>
          </cell>
          <cell r="V23">
            <v>0</v>
          </cell>
          <cell r="AA23">
            <v>0</v>
          </cell>
          <cell r="AF23">
            <v>6705</v>
          </cell>
        </row>
        <row r="24">
          <cell r="B24" t="str">
            <v>(+) Unfunded Pension Obligations:</v>
          </cell>
          <cell r="G24">
            <v>0</v>
          </cell>
          <cell r="L24">
            <v>0</v>
          </cell>
          <cell r="Q24">
            <v>498</v>
          </cell>
          <cell r="V24">
            <v>33</v>
          </cell>
          <cell r="AA24">
            <v>0</v>
          </cell>
          <cell r="AF24">
            <v>175</v>
          </cell>
        </row>
        <row r="25">
          <cell r="B25" t="str">
            <v>(+) Restructuring &amp; Other Liabilities:</v>
          </cell>
          <cell r="G25">
            <v>0</v>
          </cell>
          <cell r="L25">
            <v>0</v>
          </cell>
          <cell r="Q25">
            <v>0</v>
          </cell>
          <cell r="V25">
            <v>0</v>
          </cell>
          <cell r="AA25">
            <v>0</v>
          </cell>
          <cell r="AF25">
            <v>0</v>
          </cell>
        </row>
        <row r="27">
          <cell r="D27" t="str">
            <v>Projected Financials:</v>
          </cell>
          <cell r="I27" t="str">
            <v>Projected Financials:</v>
          </cell>
          <cell r="N27" t="str">
            <v>Projected Financials:</v>
          </cell>
          <cell r="S27" t="str">
            <v>Projected Financials:</v>
          </cell>
          <cell r="X27" t="str">
            <v>Projected Financials:</v>
          </cell>
          <cell r="AC27" t="str">
            <v>Projected Financials:</v>
          </cell>
        </row>
        <row r="28">
          <cell r="D28">
            <v>43861</v>
          </cell>
          <cell r="E28">
            <v>44227</v>
          </cell>
          <cell r="F28">
            <v>44592</v>
          </cell>
          <cell r="I28">
            <v>43861</v>
          </cell>
          <cell r="J28">
            <v>44227</v>
          </cell>
          <cell r="K28">
            <v>44592</v>
          </cell>
          <cell r="N28">
            <v>43861</v>
          </cell>
          <cell r="O28">
            <v>44227</v>
          </cell>
          <cell r="P28">
            <v>44592</v>
          </cell>
          <cell r="S28">
            <v>43861</v>
          </cell>
          <cell r="T28">
            <v>44227</v>
          </cell>
          <cell r="U28">
            <v>44592</v>
          </cell>
          <cell r="X28">
            <v>43861</v>
          </cell>
          <cell r="Y28">
            <v>44227</v>
          </cell>
          <cell r="Z28">
            <v>44592</v>
          </cell>
          <cell r="AC28">
            <v>43861</v>
          </cell>
          <cell r="AD28">
            <v>44227</v>
          </cell>
          <cell r="AE28">
            <v>44592</v>
          </cell>
        </row>
        <row r="29">
          <cell r="B29" t="str">
            <v>Revenue:</v>
          </cell>
          <cell r="D29">
            <v>156372.59</v>
          </cell>
          <cell r="E29">
            <v>167371.00666666665</v>
          </cell>
          <cell r="I29">
            <v>137844.94333333333</v>
          </cell>
          <cell r="J29">
            <v>141369.60999999999</v>
          </cell>
          <cell r="N29">
            <v>122995.29</v>
          </cell>
          <cell r="O29">
            <v>126162.86</v>
          </cell>
          <cell r="P29">
            <v>129977.78</v>
          </cell>
          <cell r="S29">
            <v>78103.89</v>
          </cell>
          <cell r="T29">
            <v>80472.08</v>
          </cell>
          <cell r="U29">
            <v>82235.92</v>
          </cell>
          <cell r="X29">
            <v>43593.08</v>
          </cell>
          <cell r="Y29">
            <v>44218.03</v>
          </cell>
          <cell r="Z29">
            <v>44813.09</v>
          </cell>
          <cell r="AC29">
            <v>526618.47038822377</v>
          </cell>
          <cell r="AD29">
            <v>546853.67361168831</v>
          </cell>
          <cell r="AE29">
            <v>564924.45042496605</v>
          </cell>
        </row>
        <row r="30">
          <cell r="B30" t="str">
            <v>EBITDA:</v>
          </cell>
          <cell r="D30">
            <v>6555.3666666666659</v>
          </cell>
          <cell r="E30">
            <v>7064.3033333333333</v>
          </cell>
          <cell r="I30">
            <v>8616.9933333333338</v>
          </cell>
          <cell r="J30">
            <v>8633.996666666666</v>
          </cell>
          <cell r="N30">
            <v>5401.22</v>
          </cell>
          <cell r="O30">
            <v>5531.75</v>
          </cell>
          <cell r="P30">
            <v>5597.94</v>
          </cell>
          <cell r="S30">
            <v>6707.27</v>
          </cell>
          <cell r="T30">
            <v>6910.57</v>
          </cell>
          <cell r="U30">
            <v>6737.29</v>
          </cell>
          <cell r="X30">
            <v>2816.29</v>
          </cell>
          <cell r="Y30">
            <v>2881.21</v>
          </cell>
          <cell r="Z30">
            <v>2846.58</v>
          </cell>
          <cell r="AC30">
            <v>32012.261824422545</v>
          </cell>
          <cell r="AD30">
            <v>32725.084253053607</v>
          </cell>
          <cell r="AE30">
            <v>33348.69321851353</v>
          </cell>
        </row>
        <row r="31">
          <cell r="B31" t="str">
            <v>Reported Net Income:</v>
          </cell>
          <cell r="D31">
            <v>3628.8466666666664</v>
          </cell>
          <cell r="E31">
            <v>3822.1533333333332</v>
          </cell>
          <cell r="I31">
            <v>5424.2433333333338</v>
          </cell>
          <cell r="J31">
            <v>5324.6966666666667</v>
          </cell>
          <cell r="N31">
            <v>1747.69</v>
          </cell>
          <cell r="O31">
            <v>1825.89</v>
          </cell>
          <cell r="P31">
            <v>1830.23</v>
          </cell>
          <cell r="S31">
            <v>3041</v>
          </cell>
          <cell r="T31">
            <v>3153.96</v>
          </cell>
          <cell r="U31">
            <v>3214.83</v>
          </cell>
          <cell r="X31">
            <v>1517.28</v>
          </cell>
          <cell r="Y31">
            <v>1536.64</v>
          </cell>
          <cell r="Z31">
            <v>1536.87</v>
          </cell>
          <cell r="AC31">
            <v>13249.83582473967</v>
          </cell>
          <cell r="AD31">
            <v>13503.543786589087</v>
          </cell>
          <cell r="AE31">
            <v>13674.474283891414</v>
          </cell>
        </row>
        <row r="33">
          <cell r="D33" t="str">
            <v>Diluted Shares Calculations:</v>
          </cell>
          <cell r="I33" t="str">
            <v>Diluted Shares Calculations:</v>
          </cell>
          <cell r="N33" t="str">
            <v>Diluted Shares Calculations:</v>
          </cell>
          <cell r="S33" t="str">
            <v>Diluted Shares Calculations:</v>
          </cell>
          <cell r="X33" t="str">
            <v>Diluted Shares Calculations:</v>
          </cell>
          <cell r="AC33" t="str">
            <v>Diluted Shares Calculations:</v>
          </cell>
        </row>
        <row r="34">
          <cell r="B34" t="str">
            <v>Share Price:</v>
          </cell>
          <cell r="G34">
            <v>251.21</v>
          </cell>
          <cell r="L34">
            <v>50.98</v>
          </cell>
          <cell r="Q34">
            <v>23.7</v>
          </cell>
          <cell r="V34">
            <v>85.7</v>
          </cell>
          <cell r="AA34">
            <v>62.3</v>
          </cell>
          <cell r="AF34">
            <v>105.110001</v>
          </cell>
        </row>
        <row r="35">
          <cell r="B35" t="str">
            <v>Common Shares Outstanding:</v>
          </cell>
          <cell r="G35">
            <v>439.78918599999997</v>
          </cell>
          <cell r="L35">
            <v>914.29897800000003</v>
          </cell>
          <cell r="Q35">
            <v>798.42910900000004</v>
          </cell>
          <cell r="V35">
            <v>512.334476</v>
          </cell>
          <cell r="AA35">
            <v>267.04314199999999</v>
          </cell>
          <cell r="AF35">
            <v>2854.7221370000002</v>
          </cell>
        </row>
        <row r="36">
          <cell r="B36" t="str">
            <v>Options and Warrants:</v>
          </cell>
        </row>
        <row r="37">
          <cell r="E37" t="str">
            <v>Total</v>
          </cell>
          <cell r="F37" t="str">
            <v>Strike</v>
          </cell>
          <cell r="G37" t="str">
            <v>Dilution</v>
          </cell>
          <cell r="J37" t="str">
            <v>Total</v>
          </cell>
          <cell r="K37" t="str">
            <v>Strike</v>
          </cell>
          <cell r="L37" t="str">
            <v>Dilution</v>
          </cell>
          <cell r="O37" t="str">
            <v>Total</v>
          </cell>
          <cell r="P37" t="str">
            <v>Strike</v>
          </cell>
          <cell r="Q37" t="str">
            <v>Dilution</v>
          </cell>
          <cell r="T37" t="str">
            <v>Total</v>
          </cell>
          <cell r="U37" t="str">
            <v>Strike</v>
          </cell>
          <cell r="V37" t="str">
            <v>Dilution</v>
          </cell>
          <cell r="Y37" t="str">
            <v>Total</v>
          </cell>
          <cell r="Z37" t="str">
            <v>Strike</v>
          </cell>
          <cell r="AA37" t="str">
            <v>Dilution</v>
          </cell>
          <cell r="AD37" t="str">
            <v>Total</v>
          </cell>
          <cell r="AE37" t="str">
            <v>Strike</v>
          </cell>
          <cell r="AF37" t="str">
            <v>Dilution</v>
          </cell>
        </row>
        <row r="38">
          <cell r="G38">
            <v>0</v>
          </cell>
          <cell r="L38">
            <v>0</v>
          </cell>
          <cell r="O38">
            <v>22.7</v>
          </cell>
          <cell r="P38">
            <v>20.95</v>
          </cell>
          <cell r="Q38">
            <v>2.633966244725741</v>
          </cell>
          <cell r="T38">
            <v>2.0390000000000001</v>
          </cell>
          <cell r="U38">
            <v>55.38</v>
          </cell>
          <cell r="V38">
            <v>0.72138249708284707</v>
          </cell>
          <cell r="Y38">
            <v>2.0059999999999998</v>
          </cell>
          <cell r="Z38">
            <v>30.21</v>
          </cell>
          <cell r="AA38">
            <v>1.0332670947030496</v>
          </cell>
          <cell r="AF38">
            <v>0</v>
          </cell>
        </row>
        <row r="39">
          <cell r="G39">
            <v>0</v>
          </cell>
          <cell r="L39">
            <v>0</v>
          </cell>
          <cell r="Q39">
            <v>0</v>
          </cell>
          <cell r="V39">
            <v>0</v>
          </cell>
          <cell r="AA39">
            <v>0</v>
          </cell>
          <cell r="AF39">
            <v>0</v>
          </cell>
        </row>
        <row r="40">
          <cell r="G40">
            <v>0</v>
          </cell>
          <cell r="L40">
            <v>0</v>
          </cell>
          <cell r="Q40">
            <v>0</v>
          </cell>
          <cell r="V40">
            <v>0</v>
          </cell>
          <cell r="AA40">
            <v>0</v>
          </cell>
          <cell r="AF40">
            <v>0</v>
          </cell>
        </row>
        <row r="41">
          <cell r="G41">
            <v>0</v>
          </cell>
          <cell r="L41">
            <v>0</v>
          </cell>
          <cell r="Q41">
            <v>0</v>
          </cell>
          <cell r="V41">
            <v>0</v>
          </cell>
          <cell r="AA41">
            <v>0</v>
          </cell>
          <cell r="AF41">
            <v>0</v>
          </cell>
        </row>
        <row r="42">
          <cell r="G42">
            <v>0</v>
          </cell>
          <cell r="L42">
            <v>0</v>
          </cell>
          <cell r="Q42">
            <v>0</v>
          </cell>
          <cell r="V42">
            <v>0</v>
          </cell>
          <cell r="AA42">
            <v>0</v>
          </cell>
          <cell r="AF42">
            <v>0</v>
          </cell>
        </row>
        <row r="43">
          <cell r="G43">
            <v>0</v>
          </cell>
          <cell r="L43">
            <v>0</v>
          </cell>
          <cell r="Q43">
            <v>0</v>
          </cell>
          <cell r="V43">
            <v>0</v>
          </cell>
          <cell r="AA43">
            <v>0</v>
          </cell>
          <cell r="AF43">
            <v>0</v>
          </cell>
        </row>
        <row r="44">
          <cell r="G44">
            <v>0</v>
          </cell>
          <cell r="L44">
            <v>0</v>
          </cell>
          <cell r="Q44">
            <v>0</v>
          </cell>
          <cell r="V44">
            <v>0</v>
          </cell>
          <cell r="AA44">
            <v>0</v>
          </cell>
          <cell r="AF44">
            <v>0</v>
          </cell>
        </row>
        <row r="45">
          <cell r="G45">
            <v>0</v>
          </cell>
          <cell r="L45">
            <v>0</v>
          </cell>
          <cell r="Q45">
            <v>0</v>
          </cell>
          <cell r="V45">
            <v>0</v>
          </cell>
          <cell r="AA45">
            <v>0</v>
          </cell>
          <cell r="AF45">
            <v>0</v>
          </cell>
        </row>
        <row r="46">
          <cell r="G46">
            <v>0</v>
          </cell>
          <cell r="L46">
            <v>0</v>
          </cell>
          <cell r="Q46">
            <v>0</v>
          </cell>
          <cell r="V46">
            <v>0</v>
          </cell>
          <cell r="AA46">
            <v>0</v>
          </cell>
          <cell r="AF46">
            <v>0</v>
          </cell>
        </row>
        <row r="48">
          <cell r="B48" t="str">
            <v>Convertible Bonds:</v>
          </cell>
          <cell r="D48" t="str">
            <v>$ Amount</v>
          </cell>
          <cell r="E48" t="str">
            <v>Par Value</v>
          </cell>
          <cell r="F48" t="str">
            <v>Conv. Price</v>
          </cell>
          <cell r="G48" t="str">
            <v>Dilution</v>
          </cell>
          <cell r="I48" t="str">
            <v>$ Amount</v>
          </cell>
          <cell r="J48" t="str">
            <v>Par Value</v>
          </cell>
          <cell r="K48" t="str">
            <v>Conv. Price</v>
          </cell>
          <cell r="L48" t="str">
            <v>Dilution</v>
          </cell>
          <cell r="N48" t="str">
            <v>$ Amount</v>
          </cell>
          <cell r="O48" t="str">
            <v>Par Value</v>
          </cell>
          <cell r="P48" t="str">
            <v>Conv. Price</v>
          </cell>
          <cell r="Q48" t="str">
            <v>Dilution</v>
          </cell>
          <cell r="S48" t="str">
            <v>$ Amount</v>
          </cell>
          <cell r="T48" t="str">
            <v>Par Value</v>
          </cell>
          <cell r="U48" t="str">
            <v>Conv. Price</v>
          </cell>
          <cell r="V48" t="str">
            <v>Dilution</v>
          </cell>
          <cell r="X48" t="str">
            <v>$ Amount</v>
          </cell>
          <cell r="Y48" t="str">
            <v>Par Value</v>
          </cell>
          <cell r="Z48" t="str">
            <v>Conv. Price</v>
          </cell>
          <cell r="AA48" t="str">
            <v>Dilution</v>
          </cell>
          <cell r="AC48" t="str">
            <v>$ Amount</v>
          </cell>
          <cell r="AD48" t="str">
            <v>Par Value</v>
          </cell>
          <cell r="AE48" t="str">
            <v>Conv. Price</v>
          </cell>
          <cell r="AF48" t="str">
            <v>Dilution</v>
          </cell>
        </row>
        <row r="49">
          <cell r="G49">
            <v>0</v>
          </cell>
          <cell r="L49">
            <v>0</v>
          </cell>
          <cell r="Q49">
            <v>0</v>
          </cell>
          <cell r="V49">
            <v>0</v>
          </cell>
          <cell r="AA49">
            <v>0</v>
          </cell>
          <cell r="AF49">
            <v>0</v>
          </cell>
        </row>
        <row r="50">
          <cell r="G50">
            <v>0</v>
          </cell>
          <cell r="L50">
            <v>0</v>
          </cell>
          <cell r="Q50">
            <v>0</v>
          </cell>
          <cell r="V50">
            <v>0</v>
          </cell>
          <cell r="AA50">
            <v>0</v>
          </cell>
          <cell r="AF50">
            <v>0</v>
          </cell>
        </row>
        <row r="52">
          <cell r="F52" t="str">
            <v># RSUs</v>
          </cell>
          <cell r="G52" t="str">
            <v>Dilution</v>
          </cell>
          <cell r="K52" t="str">
            <v># RSUs</v>
          </cell>
          <cell r="L52" t="str">
            <v>Dilution</v>
          </cell>
          <cell r="P52" t="str">
            <v># RSUs</v>
          </cell>
          <cell r="Q52" t="str">
            <v>Dilution</v>
          </cell>
          <cell r="U52" t="str">
            <v># RSUs</v>
          </cell>
          <cell r="V52" t="str">
            <v>Dilution</v>
          </cell>
          <cell r="Z52" t="str">
            <v># RSUs</v>
          </cell>
          <cell r="AA52" t="str">
            <v>Dilution</v>
          </cell>
          <cell r="AE52" t="str">
            <v># RSUs</v>
          </cell>
          <cell r="AF52" t="str">
            <v>Dilution</v>
          </cell>
        </row>
        <row r="53">
          <cell r="B53" t="str">
            <v>Restricted Stock Units (RSUs):</v>
          </cell>
          <cell r="F53">
            <v>6.5350000000000001</v>
          </cell>
          <cell r="G53">
            <v>6.5350000000000001</v>
          </cell>
          <cell r="L53">
            <v>0</v>
          </cell>
          <cell r="Q53">
            <v>0</v>
          </cell>
          <cell r="U53">
            <v>7.4380000000000006</v>
          </cell>
          <cell r="V53">
            <v>7.4380000000000006</v>
          </cell>
          <cell r="Z53">
            <v>6.1040000000000001</v>
          </cell>
          <cell r="AA53">
            <v>6.1040000000000001</v>
          </cell>
          <cell r="AE53">
            <v>23.954999999999998</v>
          </cell>
          <cell r="AF53">
            <v>23.954999999999998</v>
          </cell>
        </row>
        <row r="55">
          <cell r="B55" t="str">
            <v>Total Diluted Shares:</v>
          </cell>
          <cell r="G55">
            <v>446.324186</v>
          </cell>
          <cell r="L55">
            <v>914.29897800000003</v>
          </cell>
          <cell r="Q55">
            <v>801.06307524472572</v>
          </cell>
          <cell r="V55">
            <v>520.4938584970829</v>
          </cell>
          <cell r="AA55">
            <v>274.18040909470307</v>
          </cell>
          <cell r="AF55">
            <v>2878.6771370000001</v>
          </cell>
        </row>
        <row r="57">
          <cell r="D57" t="str">
            <v>Valuation Metrics:</v>
          </cell>
          <cell r="I57" t="str">
            <v>Valuation Metrics:</v>
          </cell>
          <cell r="N57" t="str">
            <v>Valuation Metrics:</v>
          </cell>
          <cell r="S57" t="str">
            <v>Valuation Metrics:</v>
          </cell>
          <cell r="X57" t="str">
            <v>Valuation Metrics:</v>
          </cell>
          <cell r="AC57" t="str">
            <v>Valuation Metrics:</v>
          </cell>
        </row>
        <row r="59">
          <cell r="B59" t="str">
            <v>Equity Value:</v>
          </cell>
          <cell r="G59">
            <v>112121.09876506</v>
          </cell>
          <cell r="L59">
            <v>46610.96189844</v>
          </cell>
          <cell r="Q59">
            <v>18985.194883299999</v>
          </cell>
          <cell r="V59">
            <v>44606.323673200008</v>
          </cell>
          <cell r="AA59">
            <v>17081.4394866</v>
          </cell>
          <cell r="AF59">
            <v>302577.75674874714</v>
          </cell>
        </row>
        <row r="60">
          <cell r="B60" t="str">
            <v>Enterprise Value:</v>
          </cell>
          <cell r="G60">
            <v>110817.09876506</v>
          </cell>
          <cell r="L60">
            <v>57793.96189844</v>
          </cell>
          <cell r="Q60">
            <v>31665.519844053531</v>
          </cell>
          <cell r="V60">
            <v>55879.323673200008</v>
          </cell>
          <cell r="AA60">
            <v>16808.542111898329</v>
          </cell>
          <cell r="AF60">
            <v>351955.35474102513</v>
          </cell>
        </row>
        <row r="61">
          <cell r="B61" t="str">
            <v>Levered Beta:</v>
          </cell>
          <cell r="G61">
            <v>0.9</v>
          </cell>
          <cell r="L61">
            <v>0.76</v>
          </cell>
          <cell r="Q61">
            <v>0.68</v>
          </cell>
          <cell r="V61">
            <v>0.6</v>
          </cell>
          <cell r="AA61">
            <v>0.99</v>
          </cell>
          <cell r="AF61">
            <v>0.37</v>
          </cell>
        </row>
        <row r="63">
          <cell r="D63" t="str">
            <v>Valuation Multiples:</v>
          </cell>
          <cell r="I63" t="str">
            <v>Valuation Multiples:</v>
          </cell>
          <cell r="N63" t="str">
            <v>Valuation Multiples:</v>
          </cell>
          <cell r="S63" t="str">
            <v>Valuation Multiples:</v>
          </cell>
          <cell r="X63" t="str">
            <v>Valuation Multiples:</v>
          </cell>
          <cell r="AC63" t="str">
            <v>Valuation Multiples:</v>
          </cell>
        </row>
        <row r="64">
          <cell r="D64" t="str">
            <v>LTM</v>
          </cell>
          <cell r="E64">
            <v>43861</v>
          </cell>
          <cell r="F64">
            <v>44227</v>
          </cell>
          <cell r="G64">
            <v>44592</v>
          </cell>
          <cell r="I64" t="str">
            <v>LTM</v>
          </cell>
          <cell r="J64">
            <v>43861</v>
          </cell>
          <cell r="K64">
            <v>44227</v>
          </cell>
          <cell r="L64">
            <v>44592</v>
          </cell>
          <cell r="N64" t="str">
            <v>LTM</v>
          </cell>
          <cell r="O64">
            <v>43861</v>
          </cell>
          <cell r="P64">
            <v>44227</v>
          </cell>
          <cell r="Q64">
            <v>44592</v>
          </cell>
          <cell r="S64" t="str">
            <v>LTM</v>
          </cell>
          <cell r="T64">
            <v>43861</v>
          </cell>
          <cell r="U64">
            <v>44227</v>
          </cell>
          <cell r="V64">
            <v>44592</v>
          </cell>
          <cell r="X64" t="str">
            <v>LTM</v>
          </cell>
          <cell r="Y64">
            <v>43861</v>
          </cell>
          <cell r="Z64">
            <v>44227</v>
          </cell>
          <cell r="AA64">
            <v>44592</v>
          </cell>
          <cell r="AC64" t="str">
            <v>LTM</v>
          </cell>
          <cell r="AD64">
            <v>43861</v>
          </cell>
          <cell r="AE64">
            <v>44227</v>
          </cell>
          <cell r="AF64">
            <v>44592</v>
          </cell>
        </row>
        <row r="65">
          <cell r="B65" t="str">
            <v>EV / Revenue:</v>
          </cell>
          <cell r="D65">
            <v>0.74067679101874129</v>
          </cell>
          <cell r="E65">
            <v>0.70867342393612587</v>
          </cell>
          <cell r="F65">
            <v>0.66210451243662238</v>
          </cell>
          <cell r="G65" t="str">
            <v>N/A</v>
          </cell>
          <cell r="I65">
            <v>0.42465272488328176</v>
          </cell>
          <cell r="J65">
            <v>0.41926791437451594</v>
          </cell>
          <cell r="K65">
            <v>0.4088146094372051</v>
          </cell>
          <cell r="L65" t="str">
            <v>N/A</v>
          </cell>
          <cell r="N65">
            <v>0.26236852660143284</v>
          </cell>
          <cell r="O65">
            <v>0.25745310933494714</v>
          </cell>
          <cell r="P65">
            <v>0.25098923600854905</v>
          </cell>
          <cell r="Q65">
            <v>0.24362256259534154</v>
          </cell>
          <cell r="S65">
            <v>0.73330521079761701</v>
          </cell>
          <cell r="T65">
            <v>0.71544866296928367</v>
          </cell>
          <cell r="U65">
            <v>0.69439392734970939</v>
          </cell>
          <cell r="V65">
            <v>0.6795001949658982</v>
          </cell>
          <cell r="X65">
            <v>0.39169794257779478</v>
          </cell>
          <cell r="Y65">
            <v>0.38557821819193155</v>
          </cell>
          <cell r="Z65">
            <v>0.38012869664022414</v>
          </cell>
          <cell r="AA65">
            <v>0.37508107813806923</v>
          </cell>
          <cell r="AC65">
            <v>0.68256022562451546</v>
          </cell>
          <cell r="AD65">
            <v>0.66833082113804942</v>
          </cell>
          <cell r="AE65">
            <v>0.64360060419186793</v>
          </cell>
          <cell r="AF65">
            <v>0.62301313826347171</v>
          </cell>
        </row>
        <row r="66">
          <cell r="B66" t="str">
            <v>EV / EBITDA:</v>
          </cell>
          <cell r="D66">
            <v>17.960631890609399</v>
          </cell>
          <cell r="E66">
            <v>16.904790288627641</v>
          </cell>
          <cell r="F66">
            <v>15.686911155437361</v>
          </cell>
          <cell r="G66" t="str">
            <v>N/A</v>
          </cell>
          <cell r="I66">
            <v>7.0825933699068626</v>
          </cell>
          <cell r="J66">
            <v>6.706975352397472</v>
          </cell>
          <cell r="K66">
            <v>6.6937669922395928</v>
          </cell>
          <cell r="L66" t="str">
            <v>N/A</v>
          </cell>
          <cell r="N66">
            <v>6.347067517348874</v>
          </cell>
          <cell r="O66">
            <v>5.8626606292751511</v>
          </cell>
          <cell r="P66">
            <v>5.7243222929549473</v>
          </cell>
          <cell r="Q66">
            <v>5.6566379496839074</v>
          </cell>
          <cell r="S66">
            <v>8.3514158830070251</v>
          </cell>
          <cell r="T66">
            <v>8.3311576354015866</v>
          </cell>
          <cell r="U66">
            <v>8.0860657909839571</v>
          </cell>
          <cell r="V66">
            <v>8.2940356839619511</v>
          </cell>
          <cell r="X66">
            <v>6.0834390560616463</v>
          </cell>
          <cell r="Y66">
            <v>5.9683278752892379</v>
          </cell>
          <cell r="Z66">
            <v>5.83384831785893</v>
          </cell>
          <cell r="AA66">
            <v>5.9048198581801072</v>
          </cell>
          <cell r="AC66">
            <v>10.842072415163118</v>
          </cell>
          <cell r="AD66">
            <v>10.994391982403258</v>
          </cell>
          <cell r="AE66">
            <v>10.754910576225143</v>
          </cell>
          <cell r="AF66">
            <v>10.553797488701509</v>
          </cell>
        </row>
        <row r="67">
          <cell r="B67" t="str">
            <v>P / E:</v>
          </cell>
          <cell r="D67">
            <v>31.101553055495145</v>
          </cell>
          <cell r="E67">
            <v>30.897171763956226</v>
          </cell>
          <cell r="F67">
            <v>29.334537101701834</v>
          </cell>
          <cell r="G67" t="str">
            <v>N/A</v>
          </cell>
          <cell r="I67">
            <v>9.0806471650964351</v>
          </cell>
          <cell r="J67">
            <v>8.5930809209837555</v>
          </cell>
          <cell r="K67">
            <v>8.7537309289806178</v>
          </cell>
          <cell r="L67" t="str">
            <v>N/A</v>
          </cell>
          <cell r="N67">
            <v>10.229092070743533</v>
          </cell>
          <cell r="O67">
            <v>10.863021979470043</v>
          </cell>
          <cell r="P67">
            <v>10.397775815246263</v>
          </cell>
          <cell r="Q67">
            <v>10.373119708069478</v>
          </cell>
          <cell r="S67">
            <v>14.799709247909757</v>
          </cell>
          <cell r="T67">
            <v>14.668307686024336</v>
          </cell>
          <cell r="U67">
            <v>14.14295795545917</v>
          </cell>
          <cell r="V67">
            <v>13.875173391190206</v>
          </cell>
          <cell r="X67">
            <v>11.230400714398423</v>
          </cell>
          <cell r="Y67">
            <v>11.257934914188548</v>
          </cell>
          <cell r="Z67">
            <v>11.116097125286338</v>
          </cell>
          <cell r="AA67">
            <v>11.114433547795196</v>
          </cell>
          <cell r="AC67">
            <v>36.1157503877712</v>
          </cell>
          <cell r="AD67">
            <v>22.83634006874135</v>
          </cell>
          <cell r="AE67">
            <v>22.407285193480046</v>
          </cell>
          <cell r="AF67">
            <v>22.127194835210958</v>
          </cell>
        </row>
        <row r="69">
          <cell r="D69" t="str">
            <v>Lookup Variables:</v>
          </cell>
          <cell r="I69" t="str">
            <v>Lookup Variables:</v>
          </cell>
          <cell r="N69" t="str">
            <v>Lookup Variables:</v>
          </cell>
          <cell r="S69" t="str">
            <v>Lookup Variables:</v>
          </cell>
          <cell r="X69" t="str">
            <v>Lookup Variables:</v>
          </cell>
          <cell r="AC69" t="str">
            <v>Lookup Variables:</v>
          </cell>
        </row>
        <row r="71">
          <cell r="B71" t="str">
            <v>2020-01-31 Revenue:</v>
          </cell>
          <cell r="G71">
            <v>156372.59</v>
          </cell>
          <cell r="L71">
            <v>137844.94333333333</v>
          </cell>
          <cell r="Q71">
            <v>122995.29</v>
          </cell>
          <cell r="V71">
            <v>78103.89</v>
          </cell>
          <cell r="AA71">
            <v>43593.08</v>
          </cell>
          <cell r="AF71">
            <v>526618.47038822377</v>
          </cell>
        </row>
        <row r="72">
          <cell r="B72" t="str">
            <v>2020-01-31 EBITDA:</v>
          </cell>
          <cell r="G72">
            <v>6555.3666666666659</v>
          </cell>
          <cell r="L72">
            <v>8616.9933333333338</v>
          </cell>
          <cell r="Q72">
            <v>5401.22</v>
          </cell>
          <cell r="V72">
            <v>6707.27</v>
          </cell>
          <cell r="AA72">
            <v>2816.29</v>
          </cell>
          <cell r="AF72">
            <v>32012.261824422545</v>
          </cell>
        </row>
        <row r="73">
          <cell r="B73" t="str">
            <v>2020-01-31 Reported Net Income:</v>
          </cell>
          <cell r="G73">
            <v>3628.8466666666664</v>
          </cell>
          <cell r="L73">
            <v>5424.2433333333338</v>
          </cell>
          <cell r="Q73">
            <v>1747.69</v>
          </cell>
          <cell r="V73">
            <v>3041</v>
          </cell>
          <cell r="AA73">
            <v>1517.28</v>
          </cell>
          <cell r="AF73">
            <v>13249.83582473967</v>
          </cell>
        </row>
        <row r="75">
          <cell r="B75" t="str">
            <v>2021-01-31 Revenue:</v>
          </cell>
          <cell r="G75">
            <v>167371.00666666665</v>
          </cell>
          <cell r="L75">
            <v>141369.60999999999</v>
          </cell>
          <cell r="Q75">
            <v>126162.86</v>
          </cell>
          <cell r="V75">
            <v>80472.08</v>
          </cell>
          <cell r="AA75">
            <v>44218.03</v>
          </cell>
          <cell r="AF75">
            <v>546853.67361168831</v>
          </cell>
        </row>
        <row r="76">
          <cell r="B76" t="str">
            <v>2021-01-31 EBITDA:</v>
          </cell>
          <cell r="G76">
            <v>7064.3033333333333</v>
          </cell>
          <cell r="L76">
            <v>8633.996666666666</v>
          </cell>
          <cell r="Q76">
            <v>5531.75</v>
          </cell>
          <cell r="V76">
            <v>6910.57</v>
          </cell>
          <cell r="AA76">
            <v>2881.21</v>
          </cell>
          <cell r="AF76">
            <v>32725.084253053607</v>
          </cell>
        </row>
        <row r="77">
          <cell r="B77" t="str">
            <v>2021-01-31 Reported Net Income:</v>
          </cell>
          <cell r="G77">
            <v>3822.1533333333332</v>
          </cell>
          <cell r="L77">
            <v>5324.6966666666667</v>
          </cell>
          <cell r="Q77">
            <v>1825.89</v>
          </cell>
          <cell r="V77">
            <v>3153.96</v>
          </cell>
          <cell r="AA77">
            <v>1536.64</v>
          </cell>
          <cell r="AF77">
            <v>13503.543786589087</v>
          </cell>
        </row>
        <row r="79">
          <cell r="B79" t="str">
            <v>2022-01-31 Revenue:</v>
          </cell>
          <cell r="G79">
            <v>0</v>
          </cell>
          <cell r="L79">
            <v>0</v>
          </cell>
          <cell r="Q79">
            <v>129977.78</v>
          </cell>
          <cell r="V79">
            <v>82235.92</v>
          </cell>
          <cell r="AA79">
            <v>44813.09</v>
          </cell>
          <cell r="AF79">
            <v>564924.45042496605</v>
          </cell>
        </row>
        <row r="80">
          <cell r="B80" t="str">
            <v>2022-01-31 EBITDA:</v>
          </cell>
          <cell r="G80">
            <v>0</v>
          </cell>
          <cell r="L80">
            <v>0</v>
          </cell>
          <cell r="Q80">
            <v>5597.94</v>
          </cell>
          <cell r="V80">
            <v>6737.29</v>
          </cell>
          <cell r="AA80">
            <v>2846.58</v>
          </cell>
          <cell r="AF80">
            <v>33348.69321851353</v>
          </cell>
        </row>
        <row r="81">
          <cell r="B81" t="str">
            <v>2022-01-31 Reported Net Income:</v>
          </cell>
          <cell r="G81">
            <v>0</v>
          </cell>
          <cell r="L81">
            <v>0</v>
          </cell>
          <cell r="Q81">
            <v>1830.23</v>
          </cell>
          <cell r="V81">
            <v>3214.83</v>
          </cell>
          <cell r="AA81">
            <v>1536.87</v>
          </cell>
          <cell r="AF81">
            <v>13674.474283891414</v>
          </cell>
        </row>
        <row r="83">
          <cell r="B83" t="str">
            <v>Year 1 Projected Revenue Growth:</v>
          </cell>
          <cell r="G83">
            <v>7.0334683761819505E-2</v>
          </cell>
          <cell r="L83">
            <v>2.5569792996638308E-2</v>
          </cell>
          <cell r="Q83">
            <v>2.5753587799988154E-2</v>
          </cell>
          <cell r="V83">
            <v>3.0321024983518852E-2</v>
          </cell>
          <cell r="AA83">
            <v>1.4335990941681587E-2</v>
          </cell>
          <cell r="AF83">
            <v>3.842478826947926E-2</v>
          </cell>
        </row>
        <row r="84">
          <cell r="B84" t="str">
            <v>Year 1 Projected EBITDA Growth:</v>
          </cell>
          <cell r="G84">
            <v>7.7636643767701852E-2</v>
          </cell>
          <cell r="L84">
            <v>1.9732327362442792E-3</v>
          </cell>
          <cell r="Q84">
            <v>2.4166762324067559E-2</v>
          </cell>
          <cell r="V84">
            <v>3.0310394542041541E-2</v>
          </cell>
          <cell r="AA84">
            <v>2.3051603350507266E-2</v>
          </cell>
          <cell r="AF84">
            <v>2.2267168516260316E-2</v>
          </cell>
        </row>
        <row r="86">
          <cell r="B86" t="str">
            <v>LTM EBITDA Margin:</v>
          </cell>
          <cell r="G86">
            <v>4.1238904929954016E-2</v>
          </cell>
          <cell r="L86">
            <v>5.995723638287398E-2</v>
          </cell>
          <cell r="Q86">
            <v>4.1336967959499878E-2</v>
          </cell>
          <cell r="V86">
            <v>8.7806094328232859E-2</v>
          </cell>
          <cell r="AA86">
            <v>6.438758389261745E-2</v>
          </cell>
          <cell r="AF86">
            <v>6.2954774648979903E-2</v>
          </cell>
        </row>
        <row r="87">
          <cell r="B87" t="str">
            <v>2020-01-31 EBITDA Margin:</v>
          </cell>
          <cell r="G87">
            <v>4.1921456098326863E-2</v>
          </cell>
          <cell r="L87">
            <v>6.2512219345586928E-2</v>
          </cell>
          <cell r="Q87">
            <v>4.3914039309960573E-2</v>
          </cell>
          <cell r="V87">
            <v>8.5876260452584383E-2</v>
          </cell>
          <cell r="AA87">
            <v>6.4604061011518332E-2</v>
          </cell>
          <cell r="AF87">
            <v>6.0788338473626018E-2</v>
          </cell>
        </row>
        <row r="88">
          <cell r="B88" t="str">
            <v>2021-01-31 EBITDA Margin:</v>
          </cell>
          <cell r="G88">
            <v>4.2207449629567469E-2</v>
          </cell>
          <cell r="L88">
            <v>6.1073922936242572E-2</v>
          </cell>
          <cell r="Q88">
            <v>4.3846104947208711E-2</v>
          </cell>
          <cell r="V88">
            <v>8.5875374415573691E-2</v>
          </cell>
          <cell r="AA88">
            <v>6.5159166973291216E-2</v>
          </cell>
          <cell r="AF88">
            <v>5.9842487729708738E-2</v>
          </cell>
        </row>
        <row r="90">
          <cell r="B90" t="str">
            <v>LTM EV / Revenue:</v>
          </cell>
          <cell r="G90">
            <v>0.74067679101874129</v>
          </cell>
          <cell r="L90">
            <v>0.42465272488328176</v>
          </cell>
          <cell r="Q90">
            <v>0.26236852660143284</v>
          </cell>
          <cell r="V90">
            <v>0.73330521079761701</v>
          </cell>
          <cell r="AA90">
            <v>0.39169794257779478</v>
          </cell>
          <cell r="AF90">
            <v>0.68256022562451546</v>
          </cell>
        </row>
        <row r="91">
          <cell r="B91" t="str">
            <v>LTM EV / EBITDA:</v>
          </cell>
          <cell r="G91">
            <v>17.960631890609399</v>
          </cell>
          <cell r="L91">
            <v>7.0825933699068626</v>
          </cell>
          <cell r="Q91">
            <v>6.347067517348874</v>
          </cell>
          <cell r="V91">
            <v>8.3514158830070251</v>
          </cell>
          <cell r="AA91">
            <v>6.0834390560616463</v>
          </cell>
          <cell r="AF91">
            <v>10.842072415163118</v>
          </cell>
        </row>
        <row r="92">
          <cell r="B92" t="str">
            <v>LTM P / E:</v>
          </cell>
          <cell r="G92">
            <v>31.101553055495145</v>
          </cell>
          <cell r="L92">
            <v>9.0806471650964351</v>
          </cell>
          <cell r="Q92">
            <v>10.229092070743533</v>
          </cell>
          <cell r="V92">
            <v>14.799709247909757</v>
          </cell>
          <cell r="AA92">
            <v>11.230400714398423</v>
          </cell>
          <cell r="AF92">
            <v>36.1157503877712</v>
          </cell>
        </row>
        <row r="94">
          <cell r="B94" t="str">
            <v>2020-01-31 EV / Revenue:</v>
          </cell>
          <cell r="G94">
            <v>0.70867342393612587</v>
          </cell>
          <cell r="L94">
            <v>0.41926791437451594</v>
          </cell>
          <cell r="Q94">
            <v>0.25745310933494714</v>
          </cell>
          <cell r="V94">
            <v>0.71544866296928367</v>
          </cell>
          <cell r="AA94">
            <v>0.38557821819193155</v>
          </cell>
          <cell r="AF94">
            <v>0.66833082113804942</v>
          </cell>
        </row>
        <row r="95">
          <cell r="B95" t="str">
            <v>2020-01-31 EV / EBITDA:</v>
          </cell>
          <cell r="G95">
            <v>16.904790288627641</v>
          </cell>
          <cell r="L95">
            <v>6.706975352397472</v>
          </cell>
          <cell r="Q95">
            <v>5.8626606292751511</v>
          </cell>
          <cell r="V95">
            <v>8.3311576354015866</v>
          </cell>
          <cell r="AA95">
            <v>5.9683278752892379</v>
          </cell>
          <cell r="AF95">
            <v>10.994391982403258</v>
          </cell>
        </row>
        <row r="96">
          <cell r="B96" t="str">
            <v>2020-01-31 P / E:</v>
          </cell>
          <cell r="G96">
            <v>30.897171763956226</v>
          </cell>
          <cell r="L96">
            <v>8.5930809209837555</v>
          </cell>
          <cell r="Q96">
            <v>10.863021979470043</v>
          </cell>
          <cell r="V96">
            <v>14.668307686024336</v>
          </cell>
          <cell r="AA96">
            <v>11.257934914188548</v>
          </cell>
          <cell r="AF96">
            <v>22.83634006874135</v>
          </cell>
        </row>
        <row r="98">
          <cell r="B98" t="str">
            <v>2021-01-31 EV / Revenue:</v>
          </cell>
          <cell r="G98">
            <v>0.66210451243662238</v>
          </cell>
          <cell r="L98">
            <v>0.4088146094372051</v>
          </cell>
          <cell r="Q98">
            <v>0.25098923600854905</v>
          </cell>
          <cell r="V98">
            <v>0.69439392734970939</v>
          </cell>
          <cell r="AA98">
            <v>0.38012869664022414</v>
          </cell>
          <cell r="AF98">
            <v>0.64360060419186793</v>
          </cell>
        </row>
        <row r="99">
          <cell r="B99" t="str">
            <v>2021-01-31 EV / EBITDA:</v>
          </cell>
          <cell r="G99">
            <v>15.686911155437361</v>
          </cell>
          <cell r="L99">
            <v>6.6937669922395928</v>
          </cell>
          <cell r="Q99">
            <v>5.7243222929549473</v>
          </cell>
          <cell r="V99">
            <v>8.0860657909839571</v>
          </cell>
          <cell r="AA99">
            <v>5.83384831785893</v>
          </cell>
          <cell r="AF99">
            <v>10.754910576225143</v>
          </cell>
        </row>
        <row r="100">
          <cell r="B100" t="str">
            <v>2021-01-31 P / E:</v>
          </cell>
          <cell r="G100">
            <v>29.334537101701834</v>
          </cell>
          <cell r="L100">
            <v>8.7537309289806178</v>
          </cell>
          <cell r="Q100">
            <v>10.397775815246263</v>
          </cell>
          <cell r="V100">
            <v>14.14295795545917</v>
          </cell>
          <cell r="AA100">
            <v>11.116097125286338</v>
          </cell>
          <cell r="AF100">
            <v>22.407285193480046</v>
          </cell>
        </row>
        <row r="102">
          <cell r="B102" t="str">
            <v>Corporate Website:</v>
          </cell>
          <cell r="G102" t="str">
            <v>http://investor.costco.com/investor-overview</v>
          </cell>
          <cell r="L102" t="str">
            <v>https://investor.walgreensbootsalliance.com/home/default.aspx</v>
          </cell>
          <cell r="Q102" t="str">
            <v>http://ir.kroger.com/</v>
          </cell>
          <cell r="V102" t="str">
            <v>https://investors.target.com/investors</v>
          </cell>
          <cell r="AA102" t="str">
            <v>http://investors.bestbuy.com/investor-relations/</v>
          </cell>
          <cell r="AF102" t="str">
            <v>https://stock.walmart.com/investors/default.aspx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X277"/>
  <sheetViews>
    <sheetView showGridLines="0" zoomScaleNormal="100" zoomScaleSheetLayoutView="55" workbookViewId="0">
      <selection activeCell="B2" sqref="B2"/>
    </sheetView>
  </sheetViews>
  <sheetFormatPr defaultRowHeight="15.75" outlineLevelRow="1" x14ac:dyDescent="0.25"/>
  <cols>
    <col min="1" max="2" width="2.5703125" style="380" customWidth="1"/>
    <col min="3" max="3" width="52" style="380" bestFit="1" customWidth="1"/>
    <col min="4" max="11" width="12.7109375" style="380" customWidth="1"/>
    <col min="12" max="13" width="2.5703125" style="380" customWidth="1"/>
    <col min="14" max="21" width="12.7109375" style="380" customWidth="1"/>
    <col min="22" max="16384" width="9.140625" style="380"/>
  </cols>
  <sheetData>
    <row r="1" spans="2:23" x14ac:dyDescent="0.25"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</row>
    <row r="2" spans="2:23" ht="18.75" x14ac:dyDescent="0.3">
      <c r="B2" s="147" t="str">
        <f>"Financial Projections of the Current, Combined Company Pre-Spinoff ("&amp;Parent_Name&amp;")"</f>
        <v>Financial Projections of the Current, Combined Company Pre-Spinoff (SunPower Corporation)</v>
      </c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</row>
    <row r="3" spans="2:23" x14ac:dyDescent="0.25">
      <c r="B3" s="494" t="s">
        <v>357</v>
      </c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</row>
    <row r="4" spans="2:23" x14ac:dyDescent="0.25"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</row>
    <row r="5" spans="2:23" x14ac:dyDescent="0.25">
      <c r="B5" s="1" t="s">
        <v>266</v>
      </c>
      <c r="C5" s="1"/>
      <c r="D5" s="36" t="s">
        <v>52</v>
      </c>
      <c r="E5" s="1"/>
      <c r="F5" s="1"/>
      <c r="G5" s="1"/>
      <c r="H5" s="1"/>
      <c r="I5" s="1"/>
      <c r="J5" s="1"/>
      <c r="K5" s="1"/>
      <c r="L5" s="56"/>
      <c r="M5" s="767"/>
      <c r="N5" s="767"/>
      <c r="O5" s="767"/>
      <c r="P5" s="767"/>
      <c r="Q5" s="767"/>
      <c r="R5" s="767"/>
      <c r="S5" s="767"/>
      <c r="T5" s="767"/>
      <c r="U5" s="767"/>
      <c r="V5" s="767"/>
      <c r="W5" s="767"/>
    </row>
    <row r="6" spans="2:23" outlineLevel="1" x14ac:dyDescent="0.25">
      <c r="C6" s="379"/>
      <c r="D6" s="379"/>
      <c r="E6" s="60"/>
      <c r="F6" s="379"/>
      <c r="G6" s="379"/>
      <c r="H6" s="379"/>
      <c r="I6" s="379"/>
      <c r="J6" s="379"/>
      <c r="K6" s="379"/>
      <c r="L6" s="379"/>
      <c r="M6" s="767"/>
      <c r="N6" s="767"/>
      <c r="O6" s="767"/>
      <c r="P6" s="767"/>
      <c r="Q6" s="767"/>
      <c r="R6" s="767"/>
      <c r="S6" s="767"/>
      <c r="T6" s="767"/>
      <c r="U6" s="767"/>
      <c r="V6" s="767"/>
      <c r="W6" s="767"/>
    </row>
    <row r="7" spans="2:23" outlineLevel="1" x14ac:dyDescent="0.25">
      <c r="C7" s="408" t="s">
        <v>326</v>
      </c>
      <c r="D7" s="48" t="s">
        <v>128</v>
      </c>
      <c r="E7" s="82" t="s">
        <v>264</v>
      </c>
      <c r="F7" s="82"/>
      <c r="G7" s="379"/>
      <c r="L7" s="379"/>
      <c r="M7" s="767"/>
      <c r="N7" s="767"/>
      <c r="O7" s="767"/>
      <c r="P7" s="767"/>
      <c r="Q7" s="767"/>
      <c r="R7" s="767"/>
      <c r="S7" s="767"/>
      <c r="T7" s="767"/>
      <c r="U7" s="767"/>
      <c r="V7" s="767"/>
      <c r="W7" s="767"/>
    </row>
    <row r="8" spans="2:23" outlineLevel="1" x14ac:dyDescent="0.25">
      <c r="C8" s="408" t="s">
        <v>327</v>
      </c>
      <c r="D8" s="48" t="s">
        <v>128</v>
      </c>
      <c r="E8" s="61" t="s">
        <v>265</v>
      </c>
      <c r="F8" s="379"/>
      <c r="G8" s="379"/>
      <c r="L8" s="379"/>
      <c r="M8" s="767"/>
      <c r="N8" s="767"/>
      <c r="O8" s="767"/>
      <c r="P8" s="767"/>
      <c r="Q8" s="767"/>
      <c r="R8" s="767"/>
      <c r="S8" s="767"/>
      <c r="T8" s="767"/>
      <c r="U8" s="767"/>
      <c r="V8" s="767"/>
      <c r="W8" s="767"/>
    </row>
    <row r="9" spans="2:23" outlineLevel="1" x14ac:dyDescent="0.25">
      <c r="C9" s="379" t="s">
        <v>13</v>
      </c>
      <c r="D9" s="48" t="s">
        <v>97</v>
      </c>
      <c r="E9" s="413">
        <v>43830</v>
      </c>
      <c r="F9" s="379"/>
      <c r="G9" s="379"/>
      <c r="L9" s="379"/>
      <c r="M9" s="767"/>
      <c r="N9" s="767"/>
      <c r="O9" s="767"/>
      <c r="P9" s="767"/>
      <c r="Q9" s="767"/>
      <c r="R9" s="767"/>
      <c r="S9" s="767"/>
      <c r="T9" s="767"/>
      <c r="U9" s="767"/>
      <c r="V9" s="767"/>
      <c r="W9" s="767"/>
    </row>
    <row r="10" spans="2:23" outlineLevel="1" x14ac:dyDescent="0.25">
      <c r="C10" s="379"/>
      <c r="E10" s="379"/>
      <c r="F10" s="379"/>
      <c r="G10" s="2" t="s">
        <v>482</v>
      </c>
      <c r="L10" s="379"/>
      <c r="M10" s="767"/>
      <c r="N10" s="767"/>
      <c r="O10" s="767"/>
      <c r="P10" s="767"/>
      <c r="Q10" s="767"/>
      <c r="R10" s="767"/>
      <c r="S10" s="767"/>
      <c r="T10" s="767"/>
      <c r="U10" s="767"/>
      <c r="V10" s="767"/>
      <c r="W10" s="767"/>
    </row>
    <row r="11" spans="2:23" outlineLevel="1" x14ac:dyDescent="0.25">
      <c r="C11" s="705" t="s">
        <v>483</v>
      </c>
      <c r="D11" s="48" t="s">
        <v>120</v>
      </c>
      <c r="E11" s="3">
        <v>8.52</v>
      </c>
      <c r="F11" s="379"/>
      <c r="L11" s="379"/>
      <c r="M11" s="767"/>
      <c r="N11" s="767"/>
      <c r="O11" s="767"/>
      <c r="P11" s="767"/>
      <c r="Q11" s="767"/>
      <c r="R11" s="767"/>
      <c r="S11" s="767"/>
      <c r="T11" s="767"/>
      <c r="U11" s="767"/>
      <c r="V11" s="767"/>
      <c r="W11" s="767"/>
    </row>
    <row r="12" spans="2:23" outlineLevel="1" x14ac:dyDescent="0.25">
      <c r="C12" s="379" t="s">
        <v>19</v>
      </c>
      <c r="D12" s="39" t="s">
        <v>32</v>
      </c>
      <c r="E12" s="148">
        <v>0.22</v>
      </c>
      <c r="F12" s="379"/>
      <c r="G12" s="392"/>
      <c r="H12" s="392"/>
      <c r="I12" s="66" t="s">
        <v>10</v>
      </c>
      <c r="J12" s="66" t="s">
        <v>9</v>
      </c>
      <c r="K12" s="392"/>
      <c r="L12" s="379"/>
      <c r="M12" s="767"/>
      <c r="N12" s="767"/>
      <c r="O12" s="767"/>
      <c r="P12" s="767"/>
      <c r="Q12" s="767"/>
      <c r="R12" s="767"/>
      <c r="S12" s="767"/>
      <c r="T12" s="767"/>
      <c r="U12" s="767"/>
      <c r="V12" s="767"/>
      <c r="W12" s="767"/>
    </row>
    <row r="13" spans="2:23" outlineLevel="1" x14ac:dyDescent="0.25">
      <c r="C13" s="379"/>
      <c r="D13" s="379"/>
      <c r="E13" s="379"/>
      <c r="F13" s="379"/>
      <c r="G13" s="67" t="s">
        <v>26</v>
      </c>
      <c r="H13" s="393"/>
      <c r="I13" s="67" t="s">
        <v>27</v>
      </c>
      <c r="J13" s="67" t="s">
        <v>28</v>
      </c>
      <c r="K13" s="67" t="s">
        <v>29</v>
      </c>
      <c r="L13" s="379"/>
      <c r="M13" s="767"/>
      <c r="N13" s="767"/>
      <c r="O13" s="767"/>
      <c r="P13" s="767"/>
      <c r="Q13" s="767"/>
      <c r="R13" s="767"/>
      <c r="S13" s="767"/>
      <c r="T13" s="767"/>
      <c r="U13" s="767"/>
      <c r="V13" s="767"/>
      <c r="W13" s="767"/>
    </row>
    <row r="14" spans="2:23" outlineLevel="1" x14ac:dyDescent="0.25">
      <c r="C14" s="380" t="s">
        <v>126</v>
      </c>
      <c r="D14" s="48" t="s">
        <v>125</v>
      </c>
      <c r="E14" s="74">
        <v>168.39451099999999</v>
      </c>
      <c r="F14" s="379"/>
      <c r="G14" s="381" t="s">
        <v>121</v>
      </c>
      <c r="I14" s="62">
        <v>9.3260000000000005</v>
      </c>
      <c r="J14" s="64" t="s">
        <v>31</v>
      </c>
      <c r="K14" s="394">
        <f>+I14</f>
        <v>9.3260000000000005</v>
      </c>
      <c r="L14" s="379"/>
      <c r="M14" s="767"/>
      <c r="N14" s="767"/>
      <c r="O14" s="767"/>
      <c r="P14" s="767"/>
      <c r="Q14" s="767"/>
      <c r="R14" s="767"/>
      <c r="S14" s="767"/>
      <c r="T14" s="767"/>
      <c r="U14" s="767"/>
      <c r="V14" s="767"/>
      <c r="W14" s="767"/>
    </row>
    <row r="15" spans="2:23" outlineLevel="1" x14ac:dyDescent="0.25">
      <c r="C15" s="380" t="s">
        <v>127</v>
      </c>
      <c r="D15" s="48" t="s">
        <v>125</v>
      </c>
      <c r="E15" s="75">
        <f>+SPWR!E14+K15</f>
        <v>177.72051099999999</v>
      </c>
      <c r="F15" s="379"/>
      <c r="G15" s="24" t="s">
        <v>30</v>
      </c>
      <c r="H15" s="384"/>
      <c r="I15" s="63">
        <f>SUM(I14)</f>
        <v>9.3260000000000005</v>
      </c>
      <c r="J15" s="384"/>
      <c r="K15" s="63">
        <f>SUM(K14)</f>
        <v>9.3260000000000005</v>
      </c>
      <c r="L15" s="379"/>
      <c r="M15" s="767"/>
      <c r="N15" s="767"/>
      <c r="O15" s="767"/>
      <c r="P15" s="767"/>
      <c r="Q15" s="767"/>
      <c r="R15" s="767"/>
      <c r="S15" s="767"/>
      <c r="T15" s="767"/>
      <c r="U15" s="767"/>
      <c r="V15" s="767"/>
      <c r="W15" s="767"/>
    </row>
    <row r="16" spans="2:23" outlineLevel="1" x14ac:dyDescent="0.25">
      <c r="E16" s="395"/>
      <c r="F16" s="379"/>
      <c r="G16" s="379"/>
      <c r="L16" s="379"/>
      <c r="M16" s="767"/>
      <c r="N16" s="767"/>
      <c r="O16" s="767"/>
      <c r="P16" s="767"/>
      <c r="Q16" s="767"/>
      <c r="R16" s="767"/>
      <c r="S16" s="767"/>
      <c r="T16" s="767"/>
      <c r="U16" s="767"/>
      <c r="V16" s="767"/>
      <c r="W16" s="767"/>
    </row>
    <row r="17" spans="2:23" outlineLevel="1" x14ac:dyDescent="0.25">
      <c r="C17" s="68" t="s">
        <v>44</v>
      </c>
      <c r="D17" s="162" t="s">
        <v>46</v>
      </c>
      <c r="E17" s="69">
        <f>Parent_Share_Price*Parent_Diluted_Shares</f>
        <v>1514.1787537199998</v>
      </c>
      <c r="F17" s="379"/>
      <c r="G17" s="379"/>
      <c r="L17" s="379"/>
      <c r="M17" s="767"/>
      <c r="N17" s="767"/>
      <c r="O17" s="767"/>
      <c r="P17" s="767"/>
      <c r="Q17" s="767"/>
      <c r="R17" s="767"/>
      <c r="S17" s="767"/>
      <c r="T17" s="767"/>
      <c r="U17" s="767"/>
      <c r="V17" s="767"/>
      <c r="W17" s="767"/>
    </row>
    <row r="18" spans="2:23" outlineLevel="1" x14ac:dyDescent="0.25">
      <c r="C18" s="389" t="s">
        <v>37</v>
      </c>
      <c r="D18" s="37" t="s">
        <v>46</v>
      </c>
      <c r="E18" s="160">
        <f>-F166</f>
        <v>-464.84399999999999</v>
      </c>
      <c r="G18" s="706" t="s">
        <v>489</v>
      </c>
      <c r="K18" s="161">
        <v>344.11700000000002</v>
      </c>
      <c r="L18" s="379"/>
      <c r="M18" s="767"/>
      <c r="N18" s="767"/>
      <c r="O18" s="767"/>
      <c r="P18" s="767"/>
      <c r="Q18" s="767"/>
      <c r="R18" s="767"/>
      <c r="S18" s="767"/>
      <c r="T18" s="767"/>
      <c r="U18" s="767"/>
      <c r="V18" s="767"/>
      <c r="W18" s="767"/>
    </row>
    <row r="19" spans="2:23" outlineLevel="1" x14ac:dyDescent="0.25">
      <c r="C19" s="381" t="s">
        <v>137</v>
      </c>
      <c r="D19" s="37" t="s">
        <v>46</v>
      </c>
      <c r="E19" s="161">
        <v>0</v>
      </c>
      <c r="F19" s="379"/>
      <c r="G19" s="706" t="s">
        <v>490</v>
      </c>
      <c r="K19" s="161">
        <v>446.49299999999999</v>
      </c>
      <c r="L19" s="379"/>
      <c r="M19" s="767"/>
      <c r="N19" s="767"/>
      <c r="O19" s="767"/>
      <c r="P19" s="767"/>
      <c r="Q19" s="767"/>
      <c r="R19" s="767"/>
      <c r="S19" s="767"/>
      <c r="T19" s="767"/>
      <c r="U19" s="767"/>
      <c r="V19" s="767"/>
      <c r="W19" s="767"/>
    </row>
    <row r="20" spans="2:23" outlineLevel="1" x14ac:dyDescent="0.25">
      <c r="C20" s="389" t="s">
        <v>38</v>
      </c>
      <c r="D20" s="37" t="s">
        <v>46</v>
      </c>
      <c r="E20" s="160">
        <f>-F176</f>
        <v>-226.60200000000003</v>
      </c>
      <c r="F20" s="379"/>
      <c r="G20" s="379"/>
      <c r="K20" s="395"/>
      <c r="L20" s="379"/>
      <c r="M20" s="767"/>
      <c r="N20" s="767"/>
      <c r="O20" s="767"/>
      <c r="P20" s="767"/>
      <c r="Q20" s="767"/>
      <c r="R20" s="767"/>
      <c r="S20" s="767"/>
      <c r="T20" s="767"/>
      <c r="U20" s="767"/>
      <c r="V20" s="767"/>
      <c r="W20" s="767"/>
    </row>
    <row r="21" spans="2:23" outlineLevel="1" x14ac:dyDescent="0.25">
      <c r="C21" s="389" t="s">
        <v>39</v>
      </c>
      <c r="D21" s="37" t="s">
        <v>46</v>
      </c>
      <c r="E21" s="161">
        <v>0</v>
      </c>
      <c r="F21" s="379"/>
      <c r="G21" s="379"/>
      <c r="K21" s="395"/>
      <c r="L21" s="379"/>
      <c r="M21" s="767"/>
      <c r="N21" s="767"/>
      <c r="O21" s="767"/>
      <c r="P21" s="767"/>
      <c r="Q21" s="767"/>
      <c r="R21" s="767"/>
      <c r="S21" s="767"/>
      <c r="T21" s="767"/>
      <c r="U21" s="767"/>
      <c r="V21" s="767"/>
      <c r="W21" s="767"/>
    </row>
    <row r="22" spans="2:23" outlineLevel="1" x14ac:dyDescent="0.25">
      <c r="C22" s="389" t="s">
        <v>40</v>
      </c>
      <c r="D22" s="37" t="s">
        <v>46</v>
      </c>
      <c r="E22" s="160">
        <f>-G117*Parent_Tax_Rate*(1-K18/K19)</f>
        <v>-56.317312907481188</v>
      </c>
      <c r="F22" s="379"/>
      <c r="H22" s="381"/>
      <c r="J22" s="62"/>
      <c r="K22" s="64"/>
      <c r="L22" s="379"/>
      <c r="M22" s="767"/>
      <c r="N22" s="767"/>
      <c r="O22" s="767"/>
      <c r="P22" s="767"/>
      <c r="Q22" s="767"/>
      <c r="R22" s="767"/>
      <c r="S22" s="767"/>
      <c r="T22" s="767"/>
      <c r="U22" s="767"/>
      <c r="V22" s="767"/>
      <c r="W22" s="767"/>
    </row>
    <row r="23" spans="2:23" outlineLevel="1" x14ac:dyDescent="0.25">
      <c r="C23" s="389" t="s">
        <v>140</v>
      </c>
      <c r="D23" s="37" t="s">
        <v>46</v>
      </c>
      <c r="E23" s="160">
        <f>719.7+30+190.966</f>
        <v>940.66600000000005</v>
      </c>
      <c r="F23" s="379"/>
      <c r="G23" s="706"/>
      <c r="L23" s="379"/>
      <c r="M23" s="767"/>
      <c r="N23" s="767"/>
      <c r="O23" s="767"/>
      <c r="P23" s="767"/>
      <c r="Q23" s="767"/>
      <c r="R23" s="767"/>
      <c r="S23" s="767"/>
      <c r="T23" s="767"/>
      <c r="U23" s="767"/>
      <c r="V23" s="767"/>
      <c r="W23" s="767"/>
    </row>
    <row r="24" spans="2:23" outlineLevel="1" x14ac:dyDescent="0.25">
      <c r="C24" s="389" t="s">
        <v>41</v>
      </c>
      <c r="D24" s="37" t="s">
        <v>46</v>
      </c>
      <c r="E24" s="161">
        <v>0</v>
      </c>
      <c r="F24" s="379"/>
      <c r="G24" s="379"/>
      <c r="L24" s="379"/>
      <c r="M24" s="767"/>
      <c r="N24" s="767"/>
      <c r="O24" s="767"/>
      <c r="P24" s="767"/>
      <c r="Q24" s="767"/>
      <c r="R24" s="767"/>
      <c r="S24" s="767"/>
      <c r="T24" s="767"/>
      <c r="U24" s="767"/>
      <c r="V24" s="767"/>
      <c r="W24" s="767"/>
    </row>
    <row r="25" spans="2:23" outlineLevel="1" x14ac:dyDescent="0.25">
      <c r="C25" s="381" t="s">
        <v>138</v>
      </c>
      <c r="D25" s="37" t="s">
        <v>46</v>
      </c>
      <c r="E25" s="161">
        <v>0</v>
      </c>
      <c r="F25" s="379"/>
      <c r="G25" s="379"/>
      <c r="L25" s="379"/>
      <c r="M25" s="767"/>
      <c r="N25" s="767"/>
      <c r="O25" s="767"/>
      <c r="P25" s="767"/>
      <c r="Q25" s="767"/>
      <c r="R25" s="767"/>
      <c r="S25" s="767"/>
      <c r="T25" s="767"/>
      <c r="U25" s="767"/>
      <c r="V25" s="767"/>
      <c r="W25" s="767"/>
    </row>
    <row r="26" spans="2:23" outlineLevel="1" x14ac:dyDescent="0.25">
      <c r="C26" s="389" t="s">
        <v>42</v>
      </c>
      <c r="D26" s="37" t="s">
        <v>46</v>
      </c>
      <c r="E26" s="160">
        <f>F197</f>
        <v>11.336</v>
      </c>
      <c r="F26" s="379"/>
      <c r="G26" s="379"/>
      <c r="L26" s="379"/>
      <c r="M26" s="767"/>
      <c r="N26" s="767"/>
      <c r="O26" s="767"/>
      <c r="P26" s="767"/>
      <c r="Q26" s="767"/>
      <c r="R26" s="767"/>
      <c r="S26" s="767"/>
      <c r="T26" s="767"/>
      <c r="U26" s="767"/>
      <c r="V26" s="767"/>
      <c r="W26" s="767"/>
    </row>
    <row r="27" spans="2:23" outlineLevel="1" x14ac:dyDescent="0.25">
      <c r="C27" s="389" t="s">
        <v>139</v>
      </c>
      <c r="D27" s="37" t="s">
        <v>46</v>
      </c>
      <c r="E27" s="161">
        <v>0</v>
      </c>
      <c r="F27" s="379"/>
      <c r="G27" s="379"/>
      <c r="L27" s="379"/>
      <c r="M27" s="767"/>
      <c r="N27" s="767"/>
      <c r="O27" s="767"/>
      <c r="P27" s="767"/>
      <c r="Q27" s="767"/>
      <c r="R27" s="767"/>
      <c r="S27" s="767"/>
      <c r="T27" s="767"/>
      <c r="U27" s="767"/>
      <c r="V27" s="767"/>
      <c r="W27" s="767"/>
    </row>
    <row r="28" spans="2:23" outlineLevel="1" x14ac:dyDescent="0.25">
      <c r="C28" s="70" t="s">
        <v>43</v>
      </c>
      <c r="D28" s="163" t="s">
        <v>46</v>
      </c>
      <c r="E28" s="71">
        <f>SUM(E17:E27)</f>
        <v>1718.4174408125184</v>
      </c>
      <c r="F28" s="379"/>
      <c r="G28" s="379"/>
      <c r="L28" s="379"/>
      <c r="M28" s="767"/>
      <c r="N28" s="767"/>
      <c r="O28" s="767"/>
      <c r="P28" s="767"/>
      <c r="Q28" s="767"/>
      <c r="R28" s="767"/>
      <c r="S28" s="767"/>
      <c r="T28" s="767"/>
      <c r="U28" s="767"/>
      <c r="V28" s="767"/>
      <c r="W28" s="767"/>
    </row>
    <row r="29" spans="2:23" x14ac:dyDescent="0.25">
      <c r="C29" s="379"/>
      <c r="D29" s="379"/>
      <c r="E29" s="55"/>
      <c r="F29" s="379"/>
      <c r="G29" s="379"/>
      <c r="H29" s="379"/>
      <c r="I29" s="379"/>
      <c r="J29" s="379"/>
      <c r="K29" s="379"/>
      <c r="L29" s="379"/>
      <c r="M29" s="767"/>
      <c r="N29" s="767"/>
      <c r="O29" s="767"/>
      <c r="P29" s="767"/>
      <c r="Q29" s="767"/>
      <c r="R29" s="767"/>
      <c r="S29" s="767"/>
      <c r="T29" s="767"/>
      <c r="U29" s="767"/>
      <c r="V29" s="767"/>
      <c r="W29" s="767"/>
    </row>
    <row r="30" spans="2:23" x14ac:dyDescent="0.25">
      <c r="B30" s="28"/>
      <c r="C30" s="29"/>
      <c r="D30" s="29"/>
      <c r="E30" s="33" t="s">
        <v>69</v>
      </c>
      <c r="F30" s="34"/>
      <c r="G30" s="33" t="s">
        <v>70</v>
      </c>
      <c r="H30" s="33"/>
      <c r="I30" s="33"/>
      <c r="J30" s="33"/>
      <c r="K30" s="33"/>
      <c r="M30" s="767"/>
      <c r="N30" s="767"/>
      <c r="O30" s="767"/>
      <c r="P30" s="767"/>
      <c r="Q30" s="767"/>
      <c r="R30" s="767"/>
      <c r="S30" s="767"/>
      <c r="T30" s="767"/>
      <c r="U30" s="767"/>
      <c r="V30" s="767"/>
      <c r="W30" s="767"/>
    </row>
    <row r="31" spans="2:23" x14ac:dyDescent="0.25">
      <c r="B31" s="30" t="s">
        <v>267</v>
      </c>
      <c r="C31" s="31"/>
      <c r="D31" s="36" t="str">
        <f>$D$5</f>
        <v>Units:</v>
      </c>
      <c r="E31" s="32">
        <f>EOMONTH(F31,-12)</f>
        <v>43465</v>
      </c>
      <c r="F31" s="35">
        <f>Parent_Hist_Year</f>
        <v>43830</v>
      </c>
      <c r="G31" s="32">
        <f>EOMONTH(F31,12)</f>
        <v>44196</v>
      </c>
      <c r="H31" s="32">
        <f t="shared" ref="H31:K31" si="0">EOMONTH(G31,12)</f>
        <v>44561</v>
      </c>
      <c r="I31" s="32">
        <f t="shared" si="0"/>
        <v>44926</v>
      </c>
      <c r="J31" s="32">
        <f t="shared" si="0"/>
        <v>45291</v>
      </c>
      <c r="K31" s="32">
        <f t="shared" si="0"/>
        <v>45657</v>
      </c>
      <c r="M31" s="767"/>
      <c r="N31" s="767"/>
      <c r="O31" s="767"/>
      <c r="P31" s="767"/>
      <c r="Q31" s="767"/>
      <c r="R31" s="767"/>
      <c r="S31" s="767"/>
      <c r="T31" s="767"/>
      <c r="U31" s="767"/>
      <c r="V31" s="767"/>
      <c r="W31" s="767"/>
    </row>
    <row r="32" spans="2:23" x14ac:dyDescent="0.25">
      <c r="B32" s="72" t="s">
        <v>134</v>
      </c>
      <c r="C32" s="396"/>
      <c r="D32" s="396"/>
      <c r="E32" s="396"/>
      <c r="F32" s="396"/>
      <c r="G32" s="396"/>
      <c r="H32" s="396"/>
      <c r="I32" s="396"/>
      <c r="J32" s="396"/>
      <c r="K32" s="396"/>
      <c r="M32" s="768"/>
      <c r="N32" s="768"/>
      <c r="O32" s="768"/>
      <c r="P32" s="768"/>
      <c r="Q32" s="768"/>
      <c r="R32" s="768"/>
      <c r="S32" s="768"/>
      <c r="T32" s="768"/>
      <c r="U32" s="768"/>
      <c r="V32" s="767"/>
      <c r="W32" s="767"/>
    </row>
    <row r="33" spans="2:23" outlineLevel="1" x14ac:dyDescent="0.25">
      <c r="B33" s="86"/>
      <c r="C33" s="398" t="s">
        <v>287</v>
      </c>
      <c r="D33" s="37" t="s">
        <v>233</v>
      </c>
      <c r="E33" s="371">
        <v>426.2</v>
      </c>
      <c r="F33" s="372">
        <f>132+60+102+21+100+11+73+15</f>
        <v>514</v>
      </c>
      <c r="G33" s="372">
        <f>+F33*(1+G34)</f>
        <v>436.9</v>
      </c>
      <c r="H33" s="372">
        <f t="shared" ref="H33:K33" si="1">+G33*(1+H34)</f>
        <v>1052.9290000000001</v>
      </c>
      <c r="I33" s="372">
        <f t="shared" si="1"/>
        <v>1310.8966050000001</v>
      </c>
      <c r="J33" s="372">
        <f t="shared" si="1"/>
        <v>1599.2938581000001</v>
      </c>
      <c r="K33" s="372">
        <f t="shared" si="1"/>
        <v>1935.1455683010001</v>
      </c>
      <c r="M33" s="767"/>
      <c r="N33" s="767"/>
      <c r="O33" s="767"/>
      <c r="P33" s="767"/>
      <c r="Q33" s="767"/>
      <c r="R33" s="767"/>
      <c r="S33" s="767"/>
      <c r="T33" s="767"/>
      <c r="U33" s="767"/>
      <c r="V33" s="767"/>
      <c r="W33" s="767"/>
    </row>
    <row r="34" spans="2:23" outlineLevel="1" x14ac:dyDescent="0.25">
      <c r="B34" s="86"/>
      <c r="C34" s="389" t="s">
        <v>118</v>
      </c>
      <c r="D34" s="37" t="s">
        <v>32</v>
      </c>
      <c r="E34" s="4">
        <f>E33/459-1</f>
        <v>-7.1459694989106759E-2</v>
      </c>
      <c r="F34" s="4">
        <f>F33/E33-1</f>
        <v>0.20600656968559372</v>
      </c>
      <c r="G34" s="148">
        <v>-0.15</v>
      </c>
      <c r="H34" s="148">
        <v>1.41</v>
      </c>
      <c r="I34" s="148">
        <v>0.245</v>
      </c>
      <c r="J34" s="148">
        <v>0.22</v>
      </c>
      <c r="K34" s="148">
        <v>0.21</v>
      </c>
      <c r="M34" s="767"/>
      <c r="N34" s="767"/>
      <c r="O34" s="767"/>
      <c r="P34" s="767"/>
      <c r="Q34" s="767"/>
      <c r="R34" s="767"/>
      <c r="S34" s="767"/>
      <c r="T34" s="767"/>
      <c r="U34" s="767"/>
      <c r="V34" s="767"/>
      <c r="W34" s="767"/>
    </row>
    <row r="35" spans="2:23" outlineLevel="1" x14ac:dyDescent="0.25">
      <c r="B35" s="86"/>
      <c r="C35" s="397"/>
      <c r="D35" s="397"/>
      <c r="E35" s="399"/>
      <c r="F35" s="397"/>
      <c r="G35" s="397"/>
      <c r="H35" s="397"/>
      <c r="I35" s="397"/>
      <c r="J35" s="397"/>
      <c r="K35" s="397"/>
      <c r="M35" s="767"/>
      <c r="N35" s="767"/>
      <c r="O35" s="767"/>
      <c r="P35" s="767"/>
      <c r="Q35" s="767"/>
      <c r="R35" s="767"/>
      <c r="S35" s="767"/>
      <c r="T35" s="767"/>
      <c r="U35" s="767"/>
      <c r="V35" s="767"/>
      <c r="W35" s="767"/>
    </row>
    <row r="36" spans="2:23" outlineLevel="1" x14ac:dyDescent="0.25">
      <c r="C36" s="400" t="s">
        <v>286</v>
      </c>
      <c r="D36" s="37" t="s">
        <v>235</v>
      </c>
      <c r="E36" s="358">
        <f>+E131/E33</f>
        <v>2.684108399812295</v>
      </c>
      <c r="F36" s="358">
        <f>+F131/F33</f>
        <v>2.2334747081712063</v>
      </c>
      <c r="G36" s="358">
        <f>+F36*(1+G37)</f>
        <v>2.1218009727626459</v>
      </c>
      <c r="H36" s="358">
        <f t="shared" ref="H36" si="2">+G36*(1+H37)</f>
        <v>2.0157109241245137</v>
      </c>
      <c r="I36" s="358">
        <f t="shared" ref="I36" si="3">+H36*(1+I37)</f>
        <v>1.9350824871595331</v>
      </c>
      <c r="J36" s="358">
        <f t="shared" ref="J36" si="4">+I36*(1+J37)</f>
        <v>1.877030012544747</v>
      </c>
      <c r="K36" s="358">
        <f t="shared" ref="K36" si="5">+J36*(1+K37)</f>
        <v>1.8207191121684045</v>
      </c>
      <c r="M36" s="767"/>
      <c r="N36" s="767"/>
      <c r="O36" s="767"/>
      <c r="P36" s="767"/>
      <c r="Q36" s="767"/>
      <c r="R36" s="767"/>
      <c r="S36" s="767"/>
      <c r="T36" s="767"/>
      <c r="U36" s="767"/>
      <c r="V36" s="767"/>
      <c r="W36" s="767"/>
    </row>
    <row r="37" spans="2:23" outlineLevel="1" x14ac:dyDescent="0.25">
      <c r="C37" s="389" t="s">
        <v>118</v>
      </c>
      <c r="D37" s="37" t="s">
        <v>32</v>
      </c>
      <c r="E37" s="4" t="str">
        <f>IFERROR(E36/D36-1,"N/A")</f>
        <v>N/A</v>
      </c>
      <c r="F37" s="4">
        <f>IFERROR(F36/E36-1,"N/A")</f>
        <v>-0.16788952773762877</v>
      </c>
      <c r="G37" s="148">
        <v>-0.05</v>
      </c>
      <c r="H37" s="148">
        <v>-0.05</v>
      </c>
      <c r="I37" s="148">
        <v>-0.04</v>
      </c>
      <c r="J37" s="148">
        <v>-0.03</v>
      </c>
      <c r="K37" s="148">
        <v>-0.03</v>
      </c>
      <c r="M37" s="767"/>
      <c r="N37" s="767"/>
      <c r="O37" s="767"/>
      <c r="P37" s="767"/>
      <c r="Q37" s="767"/>
      <c r="R37" s="767"/>
      <c r="S37" s="767"/>
      <c r="T37" s="767"/>
      <c r="U37" s="767"/>
      <c r="V37" s="767"/>
      <c r="W37" s="767"/>
    </row>
    <row r="38" spans="2:23" outlineLevel="1" x14ac:dyDescent="0.25">
      <c r="C38" s="389"/>
      <c r="D38" s="37"/>
      <c r="E38" s="4"/>
      <c r="F38" s="4"/>
      <c r="G38" s="356"/>
      <c r="H38" s="356"/>
      <c r="I38" s="356"/>
      <c r="J38" s="356"/>
      <c r="K38" s="356"/>
      <c r="M38" s="767"/>
      <c r="N38" s="767"/>
      <c r="O38" s="767"/>
      <c r="P38" s="767"/>
      <c r="Q38" s="767"/>
      <c r="R38" s="767"/>
      <c r="S38" s="767"/>
      <c r="T38" s="767"/>
      <c r="U38" s="767"/>
      <c r="V38" s="767"/>
      <c r="W38" s="767"/>
    </row>
    <row r="39" spans="2:23" outlineLevel="1" x14ac:dyDescent="0.25">
      <c r="C39" s="398" t="s">
        <v>289</v>
      </c>
      <c r="D39" s="37" t="s">
        <v>233</v>
      </c>
      <c r="E39" s="371">
        <v>1392.6</v>
      </c>
      <c r="F39" s="373">
        <f>515+462+505+374</f>
        <v>1856</v>
      </c>
      <c r="G39" s="372">
        <f>+F39*(1+G40)</f>
        <v>1429.1200000000001</v>
      </c>
      <c r="H39" s="372">
        <f t="shared" ref="H39" si="6">+G39*(1+H40)</f>
        <v>1929.3120000000004</v>
      </c>
      <c r="I39" s="372">
        <f t="shared" ref="I39" si="7">+H39*(1+I40)</f>
        <v>2508.1056000000003</v>
      </c>
      <c r="J39" s="372">
        <f t="shared" ref="J39" si="8">+I39*(1+J40)</f>
        <v>3185.2941120000005</v>
      </c>
      <c r="K39" s="372">
        <f t="shared" ref="K39" si="9">+J39*(1+K40)</f>
        <v>3965.691169440001</v>
      </c>
      <c r="M39" s="767"/>
      <c r="N39" s="767"/>
      <c r="O39" s="767"/>
      <c r="P39" s="767"/>
      <c r="Q39" s="767"/>
      <c r="R39" s="767"/>
      <c r="S39" s="767"/>
      <c r="T39" s="767"/>
      <c r="U39" s="767"/>
      <c r="V39" s="767"/>
      <c r="W39" s="767"/>
    </row>
    <row r="40" spans="2:23" outlineLevel="1" x14ac:dyDescent="0.25">
      <c r="C40" s="389" t="s">
        <v>118</v>
      </c>
      <c r="D40" s="37" t="s">
        <v>32</v>
      </c>
      <c r="E40" s="4">
        <f>E39/1444.6-1</f>
        <v>-3.5996123494392962E-2</v>
      </c>
      <c r="F40" s="4">
        <f>F39/E39-1</f>
        <v>0.33275886830389201</v>
      </c>
      <c r="G40" s="148">
        <v>-0.23</v>
      </c>
      <c r="H40" s="148">
        <v>0.35</v>
      </c>
      <c r="I40" s="148">
        <v>0.3</v>
      </c>
      <c r="J40" s="148">
        <v>0.27</v>
      </c>
      <c r="K40" s="148">
        <v>0.245</v>
      </c>
      <c r="M40" s="767"/>
      <c r="N40" s="767"/>
      <c r="O40" s="767"/>
      <c r="P40" s="767"/>
      <c r="Q40" s="767"/>
      <c r="R40" s="767"/>
      <c r="S40" s="767"/>
      <c r="T40" s="767"/>
      <c r="U40" s="767"/>
      <c r="V40" s="767"/>
      <c r="W40" s="767"/>
    </row>
    <row r="41" spans="2:23" outlineLevel="1" x14ac:dyDescent="0.25">
      <c r="C41" s="397"/>
      <c r="D41" s="397"/>
      <c r="E41" s="4"/>
      <c r="F41" s="4"/>
      <c r="G41" s="356"/>
      <c r="H41" s="356"/>
      <c r="I41" s="356"/>
      <c r="J41" s="356"/>
      <c r="K41" s="356"/>
      <c r="M41" s="767"/>
      <c r="N41" s="767"/>
      <c r="O41" s="767"/>
      <c r="P41" s="767"/>
      <c r="Q41" s="767"/>
      <c r="R41" s="767"/>
      <c r="S41" s="767"/>
      <c r="T41" s="767"/>
      <c r="U41" s="767"/>
      <c r="V41" s="767"/>
      <c r="W41" s="767"/>
    </row>
    <row r="42" spans="2:23" outlineLevel="1" x14ac:dyDescent="0.25">
      <c r="C42" s="400" t="s">
        <v>288</v>
      </c>
      <c r="D42" s="37" t="s">
        <v>235</v>
      </c>
      <c r="E42" s="358">
        <f>+E132/E39</f>
        <v>0.76081143185408595</v>
      </c>
      <c r="F42" s="358">
        <f>+F132/F39</f>
        <v>0.70801508620689657</v>
      </c>
      <c r="G42" s="358">
        <f>+F42*(1+G43)</f>
        <v>0.64429372844827593</v>
      </c>
      <c r="H42" s="358">
        <f t="shared" ref="H42" si="10">+G42*(1+H43)</f>
        <v>0.59919316745689655</v>
      </c>
      <c r="I42" s="358">
        <f t="shared" ref="I42" si="11">+H42*(1+I43)</f>
        <v>0.56623754324676723</v>
      </c>
      <c r="J42" s="358">
        <f t="shared" ref="J42" si="12">+I42*(1+J43)</f>
        <v>0.53792566608442882</v>
      </c>
      <c r="K42" s="358">
        <f t="shared" ref="K42" si="13">+J42*(1+K43)</f>
        <v>0.51102938278020738</v>
      </c>
      <c r="M42" s="767"/>
      <c r="N42" s="767"/>
      <c r="O42" s="767"/>
      <c r="P42" s="767"/>
      <c r="Q42" s="767"/>
      <c r="R42" s="767"/>
      <c r="S42" s="767"/>
      <c r="T42" s="767"/>
      <c r="U42" s="767"/>
      <c r="V42" s="767"/>
      <c r="W42" s="767"/>
    </row>
    <row r="43" spans="2:23" outlineLevel="1" x14ac:dyDescent="0.25">
      <c r="C43" s="389" t="s">
        <v>118</v>
      </c>
      <c r="D43" s="37" t="s">
        <v>32</v>
      </c>
      <c r="E43" s="4" t="str">
        <f>IFERROR(E42/D42-1,"N/A")</f>
        <v>N/A</v>
      </c>
      <c r="F43" s="4">
        <f>IFERROR(F42/E42-1,"N/A")</f>
        <v>-6.9394784879251215E-2</v>
      </c>
      <c r="G43" s="148">
        <v>-0.09</v>
      </c>
      <c r="H43" s="148">
        <v>-7.0000000000000007E-2</v>
      </c>
      <c r="I43" s="148">
        <v>-5.5E-2</v>
      </c>
      <c r="J43" s="148">
        <v>-0.05</v>
      </c>
      <c r="K43" s="148">
        <v>-0.05</v>
      </c>
      <c r="M43" s="767"/>
      <c r="N43" s="767"/>
      <c r="O43" s="767"/>
      <c r="P43" s="767"/>
      <c r="Q43" s="767"/>
      <c r="R43" s="767"/>
      <c r="S43" s="767"/>
      <c r="T43" s="767"/>
      <c r="U43" s="767"/>
      <c r="V43" s="767"/>
      <c r="W43" s="767"/>
    </row>
    <row r="44" spans="2:23" outlineLevel="1" x14ac:dyDescent="0.25">
      <c r="M44" s="767"/>
      <c r="N44" s="767"/>
      <c r="O44" s="767"/>
      <c r="P44" s="767"/>
      <c r="Q44" s="767"/>
      <c r="R44" s="767"/>
      <c r="S44" s="767"/>
      <c r="T44" s="767"/>
      <c r="U44" s="767"/>
      <c r="V44" s="767"/>
      <c r="W44" s="767"/>
    </row>
    <row r="45" spans="2:23" outlineLevel="1" x14ac:dyDescent="0.25">
      <c r="C45" s="400" t="s">
        <v>290</v>
      </c>
      <c r="D45" s="37" t="s">
        <v>32</v>
      </c>
      <c r="E45" s="4">
        <f>-E133/SUM(E131:E132)</f>
        <v>0.21665252989258321</v>
      </c>
      <c r="F45" s="4">
        <f>-F133/SUM(F131:F132)</f>
        <v>0.242825787280846</v>
      </c>
      <c r="G45" s="148">
        <v>0.245</v>
      </c>
      <c r="H45" s="148">
        <v>0.25</v>
      </c>
      <c r="I45" s="148">
        <v>0.255</v>
      </c>
      <c r="J45" s="148">
        <v>0.26</v>
      </c>
      <c r="K45" s="148">
        <v>0.26500000000000001</v>
      </c>
      <c r="M45" s="767"/>
      <c r="N45" s="767"/>
      <c r="O45" s="767"/>
      <c r="P45" s="767"/>
      <c r="Q45" s="767"/>
      <c r="R45" s="767"/>
      <c r="S45" s="767"/>
      <c r="T45" s="767"/>
      <c r="U45" s="767"/>
      <c r="V45" s="767"/>
      <c r="W45" s="767"/>
    </row>
    <row r="46" spans="2:23" outlineLevel="1" x14ac:dyDescent="0.25">
      <c r="C46" s="389"/>
      <c r="D46" s="37"/>
      <c r="E46" s="4"/>
      <c r="F46" s="4"/>
      <c r="G46" s="356"/>
      <c r="H46" s="356"/>
      <c r="I46" s="356"/>
      <c r="J46" s="356"/>
      <c r="K46" s="356"/>
      <c r="M46" s="767"/>
      <c r="N46" s="767"/>
      <c r="O46" s="767"/>
      <c r="P46" s="767"/>
      <c r="Q46" s="767"/>
      <c r="R46" s="767"/>
      <c r="S46" s="767"/>
      <c r="T46" s="767"/>
      <c r="U46" s="767"/>
      <c r="V46" s="767"/>
      <c r="W46" s="767"/>
    </row>
    <row r="47" spans="2:23" outlineLevel="1" x14ac:dyDescent="0.25">
      <c r="C47" s="379" t="s">
        <v>291</v>
      </c>
      <c r="D47" s="37" t="s">
        <v>32</v>
      </c>
      <c r="E47" s="4">
        <f>-E135/E131</f>
        <v>0.87579361992085425</v>
      </c>
      <c r="F47" s="4">
        <f t="shared" ref="F47:F48" si="14">-F135/F131</f>
        <v>0.89444828685564359</v>
      </c>
      <c r="G47" s="148">
        <v>0.85</v>
      </c>
      <c r="H47" s="148">
        <v>0.8</v>
      </c>
      <c r="I47" s="148">
        <v>0.78500000000000003</v>
      </c>
      <c r="J47" s="148">
        <v>0.77500000000000002</v>
      </c>
      <c r="K47" s="148">
        <v>0.76500000000000001</v>
      </c>
      <c r="M47" s="767"/>
      <c r="N47" s="767"/>
      <c r="O47" s="767"/>
      <c r="P47" s="767"/>
      <c r="Q47" s="767"/>
      <c r="R47" s="767"/>
      <c r="S47" s="767"/>
      <c r="T47" s="767"/>
      <c r="U47" s="767"/>
      <c r="V47" s="767"/>
      <c r="W47" s="767"/>
    </row>
    <row r="48" spans="2:23" outlineLevel="1" x14ac:dyDescent="0.25">
      <c r="C48" s="379" t="s">
        <v>292</v>
      </c>
      <c r="D48" s="37" t="s">
        <v>32</v>
      </c>
      <c r="E48" s="4">
        <f t="shared" ref="E48" si="15">-E136/E132</f>
        <v>0.98201992249218018</v>
      </c>
      <c r="F48" s="4">
        <f t="shared" si="14"/>
        <v>0.86956233886015732</v>
      </c>
      <c r="G48" s="148">
        <v>0.84</v>
      </c>
      <c r="H48" s="148">
        <v>0.8</v>
      </c>
      <c r="I48" s="148">
        <v>0.77</v>
      </c>
      <c r="J48" s="148">
        <v>0.76</v>
      </c>
      <c r="K48" s="148">
        <v>0.75</v>
      </c>
      <c r="M48" s="767"/>
      <c r="N48" s="767"/>
      <c r="O48" s="767"/>
      <c r="P48" s="767"/>
      <c r="Q48" s="767"/>
      <c r="R48" s="767"/>
      <c r="S48" s="767"/>
      <c r="T48" s="767"/>
      <c r="U48" s="767"/>
      <c r="V48" s="767"/>
      <c r="W48" s="767"/>
    </row>
    <row r="49" spans="2:23" outlineLevel="1" x14ac:dyDescent="0.25">
      <c r="C49" s="379"/>
      <c r="D49" s="379"/>
      <c r="E49" s="379"/>
      <c r="F49" s="379"/>
      <c r="G49" s="379"/>
      <c r="H49" s="379"/>
      <c r="I49" s="379"/>
      <c r="J49" s="379"/>
      <c r="K49" s="379"/>
      <c r="M49" s="767"/>
      <c r="N49" s="767"/>
      <c r="O49" s="767"/>
      <c r="P49" s="767"/>
      <c r="Q49" s="767"/>
      <c r="R49" s="767"/>
      <c r="S49" s="767"/>
      <c r="T49" s="767"/>
      <c r="U49" s="767"/>
      <c r="V49" s="767"/>
      <c r="W49" s="767"/>
    </row>
    <row r="50" spans="2:23" outlineLevel="1" x14ac:dyDescent="0.25">
      <c r="C50" s="400" t="s">
        <v>293</v>
      </c>
      <c r="D50" s="37" t="s">
        <v>32</v>
      </c>
      <c r="E50" s="4">
        <f>-E137/SUM(E135:E136)</f>
        <v>9.3858255379259525E-3</v>
      </c>
      <c r="F50" s="4">
        <f>-F137/SUM(F135:F136)</f>
        <v>0.19874736287527603</v>
      </c>
      <c r="G50" s="148">
        <v>0.20499999999999999</v>
      </c>
      <c r="H50" s="148">
        <v>0.21</v>
      </c>
      <c r="I50" s="148">
        <v>0.215</v>
      </c>
      <c r="J50" s="148">
        <v>0.22</v>
      </c>
      <c r="K50" s="148">
        <v>0.22500000000000001</v>
      </c>
      <c r="M50" s="767"/>
      <c r="N50" s="767"/>
      <c r="O50" s="767"/>
      <c r="P50" s="767"/>
      <c r="Q50" s="767"/>
      <c r="R50" s="767"/>
      <c r="S50" s="767"/>
      <c r="T50" s="767"/>
      <c r="U50" s="767"/>
      <c r="V50" s="767"/>
      <c r="W50" s="767"/>
    </row>
    <row r="51" spans="2:23" outlineLevel="1" x14ac:dyDescent="0.25">
      <c r="C51" s="379"/>
      <c r="D51" s="379"/>
      <c r="E51" s="379"/>
      <c r="F51" s="379"/>
      <c r="G51" s="379"/>
      <c r="H51" s="379"/>
      <c r="I51" s="379"/>
      <c r="J51" s="379"/>
      <c r="K51" s="379"/>
      <c r="M51" s="767"/>
      <c r="N51" s="767"/>
      <c r="O51" s="767"/>
      <c r="P51" s="767"/>
      <c r="Q51" s="767"/>
      <c r="R51" s="767"/>
      <c r="S51" s="767"/>
      <c r="T51" s="767"/>
      <c r="U51" s="767"/>
      <c r="V51" s="767"/>
      <c r="W51" s="767"/>
    </row>
    <row r="52" spans="2:23" outlineLevel="1" x14ac:dyDescent="0.25">
      <c r="C52" s="379" t="s">
        <v>250</v>
      </c>
      <c r="D52" s="37" t="s">
        <v>32</v>
      </c>
      <c r="E52" s="4">
        <f>-E141/E$134</f>
        <v>4.7335444082997072E-2</v>
      </c>
      <c r="F52" s="4">
        <f t="shared" ref="F52:F53" si="16">-F141/F$134</f>
        <v>3.6216121980984048E-2</v>
      </c>
      <c r="G52" s="148">
        <v>4.4999999999999998E-2</v>
      </c>
      <c r="H52" s="148">
        <v>0.04</v>
      </c>
      <c r="I52" s="148">
        <v>3.7999999999999999E-2</v>
      </c>
      <c r="J52" s="148">
        <v>3.7999999999999999E-2</v>
      </c>
      <c r="K52" s="148">
        <v>3.6999999999999998E-2</v>
      </c>
      <c r="M52" s="767"/>
      <c r="N52" s="767"/>
      <c r="O52" s="767"/>
      <c r="P52" s="767"/>
      <c r="Q52" s="767"/>
      <c r="R52" s="767"/>
      <c r="S52" s="767"/>
      <c r="T52" s="767"/>
      <c r="U52" s="767"/>
      <c r="V52" s="767"/>
      <c r="W52" s="767"/>
    </row>
    <row r="53" spans="2:23" outlineLevel="1" x14ac:dyDescent="0.25">
      <c r="C53" s="379" t="s">
        <v>249</v>
      </c>
      <c r="D53" s="37" t="s">
        <v>32</v>
      </c>
      <c r="E53" s="4">
        <f t="shared" ref="E53" si="17">-E142/E$134</f>
        <v>0.15069420103876691</v>
      </c>
      <c r="F53" s="4">
        <f t="shared" si="16"/>
        <v>0.13970577585860072</v>
      </c>
      <c r="G53" s="148">
        <v>0.17</v>
      </c>
      <c r="H53" s="148">
        <v>0.109</v>
      </c>
      <c r="I53" s="148">
        <v>0.10199999999999999</v>
      </c>
      <c r="J53" s="148">
        <v>0.10199999999999999</v>
      </c>
      <c r="K53" s="148">
        <v>0.1</v>
      </c>
      <c r="M53" s="767"/>
      <c r="N53" s="767"/>
      <c r="O53" s="767"/>
      <c r="P53" s="767"/>
      <c r="Q53" s="767"/>
      <c r="R53" s="767"/>
      <c r="S53" s="767"/>
      <c r="T53" s="767"/>
      <c r="U53" s="767"/>
      <c r="V53" s="767"/>
      <c r="W53" s="767"/>
    </row>
    <row r="54" spans="2:23" outlineLevel="1" x14ac:dyDescent="0.25">
      <c r="C54" s="379"/>
      <c r="D54" s="379"/>
      <c r="E54" s="379"/>
      <c r="F54" s="379"/>
      <c r="G54" s="379"/>
      <c r="H54" s="379"/>
      <c r="I54" s="379"/>
      <c r="J54" s="379"/>
      <c r="K54" s="379"/>
      <c r="M54" s="767"/>
      <c r="N54" s="767"/>
      <c r="O54" s="767"/>
      <c r="P54" s="767"/>
      <c r="Q54" s="767"/>
      <c r="R54" s="767"/>
      <c r="S54" s="767"/>
      <c r="T54" s="767"/>
      <c r="U54" s="767"/>
      <c r="V54" s="767"/>
      <c r="W54" s="767"/>
    </row>
    <row r="55" spans="2:23" outlineLevel="1" x14ac:dyDescent="0.25">
      <c r="C55" s="379" t="s">
        <v>144</v>
      </c>
      <c r="D55" s="37" t="s">
        <v>46</v>
      </c>
      <c r="E55" s="155">
        <f>+E150</f>
        <v>55.314</v>
      </c>
      <c r="F55" s="155">
        <f>+F150</f>
        <v>174.73400000000001</v>
      </c>
      <c r="G55" s="154">
        <v>10</v>
      </c>
      <c r="H55" s="156">
        <f>+G55</f>
        <v>10</v>
      </c>
      <c r="I55" s="156">
        <f t="shared" ref="I55:K55" si="18">+H55</f>
        <v>10</v>
      </c>
      <c r="J55" s="156">
        <f t="shared" si="18"/>
        <v>10</v>
      </c>
      <c r="K55" s="156">
        <f t="shared" si="18"/>
        <v>10</v>
      </c>
      <c r="M55" s="767"/>
      <c r="N55" s="767"/>
      <c r="O55" s="767"/>
      <c r="P55" s="767"/>
      <c r="Q55" s="767"/>
      <c r="R55" s="767"/>
      <c r="S55" s="767"/>
      <c r="T55" s="767"/>
      <c r="U55" s="767"/>
      <c r="V55" s="767"/>
      <c r="W55" s="767"/>
    </row>
    <row r="56" spans="2:23" outlineLevel="1" x14ac:dyDescent="0.25">
      <c r="C56" s="379"/>
      <c r="D56" s="379"/>
      <c r="E56" s="379"/>
      <c r="F56" s="379"/>
      <c r="G56" s="379"/>
      <c r="H56" s="379"/>
      <c r="I56" s="379"/>
      <c r="J56" s="379"/>
      <c r="K56" s="379"/>
      <c r="M56" s="767"/>
      <c r="N56" s="767"/>
      <c r="O56" s="767"/>
      <c r="P56" s="767"/>
      <c r="Q56" s="767"/>
      <c r="R56" s="767"/>
      <c r="S56" s="767"/>
      <c r="T56" s="767"/>
      <c r="U56" s="767"/>
      <c r="V56" s="767"/>
      <c r="W56" s="767"/>
    </row>
    <row r="57" spans="2:23" outlineLevel="1" x14ac:dyDescent="0.25">
      <c r="C57" s="379" t="s">
        <v>19</v>
      </c>
      <c r="D57" s="37" t="s">
        <v>32</v>
      </c>
      <c r="E57" s="4">
        <f>-E152/E151</f>
        <v>-1.1238818210446316E-3</v>
      </c>
      <c r="F57" s="4">
        <f>-F152/F151</f>
        <v>1.0255314232901949</v>
      </c>
      <c r="G57" s="153">
        <f>Parent_Tax_Rate</f>
        <v>0.22</v>
      </c>
      <c r="H57" s="153">
        <f>Parent_Tax_Rate</f>
        <v>0.22</v>
      </c>
      <c r="I57" s="153">
        <f>Parent_Tax_Rate</f>
        <v>0.22</v>
      </c>
      <c r="J57" s="153">
        <f>Parent_Tax_Rate</f>
        <v>0.22</v>
      </c>
      <c r="K57" s="153">
        <f>Parent_Tax_Rate</f>
        <v>0.22</v>
      </c>
      <c r="M57" s="767"/>
      <c r="N57" s="767"/>
      <c r="O57" s="767"/>
      <c r="P57" s="767"/>
      <c r="Q57" s="767"/>
      <c r="R57" s="767"/>
      <c r="S57" s="767"/>
      <c r="T57" s="767"/>
      <c r="U57" s="767"/>
      <c r="V57" s="767"/>
      <c r="W57" s="767"/>
    </row>
    <row r="58" spans="2:23" outlineLevel="1" x14ac:dyDescent="0.25">
      <c r="C58" s="379"/>
      <c r="D58" s="379"/>
      <c r="E58" s="379"/>
      <c r="F58" s="379"/>
      <c r="G58" s="379"/>
      <c r="H58" s="379"/>
      <c r="I58" s="379"/>
      <c r="J58" s="379"/>
      <c r="K58" s="379"/>
      <c r="M58" s="767"/>
      <c r="N58" s="767"/>
      <c r="O58" s="767"/>
      <c r="P58" s="767"/>
      <c r="Q58" s="767"/>
      <c r="R58" s="767"/>
      <c r="S58" s="767"/>
      <c r="T58" s="767"/>
      <c r="U58" s="767"/>
      <c r="V58" s="767"/>
      <c r="W58" s="767"/>
    </row>
    <row r="59" spans="2:23" outlineLevel="1" x14ac:dyDescent="0.25">
      <c r="C59" s="400" t="s">
        <v>259</v>
      </c>
      <c r="D59" s="37" t="s">
        <v>46</v>
      </c>
      <c r="E59" s="401">
        <f>+E154</f>
        <v>-17.815000000000001</v>
      </c>
      <c r="F59" s="401">
        <f t="shared" ref="F59:F60" si="19">+F154</f>
        <v>-7.0579999999999998</v>
      </c>
      <c r="G59" s="154">
        <v>2</v>
      </c>
      <c r="H59" s="154">
        <v>4</v>
      </c>
      <c r="I59" s="154">
        <v>5</v>
      </c>
      <c r="J59" s="154">
        <v>8</v>
      </c>
      <c r="K59" s="154">
        <v>12</v>
      </c>
      <c r="M59" s="767"/>
      <c r="N59" s="414"/>
      <c r="O59" s="414"/>
      <c r="P59" s="414"/>
      <c r="Q59" s="414"/>
      <c r="R59" s="414"/>
      <c r="S59" s="767"/>
      <c r="T59" s="767"/>
      <c r="U59" s="767"/>
      <c r="V59" s="767"/>
      <c r="W59" s="767"/>
    </row>
    <row r="60" spans="2:23" outlineLevel="1" x14ac:dyDescent="0.25">
      <c r="C60" s="400" t="s">
        <v>260</v>
      </c>
      <c r="D60" s="37" t="s">
        <v>46</v>
      </c>
      <c r="E60" s="401">
        <f t="shared" ref="E60" si="20">+E155</f>
        <v>106.405</v>
      </c>
      <c r="F60" s="401">
        <f t="shared" si="19"/>
        <v>29.88</v>
      </c>
      <c r="G60" s="154">
        <v>-3</v>
      </c>
      <c r="H60" s="154">
        <v>-3</v>
      </c>
      <c r="I60" s="154">
        <v>-6</v>
      </c>
      <c r="J60" s="154">
        <v>-10</v>
      </c>
      <c r="K60" s="154">
        <v>-15</v>
      </c>
      <c r="M60" s="767"/>
      <c r="N60" s="414"/>
      <c r="O60" s="414"/>
      <c r="P60" s="414"/>
      <c r="Q60" s="414"/>
      <c r="R60" s="414"/>
      <c r="S60" s="767"/>
      <c r="T60" s="767"/>
      <c r="U60" s="767"/>
      <c r="V60" s="767"/>
      <c r="W60" s="767"/>
    </row>
    <row r="61" spans="2:23" x14ac:dyDescent="0.25">
      <c r="C61" s="379"/>
      <c r="D61" s="379"/>
      <c r="E61" s="379"/>
      <c r="F61" s="379"/>
      <c r="G61" s="379"/>
      <c r="H61" s="379"/>
      <c r="I61" s="379"/>
      <c r="J61" s="379"/>
      <c r="K61" s="379"/>
      <c r="M61" s="767"/>
      <c r="N61" s="767"/>
      <c r="O61" s="767"/>
      <c r="P61" s="767"/>
      <c r="Q61" s="767"/>
      <c r="R61" s="767"/>
      <c r="S61" s="767"/>
      <c r="T61" s="767"/>
      <c r="U61" s="767"/>
      <c r="V61" s="767"/>
      <c r="W61" s="767"/>
    </row>
    <row r="62" spans="2:23" x14ac:dyDescent="0.25">
      <c r="B62" s="72" t="s">
        <v>133</v>
      </c>
      <c r="C62" s="396"/>
      <c r="D62" s="495" t="str">
        <f>$D$5</f>
        <v>Units:</v>
      </c>
      <c r="E62" s="388">
        <f>$E$31</f>
        <v>43465</v>
      </c>
      <c r="F62" s="388">
        <f>$F$31</f>
        <v>43830</v>
      </c>
      <c r="G62" s="388">
        <f>$G$31</f>
        <v>44196</v>
      </c>
      <c r="H62" s="388">
        <f>$H$31</f>
        <v>44561</v>
      </c>
      <c r="I62" s="388">
        <f>$I$31</f>
        <v>44926</v>
      </c>
      <c r="J62" s="388">
        <f>$J$31</f>
        <v>45291</v>
      </c>
      <c r="K62" s="388">
        <f>$K$31</f>
        <v>45657</v>
      </c>
      <c r="M62" s="768"/>
      <c r="N62" s="768"/>
      <c r="O62" s="768"/>
      <c r="P62" s="768"/>
      <c r="Q62" s="768"/>
      <c r="R62" s="768"/>
      <c r="S62" s="768"/>
      <c r="T62" s="768"/>
      <c r="U62" s="768"/>
      <c r="V62" s="767"/>
      <c r="W62" s="767"/>
    </row>
    <row r="63" spans="2:23" outlineLevel="1" x14ac:dyDescent="0.25">
      <c r="C63" s="379" t="s">
        <v>122</v>
      </c>
      <c r="D63" s="37" t="s">
        <v>32</v>
      </c>
      <c r="E63" s="4">
        <f>+E167/E134</f>
        <v>0.10173600952444403</v>
      </c>
      <c r="F63" s="4">
        <f>+F167/F134</f>
        <v>0.12148533572932449</v>
      </c>
      <c r="G63" s="153">
        <f>AVERAGE(E63:F63)</f>
        <v>0.11161067262688426</v>
      </c>
      <c r="H63" s="153">
        <f>+G63</f>
        <v>0.11161067262688426</v>
      </c>
      <c r="I63" s="153">
        <f t="shared" ref="I63:K65" si="21">+H63</f>
        <v>0.11161067262688426</v>
      </c>
      <c r="J63" s="153">
        <f t="shared" si="21"/>
        <v>0.11161067262688426</v>
      </c>
      <c r="K63" s="153">
        <f t="shared" si="21"/>
        <v>0.11161067262688426</v>
      </c>
      <c r="M63" s="767"/>
      <c r="N63" s="767"/>
      <c r="O63" s="767"/>
      <c r="P63" s="767"/>
      <c r="Q63" s="767"/>
      <c r="R63" s="767"/>
      <c r="S63" s="767"/>
      <c r="T63" s="767"/>
      <c r="U63" s="767"/>
      <c r="V63" s="767"/>
      <c r="W63" s="767"/>
    </row>
    <row r="64" spans="2:23" outlineLevel="1" x14ac:dyDescent="0.25">
      <c r="C64" s="379" t="s">
        <v>251</v>
      </c>
      <c r="D64" s="37" t="s">
        <v>32</v>
      </c>
      <c r="E64" s="4">
        <f>-E168/SUM(E135:E137)</f>
        <v>0.15230880708750544</v>
      </c>
      <c r="F64" s="4">
        <f>-F168/SUM(F135:F137)</f>
        <v>0.20609381471765842</v>
      </c>
      <c r="G64" s="153">
        <f>AVERAGE(E64:F64)</f>
        <v>0.17920131090258193</v>
      </c>
      <c r="H64" s="153">
        <f>+G64</f>
        <v>0.17920131090258193</v>
      </c>
      <c r="I64" s="153">
        <f t="shared" si="21"/>
        <v>0.17920131090258193</v>
      </c>
      <c r="J64" s="153">
        <f t="shared" si="21"/>
        <v>0.17920131090258193</v>
      </c>
      <c r="K64" s="153">
        <f t="shared" si="21"/>
        <v>0.17920131090258193</v>
      </c>
      <c r="M64" s="767"/>
      <c r="N64" s="767"/>
      <c r="O64" s="767"/>
      <c r="P64" s="767"/>
      <c r="Q64" s="767"/>
      <c r="R64" s="767"/>
      <c r="S64" s="767"/>
      <c r="T64" s="767"/>
      <c r="U64" s="767"/>
      <c r="V64" s="767"/>
      <c r="W64" s="767"/>
    </row>
    <row r="65" spans="3:23" outlineLevel="1" x14ac:dyDescent="0.25">
      <c r="C65" s="379" t="s">
        <v>252</v>
      </c>
      <c r="D65" s="37" t="s">
        <v>32</v>
      </c>
      <c r="E65" s="4">
        <f>+E169/E134</f>
        <v>0.13837731050324867</v>
      </c>
      <c r="F65" s="4">
        <f>+F169/F134</f>
        <v>0.18276120103528273</v>
      </c>
      <c r="G65" s="153">
        <f>AVERAGE(E65:F65)</f>
        <v>0.1605692557692657</v>
      </c>
      <c r="H65" s="153">
        <f>+G65</f>
        <v>0.1605692557692657</v>
      </c>
      <c r="I65" s="153">
        <f t="shared" si="21"/>
        <v>0.1605692557692657</v>
      </c>
      <c r="J65" s="153">
        <f t="shared" si="21"/>
        <v>0.1605692557692657</v>
      </c>
      <c r="K65" s="153">
        <f t="shared" si="21"/>
        <v>0.1605692557692657</v>
      </c>
      <c r="M65" s="767"/>
      <c r="N65" s="767"/>
      <c r="O65" s="767"/>
      <c r="P65" s="767"/>
      <c r="Q65" s="767"/>
      <c r="R65" s="767"/>
      <c r="S65" s="767"/>
      <c r="T65" s="767"/>
      <c r="U65" s="767"/>
      <c r="V65" s="767"/>
      <c r="W65" s="767"/>
    </row>
    <row r="66" spans="3:23" outlineLevel="1" x14ac:dyDescent="0.25">
      <c r="C66" s="379"/>
      <c r="D66" s="379"/>
      <c r="E66" s="379"/>
      <c r="F66" s="379"/>
      <c r="G66" s="379"/>
      <c r="H66" s="379"/>
      <c r="I66" s="379"/>
      <c r="J66" s="379"/>
      <c r="K66" s="379"/>
      <c r="M66" s="767"/>
      <c r="N66" s="767"/>
      <c r="O66" s="767"/>
      <c r="P66" s="767"/>
      <c r="Q66" s="767"/>
      <c r="R66" s="767"/>
      <c r="S66" s="767"/>
      <c r="T66" s="767"/>
      <c r="U66" s="767"/>
      <c r="V66" s="767"/>
      <c r="W66" s="767"/>
    </row>
    <row r="67" spans="3:23" outlineLevel="1" x14ac:dyDescent="0.25">
      <c r="C67" s="379" t="s">
        <v>123</v>
      </c>
      <c r="D67" s="37" t="s">
        <v>32</v>
      </c>
      <c r="E67" s="4">
        <f>-E174/E142</f>
        <v>0</v>
      </c>
      <c r="F67" s="4">
        <f>-F174/F142</f>
        <v>0.19681081849003432</v>
      </c>
      <c r="G67" s="153">
        <f>+F67</f>
        <v>0.19681081849003432</v>
      </c>
      <c r="H67" s="153">
        <f t="shared" ref="H67:K67" si="22">+G67</f>
        <v>0.19681081849003432</v>
      </c>
      <c r="I67" s="153">
        <f t="shared" si="22"/>
        <v>0.19681081849003432</v>
      </c>
      <c r="J67" s="153">
        <f t="shared" si="22"/>
        <v>0.19681081849003432</v>
      </c>
      <c r="K67" s="153">
        <f t="shared" si="22"/>
        <v>0.19681081849003432</v>
      </c>
      <c r="M67" s="767"/>
      <c r="N67" s="767"/>
      <c r="O67" s="767"/>
      <c r="P67" s="767"/>
      <c r="Q67" s="767"/>
      <c r="R67" s="767"/>
      <c r="S67" s="767"/>
      <c r="T67" s="767"/>
      <c r="U67" s="767"/>
      <c r="V67" s="767"/>
      <c r="W67" s="767"/>
    </row>
    <row r="68" spans="3:23" outlineLevel="1" x14ac:dyDescent="0.25">
      <c r="C68" s="379"/>
      <c r="D68" s="379"/>
      <c r="E68" s="379"/>
      <c r="F68" s="379"/>
      <c r="G68" s="379"/>
      <c r="H68" s="379"/>
      <c r="I68" s="379"/>
      <c r="J68" s="379"/>
      <c r="K68" s="379"/>
      <c r="M68" s="767"/>
      <c r="N68" s="767"/>
      <c r="O68" s="767"/>
      <c r="P68" s="767"/>
      <c r="Q68" s="767"/>
      <c r="R68" s="767"/>
      <c r="S68" s="767"/>
      <c r="T68" s="767"/>
      <c r="U68" s="767"/>
      <c r="V68" s="767"/>
      <c r="W68" s="767"/>
    </row>
    <row r="69" spans="3:23" outlineLevel="1" x14ac:dyDescent="0.25">
      <c r="C69" s="379" t="s">
        <v>253</v>
      </c>
      <c r="D69" s="37" t="s">
        <v>32</v>
      </c>
      <c r="E69" s="4">
        <f>-E184/SUM(E135:E137)</f>
        <v>0.27719030470065237</v>
      </c>
      <c r="F69" s="4">
        <f>-F184/SUM(F135:F137)</f>
        <v>0.37142125730590453</v>
      </c>
      <c r="G69" s="153">
        <f t="shared" ref="G69:G70" si="23">AVERAGE(E69:F69)</f>
        <v>0.32430578100327845</v>
      </c>
      <c r="H69" s="153">
        <f t="shared" ref="H69:H70" si="24">+G69</f>
        <v>0.32430578100327845</v>
      </c>
      <c r="I69" s="153">
        <f t="shared" ref="I69:I70" si="25">+H69</f>
        <v>0.32430578100327845</v>
      </c>
      <c r="J69" s="153">
        <f t="shared" ref="J69:J70" si="26">+I69</f>
        <v>0.32430578100327845</v>
      </c>
      <c r="K69" s="153">
        <f t="shared" ref="K69:K70" si="27">+J69</f>
        <v>0.32430578100327845</v>
      </c>
      <c r="M69" s="767"/>
      <c r="N69" s="767"/>
      <c r="O69" s="767"/>
      <c r="P69" s="767"/>
      <c r="Q69" s="767"/>
      <c r="R69" s="767"/>
      <c r="S69" s="767"/>
      <c r="T69" s="767"/>
      <c r="U69" s="767"/>
      <c r="V69" s="767"/>
      <c r="W69" s="767"/>
    </row>
    <row r="70" spans="3:23" outlineLevel="1" x14ac:dyDescent="0.25">
      <c r="C70" s="379" t="s">
        <v>254</v>
      </c>
      <c r="D70" s="37" t="s">
        <v>32</v>
      </c>
      <c r="E70" s="4">
        <f>+E185/E134</f>
        <v>0.1179773881355785</v>
      </c>
      <c r="F70" s="4">
        <f>+F185/F134</f>
        <v>0.1104904182703268</v>
      </c>
      <c r="G70" s="153">
        <f t="shared" si="23"/>
        <v>0.11423390320295265</v>
      </c>
      <c r="H70" s="153">
        <f t="shared" si="24"/>
        <v>0.11423390320295265</v>
      </c>
      <c r="I70" s="153">
        <f t="shared" si="25"/>
        <v>0.11423390320295265</v>
      </c>
      <c r="J70" s="153">
        <f t="shared" si="26"/>
        <v>0.11423390320295265</v>
      </c>
      <c r="K70" s="153">
        <f t="shared" si="27"/>
        <v>0.11423390320295265</v>
      </c>
      <c r="M70" s="767"/>
      <c r="N70" s="767"/>
      <c r="O70" s="767"/>
      <c r="P70" s="767"/>
      <c r="Q70" s="767"/>
      <c r="R70" s="767"/>
      <c r="S70" s="767"/>
      <c r="T70" s="767"/>
      <c r="U70" s="767"/>
      <c r="V70" s="767"/>
      <c r="W70" s="767"/>
    </row>
    <row r="71" spans="3:23" outlineLevel="1" x14ac:dyDescent="0.25">
      <c r="C71" s="379"/>
      <c r="D71" s="379"/>
      <c r="E71" s="379"/>
      <c r="F71" s="379"/>
      <c r="G71" s="379"/>
      <c r="H71" s="379"/>
      <c r="I71" s="379"/>
      <c r="J71" s="379"/>
      <c r="K71" s="379"/>
      <c r="M71" s="767"/>
      <c r="N71" s="767"/>
      <c r="O71" s="767"/>
      <c r="P71" s="767"/>
      <c r="Q71" s="767"/>
      <c r="R71" s="767"/>
      <c r="S71" s="767"/>
      <c r="T71" s="767"/>
      <c r="U71" s="767"/>
      <c r="V71" s="767"/>
      <c r="W71" s="767"/>
    </row>
    <row r="72" spans="3:23" outlineLevel="1" x14ac:dyDescent="0.25">
      <c r="C72" s="379" t="s">
        <v>255</v>
      </c>
      <c r="D72" s="37" t="s">
        <v>32</v>
      </c>
      <c r="E72" s="4">
        <f>+E191/E134</f>
        <v>0.48614987095073531</v>
      </c>
      <c r="F72" s="4">
        <f>+F191/F134</f>
        <v>0.10958977591224234</v>
      </c>
      <c r="G72" s="153">
        <f>+F72</f>
        <v>0.10958977591224234</v>
      </c>
      <c r="H72" s="153">
        <f t="shared" ref="H72:K72" si="28">+G72</f>
        <v>0.10958977591224234</v>
      </c>
      <c r="I72" s="153">
        <f t="shared" si="28"/>
        <v>0.10958977591224234</v>
      </c>
      <c r="J72" s="153">
        <f t="shared" si="28"/>
        <v>0.10958977591224234</v>
      </c>
      <c r="K72" s="153">
        <f t="shared" si="28"/>
        <v>0.10958977591224234</v>
      </c>
      <c r="M72" s="767"/>
      <c r="N72" s="767"/>
      <c r="O72" s="767"/>
      <c r="P72" s="767"/>
      <c r="Q72" s="767"/>
      <c r="R72" s="767"/>
      <c r="S72" s="767"/>
      <c r="T72" s="767"/>
      <c r="U72" s="767"/>
      <c r="V72" s="767"/>
      <c r="W72" s="767"/>
    </row>
    <row r="73" spans="3:23" outlineLevel="1" x14ac:dyDescent="0.25">
      <c r="C73" s="379"/>
      <c r="D73" s="379"/>
      <c r="E73" s="379"/>
      <c r="F73" s="379"/>
      <c r="G73" s="379"/>
      <c r="H73" s="379"/>
      <c r="I73" s="379"/>
      <c r="J73" s="379"/>
      <c r="K73" s="379"/>
      <c r="M73" s="767"/>
      <c r="N73" s="767"/>
      <c r="O73" s="767"/>
      <c r="P73" s="767"/>
      <c r="Q73" s="767"/>
      <c r="R73" s="767"/>
      <c r="S73" s="767"/>
      <c r="T73" s="767"/>
      <c r="U73" s="767"/>
      <c r="V73" s="767"/>
      <c r="W73" s="767"/>
    </row>
    <row r="74" spans="3:23" outlineLevel="1" x14ac:dyDescent="0.25">
      <c r="C74" s="379" t="s">
        <v>316</v>
      </c>
      <c r="D74" s="37" t="s">
        <v>46</v>
      </c>
      <c r="E74" s="155">
        <f>E210</f>
        <v>16.899000000000001</v>
      </c>
      <c r="F74" s="155">
        <f>F210</f>
        <v>0</v>
      </c>
      <c r="G74" s="154">
        <v>1</v>
      </c>
      <c r="H74" s="154">
        <v>2</v>
      </c>
      <c r="I74" s="154">
        <v>2.5</v>
      </c>
      <c r="J74" s="154">
        <v>4</v>
      </c>
      <c r="K74" s="154">
        <v>6</v>
      </c>
      <c r="M74" s="767"/>
      <c r="N74" s="767"/>
      <c r="O74" s="767"/>
      <c r="P74" s="767"/>
      <c r="Q74" s="767"/>
      <c r="R74" s="767"/>
      <c r="S74" s="767"/>
      <c r="T74" s="767"/>
      <c r="U74" s="767"/>
      <c r="V74" s="767"/>
      <c r="W74" s="767"/>
    </row>
    <row r="75" spans="3:23" outlineLevel="1" x14ac:dyDescent="0.25">
      <c r="C75" s="409" t="s">
        <v>319</v>
      </c>
      <c r="D75" s="37" t="s">
        <v>46</v>
      </c>
      <c r="E75" s="155">
        <f>E211</f>
        <v>6.375</v>
      </c>
      <c r="F75" s="155">
        <f>F211</f>
        <v>-158.28800000000001</v>
      </c>
      <c r="G75" s="154">
        <v>0</v>
      </c>
      <c r="H75" s="156">
        <f>+G75</f>
        <v>0</v>
      </c>
      <c r="I75" s="156">
        <f t="shared" ref="I75:K75" si="29">+H75</f>
        <v>0</v>
      </c>
      <c r="J75" s="156">
        <f t="shared" si="29"/>
        <v>0</v>
      </c>
      <c r="K75" s="156">
        <f t="shared" si="29"/>
        <v>0</v>
      </c>
      <c r="M75" s="767"/>
      <c r="N75" s="767"/>
      <c r="O75" s="767"/>
      <c r="P75" s="767"/>
      <c r="Q75" s="767"/>
      <c r="R75" s="767"/>
      <c r="S75" s="767"/>
      <c r="T75" s="767"/>
      <c r="U75" s="767"/>
      <c r="V75" s="767"/>
      <c r="W75" s="767"/>
    </row>
    <row r="76" spans="3:23" outlineLevel="1" x14ac:dyDescent="0.25">
      <c r="C76" s="379"/>
      <c r="D76" s="379"/>
      <c r="E76" s="379"/>
      <c r="F76" s="379"/>
      <c r="G76" s="379"/>
      <c r="H76" s="379"/>
      <c r="I76" s="379"/>
      <c r="J76" s="379"/>
      <c r="K76" s="379"/>
      <c r="M76" s="767"/>
      <c r="N76" s="767"/>
      <c r="O76" s="767"/>
      <c r="P76" s="767"/>
      <c r="Q76" s="767"/>
      <c r="R76" s="767"/>
      <c r="S76" s="767"/>
      <c r="T76" s="767"/>
      <c r="U76" s="767"/>
      <c r="V76" s="767"/>
      <c r="W76" s="767"/>
    </row>
    <row r="77" spans="3:23" outlineLevel="1" x14ac:dyDescent="0.25">
      <c r="C77" s="379" t="s">
        <v>130</v>
      </c>
      <c r="D77" s="37" t="s">
        <v>32</v>
      </c>
      <c r="E77" s="4">
        <f>+E212/E$134</f>
        <v>6.8500682179614553E-2</v>
      </c>
      <c r="F77" s="4">
        <f>+F212/F$134</f>
        <v>3.9129396934382915E-2</v>
      </c>
      <c r="G77" s="148">
        <v>5.3999999999999999E-2</v>
      </c>
      <c r="H77" s="148">
        <v>4.2000000000000003E-2</v>
      </c>
      <c r="I77" s="148">
        <v>0.04</v>
      </c>
      <c r="J77" s="148">
        <v>3.7999999999999999E-2</v>
      </c>
      <c r="K77" s="148">
        <v>3.5000000000000003E-2</v>
      </c>
      <c r="M77" s="767"/>
      <c r="N77" s="767"/>
      <c r="O77" s="767"/>
      <c r="P77" s="767"/>
      <c r="Q77" s="767"/>
      <c r="R77" s="767"/>
      <c r="S77" s="767"/>
      <c r="T77" s="767"/>
      <c r="U77" s="767"/>
      <c r="V77" s="767"/>
      <c r="W77" s="767"/>
    </row>
    <row r="78" spans="3:23" outlineLevel="1" x14ac:dyDescent="0.25">
      <c r="C78" s="379" t="s">
        <v>209</v>
      </c>
      <c r="D78" s="37" t="s">
        <v>32</v>
      </c>
      <c r="E78" s="4">
        <f>+E213/E$134</f>
        <v>5.1944139483281523E-3</v>
      </c>
      <c r="F78" s="4">
        <f>+F213/F$134</f>
        <v>3.8273277099062602E-3</v>
      </c>
      <c r="G78" s="148">
        <v>5.0000000000000001E-3</v>
      </c>
      <c r="H78" s="148">
        <v>5.0000000000000001E-3</v>
      </c>
      <c r="I78" s="148">
        <v>4.0000000000000001E-3</v>
      </c>
      <c r="J78" s="148">
        <v>4.0000000000000001E-3</v>
      </c>
      <c r="K78" s="148">
        <v>3.0000000000000001E-3</v>
      </c>
      <c r="M78" s="767"/>
      <c r="N78" s="767"/>
      <c r="O78" s="767"/>
      <c r="P78" s="767"/>
      <c r="Q78" s="767"/>
      <c r="R78" s="767"/>
      <c r="S78" s="767"/>
      <c r="T78" s="767"/>
      <c r="U78" s="767"/>
      <c r="V78" s="767"/>
      <c r="W78" s="767"/>
    </row>
    <row r="79" spans="3:23" outlineLevel="1" x14ac:dyDescent="0.25">
      <c r="C79" s="379"/>
      <c r="D79" s="379"/>
      <c r="E79" s="379"/>
      <c r="F79" s="379"/>
      <c r="G79" s="379"/>
      <c r="H79" s="379"/>
      <c r="I79" s="379"/>
      <c r="J79" s="379"/>
      <c r="K79" s="379"/>
      <c r="M79" s="767"/>
      <c r="N79" s="767"/>
      <c r="O79" s="767"/>
      <c r="P79" s="767"/>
      <c r="Q79" s="767"/>
      <c r="R79" s="767"/>
      <c r="S79" s="767"/>
      <c r="T79" s="767"/>
      <c r="U79" s="767"/>
      <c r="V79" s="767"/>
      <c r="W79" s="767"/>
    </row>
    <row r="80" spans="3:23" outlineLevel="1" x14ac:dyDescent="0.25">
      <c r="C80" s="379" t="s">
        <v>135</v>
      </c>
      <c r="D80" s="37" t="s">
        <v>32</v>
      </c>
      <c r="E80" s="4">
        <f>+E214/E134</f>
        <v>1.5267498414041025E-2</v>
      </c>
      <c r="F80" s="4">
        <f>+F214/F134</f>
        <v>1.4448363260872477E-2</v>
      </c>
      <c r="G80" s="153">
        <f>AVERAGE(E80,F80)</f>
        <v>1.4857930837456752E-2</v>
      </c>
      <c r="H80" s="153">
        <f>+G80</f>
        <v>1.4857930837456752E-2</v>
      </c>
      <c r="I80" s="153">
        <f t="shared" ref="I80:K80" si="30">+H80</f>
        <v>1.4857930837456752E-2</v>
      </c>
      <c r="J80" s="153">
        <f t="shared" si="30"/>
        <v>1.4857930837456752E-2</v>
      </c>
      <c r="K80" s="153">
        <f t="shared" si="30"/>
        <v>1.4857930837456752E-2</v>
      </c>
      <c r="M80" s="767"/>
      <c r="N80" s="767"/>
      <c r="O80" s="767"/>
      <c r="P80" s="767"/>
      <c r="Q80" s="767"/>
      <c r="R80" s="767"/>
      <c r="S80" s="767"/>
      <c r="T80" s="767"/>
      <c r="U80" s="767"/>
      <c r="V80" s="767"/>
      <c r="W80" s="767"/>
    </row>
    <row r="81" spans="2:23" outlineLevel="1" x14ac:dyDescent="0.25">
      <c r="C81" s="379"/>
      <c r="D81" s="37"/>
      <c r="E81" s="4"/>
      <c r="F81" s="4"/>
      <c r="G81" s="157"/>
      <c r="H81" s="157"/>
      <c r="I81" s="157"/>
      <c r="J81" s="157"/>
      <c r="K81" s="157"/>
      <c r="M81" s="767"/>
      <c r="N81" s="767"/>
      <c r="O81" s="767"/>
      <c r="P81" s="767"/>
      <c r="Q81" s="767"/>
      <c r="R81" s="767"/>
      <c r="S81" s="767"/>
      <c r="T81" s="767"/>
      <c r="U81" s="767"/>
      <c r="V81" s="767"/>
      <c r="W81" s="767"/>
    </row>
    <row r="82" spans="2:23" outlineLevel="1" x14ac:dyDescent="0.25">
      <c r="C82" s="408" t="s">
        <v>317</v>
      </c>
      <c r="D82" s="37" t="s">
        <v>46</v>
      </c>
      <c r="E82" s="155">
        <f>+E217</f>
        <v>369.16800000000001</v>
      </c>
      <c r="F82" s="155">
        <f t="shared" ref="F82:F83" si="31">+F217</f>
        <v>0.77700000000000002</v>
      </c>
      <c r="G82" s="154">
        <v>0</v>
      </c>
      <c r="H82" s="156">
        <f>+G82</f>
        <v>0</v>
      </c>
      <c r="I82" s="156">
        <f t="shared" ref="I82:K82" si="32">+H82</f>
        <v>0</v>
      </c>
      <c r="J82" s="156">
        <f t="shared" si="32"/>
        <v>0</v>
      </c>
      <c r="K82" s="156">
        <f t="shared" si="32"/>
        <v>0</v>
      </c>
      <c r="M82" s="767"/>
      <c r="N82" s="767"/>
      <c r="O82" s="767"/>
      <c r="P82" s="767"/>
      <c r="Q82" s="767"/>
      <c r="R82" s="767"/>
      <c r="S82" s="767"/>
      <c r="T82" s="767"/>
      <c r="U82" s="767"/>
      <c r="V82" s="767"/>
      <c r="W82" s="767"/>
    </row>
    <row r="83" spans="2:23" outlineLevel="1" x14ac:dyDescent="0.25">
      <c r="C83" s="408" t="s">
        <v>318</v>
      </c>
      <c r="D83" s="37" t="s">
        <v>46</v>
      </c>
      <c r="E83" s="155">
        <f t="shared" ref="E83" si="33">+E218</f>
        <v>131.64500000000001</v>
      </c>
      <c r="F83" s="155">
        <f t="shared" si="31"/>
        <v>-146.23500000000001</v>
      </c>
      <c r="G83" s="154">
        <v>0</v>
      </c>
      <c r="H83" s="156">
        <f t="shared" ref="H83:K83" si="34">+G83</f>
        <v>0</v>
      </c>
      <c r="I83" s="156">
        <f t="shared" si="34"/>
        <v>0</v>
      </c>
      <c r="J83" s="156">
        <f t="shared" si="34"/>
        <v>0</v>
      </c>
      <c r="K83" s="156">
        <f t="shared" si="34"/>
        <v>0</v>
      </c>
      <c r="M83" s="767"/>
      <c r="N83" s="767"/>
      <c r="O83" s="767"/>
      <c r="P83" s="767"/>
      <c r="Q83" s="767"/>
      <c r="R83" s="767"/>
      <c r="S83" s="767"/>
      <c r="T83" s="767"/>
      <c r="U83" s="767"/>
      <c r="V83" s="767"/>
      <c r="W83" s="767"/>
    </row>
    <row r="84" spans="2:23" outlineLevel="1" x14ac:dyDescent="0.25">
      <c r="C84" s="379"/>
      <c r="D84" s="37"/>
      <c r="E84" s="4"/>
      <c r="F84" s="4"/>
      <c r="G84" s="157"/>
      <c r="H84" s="157"/>
      <c r="I84" s="157"/>
      <c r="J84" s="157"/>
      <c r="K84" s="157"/>
      <c r="M84" s="767"/>
      <c r="N84" s="767"/>
      <c r="O84" s="767"/>
      <c r="P84" s="767"/>
      <c r="Q84" s="767"/>
      <c r="R84" s="767"/>
      <c r="S84" s="767"/>
      <c r="T84" s="767"/>
      <c r="U84" s="767"/>
      <c r="V84" s="767"/>
      <c r="W84" s="767"/>
    </row>
    <row r="85" spans="2:23" outlineLevel="1" x14ac:dyDescent="0.25">
      <c r="C85" s="379" t="s">
        <v>21</v>
      </c>
      <c r="D85" s="37" t="s">
        <v>32</v>
      </c>
      <c r="E85" s="4">
        <f>-E230/E134</f>
        <v>2.6016100018249388E-2</v>
      </c>
      <c r="F85" s="4">
        <f>-F230/F134</f>
        <v>2.5423433330204238E-2</v>
      </c>
      <c r="G85" s="148">
        <v>6.3E-2</v>
      </c>
      <c r="H85" s="148">
        <v>0.08</v>
      </c>
      <c r="I85" s="148">
        <v>6.8000000000000005E-2</v>
      </c>
      <c r="J85" s="148">
        <v>0.05</v>
      </c>
      <c r="K85" s="148">
        <v>4.4999999999999998E-2</v>
      </c>
      <c r="M85" s="767"/>
      <c r="N85" s="767"/>
      <c r="O85" s="767"/>
      <c r="P85" s="767"/>
      <c r="Q85" s="767"/>
      <c r="R85" s="767"/>
      <c r="S85" s="767"/>
      <c r="T85" s="767"/>
      <c r="U85" s="767"/>
      <c r="V85" s="767"/>
      <c r="W85" s="767"/>
    </row>
    <row r="86" spans="2:23" outlineLevel="1" x14ac:dyDescent="0.25">
      <c r="C86" s="379" t="s">
        <v>322</v>
      </c>
      <c r="D86" s="37" t="s">
        <v>46</v>
      </c>
      <c r="E86" s="15">
        <f>E231</f>
        <v>338.541</v>
      </c>
      <c r="F86" s="15">
        <f>F231</f>
        <v>81.161000000000001</v>
      </c>
      <c r="G86" s="154">
        <v>5</v>
      </c>
      <c r="H86" s="156">
        <f>+G86</f>
        <v>5</v>
      </c>
      <c r="I86" s="156">
        <f t="shared" ref="I86:K86" si="35">+H86</f>
        <v>5</v>
      </c>
      <c r="J86" s="156">
        <f t="shared" si="35"/>
        <v>5</v>
      </c>
      <c r="K86" s="156">
        <f t="shared" si="35"/>
        <v>5</v>
      </c>
      <c r="M86" s="767"/>
      <c r="N86" s="767"/>
      <c r="O86" s="767"/>
      <c r="P86" s="767"/>
      <c r="Q86" s="767"/>
      <c r="R86" s="767"/>
      <c r="S86" s="767"/>
      <c r="T86" s="767"/>
      <c r="U86" s="767"/>
      <c r="V86" s="767"/>
      <c r="W86" s="767"/>
    </row>
    <row r="87" spans="2:23" outlineLevel="1" x14ac:dyDescent="0.25">
      <c r="C87" s="409" t="s">
        <v>323</v>
      </c>
      <c r="D87" s="37" t="s">
        <v>32</v>
      </c>
      <c r="E87" s="4">
        <f>-E232/E134</f>
        <v>9.8488776624557888E-3</v>
      </c>
      <c r="F87" s="4">
        <f>-F232/F134</f>
        <v>0</v>
      </c>
      <c r="G87" s="148">
        <v>6.0000000000000001E-3</v>
      </c>
      <c r="H87" s="148">
        <v>7.0000000000000001E-3</v>
      </c>
      <c r="I87" s="148">
        <v>8.0000000000000002E-3</v>
      </c>
      <c r="J87" s="148">
        <v>8.9999999999999993E-3</v>
      </c>
      <c r="K87" s="148">
        <v>0.01</v>
      </c>
      <c r="M87" s="767"/>
      <c r="N87" s="767"/>
      <c r="O87" s="767"/>
      <c r="P87" s="767"/>
      <c r="Q87" s="767"/>
      <c r="R87" s="767"/>
      <c r="S87" s="767"/>
      <c r="T87" s="767"/>
      <c r="U87" s="767"/>
      <c r="V87" s="767"/>
      <c r="W87" s="767"/>
    </row>
    <row r="88" spans="2:23" outlineLevel="1" x14ac:dyDescent="0.25">
      <c r="C88" s="379" t="s">
        <v>258</v>
      </c>
      <c r="D88" s="37" t="s">
        <v>32</v>
      </c>
      <c r="E88" s="4">
        <f>-E233/E134</f>
        <v>8.5088509546169498E-3</v>
      </c>
      <c r="F88" s="4">
        <f>-F233/F134</f>
        <v>6.6515576177768234E-3</v>
      </c>
      <c r="G88" s="153">
        <f>AVERAGE(E88,F88)</f>
        <v>7.5802042861968866E-3</v>
      </c>
      <c r="H88" s="153">
        <f>+G88</f>
        <v>7.5802042861968866E-3</v>
      </c>
      <c r="I88" s="153">
        <f t="shared" ref="I88:K91" si="36">+H88</f>
        <v>7.5802042861968866E-3</v>
      </c>
      <c r="J88" s="153">
        <f t="shared" si="36"/>
        <v>7.5802042861968866E-3</v>
      </c>
      <c r="K88" s="153">
        <f t="shared" si="36"/>
        <v>7.5802042861968866E-3</v>
      </c>
      <c r="M88" s="767"/>
      <c r="N88" s="767"/>
      <c r="O88" s="767"/>
      <c r="P88" s="767"/>
      <c r="Q88" s="767"/>
      <c r="R88" s="767"/>
      <c r="S88" s="767"/>
      <c r="T88" s="767"/>
      <c r="U88" s="767"/>
      <c r="V88" s="767"/>
      <c r="W88" s="767"/>
    </row>
    <row r="89" spans="2:23" outlineLevel="1" x14ac:dyDescent="0.25">
      <c r="C89" s="379"/>
      <c r="D89" s="379"/>
      <c r="E89" s="379"/>
      <c r="F89" s="379"/>
      <c r="G89" s="379"/>
      <c r="H89" s="379"/>
      <c r="I89" s="379"/>
      <c r="J89" s="379"/>
      <c r="K89" s="379"/>
      <c r="M89" s="767"/>
      <c r="N89" s="767"/>
      <c r="O89" s="767"/>
      <c r="P89" s="767"/>
      <c r="Q89" s="767"/>
      <c r="R89" s="767"/>
      <c r="S89" s="767"/>
      <c r="T89" s="767"/>
      <c r="U89" s="767"/>
      <c r="V89" s="767"/>
      <c r="W89" s="767"/>
    </row>
    <row r="90" spans="2:23" outlineLevel="1" x14ac:dyDescent="0.25">
      <c r="C90" s="408" t="s">
        <v>324</v>
      </c>
      <c r="D90" s="37" t="s">
        <v>32</v>
      </c>
      <c r="E90" s="4">
        <f>-E240/E155</f>
        <v>-1.4210234481462338</v>
      </c>
      <c r="F90" s="4">
        <f>-F240/F155</f>
        <v>-1.1977911646586346</v>
      </c>
      <c r="G90" s="148">
        <v>-0.5</v>
      </c>
      <c r="H90" s="153">
        <f>+G90</f>
        <v>-0.5</v>
      </c>
      <c r="I90" s="153">
        <f t="shared" si="36"/>
        <v>-0.5</v>
      </c>
      <c r="J90" s="153">
        <f t="shared" si="36"/>
        <v>-0.5</v>
      </c>
      <c r="K90" s="153">
        <f t="shared" si="36"/>
        <v>-0.5</v>
      </c>
      <c r="M90" s="767"/>
      <c r="N90" s="767"/>
      <c r="O90" s="767"/>
      <c r="P90" s="767"/>
      <c r="Q90" s="767"/>
      <c r="R90" s="767"/>
      <c r="S90" s="767"/>
      <c r="T90" s="767"/>
      <c r="U90" s="767"/>
      <c r="V90" s="767"/>
      <c r="W90" s="767"/>
    </row>
    <row r="91" spans="2:23" outlineLevel="1" x14ac:dyDescent="0.25">
      <c r="C91" s="408" t="s">
        <v>325</v>
      </c>
      <c r="D91" s="37" t="s">
        <v>32</v>
      </c>
      <c r="E91" s="4">
        <f>E241/E155</f>
        <v>-0.20598656078191813</v>
      </c>
      <c r="F91" s="4">
        <f>F241/F155</f>
        <v>-1.0575635876840697E-2</v>
      </c>
      <c r="G91" s="148">
        <v>-0.1</v>
      </c>
      <c r="H91" s="153">
        <f>+G91</f>
        <v>-0.1</v>
      </c>
      <c r="I91" s="153">
        <f t="shared" si="36"/>
        <v>-0.1</v>
      </c>
      <c r="J91" s="153">
        <f t="shared" si="36"/>
        <v>-0.1</v>
      </c>
      <c r="K91" s="153">
        <f t="shared" si="36"/>
        <v>-0.1</v>
      </c>
      <c r="M91" s="767"/>
      <c r="N91" s="767"/>
      <c r="O91" s="767"/>
      <c r="P91" s="767"/>
      <c r="Q91" s="767"/>
      <c r="R91" s="767"/>
      <c r="S91" s="767"/>
      <c r="T91" s="767"/>
      <c r="U91" s="767"/>
      <c r="V91" s="767"/>
      <c r="W91" s="767"/>
    </row>
    <row r="92" spans="2:23" outlineLevel="1" x14ac:dyDescent="0.25">
      <c r="C92" s="379"/>
      <c r="D92" s="379"/>
      <c r="E92" s="379"/>
      <c r="F92" s="379"/>
      <c r="G92" s="379"/>
      <c r="H92" s="379"/>
      <c r="I92" s="379"/>
      <c r="J92" s="379"/>
      <c r="K92" s="379"/>
      <c r="M92" s="767"/>
      <c r="N92" s="767"/>
      <c r="O92" s="767"/>
      <c r="P92" s="767"/>
      <c r="Q92" s="767"/>
      <c r="R92" s="767"/>
      <c r="S92" s="767"/>
      <c r="T92" s="767"/>
      <c r="U92" s="767"/>
      <c r="V92" s="767"/>
      <c r="W92" s="767"/>
    </row>
    <row r="93" spans="2:23" outlineLevel="1" x14ac:dyDescent="0.25">
      <c r="C93" s="408" t="s">
        <v>65</v>
      </c>
      <c r="D93" s="37" t="s">
        <v>46</v>
      </c>
      <c r="E93" s="401">
        <f>E242</f>
        <v>-5.53</v>
      </c>
      <c r="F93" s="401">
        <f>F242</f>
        <v>-45.979000000000191</v>
      </c>
      <c r="G93" s="156">
        <f>AVERAGE(E93,F93)</f>
        <v>-25.754500000000096</v>
      </c>
      <c r="H93" s="156">
        <f>+G93</f>
        <v>-25.754500000000096</v>
      </c>
      <c r="I93" s="156">
        <f t="shared" ref="I93:K93" si="37">+H93</f>
        <v>-25.754500000000096</v>
      </c>
      <c r="J93" s="156">
        <f t="shared" si="37"/>
        <v>-25.754500000000096</v>
      </c>
      <c r="K93" s="156">
        <f t="shared" si="37"/>
        <v>-25.754500000000096</v>
      </c>
      <c r="M93" s="767"/>
      <c r="N93" s="767"/>
      <c r="O93" s="767"/>
      <c r="P93" s="767"/>
      <c r="Q93" s="767"/>
      <c r="R93" s="767"/>
      <c r="S93" s="767"/>
      <c r="T93" s="767"/>
      <c r="U93" s="767"/>
      <c r="V93" s="767"/>
      <c r="W93" s="767"/>
    </row>
    <row r="94" spans="2:23" x14ac:dyDescent="0.25">
      <c r="C94" s="379"/>
      <c r="D94" s="379"/>
      <c r="E94" s="379"/>
      <c r="F94" s="379"/>
      <c r="G94" s="379"/>
      <c r="H94" s="379"/>
      <c r="I94" s="379"/>
      <c r="J94" s="379"/>
      <c r="K94" s="379"/>
      <c r="M94" s="767"/>
      <c r="N94" s="767"/>
      <c r="O94" s="767"/>
      <c r="P94" s="767"/>
      <c r="Q94" s="767"/>
      <c r="R94" s="767"/>
      <c r="S94" s="767"/>
      <c r="T94" s="767"/>
      <c r="U94" s="767"/>
      <c r="V94" s="767"/>
      <c r="W94" s="767"/>
    </row>
    <row r="95" spans="2:23" x14ac:dyDescent="0.25">
      <c r="B95" s="72" t="s">
        <v>262</v>
      </c>
      <c r="C95" s="396"/>
      <c r="D95" s="495" t="str">
        <f>$D$5</f>
        <v>Units:</v>
      </c>
      <c r="E95" s="388">
        <f>$E$31</f>
        <v>43465</v>
      </c>
      <c r="F95" s="388">
        <f>$F$31</f>
        <v>43830</v>
      </c>
      <c r="G95" s="388">
        <f>$G$31</f>
        <v>44196</v>
      </c>
      <c r="H95" s="388">
        <f>$H$31</f>
        <v>44561</v>
      </c>
      <c r="I95" s="388">
        <f>$I$31</f>
        <v>44926</v>
      </c>
      <c r="J95" s="388">
        <f>$J$31</f>
        <v>45291</v>
      </c>
      <c r="K95" s="388">
        <f>$K$31</f>
        <v>45657</v>
      </c>
      <c r="M95" s="768"/>
      <c r="N95" s="768"/>
      <c r="O95" s="768"/>
      <c r="P95" s="768"/>
      <c r="Q95" s="768"/>
      <c r="R95" s="768"/>
      <c r="S95" s="768"/>
      <c r="T95" s="768"/>
      <c r="U95" s="768"/>
      <c r="V95" s="767"/>
      <c r="W95" s="767"/>
    </row>
    <row r="96" spans="2:23" outlineLevel="1" x14ac:dyDescent="0.25">
      <c r="C96" s="379" t="s">
        <v>142</v>
      </c>
      <c r="D96" s="37" t="s">
        <v>46</v>
      </c>
      <c r="E96" s="155">
        <f>-E237</f>
        <v>583.89200000000005</v>
      </c>
      <c r="F96" s="155">
        <f>-F237</f>
        <v>273.97399999999999</v>
      </c>
      <c r="G96" s="154">
        <v>104.34099999999999</v>
      </c>
      <c r="H96" s="154">
        <v>466.90199999999999</v>
      </c>
      <c r="I96" s="154">
        <v>14.999000000000001</v>
      </c>
      <c r="J96" s="154">
        <v>425.73200000000003</v>
      </c>
      <c r="K96" s="154">
        <v>0.77200000000000002</v>
      </c>
      <c r="M96" s="767"/>
      <c r="N96" s="767"/>
      <c r="O96" s="767"/>
      <c r="P96" s="767"/>
      <c r="Q96" s="767"/>
      <c r="R96" s="767"/>
      <c r="S96" s="767"/>
      <c r="T96" s="767"/>
      <c r="U96" s="767"/>
      <c r="V96" s="767"/>
      <c r="W96" s="767"/>
    </row>
    <row r="97" spans="2:23" outlineLevel="1" x14ac:dyDescent="0.25">
      <c r="C97" s="379" t="s">
        <v>124</v>
      </c>
      <c r="D97" s="37" t="s">
        <v>32</v>
      </c>
      <c r="E97" s="4">
        <f t="shared" ref="E97:F97" si="38">+E98/E96</f>
        <v>0.93507532214861633</v>
      </c>
      <c r="F97" s="4">
        <f t="shared" si="38"/>
        <v>1.6687386394329389</v>
      </c>
      <c r="G97" s="148">
        <v>1.1000000000000001</v>
      </c>
      <c r="H97" s="153">
        <f>+G97</f>
        <v>1.1000000000000001</v>
      </c>
      <c r="I97" s="153">
        <f t="shared" ref="I97:K97" si="39">+H97</f>
        <v>1.1000000000000001</v>
      </c>
      <c r="J97" s="153">
        <f t="shared" si="39"/>
        <v>1.1000000000000001</v>
      </c>
      <c r="K97" s="153">
        <f t="shared" si="39"/>
        <v>1.1000000000000001</v>
      </c>
      <c r="M97" s="767"/>
      <c r="N97" s="767"/>
      <c r="O97" s="767"/>
      <c r="P97" s="767"/>
      <c r="Q97" s="767"/>
      <c r="R97" s="767"/>
      <c r="S97" s="767"/>
      <c r="T97" s="767"/>
      <c r="U97" s="767"/>
      <c r="V97" s="767"/>
      <c r="W97" s="767"/>
    </row>
    <row r="98" spans="2:23" outlineLevel="1" x14ac:dyDescent="0.25">
      <c r="C98" s="379" t="s">
        <v>129</v>
      </c>
      <c r="D98" s="37" t="s">
        <v>46</v>
      </c>
      <c r="E98" s="155">
        <f>+E236</f>
        <v>545.98299999999995</v>
      </c>
      <c r="F98" s="155">
        <f>+F236</f>
        <v>457.19099999999997</v>
      </c>
      <c r="G98" s="84">
        <f>+G96*G97</f>
        <v>114.77510000000001</v>
      </c>
      <c r="H98" s="84">
        <f t="shared" ref="H98:K98" si="40">+H96*H97</f>
        <v>513.59220000000005</v>
      </c>
      <c r="I98" s="84">
        <f t="shared" si="40"/>
        <v>16.498900000000003</v>
      </c>
      <c r="J98" s="84">
        <f t="shared" si="40"/>
        <v>468.30520000000007</v>
      </c>
      <c r="K98" s="84">
        <f t="shared" si="40"/>
        <v>0.84920000000000007</v>
      </c>
      <c r="M98" s="767"/>
      <c r="N98" s="767"/>
      <c r="O98" s="767"/>
      <c r="P98" s="767"/>
      <c r="Q98" s="767"/>
      <c r="R98" s="767"/>
      <c r="S98" s="767"/>
      <c r="T98" s="767"/>
      <c r="U98" s="767"/>
      <c r="V98" s="767"/>
      <c r="W98" s="767"/>
    </row>
    <row r="99" spans="2:23" outlineLevel="1" x14ac:dyDescent="0.25">
      <c r="C99" s="379"/>
      <c r="D99" s="379"/>
      <c r="E99" s="379"/>
      <c r="F99" s="379"/>
      <c r="G99" s="379"/>
      <c r="H99" s="379"/>
      <c r="I99" s="379"/>
      <c r="J99" s="379"/>
      <c r="K99" s="379"/>
      <c r="M99" s="767"/>
      <c r="N99" s="767"/>
      <c r="O99" s="767"/>
      <c r="P99" s="767"/>
      <c r="Q99" s="767"/>
      <c r="R99" s="767"/>
      <c r="S99" s="767"/>
      <c r="T99" s="767"/>
      <c r="U99" s="767"/>
      <c r="V99" s="767"/>
      <c r="W99" s="767"/>
    </row>
    <row r="100" spans="2:23" outlineLevel="1" x14ac:dyDescent="0.25">
      <c r="C100" s="379" t="s">
        <v>311</v>
      </c>
      <c r="D100" s="37" t="s">
        <v>46</v>
      </c>
      <c r="E100" s="390"/>
      <c r="F100" s="390"/>
      <c r="G100" s="390">
        <f>MAXN!G74</f>
        <v>200</v>
      </c>
      <c r="H100" s="390">
        <f>MAXN!H74</f>
        <v>175</v>
      </c>
      <c r="I100" s="390">
        <f>MAXN!I74</f>
        <v>150</v>
      </c>
      <c r="J100" s="390">
        <f>MAXN!J74</f>
        <v>100</v>
      </c>
      <c r="K100" s="390">
        <f>MAXN!K74</f>
        <v>50</v>
      </c>
      <c r="M100" s="767"/>
      <c r="N100" s="767"/>
      <c r="O100" s="767"/>
      <c r="P100" s="767"/>
      <c r="Q100" s="767"/>
      <c r="R100" s="767"/>
      <c r="S100" s="767"/>
      <c r="T100" s="767"/>
      <c r="U100" s="767"/>
      <c r="V100" s="767"/>
      <c r="W100" s="767"/>
    </row>
    <row r="101" spans="2:23" outlineLevel="1" x14ac:dyDescent="0.25">
      <c r="C101" s="379" t="s">
        <v>312</v>
      </c>
      <c r="D101" s="37" t="s">
        <v>32</v>
      </c>
      <c r="E101" s="153">
        <f>1-E102</f>
        <v>0.5</v>
      </c>
      <c r="F101" s="155"/>
      <c r="G101" s="154">
        <v>0</v>
      </c>
      <c r="H101" s="84">
        <f>+H$100*$E101</f>
        <v>87.5</v>
      </c>
      <c r="I101" s="84">
        <f t="shared" ref="I101:K101" si="41">+I$100*$E101</f>
        <v>75</v>
      </c>
      <c r="J101" s="84">
        <f t="shared" si="41"/>
        <v>50</v>
      </c>
      <c r="K101" s="84">
        <f t="shared" si="41"/>
        <v>25</v>
      </c>
      <c r="M101" s="767"/>
      <c r="N101" s="767"/>
      <c r="O101" s="767"/>
      <c r="P101" s="767"/>
      <c r="Q101" s="767"/>
      <c r="R101" s="767"/>
      <c r="S101" s="767"/>
      <c r="T101" s="767"/>
      <c r="U101" s="767"/>
      <c r="V101" s="767"/>
      <c r="W101" s="767"/>
    </row>
    <row r="102" spans="2:23" outlineLevel="1" x14ac:dyDescent="0.25">
      <c r="C102" s="379" t="s">
        <v>315</v>
      </c>
      <c r="D102" s="37" t="s">
        <v>32</v>
      </c>
      <c r="E102" s="148">
        <v>0.5</v>
      </c>
      <c r="F102" s="155"/>
      <c r="G102" s="154">
        <v>199.75992000000005</v>
      </c>
      <c r="H102" s="84">
        <f t="shared" ref="H102:K102" si="42">+H$100*$E102</f>
        <v>87.5</v>
      </c>
      <c r="I102" s="84">
        <f t="shared" si="42"/>
        <v>75</v>
      </c>
      <c r="J102" s="84">
        <f t="shared" si="42"/>
        <v>50</v>
      </c>
      <c r="K102" s="84">
        <f t="shared" si="42"/>
        <v>25</v>
      </c>
      <c r="M102" s="767"/>
      <c r="N102" s="767"/>
      <c r="O102" s="767"/>
      <c r="P102" s="767"/>
      <c r="Q102" s="767"/>
      <c r="R102" s="767"/>
      <c r="S102" s="767"/>
      <c r="T102" s="767"/>
      <c r="U102" s="767"/>
      <c r="V102" s="767"/>
      <c r="W102" s="767"/>
    </row>
    <row r="103" spans="2:23" outlineLevel="1" x14ac:dyDescent="0.25">
      <c r="C103" s="379"/>
      <c r="D103" s="379"/>
      <c r="E103" s="379"/>
      <c r="F103" s="379"/>
      <c r="G103" s="379"/>
      <c r="H103" s="379"/>
      <c r="I103" s="379"/>
      <c r="J103" s="379"/>
      <c r="K103" s="379"/>
      <c r="M103" s="767"/>
      <c r="N103" s="767"/>
      <c r="O103" s="767"/>
      <c r="P103" s="767"/>
      <c r="Q103" s="767"/>
      <c r="R103" s="767"/>
      <c r="S103" s="767"/>
      <c r="T103" s="767"/>
      <c r="U103" s="767"/>
      <c r="V103" s="767"/>
      <c r="W103" s="767"/>
    </row>
    <row r="104" spans="2:23" outlineLevel="1" x14ac:dyDescent="0.25">
      <c r="C104" s="374" t="s">
        <v>298</v>
      </c>
      <c r="D104" s="37" t="s">
        <v>32</v>
      </c>
      <c r="E104" s="4">
        <f>-E148/AVERAGE(1248.3+299.7,E189)</f>
        <v>8.8281858536190638E-2</v>
      </c>
      <c r="F104" s="4">
        <f>-F148/AVERAGE(E189,F189)</f>
        <v>5.5062696733577582E-2</v>
      </c>
      <c r="G104" s="153">
        <f>+F104</f>
        <v>5.5062696733577582E-2</v>
      </c>
      <c r="H104" s="153">
        <f t="shared" ref="H104:K105" si="43">+G104</f>
        <v>5.5062696733577582E-2</v>
      </c>
      <c r="I104" s="153">
        <f t="shared" si="43"/>
        <v>5.5062696733577582E-2</v>
      </c>
      <c r="J104" s="153">
        <f t="shared" si="43"/>
        <v>5.5062696733577582E-2</v>
      </c>
      <c r="K104" s="153">
        <f t="shared" si="43"/>
        <v>5.5062696733577582E-2</v>
      </c>
      <c r="M104" s="767"/>
      <c r="N104" s="767"/>
      <c r="O104" s="767"/>
      <c r="P104" s="767"/>
      <c r="Q104" s="767"/>
      <c r="R104" s="767"/>
      <c r="S104" s="767"/>
      <c r="T104" s="767"/>
      <c r="U104" s="767"/>
      <c r="V104" s="767"/>
      <c r="W104" s="767"/>
    </row>
    <row r="105" spans="2:23" outlineLevel="1" x14ac:dyDescent="0.25">
      <c r="C105" s="374" t="s">
        <v>297</v>
      </c>
      <c r="D105" s="37" t="s">
        <v>32</v>
      </c>
      <c r="E105" s="4">
        <f>-E215/E148</f>
        <v>0.1420781216727926</v>
      </c>
      <c r="F105" s="4">
        <f>-F215/F148</f>
        <v>0.17753453414053566</v>
      </c>
      <c r="G105" s="153">
        <f>AVERAGE(E105,F105)</f>
        <v>0.15980632790666413</v>
      </c>
      <c r="H105" s="153">
        <f t="shared" si="43"/>
        <v>0.15980632790666413</v>
      </c>
      <c r="I105" s="153">
        <f t="shared" si="43"/>
        <v>0.15980632790666413</v>
      </c>
      <c r="J105" s="153">
        <f t="shared" si="43"/>
        <v>0.15980632790666413</v>
      </c>
      <c r="K105" s="153">
        <f t="shared" si="43"/>
        <v>0.15980632790666413</v>
      </c>
      <c r="M105" s="767"/>
      <c r="N105" s="767"/>
      <c r="O105" s="767"/>
      <c r="P105" s="767"/>
      <c r="Q105" s="767"/>
      <c r="R105" s="767"/>
      <c r="S105" s="767"/>
      <c r="T105" s="767"/>
      <c r="U105" s="767"/>
      <c r="V105" s="767"/>
      <c r="W105" s="767"/>
    </row>
    <row r="106" spans="2:23" outlineLevel="1" x14ac:dyDescent="0.25">
      <c r="C106" s="379"/>
      <c r="D106" s="402"/>
      <c r="E106" s="167"/>
      <c r="F106" s="167"/>
      <c r="G106" s="379"/>
      <c r="H106" s="379"/>
      <c r="I106" s="379"/>
      <c r="J106" s="379"/>
      <c r="K106" s="379"/>
      <c r="M106" s="767"/>
      <c r="N106" s="767"/>
      <c r="O106" s="767"/>
      <c r="P106" s="767"/>
      <c r="Q106" s="767"/>
      <c r="R106" s="767"/>
      <c r="S106" s="767"/>
      <c r="T106" s="767"/>
      <c r="U106" s="767"/>
      <c r="V106" s="767"/>
      <c r="W106" s="767"/>
    </row>
    <row r="107" spans="2:23" outlineLevel="1" x14ac:dyDescent="0.25">
      <c r="C107" s="379" t="s">
        <v>143</v>
      </c>
      <c r="D107" s="37" t="s">
        <v>32</v>
      </c>
      <c r="E107" s="4"/>
      <c r="F107" s="4">
        <f>+F149/E166</f>
        <v>7.3082727916952929E-3</v>
      </c>
      <c r="G107" s="148">
        <v>7.0000000000000001E-3</v>
      </c>
      <c r="H107" s="153">
        <f>+G107</f>
        <v>7.0000000000000001E-3</v>
      </c>
      <c r="I107" s="153">
        <f t="shared" ref="I107:K107" si="44">+H107</f>
        <v>7.0000000000000001E-3</v>
      </c>
      <c r="J107" s="153">
        <f t="shared" si="44"/>
        <v>7.0000000000000001E-3</v>
      </c>
      <c r="K107" s="153">
        <f t="shared" si="44"/>
        <v>7.0000000000000001E-3</v>
      </c>
      <c r="M107" s="767"/>
      <c r="N107" s="767"/>
      <c r="O107" s="767"/>
      <c r="P107" s="767"/>
      <c r="Q107" s="767"/>
      <c r="R107" s="767"/>
      <c r="S107" s="767"/>
      <c r="T107" s="767"/>
      <c r="U107" s="767"/>
      <c r="V107" s="767"/>
      <c r="W107" s="767"/>
    </row>
    <row r="108" spans="2:23" x14ac:dyDescent="0.25">
      <c r="C108" s="379"/>
      <c r="D108" s="379"/>
      <c r="E108" s="55"/>
      <c r="F108" s="403"/>
      <c r="G108" s="379"/>
      <c r="H108" s="379"/>
      <c r="I108" s="379"/>
      <c r="J108" s="379"/>
      <c r="K108" s="379"/>
      <c r="M108" s="767"/>
      <c r="N108" s="767"/>
      <c r="O108" s="767"/>
      <c r="P108" s="767"/>
      <c r="Q108" s="767"/>
      <c r="R108" s="767"/>
      <c r="S108" s="767"/>
      <c r="T108" s="767"/>
      <c r="U108" s="767"/>
      <c r="V108" s="767"/>
      <c r="W108" s="767"/>
    </row>
    <row r="109" spans="2:23" x14ac:dyDescent="0.25">
      <c r="B109" s="72" t="s">
        <v>299</v>
      </c>
      <c r="C109" s="170"/>
      <c r="D109" s="495" t="str">
        <f>$D$5</f>
        <v>Units:</v>
      </c>
      <c r="E109" s="388">
        <f>$E$31</f>
        <v>43465</v>
      </c>
      <c r="F109" s="388">
        <f>$F$31</f>
        <v>43830</v>
      </c>
      <c r="G109" s="388">
        <f>$G$31</f>
        <v>44196</v>
      </c>
      <c r="H109" s="388">
        <f>$H$31</f>
        <v>44561</v>
      </c>
      <c r="I109" s="388">
        <f>$I$31</f>
        <v>44926</v>
      </c>
      <c r="J109" s="388">
        <f>$J$31</f>
        <v>45291</v>
      </c>
      <c r="K109" s="388">
        <f>$K$31</f>
        <v>45657</v>
      </c>
      <c r="M109" s="768"/>
      <c r="N109" s="768"/>
      <c r="O109" s="768"/>
      <c r="P109" s="768"/>
      <c r="Q109" s="768"/>
      <c r="R109" s="768"/>
      <c r="S109" s="768"/>
      <c r="T109" s="768"/>
      <c r="U109" s="768"/>
      <c r="V109" s="767"/>
      <c r="W109" s="767"/>
    </row>
    <row r="110" spans="2:23" outlineLevel="1" x14ac:dyDescent="0.25">
      <c r="B110" s="165"/>
      <c r="C110" s="164"/>
      <c r="D110" s="164"/>
      <c r="E110" s="55"/>
      <c r="F110" s="354"/>
      <c r="G110" s="164"/>
      <c r="H110" s="164"/>
      <c r="I110" s="164"/>
      <c r="J110" s="164"/>
      <c r="K110" s="164"/>
      <c r="M110" s="767"/>
      <c r="N110" s="767"/>
      <c r="O110" s="767"/>
      <c r="P110" s="767"/>
      <c r="Q110" s="767"/>
      <c r="R110" s="767"/>
      <c r="S110" s="767"/>
      <c r="T110" s="767"/>
      <c r="U110" s="767"/>
      <c r="V110" s="767"/>
      <c r="W110" s="767"/>
    </row>
    <row r="111" spans="2:23" outlineLevel="1" x14ac:dyDescent="0.25">
      <c r="B111" s="165"/>
      <c r="C111" s="380" t="s">
        <v>300</v>
      </c>
      <c r="D111" s="48" t="s">
        <v>46</v>
      </c>
      <c r="E111" s="755"/>
      <c r="F111" s="755"/>
      <c r="G111" s="755">
        <f>G151</f>
        <v>-190.13787413980131</v>
      </c>
      <c r="H111" s="755">
        <f t="shared" ref="H111:K111" si="45">H151</f>
        <v>-24.777787759199413</v>
      </c>
      <c r="I111" s="755">
        <f t="shared" si="45"/>
        <v>61.367831696688427</v>
      </c>
      <c r="J111" s="755">
        <f t="shared" si="45"/>
        <v>114.26365522237812</v>
      </c>
      <c r="K111" s="755">
        <f t="shared" si="45"/>
        <v>192.92248609220101</v>
      </c>
      <c r="M111" s="767"/>
      <c r="N111" s="767"/>
      <c r="O111" s="767"/>
      <c r="P111" s="767"/>
      <c r="Q111" s="767"/>
      <c r="R111" s="767"/>
      <c r="S111" s="767"/>
      <c r="T111" s="767"/>
      <c r="U111" s="767"/>
      <c r="V111" s="767"/>
      <c r="W111" s="767"/>
    </row>
    <row r="112" spans="2:23" outlineLevel="1" x14ac:dyDescent="0.25">
      <c r="B112" s="165"/>
      <c r="C112" s="381" t="s">
        <v>59</v>
      </c>
      <c r="D112" s="48" t="s">
        <v>46</v>
      </c>
      <c r="E112" s="383"/>
      <c r="F112" s="383"/>
      <c r="G112" s="383">
        <f>+G80*G134</f>
        <v>20.728000119277613</v>
      </c>
      <c r="H112" s="383">
        <f>+H80*H134</f>
        <v>36.533026413173367</v>
      </c>
      <c r="I112" s="383">
        <f>+I80*I134</f>
        <v>43.799294323749592</v>
      </c>
      <c r="J112" s="383">
        <f>+J80*J134</f>
        <v>51.844918867218794</v>
      </c>
      <c r="K112" s="383">
        <f>+K80*K134</f>
        <v>60.608572584270973</v>
      </c>
      <c r="M112" s="767"/>
      <c r="N112" s="767"/>
      <c r="O112" s="767"/>
      <c r="P112" s="767"/>
      <c r="Q112" s="767"/>
      <c r="R112" s="767"/>
      <c r="S112" s="767"/>
      <c r="T112" s="767"/>
      <c r="U112" s="767"/>
      <c r="V112" s="767"/>
      <c r="W112" s="767"/>
    </row>
    <row r="113" spans="2:23" outlineLevel="1" x14ac:dyDescent="0.25">
      <c r="B113" s="165"/>
      <c r="C113" s="381" t="s">
        <v>303</v>
      </c>
      <c r="D113" s="48" t="s">
        <v>46</v>
      </c>
      <c r="E113" s="383"/>
      <c r="F113" s="383"/>
      <c r="G113" s="383">
        <f>+G217</f>
        <v>0</v>
      </c>
      <c r="H113" s="383">
        <f t="shared" ref="H113:K113" si="46">+H217</f>
        <v>0</v>
      </c>
      <c r="I113" s="383">
        <f t="shared" si="46"/>
        <v>0</v>
      </c>
      <c r="J113" s="383">
        <f t="shared" si="46"/>
        <v>0</v>
      </c>
      <c r="K113" s="383">
        <f t="shared" si="46"/>
        <v>0</v>
      </c>
      <c r="M113" s="767"/>
      <c r="N113" s="767"/>
      <c r="O113" s="767"/>
      <c r="P113" s="767"/>
      <c r="Q113" s="767"/>
      <c r="R113" s="767"/>
      <c r="S113" s="767"/>
      <c r="T113" s="767"/>
      <c r="U113" s="767"/>
      <c r="V113" s="767"/>
      <c r="W113" s="767"/>
    </row>
    <row r="114" spans="2:23" outlineLevel="1" x14ac:dyDescent="0.25">
      <c r="B114" s="165"/>
      <c r="C114" s="381" t="s">
        <v>301</v>
      </c>
      <c r="D114" s="48" t="s">
        <v>46</v>
      </c>
      <c r="E114" s="383"/>
      <c r="F114" s="383"/>
      <c r="G114" s="383">
        <f>+G213</f>
        <v>6.9753993157050012</v>
      </c>
      <c r="H114" s="383">
        <f t="shared" ref="H114:K114" si="47">+H213</f>
        <v>12.294116459700376</v>
      </c>
      <c r="I114" s="383">
        <f t="shared" si="47"/>
        <v>11.791492315560346</v>
      </c>
      <c r="J114" s="383">
        <f t="shared" si="47"/>
        <v>13.957507121117585</v>
      </c>
      <c r="K114" s="383">
        <f t="shared" si="47"/>
        <v>12.237620415787063</v>
      </c>
      <c r="M114" s="767"/>
      <c r="N114" s="767"/>
      <c r="O114" s="767"/>
      <c r="P114" s="767"/>
      <c r="Q114" s="767"/>
      <c r="R114" s="767"/>
      <c r="S114" s="767"/>
      <c r="T114" s="767"/>
      <c r="U114" s="767"/>
      <c r="V114" s="767"/>
      <c r="W114" s="767"/>
    </row>
    <row r="115" spans="2:23" outlineLevel="1" x14ac:dyDescent="0.25">
      <c r="B115" s="165"/>
      <c r="C115" s="24" t="s">
        <v>302</v>
      </c>
      <c r="D115" s="382" t="s">
        <v>46</v>
      </c>
      <c r="E115" s="25"/>
      <c r="F115" s="25"/>
      <c r="G115" s="25">
        <f>SUM(G111:G114)</f>
        <v>-162.43447470481868</v>
      </c>
      <c r="H115" s="25">
        <f t="shared" ref="H115:K115" si="48">SUM(H111:H114)</f>
        <v>24.049355113674331</v>
      </c>
      <c r="I115" s="25">
        <f t="shared" si="48"/>
        <v>116.95861833599837</v>
      </c>
      <c r="J115" s="25">
        <f t="shared" si="48"/>
        <v>180.06608121071449</v>
      </c>
      <c r="K115" s="25">
        <f t="shared" si="48"/>
        <v>265.76867909225905</v>
      </c>
      <c r="M115" s="767"/>
      <c r="N115" s="767"/>
      <c r="O115" s="767"/>
      <c r="P115" s="767"/>
      <c r="Q115" s="767"/>
      <c r="R115" s="767"/>
      <c r="S115" s="767"/>
      <c r="T115" s="767"/>
      <c r="U115" s="767"/>
      <c r="V115" s="767"/>
      <c r="W115" s="767"/>
    </row>
    <row r="116" spans="2:23" outlineLevel="1" x14ac:dyDescent="0.25">
      <c r="B116" s="165"/>
      <c r="C116" s="164"/>
      <c r="D116" s="164"/>
      <c r="E116" s="55"/>
      <c r="F116" s="354"/>
      <c r="G116" s="164"/>
      <c r="H116" s="164"/>
      <c r="I116" s="164"/>
      <c r="J116" s="164"/>
      <c r="K116" s="164"/>
      <c r="M116" s="767"/>
      <c r="N116" s="767"/>
      <c r="O116" s="767"/>
      <c r="P116" s="767"/>
      <c r="Q116" s="767"/>
      <c r="R116" s="767"/>
      <c r="S116" s="767"/>
      <c r="T116" s="767"/>
      <c r="U116" s="767"/>
      <c r="V116" s="767"/>
      <c r="W116" s="767"/>
    </row>
    <row r="117" spans="2:23" outlineLevel="1" x14ac:dyDescent="0.25">
      <c r="B117" s="165"/>
      <c r="C117" s="380" t="s">
        <v>304</v>
      </c>
      <c r="D117" s="48" t="s">
        <v>46</v>
      </c>
      <c r="E117" s="55"/>
      <c r="F117" s="354"/>
      <c r="G117" s="387">
        <f>245.617/Parent_Tax_Rate</f>
        <v>1116.4409090909091</v>
      </c>
      <c r="H117" s="383">
        <f>+G120</f>
        <v>1278.8753837957279</v>
      </c>
      <c r="I117" s="383">
        <f t="shared" ref="I117:K117" si="49">+H120</f>
        <v>1254.8260286820534</v>
      </c>
      <c r="J117" s="383">
        <f t="shared" si="49"/>
        <v>1137.8674103460551</v>
      </c>
      <c r="K117" s="383">
        <f t="shared" si="49"/>
        <v>957.80132913534055</v>
      </c>
      <c r="M117" s="767"/>
      <c r="N117" s="767"/>
      <c r="O117" s="767"/>
      <c r="P117" s="767"/>
      <c r="Q117" s="767"/>
      <c r="R117" s="767"/>
      <c r="S117" s="767"/>
      <c r="T117" s="767"/>
      <c r="U117" s="767"/>
      <c r="V117" s="767"/>
      <c r="W117" s="767"/>
    </row>
    <row r="118" spans="2:23" outlineLevel="1" x14ac:dyDescent="0.25">
      <c r="B118" s="165"/>
      <c r="C118" s="381" t="s">
        <v>305</v>
      </c>
      <c r="D118" s="48" t="s">
        <v>46</v>
      </c>
      <c r="E118" s="55"/>
      <c r="F118" s="354"/>
      <c r="G118" s="383">
        <f>MAX(0,-G115)</f>
        <v>162.43447470481868</v>
      </c>
      <c r="H118" s="383">
        <f t="shared" ref="H118:K118" si="50">MAX(0,-H115)</f>
        <v>0</v>
      </c>
      <c r="I118" s="383">
        <f t="shared" si="50"/>
        <v>0</v>
      </c>
      <c r="J118" s="383">
        <f t="shared" si="50"/>
        <v>0</v>
      </c>
      <c r="K118" s="383">
        <f t="shared" si="50"/>
        <v>0</v>
      </c>
    </row>
    <row r="119" spans="2:23" outlineLevel="1" x14ac:dyDescent="0.25">
      <c r="B119" s="165"/>
      <c r="C119" s="381" t="s">
        <v>306</v>
      </c>
      <c r="D119" s="48" t="s">
        <v>46</v>
      </c>
      <c r="E119" s="385"/>
      <c r="F119" s="386"/>
      <c r="G119" s="383">
        <f>-MIN(+G117+G118,MAX(G115,0))</f>
        <v>0</v>
      </c>
      <c r="H119" s="383">
        <f t="shared" ref="H119:K119" si="51">-MIN(+H117+H118,MAX(H115,0))</f>
        <v>-24.049355113674331</v>
      </c>
      <c r="I119" s="383">
        <f t="shared" si="51"/>
        <v>-116.95861833599837</v>
      </c>
      <c r="J119" s="383">
        <f t="shared" si="51"/>
        <v>-180.06608121071449</v>
      </c>
      <c r="K119" s="383">
        <f t="shared" si="51"/>
        <v>-265.76867909225905</v>
      </c>
    </row>
    <row r="120" spans="2:23" outlineLevel="1" x14ac:dyDescent="0.25">
      <c r="B120" s="165"/>
      <c r="C120" s="24" t="s">
        <v>307</v>
      </c>
      <c r="D120" s="382" t="s">
        <v>46</v>
      </c>
      <c r="E120" s="55"/>
      <c r="F120" s="354"/>
      <c r="G120" s="25">
        <f>SUM(G117:G119)</f>
        <v>1278.8753837957279</v>
      </c>
      <c r="H120" s="25">
        <f t="shared" ref="H120:K120" si="52">SUM(H117:H119)</f>
        <v>1254.8260286820534</v>
      </c>
      <c r="I120" s="25">
        <f t="shared" si="52"/>
        <v>1137.8674103460551</v>
      </c>
      <c r="J120" s="25">
        <f t="shared" si="52"/>
        <v>957.80132913534055</v>
      </c>
      <c r="K120" s="25">
        <f t="shared" si="52"/>
        <v>692.0326500430815</v>
      </c>
    </row>
    <row r="121" spans="2:23" outlineLevel="1" x14ac:dyDescent="0.25">
      <c r="B121" s="165"/>
      <c r="C121" s="164"/>
      <c r="D121" s="164"/>
      <c r="E121" s="55"/>
      <c r="F121" s="354"/>
      <c r="G121" s="164"/>
      <c r="H121" s="164"/>
      <c r="I121" s="164"/>
      <c r="J121" s="164"/>
      <c r="K121" s="164"/>
    </row>
    <row r="122" spans="2:23" outlineLevel="1" x14ac:dyDescent="0.25">
      <c r="B122" s="165"/>
      <c r="C122" s="380" t="s">
        <v>308</v>
      </c>
      <c r="D122" s="48" t="s">
        <v>46</v>
      </c>
      <c r="E122" s="383"/>
      <c r="F122" s="383"/>
      <c r="G122" s="383">
        <f>+G115+G119</f>
        <v>-162.43447470481868</v>
      </c>
      <c r="H122" s="383">
        <f t="shared" ref="H122:K122" si="53">+H115+H119</f>
        <v>0</v>
      </c>
      <c r="I122" s="383">
        <f t="shared" si="53"/>
        <v>0</v>
      </c>
      <c r="J122" s="383">
        <f t="shared" si="53"/>
        <v>0</v>
      </c>
      <c r="K122" s="383">
        <f t="shared" si="53"/>
        <v>0</v>
      </c>
    </row>
    <row r="123" spans="2:23" outlineLevel="1" x14ac:dyDescent="0.25">
      <c r="B123" s="165"/>
      <c r="E123" s="164"/>
      <c r="F123" s="164"/>
      <c r="G123" s="164"/>
      <c r="H123" s="164"/>
      <c r="I123" s="164"/>
      <c r="J123" s="164"/>
      <c r="K123" s="164"/>
    </row>
    <row r="124" spans="2:23" outlineLevel="1" x14ac:dyDescent="0.25">
      <c r="B124" s="165"/>
      <c r="C124" s="380" t="s">
        <v>309</v>
      </c>
      <c r="D124" s="48" t="s">
        <v>46</v>
      </c>
      <c r="E124" s="383"/>
      <c r="F124" s="383"/>
      <c r="G124" s="383">
        <f>-MAX(G122,0)*G57</f>
        <v>0</v>
      </c>
      <c r="H124" s="383">
        <f>-MAX(H122,0)*H57</f>
        <v>0</v>
      </c>
      <c r="I124" s="383">
        <f>-MAX(I122,0)*I57</f>
        <v>0</v>
      </c>
      <c r="J124" s="383">
        <f>-MAX(J122,0)*J57</f>
        <v>0</v>
      </c>
      <c r="K124" s="383">
        <f>-MAX(K122,0)*K57</f>
        <v>0</v>
      </c>
    </row>
    <row r="125" spans="2:23" outlineLevel="1" x14ac:dyDescent="0.25">
      <c r="B125" s="165"/>
      <c r="E125" s="164"/>
      <c r="F125" s="164"/>
      <c r="G125" s="164"/>
      <c r="H125" s="164"/>
      <c r="I125" s="164"/>
      <c r="J125" s="164"/>
      <c r="K125" s="164"/>
    </row>
    <row r="126" spans="2:23" outlineLevel="1" x14ac:dyDescent="0.25">
      <c r="B126" s="165"/>
      <c r="C126" s="2" t="s">
        <v>310</v>
      </c>
      <c r="D126" s="48" t="s">
        <v>46</v>
      </c>
      <c r="E126" s="50"/>
      <c r="F126" s="50"/>
      <c r="G126" s="50">
        <f>G124-G152</f>
        <v>-41.83033231075629</v>
      </c>
      <c r="H126" s="50">
        <f t="shared" ref="H126:K126" si="54">H124-H152</f>
        <v>-5.4511133070238706</v>
      </c>
      <c r="I126" s="50">
        <f t="shared" si="54"/>
        <v>13.500922973271454</v>
      </c>
      <c r="J126" s="50">
        <f t="shared" si="54"/>
        <v>25.138004148923187</v>
      </c>
      <c r="K126" s="50">
        <f t="shared" si="54"/>
        <v>42.442946940284223</v>
      </c>
    </row>
    <row r="127" spans="2:23" x14ac:dyDescent="0.25">
      <c r="C127" s="379"/>
      <c r="D127" s="379"/>
      <c r="E127" s="55"/>
      <c r="F127" s="403"/>
      <c r="G127" s="379"/>
      <c r="H127" s="379"/>
      <c r="I127" s="379"/>
      <c r="J127" s="379"/>
      <c r="K127" s="379"/>
    </row>
    <row r="128" spans="2:23" x14ac:dyDescent="0.25">
      <c r="B128" s="28"/>
      <c r="C128" s="29"/>
      <c r="D128" s="29"/>
      <c r="E128" s="33" t="str">
        <f>$E$30</f>
        <v>Historical:</v>
      </c>
      <c r="F128" s="34"/>
      <c r="G128" s="33" t="str">
        <f>$G$30</f>
        <v>Projected:</v>
      </c>
      <c r="H128" s="33"/>
      <c r="I128" s="33"/>
      <c r="J128" s="33"/>
      <c r="K128" s="33"/>
    </row>
    <row r="129" spans="2:23" x14ac:dyDescent="0.25">
      <c r="B129" s="30" t="s">
        <v>268</v>
      </c>
      <c r="C129" s="31"/>
      <c r="D129" s="36" t="str">
        <f>$D$5</f>
        <v>Units:</v>
      </c>
      <c r="E129" s="32">
        <f>$E$31</f>
        <v>43465</v>
      </c>
      <c r="F129" s="35">
        <f>$F$31</f>
        <v>43830</v>
      </c>
      <c r="G129" s="32">
        <f>$G$31</f>
        <v>44196</v>
      </c>
      <c r="H129" s="32">
        <f>$H$31</f>
        <v>44561</v>
      </c>
      <c r="I129" s="32">
        <f>$I$31</f>
        <v>44926</v>
      </c>
      <c r="J129" s="32">
        <f>$J$31</f>
        <v>45291</v>
      </c>
      <c r="K129" s="32">
        <f>$K$31</f>
        <v>45657</v>
      </c>
    </row>
    <row r="130" spans="2:23" outlineLevel="1" x14ac:dyDescent="0.25">
      <c r="B130" s="379"/>
      <c r="C130" s="6" t="s">
        <v>3</v>
      </c>
      <c r="E130" s="370"/>
      <c r="F130" s="370"/>
      <c r="G130" s="404"/>
      <c r="H130" s="404"/>
      <c r="I130" s="404"/>
      <c r="J130" s="404"/>
      <c r="K130" s="404"/>
    </row>
    <row r="131" spans="2:23" outlineLevel="1" x14ac:dyDescent="0.25">
      <c r="B131" s="379"/>
      <c r="C131" s="389" t="s">
        <v>272</v>
      </c>
      <c r="D131" s="37" t="s">
        <v>46</v>
      </c>
      <c r="E131" s="76">
        <v>1143.9670000000001</v>
      </c>
      <c r="F131" s="76">
        <v>1148.0060000000001</v>
      </c>
      <c r="G131" s="150">
        <f>+G33*G36</f>
        <v>927.01484499999992</v>
      </c>
      <c r="H131" s="150">
        <f t="shared" ref="H131:K131" si="55">+H33*H36</f>
        <v>2122.4004876275003</v>
      </c>
      <c r="I131" s="150">
        <f t="shared" si="55"/>
        <v>2536.6930628123882</v>
      </c>
      <c r="J131" s="150">
        <f t="shared" si="55"/>
        <v>3001.9225705321801</v>
      </c>
      <c r="K131" s="150">
        <f t="shared" si="55"/>
        <v>3523.3565210336196</v>
      </c>
      <c r="N131" s="701"/>
      <c r="O131" s="701"/>
      <c r="P131" s="701"/>
      <c r="Q131" s="701"/>
      <c r="R131" s="701"/>
      <c r="S131" s="701"/>
      <c r="T131" s="701"/>
      <c r="U131" s="701"/>
      <c r="V131" s="701"/>
      <c r="W131" s="701"/>
    </row>
    <row r="132" spans="2:23" outlineLevel="1" x14ac:dyDescent="0.25">
      <c r="B132" s="379"/>
      <c r="C132" s="405" t="s">
        <v>273</v>
      </c>
      <c r="D132" s="37" t="s">
        <v>46</v>
      </c>
      <c r="E132" s="18">
        <v>1059.5060000000001</v>
      </c>
      <c r="F132" s="18">
        <v>1314.076</v>
      </c>
      <c r="G132" s="84">
        <f>+G39*G42</f>
        <v>920.77305320000016</v>
      </c>
      <c r="H132" s="84">
        <f t="shared" ref="H132:K132" si="56">+H39*H42</f>
        <v>1156.0305682926003</v>
      </c>
      <c r="I132" s="84">
        <f t="shared" si="56"/>
        <v>1420.1835531474592</v>
      </c>
      <c r="J132" s="84">
        <f t="shared" si="56"/>
        <v>1713.4514568724094</v>
      </c>
      <c r="K132" s="84">
        <f t="shared" si="56"/>
        <v>2026.5847106158426</v>
      </c>
      <c r="N132" s="701"/>
      <c r="O132" s="701"/>
      <c r="P132" s="701"/>
      <c r="Q132" s="701"/>
      <c r="R132" s="701"/>
      <c r="S132" s="701"/>
      <c r="T132" s="701"/>
      <c r="U132" s="701"/>
      <c r="V132" s="701"/>
      <c r="W132" s="701"/>
    </row>
    <row r="133" spans="2:23" outlineLevel="1" x14ac:dyDescent="0.25">
      <c r="B133" s="379"/>
      <c r="C133" s="405" t="s">
        <v>274</v>
      </c>
      <c r="D133" s="37" t="s">
        <v>46</v>
      </c>
      <c r="E133" s="18">
        <v>-477.38799999999998</v>
      </c>
      <c r="F133" s="18">
        <v>-597.85699999999997</v>
      </c>
      <c r="G133" s="84">
        <f>-SUM(G131:G132)*G45</f>
        <v>-452.70803505900005</v>
      </c>
      <c r="H133" s="84">
        <f>-SUM(H131:H132)*H45</f>
        <v>-819.60776398002508</v>
      </c>
      <c r="I133" s="84">
        <f>-SUM(I131:I132)*I45</f>
        <v>-1009.003537069761</v>
      </c>
      <c r="J133" s="84">
        <f>-SUM(J131:J132)*J45</f>
        <v>-1225.9972471251933</v>
      </c>
      <c r="K133" s="84">
        <f>-SUM(K131:K132)*K45</f>
        <v>-1470.7344263871075</v>
      </c>
      <c r="N133" s="701"/>
      <c r="O133" s="701"/>
      <c r="P133" s="701"/>
      <c r="Q133" s="701"/>
      <c r="R133" s="701"/>
      <c r="S133" s="701"/>
      <c r="T133" s="701"/>
      <c r="U133" s="701"/>
      <c r="V133" s="701"/>
      <c r="W133" s="701"/>
    </row>
    <row r="134" spans="2:23" outlineLevel="1" x14ac:dyDescent="0.25">
      <c r="B134" s="379"/>
      <c r="C134" s="24" t="s">
        <v>35</v>
      </c>
      <c r="D134" s="43" t="s">
        <v>46</v>
      </c>
      <c r="E134" s="12">
        <f>SUM(E131:E133)</f>
        <v>1726.085</v>
      </c>
      <c r="F134" s="12">
        <f>SUM(F131:F133)</f>
        <v>1864.2250000000004</v>
      </c>
      <c r="G134" s="12">
        <f>SUM(G131:G133)</f>
        <v>1395.0798631410003</v>
      </c>
      <c r="H134" s="12">
        <f t="shared" ref="H134:K134" si="57">SUM(H131:H133)</f>
        <v>2458.8232919400753</v>
      </c>
      <c r="I134" s="12">
        <f t="shared" si="57"/>
        <v>2947.8730788900862</v>
      </c>
      <c r="J134" s="12">
        <f t="shared" si="57"/>
        <v>3489.3767802793964</v>
      </c>
      <c r="K134" s="12">
        <f t="shared" si="57"/>
        <v>4079.2068052623545</v>
      </c>
      <c r="N134" s="15"/>
      <c r="O134" s="15"/>
      <c r="P134" s="15"/>
      <c r="Q134" s="15"/>
      <c r="R134" s="15"/>
      <c r="S134" s="701"/>
      <c r="T134" s="701"/>
      <c r="U134" s="701"/>
      <c r="V134" s="701"/>
      <c r="W134" s="701"/>
    </row>
    <row r="135" spans="2:23" outlineLevel="1" x14ac:dyDescent="0.25">
      <c r="B135" s="379"/>
      <c r="C135" s="389" t="s">
        <v>275</v>
      </c>
      <c r="D135" s="37" t="s">
        <v>46</v>
      </c>
      <c r="E135" s="18">
        <v>-1001.879</v>
      </c>
      <c r="F135" s="18">
        <v>-1026.8320000000001</v>
      </c>
      <c r="G135" s="15">
        <f t="shared" ref="G135:K136" si="58">-G131*G47</f>
        <v>-787.96261824999988</v>
      </c>
      <c r="H135" s="15">
        <f t="shared" si="58"/>
        <v>-1697.9203901020003</v>
      </c>
      <c r="I135" s="15">
        <f t="shared" si="58"/>
        <v>-1991.3040543077248</v>
      </c>
      <c r="J135" s="15">
        <f t="shared" si="58"/>
        <v>-2326.4899921624396</v>
      </c>
      <c r="K135" s="15">
        <f t="shared" si="58"/>
        <v>-2695.367738590719</v>
      </c>
      <c r="N135" s="701"/>
      <c r="O135" s="702"/>
      <c r="P135" s="702"/>
      <c r="Q135" s="702"/>
      <c r="R135" s="702"/>
      <c r="S135" s="701"/>
      <c r="T135" s="701"/>
      <c r="U135" s="701"/>
      <c r="V135" s="701"/>
      <c r="W135" s="701"/>
    </row>
    <row r="136" spans="2:23" outlineLevel="1" x14ac:dyDescent="0.25">
      <c r="B136" s="379"/>
      <c r="C136" s="389" t="s">
        <v>276</v>
      </c>
      <c r="D136" s="37" t="s">
        <v>46</v>
      </c>
      <c r="E136" s="18">
        <v>-1040.4559999999999</v>
      </c>
      <c r="F136" s="18">
        <v>-1142.671</v>
      </c>
      <c r="G136" s="15">
        <f t="shared" si="58"/>
        <v>-773.44936468800006</v>
      </c>
      <c r="H136" s="15">
        <f t="shared" si="58"/>
        <v>-924.82445463408021</v>
      </c>
      <c r="I136" s="15">
        <f t="shared" si="58"/>
        <v>-1093.5413359235436</v>
      </c>
      <c r="J136" s="15">
        <f t="shared" si="58"/>
        <v>-1302.2231072230311</v>
      </c>
      <c r="K136" s="15">
        <f t="shared" si="58"/>
        <v>-1519.9385329618819</v>
      </c>
      <c r="N136" s="701"/>
      <c r="O136" s="701"/>
      <c r="P136" s="701"/>
      <c r="Q136" s="701"/>
      <c r="R136" s="701"/>
      <c r="S136" s="701"/>
      <c r="T136" s="701"/>
      <c r="U136" s="701"/>
      <c r="V136" s="701"/>
      <c r="W136" s="701"/>
    </row>
    <row r="137" spans="2:23" outlineLevel="1" x14ac:dyDescent="0.25">
      <c r="B137" s="379"/>
      <c r="C137" s="389" t="s">
        <v>277</v>
      </c>
      <c r="D137" s="37" t="s">
        <v>46</v>
      </c>
      <c r="E137" s="18">
        <v>19.169</v>
      </c>
      <c r="F137" s="18">
        <v>431.18299999999999</v>
      </c>
      <c r="G137" s="375">
        <f>-SUM(G135:G136)*G50</f>
        <v>320.08945650228998</v>
      </c>
      <c r="H137" s="375">
        <f>-SUM(H135:H136)*H50</f>
        <v>550.77641739457681</v>
      </c>
      <c r="I137" s="375">
        <f>-SUM(I135:I136)*I50</f>
        <v>663.24175889972275</v>
      </c>
      <c r="J137" s="375">
        <f>-SUM(J135:J136)*J50</f>
        <v>798.31688186480358</v>
      </c>
      <c r="K137" s="375">
        <f>-SUM(K135:K136)*K50</f>
        <v>948.44391109933531</v>
      </c>
      <c r="N137" s="701"/>
      <c r="O137" s="701"/>
      <c r="P137" s="701"/>
      <c r="Q137" s="701"/>
      <c r="R137" s="701"/>
      <c r="S137" s="701"/>
      <c r="T137" s="701"/>
      <c r="U137" s="701"/>
      <c r="V137" s="701"/>
      <c r="W137" s="701"/>
    </row>
    <row r="138" spans="2:23" outlineLevel="1" x14ac:dyDescent="0.25">
      <c r="B138" s="379"/>
      <c r="C138" s="24" t="s">
        <v>99</v>
      </c>
      <c r="D138" s="43" t="s">
        <v>46</v>
      </c>
      <c r="E138" s="12">
        <f>SUM(E134:E137)</f>
        <v>-297.0809999999999</v>
      </c>
      <c r="F138" s="12">
        <f>SUM(F134:F137)</f>
        <v>125.9050000000002</v>
      </c>
      <c r="G138" s="12">
        <f>SUM(G134:G137)</f>
        <v>153.7573367052903</v>
      </c>
      <c r="H138" s="12">
        <f t="shared" ref="H138:K138" si="59">SUM(H134:H137)</f>
        <v>386.85486459857157</v>
      </c>
      <c r="I138" s="12">
        <f t="shared" si="59"/>
        <v>526.26944755854061</v>
      </c>
      <c r="J138" s="12">
        <f t="shared" si="59"/>
        <v>658.98056275872921</v>
      </c>
      <c r="K138" s="12">
        <f t="shared" si="59"/>
        <v>812.34444480908883</v>
      </c>
      <c r="N138" s="15"/>
      <c r="O138" s="15"/>
      <c r="P138" s="15"/>
      <c r="Q138" s="15"/>
      <c r="R138" s="15"/>
      <c r="S138" s="701"/>
      <c r="T138" s="701"/>
      <c r="U138" s="701"/>
      <c r="V138" s="701"/>
      <c r="W138" s="701"/>
    </row>
    <row r="139" spans="2:23" outlineLevel="1" x14ac:dyDescent="0.25">
      <c r="B139" s="379"/>
      <c r="C139" s="6"/>
      <c r="D139" s="37"/>
      <c r="E139" s="8"/>
      <c r="F139" s="8"/>
      <c r="G139" s="8"/>
      <c r="H139" s="8"/>
      <c r="I139" s="8"/>
      <c r="J139" s="8"/>
      <c r="K139" s="8"/>
      <c r="N139" s="703"/>
      <c r="O139" s="703"/>
      <c r="P139" s="703"/>
      <c r="Q139" s="703"/>
      <c r="R139" s="703"/>
      <c r="S139" s="701"/>
      <c r="T139" s="701"/>
      <c r="U139" s="701"/>
      <c r="V139" s="701"/>
      <c r="W139" s="701"/>
    </row>
    <row r="140" spans="2:23" outlineLevel="1" x14ac:dyDescent="0.25">
      <c r="B140" s="379"/>
      <c r="C140" s="6" t="s">
        <v>101</v>
      </c>
      <c r="D140" s="37"/>
      <c r="E140" s="18"/>
      <c r="F140" s="18"/>
      <c r="G140" s="8"/>
      <c r="H140" s="8"/>
      <c r="I140" s="8"/>
      <c r="J140" s="8"/>
      <c r="K140" s="8"/>
      <c r="N140" s="701"/>
      <c r="O140" s="701"/>
      <c r="P140" s="701"/>
      <c r="Q140" s="701"/>
      <c r="R140" s="701"/>
      <c r="S140" s="701"/>
      <c r="T140" s="701"/>
      <c r="U140" s="701"/>
      <c r="V140" s="701"/>
      <c r="W140" s="701"/>
    </row>
    <row r="141" spans="2:23" outlineLevel="1" x14ac:dyDescent="0.25">
      <c r="B141" s="379"/>
      <c r="C141" s="389" t="s">
        <v>224</v>
      </c>
      <c r="D141" s="37" t="s">
        <v>46</v>
      </c>
      <c r="E141" s="18">
        <v>-81.704999999999998</v>
      </c>
      <c r="F141" s="18">
        <v>-67.515000000000001</v>
      </c>
      <c r="G141" s="15">
        <f t="shared" ref="G141:K142" si="60">-G52*G$134</f>
        <v>-62.778593841345007</v>
      </c>
      <c r="H141" s="15">
        <f t="shared" si="60"/>
        <v>-98.35293167760301</v>
      </c>
      <c r="I141" s="15">
        <f t="shared" si="60"/>
        <v>-112.01917699782327</v>
      </c>
      <c r="J141" s="15">
        <f t="shared" si="60"/>
        <v>-132.59631765061707</v>
      </c>
      <c r="K141" s="15">
        <f t="shared" si="60"/>
        <v>-150.9306517947071</v>
      </c>
      <c r="N141" s="701"/>
      <c r="O141" s="701"/>
      <c r="P141" s="701"/>
      <c r="Q141" s="701"/>
      <c r="R141" s="701"/>
      <c r="S141" s="701"/>
      <c r="T141" s="701"/>
      <c r="U141" s="701"/>
      <c r="V141" s="701"/>
      <c r="W141" s="701"/>
    </row>
    <row r="142" spans="2:23" outlineLevel="1" x14ac:dyDescent="0.25">
      <c r="B142" s="379"/>
      <c r="C142" s="389" t="s">
        <v>100</v>
      </c>
      <c r="D142" s="37" t="s">
        <v>46</v>
      </c>
      <c r="E142" s="18">
        <v>-260.11099999999999</v>
      </c>
      <c r="F142" s="18">
        <v>-260.44299999999998</v>
      </c>
      <c r="G142" s="15">
        <f t="shared" si="60"/>
        <v>-237.16357673397007</v>
      </c>
      <c r="H142" s="15">
        <f t="shared" si="60"/>
        <v>-268.01173882146821</v>
      </c>
      <c r="I142" s="15">
        <f t="shared" si="60"/>
        <v>-300.68305404678875</v>
      </c>
      <c r="J142" s="15">
        <f t="shared" si="60"/>
        <v>-355.91643158849843</v>
      </c>
      <c r="K142" s="15">
        <f t="shared" si="60"/>
        <v>-407.92068052623546</v>
      </c>
      <c r="N142" s="701"/>
      <c r="O142" s="701"/>
      <c r="P142" s="701"/>
      <c r="Q142" s="701"/>
      <c r="R142" s="701"/>
      <c r="S142" s="701"/>
      <c r="T142" s="701"/>
      <c r="U142" s="701"/>
      <c r="V142" s="701"/>
      <c r="W142" s="701"/>
    </row>
    <row r="143" spans="2:23" outlineLevel="1" x14ac:dyDescent="0.25">
      <c r="B143" s="379"/>
      <c r="C143" s="389" t="s">
        <v>225</v>
      </c>
      <c r="D143" s="37" t="s">
        <v>46</v>
      </c>
      <c r="E143" s="18">
        <v>-17.497</v>
      </c>
      <c r="F143" s="18">
        <v>-14.11</v>
      </c>
      <c r="G143" s="154">
        <v>0</v>
      </c>
      <c r="H143" s="15">
        <f>+G143</f>
        <v>0</v>
      </c>
      <c r="I143" s="15">
        <f t="shared" ref="I143:K144" si="61">+H143</f>
        <v>0</v>
      </c>
      <c r="J143" s="15">
        <f t="shared" si="61"/>
        <v>0</v>
      </c>
      <c r="K143" s="15">
        <f t="shared" si="61"/>
        <v>0</v>
      </c>
      <c r="N143" s="701"/>
      <c r="O143" s="701"/>
      <c r="P143" s="701"/>
      <c r="Q143" s="701"/>
      <c r="R143" s="701"/>
      <c r="S143" s="701"/>
      <c r="T143" s="701"/>
      <c r="U143" s="701"/>
      <c r="V143" s="701"/>
      <c r="W143" s="701"/>
    </row>
    <row r="144" spans="2:23" outlineLevel="1" x14ac:dyDescent="0.25">
      <c r="B144" s="379"/>
      <c r="C144" s="389" t="s">
        <v>278</v>
      </c>
      <c r="D144" s="38" t="s">
        <v>46</v>
      </c>
      <c r="E144" s="18">
        <v>-192.637</v>
      </c>
      <c r="F144" s="18">
        <v>118.048</v>
      </c>
      <c r="G144" s="154">
        <v>0</v>
      </c>
      <c r="H144" s="15">
        <f>+G144</f>
        <v>0</v>
      </c>
      <c r="I144" s="15">
        <f t="shared" si="61"/>
        <v>0</v>
      </c>
      <c r="J144" s="15">
        <f t="shared" si="61"/>
        <v>0</v>
      </c>
      <c r="K144" s="15">
        <f t="shared" si="61"/>
        <v>0</v>
      </c>
      <c r="N144" s="701"/>
      <c r="O144" s="701"/>
      <c r="P144" s="701"/>
      <c r="Q144" s="701"/>
      <c r="R144" s="701"/>
      <c r="S144" s="701"/>
      <c r="T144" s="701"/>
      <c r="U144" s="701"/>
      <c r="V144" s="701"/>
      <c r="W144" s="701"/>
    </row>
    <row r="145" spans="2:23" outlineLevel="1" x14ac:dyDescent="0.25">
      <c r="B145" s="379"/>
      <c r="C145" s="19" t="s">
        <v>102</v>
      </c>
      <c r="D145" s="37" t="s">
        <v>46</v>
      </c>
      <c r="E145" s="25">
        <f>SUM(E141:E144)</f>
        <v>-551.95000000000005</v>
      </c>
      <c r="F145" s="25">
        <f>SUM(F141:F144)</f>
        <v>-224.01999999999998</v>
      </c>
      <c r="G145" s="25">
        <f t="shared" ref="G145:K145" si="62">SUM(G141:G144)</f>
        <v>-299.94217057531506</v>
      </c>
      <c r="H145" s="25">
        <f t="shared" si="62"/>
        <v>-366.36467049907122</v>
      </c>
      <c r="I145" s="25">
        <f t="shared" si="62"/>
        <v>-412.70223104461201</v>
      </c>
      <c r="J145" s="25">
        <f t="shared" si="62"/>
        <v>-488.51274923911546</v>
      </c>
      <c r="K145" s="25">
        <f t="shared" si="62"/>
        <v>-558.85133232094256</v>
      </c>
      <c r="N145" s="701"/>
      <c r="O145" s="701"/>
      <c r="P145" s="701"/>
      <c r="Q145" s="701"/>
      <c r="R145" s="701"/>
      <c r="S145" s="701"/>
      <c r="T145" s="701"/>
      <c r="U145" s="701"/>
      <c r="V145" s="701"/>
      <c r="W145" s="701"/>
    </row>
    <row r="146" spans="2:23" outlineLevel="1" x14ac:dyDescent="0.25">
      <c r="B146" s="379"/>
      <c r="C146" s="6"/>
      <c r="D146" s="37"/>
      <c r="E146" s="79"/>
      <c r="F146" s="79"/>
      <c r="G146" s="79"/>
      <c r="H146" s="79"/>
      <c r="I146" s="79"/>
      <c r="J146" s="79"/>
      <c r="K146" s="79"/>
      <c r="N146" s="704"/>
      <c r="O146" s="704"/>
      <c r="P146" s="704"/>
      <c r="Q146" s="704"/>
      <c r="R146" s="704"/>
      <c r="S146" s="701"/>
      <c r="T146" s="701"/>
      <c r="U146" s="701"/>
      <c r="V146" s="701"/>
      <c r="W146" s="701"/>
    </row>
    <row r="147" spans="2:23" outlineLevel="1" x14ac:dyDescent="0.25">
      <c r="B147" s="379"/>
      <c r="C147" s="6" t="s">
        <v>0</v>
      </c>
      <c r="D147" s="37" t="s">
        <v>46</v>
      </c>
      <c r="E147" s="13">
        <f>+E138+E145</f>
        <v>-849.03099999999995</v>
      </c>
      <c r="F147" s="13">
        <f>+F138+F145</f>
        <v>-98.114999999999782</v>
      </c>
      <c r="G147" s="13">
        <f t="shared" ref="G147:K147" si="63">+G138+G145</f>
        <v>-146.18483387002476</v>
      </c>
      <c r="H147" s="13">
        <f t="shared" si="63"/>
        <v>20.490194099500343</v>
      </c>
      <c r="I147" s="13">
        <f t="shared" si="63"/>
        <v>113.5672165139286</v>
      </c>
      <c r="J147" s="13">
        <f t="shared" si="63"/>
        <v>170.46781351961374</v>
      </c>
      <c r="K147" s="13">
        <f t="shared" si="63"/>
        <v>253.49311248814627</v>
      </c>
      <c r="N147" s="15"/>
      <c r="O147" s="15"/>
      <c r="P147" s="15"/>
      <c r="Q147" s="15"/>
      <c r="R147" s="15"/>
      <c r="S147" s="701"/>
      <c r="T147" s="701"/>
      <c r="U147" s="701"/>
      <c r="V147" s="701"/>
      <c r="W147" s="701"/>
    </row>
    <row r="148" spans="2:23" outlineLevel="1" x14ac:dyDescent="0.25">
      <c r="B148" s="379"/>
      <c r="C148" s="405" t="s">
        <v>51</v>
      </c>
      <c r="D148" s="37" t="s">
        <v>46</v>
      </c>
      <c r="E148" s="17">
        <v>-108.011</v>
      </c>
      <c r="F148" s="17">
        <v>-53.353000000000002</v>
      </c>
      <c r="G148" s="15">
        <f>-G104*F189</f>
        <v>-57.206948269776561</v>
      </c>
      <c r="H148" s="15">
        <f>-H104*G189</f>
        <v>-58.28486290768565</v>
      </c>
      <c r="I148" s="15">
        <f>-I104*H189</f>
        <v>-66.186607115717095</v>
      </c>
      <c r="J148" s="15">
        <f>-J104*I189</f>
        <v>-70.981298180526764</v>
      </c>
      <c r="K148" s="15">
        <f>-K104*J189</f>
        <v>-76.70321873684739</v>
      </c>
      <c r="N148" s="704"/>
      <c r="O148" s="704"/>
      <c r="P148" s="704"/>
      <c r="Q148" s="704"/>
      <c r="R148" s="704"/>
      <c r="S148" s="701"/>
      <c r="T148" s="701"/>
      <c r="U148" s="701"/>
      <c r="V148" s="701"/>
      <c r="W148" s="701"/>
    </row>
    <row r="149" spans="2:23" outlineLevel="1" x14ac:dyDescent="0.25">
      <c r="B149" s="379"/>
      <c r="C149" s="405" t="s">
        <v>50</v>
      </c>
      <c r="D149" s="37" t="s">
        <v>46</v>
      </c>
      <c r="E149" s="17">
        <v>3.0569999999999999</v>
      </c>
      <c r="F149" s="17">
        <v>2.702</v>
      </c>
      <c r="G149" s="15">
        <f>+G107*F166</f>
        <v>3.253908</v>
      </c>
      <c r="H149" s="15">
        <f>+H107*G166</f>
        <v>3.0168810489858924</v>
      </c>
      <c r="I149" s="15">
        <f>+I107*H166</f>
        <v>3.9872222984769192</v>
      </c>
      <c r="J149" s="15">
        <f>+J107*I166</f>
        <v>4.7771398832911363</v>
      </c>
      <c r="K149" s="15">
        <f>+K107*J166</f>
        <v>6.1325923409021419</v>
      </c>
      <c r="N149" s="701"/>
      <c r="O149" s="701"/>
      <c r="P149" s="701"/>
      <c r="Q149" s="701"/>
      <c r="R149" s="701"/>
      <c r="S149" s="701"/>
      <c r="T149" s="701"/>
      <c r="U149" s="701"/>
      <c r="V149" s="701"/>
      <c r="W149" s="701"/>
    </row>
    <row r="150" spans="2:23" outlineLevel="1" x14ac:dyDescent="0.25">
      <c r="B150" s="379"/>
      <c r="C150" s="405" t="s">
        <v>141</v>
      </c>
      <c r="D150" s="38" t="s">
        <v>46</v>
      </c>
      <c r="E150" s="17">
        <v>55.314</v>
      </c>
      <c r="F150" s="17">
        <v>174.73400000000001</v>
      </c>
      <c r="G150" s="365">
        <f>+G55</f>
        <v>10</v>
      </c>
      <c r="H150" s="365">
        <f>+H55</f>
        <v>10</v>
      </c>
      <c r="I150" s="365">
        <f>+I55</f>
        <v>10</v>
      </c>
      <c r="J150" s="365">
        <f>+J55</f>
        <v>10</v>
      </c>
      <c r="K150" s="365">
        <f>+K55</f>
        <v>10</v>
      </c>
      <c r="N150" s="701"/>
      <c r="O150" s="701"/>
      <c r="P150" s="701"/>
      <c r="Q150" s="701"/>
      <c r="R150" s="701"/>
      <c r="S150" s="701"/>
      <c r="T150" s="701"/>
      <c r="U150" s="701"/>
      <c r="V150" s="701"/>
      <c r="W150" s="701"/>
    </row>
    <row r="151" spans="2:23" outlineLevel="1" x14ac:dyDescent="0.25">
      <c r="B151" s="379"/>
      <c r="C151" s="19" t="s">
        <v>1</v>
      </c>
      <c r="D151" s="37" t="s">
        <v>46</v>
      </c>
      <c r="E151" s="12">
        <f>SUM(E147:E150)</f>
        <v>-898.67099999999994</v>
      </c>
      <c r="F151" s="12">
        <f t="shared" ref="F151:K151" si="64">SUM(F147:F150)</f>
        <v>25.968000000000217</v>
      </c>
      <c r="G151" s="12">
        <f t="shared" si="64"/>
        <v>-190.13787413980131</v>
      </c>
      <c r="H151" s="12">
        <f t="shared" si="64"/>
        <v>-24.777787759199413</v>
      </c>
      <c r="I151" s="12">
        <f t="shared" si="64"/>
        <v>61.367831696688427</v>
      </c>
      <c r="J151" s="12">
        <f t="shared" si="64"/>
        <v>114.26365522237812</v>
      </c>
      <c r="K151" s="12">
        <f t="shared" si="64"/>
        <v>192.92248609220101</v>
      </c>
      <c r="N151" s="701"/>
      <c r="O151" s="701"/>
      <c r="P151" s="701"/>
      <c r="Q151" s="701"/>
      <c r="R151" s="701"/>
      <c r="S151" s="701"/>
      <c r="T151" s="701"/>
      <c r="U151" s="701"/>
      <c r="V151" s="701"/>
      <c r="W151" s="701"/>
    </row>
    <row r="152" spans="2:23" outlineLevel="1" x14ac:dyDescent="0.25">
      <c r="B152" s="379"/>
      <c r="C152" s="389" t="s">
        <v>226</v>
      </c>
      <c r="D152" s="37" t="s">
        <v>46</v>
      </c>
      <c r="E152" s="18">
        <v>-1.01</v>
      </c>
      <c r="F152" s="18">
        <v>-26.631</v>
      </c>
      <c r="G152" s="15">
        <f>-G151*G57</f>
        <v>41.83033231075629</v>
      </c>
      <c r="H152" s="15">
        <f>-H151*H57</f>
        <v>5.4511133070238706</v>
      </c>
      <c r="I152" s="15">
        <f>-I151*I57</f>
        <v>-13.500922973271454</v>
      </c>
      <c r="J152" s="15">
        <f>-J151*J57</f>
        <v>-25.138004148923187</v>
      </c>
      <c r="K152" s="15">
        <f>-K151*K57</f>
        <v>-42.442946940284223</v>
      </c>
      <c r="N152" s="701"/>
      <c r="O152" s="701"/>
      <c r="P152" s="701"/>
      <c r="Q152" s="701"/>
      <c r="R152" s="701"/>
      <c r="S152" s="701"/>
      <c r="T152" s="701"/>
      <c r="U152" s="701"/>
      <c r="V152" s="701"/>
      <c r="W152" s="701"/>
    </row>
    <row r="153" spans="2:23" outlineLevel="1" x14ac:dyDescent="0.25">
      <c r="B153" s="379"/>
      <c r="C153" s="19" t="s">
        <v>2</v>
      </c>
      <c r="D153" s="43" t="s">
        <v>46</v>
      </c>
      <c r="E153" s="25">
        <f>SUM(E151:E152)</f>
        <v>-899.68099999999993</v>
      </c>
      <c r="F153" s="25">
        <f>SUM(F151:F152)</f>
        <v>-0.66299999999978354</v>
      </c>
      <c r="G153" s="25">
        <f>SUM(G151:G152)</f>
        <v>-148.30754182904502</v>
      </c>
      <c r="H153" s="25">
        <f t="shared" ref="H153:K153" si="65">SUM(H151:H152)</f>
        <v>-19.326674452175542</v>
      </c>
      <c r="I153" s="25">
        <f t="shared" si="65"/>
        <v>47.866908723416969</v>
      </c>
      <c r="J153" s="25">
        <f t="shared" si="65"/>
        <v>89.125651073454932</v>
      </c>
      <c r="K153" s="25">
        <f t="shared" si="65"/>
        <v>150.47953915191678</v>
      </c>
      <c r="N153" s="701"/>
      <c r="O153" s="701"/>
      <c r="P153" s="701"/>
      <c r="Q153" s="701"/>
      <c r="R153" s="701"/>
      <c r="S153" s="701"/>
      <c r="T153" s="701"/>
      <c r="U153" s="701"/>
      <c r="V153" s="701"/>
      <c r="W153" s="701"/>
    </row>
    <row r="154" spans="2:23" outlineLevel="1" x14ac:dyDescent="0.25">
      <c r="B154" s="379"/>
      <c r="C154" s="389" t="s">
        <v>227</v>
      </c>
      <c r="D154" s="37" t="s">
        <v>46</v>
      </c>
      <c r="E154" s="17">
        <v>-17.815000000000001</v>
      </c>
      <c r="F154" s="17">
        <v>-7.0579999999999998</v>
      </c>
      <c r="G154" s="401">
        <f t="shared" ref="G154:K155" si="66">+G59</f>
        <v>2</v>
      </c>
      <c r="H154" s="401">
        <f t="shared" si="66"/>
        <v>4</v>
      </c>
      <c r="I154" s="401">
        <f t="shared" si="66"/>
        <v>5</v>
      </c>
      <c r="J154" s="401">
        <f t="shared" si="66"/>
        <v>8</v>
      </c>
      <c r="K154" s="401">
        <f t="shared" si="66"/>
        <v>12</v>
      </c>
      <c r="N154" s="701"/>
      <c r="O154" s="701"/>
      <c r="P154" s="701"/>
      <c r="Q154" s="701"/>
      <c r="R154" s="701"/>
      <c r="S154" s="701"/>
      <c r="T154" s="701"/>
      <c r="U154" s="701"/>
      <c r="V154" s="701"/>
      <c r="W154" s="701"/>
    </row>
    <row r="155" spans="2:23" outlineLevel="1" x14ac:dyDescent="0.25">
      <c r="B155" s="379"/>
      <c r="C155" s="389" t="s">
        <v>241</v>
      </c>
      <c r="D155" s="37" t="s">
        <v>46</v>
      </c>
      <c r="E155" s="17">
        <v>106.405</v>
      </c>
      <c r="F155" s="17">
        <v>29.88</v>
      </c>
      <c r="G155" s="401">
        <f t="shared" si="66"/>
        <v>-3</v>
      </c>
      <c r="H155" s="401">
        <f t="shared" si="66"/>
        <v>-3</v>
      </c>
      <c r="I155" s="401">
        <f t="shared" si="66"/>
        <v>-6</v>
      </c>
      <c r="J155" s="401">
        <f t="shared" si="66"/>
        <v>-10</v>
      </c>
      <c r="K155" s="401">
        <f t="shared" si="66"/>
        <v>-15</v>
      </c>
      <c r="N155" s="701"/>
      <c r="O155" s="701"/>
      <c r="P155" s="701"/>
      <c r="Q155" s="701"/>
      <c r="R155" s="701"/>
      <c r="S155" s="701"/>
      <c r="T155" s="701"/>
      <c r="U155" s="701"/>
      <c r="V155" s="701"/>
      <c r="W155" s="701"/>
    </row>
    <row r="156" spans="2:23" outlineLevel="1" x14ac:dyDescent="0.25">
      <c r="B156" s="379"/>
      <c r="C156" s="24" t="s">
        <v>228</v>
      </c>
      <c r="D156" s="43" t="s">
        <v>46</v>
      </c>
      <c r="E156" s="174">
        <f>SUM(E153:E155)</f>
        <v>-811.09100000000001</v>
      </c>
      <c r="F156" s="174">
        <f>SUM(F153:F155)</f>
        <v>22.159000000000216</v>
      </c>
      <c r="G156" s="174">
        <f t="shared" ref="G156:K156" si="67">SUM(G153:G155)</f>
        <v>-149.30754182904502</v>
      </c>
      <c r="H156" s="174">
        <f t="shared" si="67"/>
        <v>-18.326674452175542</v>
      </c>
      <c r="I156" s="174">
        <f t="shared" si="67"/>
        <v>46.866908723416969</v>
      </c>
      <c r="J156" s="174">
        <f t="shared" si="67"/>
        <v>87.125651073454932</v>
      </c>
      <c r="K156" s="174">
        <f t="shared" si="67"/>
        <v>147.47953915191678</v>
      </c>
      <c r="N156" s="15"/>
      <c r="O156" s="15"/>
      <c r="P156" s="15"/>
      <c r="Q156" s="15"/>
      <c r="R156" s="15"/>
      <c r="S156" s="701"/>
      <c r="T156" s="701"/>
      <c r="U156" s="701"/>
      <c r="V156" s="701"/>
      <c r="W156" s="701"/>
    </row>
    <row r="157" spans="2:23" outlineLevel="1" x14ac:dyDescent="0.25">
      <c r="B157" s="379"/>
      <c r="C157" s="6"/>
      <c r="D157" s="37"/>
      <c r="E157" s="10"/>
      <c r="F157" s="10"/>
      <c r="G157" s="10"/>
      <c r="H157" s="8"/>
      <c r="I157" s="8"/>
      <c r="J157" s="8"/>
      <c r="K157" s="8"/>
      <c r="N157" s="701"/>
      <c r="O157" s="701"/>
      <c r="P157" s="701"/>
      <c r="Q157" s="701"/>
      <c r="R157" s="701"/>
      <c r="S157" s="701"/>
      <c r="T157" s="701"/>
      <c r="U157" s="701"/>
      <c r="V157" s="701"/>
      <c r="W157" s="701"/>
    </row>
    <row r="158" spans="2:23" outlineLevel="1" x14ac:dyDescent="0.25">
      <c r="B158" s="379"/>
      <c r="C158" s="490" t="s">
        <v>353</v>
      </c>
      <c r="D158" s="48" t="s">
        <v>34</v>
      </c>
      <c r="E158" s="85">
        <v>140.82499999999999</v>
      </c>
      <c r="F158" s="85">
        <v>147.52500000000001</v>
      </c>
      <c r="G158" s="84">
        <f>F158+G214/Parent_Share_Price+G239/Parent_Share_Price</f>
        <v>170.971</v>
      </c>
      <c r="H158" s="84">
        <f>G158+H214/Parent_Share_Price+H239/Parent_Share_Price</f>
        <v>181.2409530516432</v>
      </c>
      <c r="I158" s="84">
        <f>H158+I214/Parent_Share_Price+I239/Parent_Share_Price</f>
        <v>190.04376995305165</v>
      </c>
      <c r="J158" s="84">
        <f>I158+J214/Parent_Share_Price+J239/Parent_Share_Price</f>
        <v>195.91231455399063</v>
      </c>
      <c r="K158" s="84">
        <f>J158+K214/Parent_Share_Price+K239/Parent_Share_Price</f>
        <v>198.8465868544601</v>
      </c>
    </row>
    <row r="159" spans="2:23" outlineLevel="1" x14ac:dyDescent="0.25">
      <c r="B159" s="379"/>
      <c r="C159" s="490"/>
      <c r="D159" s="37"/>
      <c r="E159" s="10"/>
      <c r="F159" s="10"/>
      <c r="G159" s="10"/>
      <c r="H159" s="8"/>
      <c r="I159" s="8"/>
      <c r="J159" s="8"/>
      <c r="K159" s="8"/>
    </row>
    <row r="160" spans="2:23" outlineLevel="1" x14ac:dyDescent="0.25">
      <c r="B160" s="379"/>
      <c r="C160" s="6" t="s">
        <v>354</v>
      </c>
      <c r="D160" s="48" t="s">
        <v>33</v>
      </c>
      <c r="E160" s="491">
        <f>+E156/E158</f>
        <v>-5.7595668382744547</v>
      </c>
      <c r="F160" s="491">
        <f t="shared" ref="F160:K160" si="68">+F156/F158</f>
        <v>0.15020504999152831</v>
      </c>
      <c r="G160" s="491">
        <f t="shared" si="68"/>
        <v>-0.87329162155596574</v>
      </c>
      <c r="H160" s="491">
        <f t="shared" si="68"/>
        <v>-0.10111773384326388</v>
      </c>
      <c r="I160" s="491">
        <f t="shared" si="68"/>
        <v>0.24661112929403028</v>
      </c>
      <c r="J160" s="491">
        <f t="shared" si="68"/>
        <v>0.44471758333213074</v>
      </c>
      <c r="K160" s="491">
        <f t="shared" si="68"/>
        <v>0.74167498414171973</v>
      </c>
    </row>
    <row r="161" spans="2:24" x14ac:dyDescent="0.25">
      <c r="B161" s="379"/>
      <c r="C161" s="6"/>
      <c r="D161" s="37"/>
      <c r="E161" s="10"/>
      <c r="F161" s="10"/>
      <c r="G161" s="10"/>
      <c r="H161" s="8"/>
      <c r="I161" s="8"/>
      <c r="J161" s="8"/>
      <c r="K161" s="8"/>
    </row>
    <row r="162" spans="2:24" x14ac:dyDescent="0.25">
      <c r="B162" s="28"/>
      <c r="C162" s="29"/>
      <c r="D162" s="29"/>
      <c r="E162" s="33" t="str">
        <f>$E$30</f>
        <v>Historical:</v>
      </c>
      <c r="F162" s="34"/>
      <c r="G162" s="33" t="str">
        <f>$G$30</f>
        <v>Projected:</v>
      </c>
      <c r="H162" s="33"/>
      <c r="I162" s="33"/>
      <c r="J162" s="33"/>
      <c r="K162" s="33"/>
    </row>
    <row r="163" spans="2:24" x14ac:dyDescent="0.25">
      <c r="B163" s="30" t="s">
        <v>269</v>
      </c>
      <c r="C163" s="31"/>
      <c r="D163" s="36" t="str">
        <f>$D$5</f>
        <v>Units:</v>
      </c>
      <c r="E163" s="32">
        <f>$E$31</f>
        <v>43465</v>
      </c>
      <c r="F163" s="35">
        <f>$F$31</f>
        <v>43830</v>
      </c>
      <c r="G163" s="32">
        <f>$G$31</f>
        <v>44196</v>
      </c>
      <c r="H163" s="32">
        <f>$H$31</f>
        <v>44561</v>
      </c>
      <c r="I163" s="32">
        <f>$I$31</f>
        <v>44926</v>
      </c>
      <c r="J163" s="32">
        <f>$J$31</f>
        <v>45291</v>
      </c>
      <c r="K163" s="32">
        <f>$K$31</f>
        <v>45657</v>
      </c>
    </row>
    <row r="164" spans="2:24" x14ac:dyDescent="0.25">
      <c r="B164" s="59" t="s">
        <v>47</v>
      </c>
      <c r="C164" s="406"/>
      <c r="D164" s="406"/>
      <c r="E164" s="406"/>
      <c r="F164" s="406"/>
      <c r="G164" s="406"/>
      <c r="H164" s="406"/>
      <c r="I164" s="406"/>
      <c r="J164" s="406"/>
      <c r="K164" s="406"/>
    </row>
    <row r="165" spans="2:24" outlineLevel="1" x14ac:dyDescent="0.25">
      <c r="C165" s="6" t="s">
        <v>6</v>
      </c>
      <c r="F165" s="395"/>
    </row>
    <row r="166" spans="2:24" outlineLevel="1" x14ac:dyDescent="0.25">
      <c r="C166" s="389" t="s">
        <v>12</v>
      </c>
      <c r="D166" s="48" t="s">
        <v>46</v>
      </c>
      <c r="E166" s="51">
        <v>369.71799999999996</v>
      </c>
      <c r="F166" s="51">
        <v>464.84399999999999</v>
      </c>
      <c r="G166" s="80">
        <f>G250</f>
        <v>430.9830069979846</v>
      </c>
      <c r="H166" s="80">
        <f t="shared" ref="H166:K166" si="69">H250</f>
        <v>569.60318549670274</v>
      </c>
      <c r="I166" s="80">
        <f t="shared" si="69"/>
        <v>682.44855475587656</v>
      </c>
      <c r="J166" s="80">
        <f t="shared" si="69"/>
        <v>876.08462012887742</v>
      </c>
      <c r="K166" s="80">
        <f t="shared" si="69"/>
        <v>1042.9784500127041</v>
      </c>
      <c r="N166" s="73"/>
      <c r="O166" s="73"/>
      <c r="P166" s="73"/>
      <c r="Q166" s="73"/>
      <c r="R166" s="73"/>
      <c r="S166" s="73"/>
      <c r="T166" s="73"/>
    </row>
    <row r="167" spans="2:24" outlineLevel="1" x14ac:dyDescent="0.25">
      <c r="C167" s="389" t="s">
        <v>11</v>
      </c>
      <c r="D167" s="48" t="s">
        <v>46</v>
      </c>
      <c r="E167" s="44">
        <v>175.60499999999999</v>
      </c>
      <c r="F167" s="44">
        <v>226.476</v>
      </c>
      <c r="G167" s="73">
        <f>+G134*G63</f>
        <v>155.70580189338867</v>
      </c>
      <c r="H167" s="73">
        <f>+H134*H63</f>
        <v>274.43092148408158</v>
      </c>
      <c r="I167" s="73">
        <f>+I134*I63</f>
        <v>329.01409715360677</v>
      </c>
      <c r="J167" s="73">
        <f>+J134*J63</f>
        <v>389.45168949561514</v>
      </c>
      <c r="K167" s="73">
        <f>+K134*K63</f>
        <v>455.28301531949506</v>
      </c>
      <c r="N167" s="73"/>
      <c r="O167" s="73"/>
      <c r="P167" s="73"/>
      <c r="Q167" s="73"/>
      <c r="R167" s="73"/>
      <c r="S167" s="73"/>
      <c r="T167" s="73"/>
    </row>
    <row r="168" spans="2:24" outlineLevel="1" x14ac:dyDescent="0.25">
      <c r="C168" s="389" t="s">
        <v>219</v>
      </c>
      <c r="D168" s="48" t="s">
        <v>46</v>
      </c>
      <c r="E168" s="44">
        <v>308.14600000000002</v>
      </c>
      <c r="F168" s="44">
        <v>358.25700000000001</v>
      </c>
      <c r="G168" s="73">
        <f>-SUM(G135:G137)*G64</f>
        <v>222.44662399018412</v>
      </c>
      <c r="H168" s="73">
        <f>-SUM(H135:H137)*H64</f>
        <v>371.29945832835847</v>
      </c>
      <c r="I168" s="73">
        <f>-SUM(I135:I137)*I64</f>
        <v>433.9545452210657</v>
      </c>
      <c r="J168" s="73">
        <f>-SUM(J135:J137)*J64</f>
        <v>507.21071255341298</v>
      </c>
      <c r="K168" s="73">
        <f>-SUM(K135:K137)*K64</f>
        <v>585.42601753152837</v>
      </c>
      <c r="N168" s="73"/>
      <c r="O168" s="73"/>
      <c r="P168" s="73"/>
      <c r="Q168" s="73"/>
      <c r="R168" s="73"/>
      <c r="S168" s="73"/>
      <c r="T168" s="73"/>
    </row>
    <row r="169" spans="2:24" outlineLevel="1" x14ac:dyDescent="0.25">
      <c r="C169" s="389" t="s">
        <v>218</v>
      </c>
      <c r="D169" s="58" t="s">
        <v>46</v>
      </c>
      <c r="E169" s="44">
        <v>238.851</v>
      </c>
      <c r="F169" s="44">
        <v>340.70800000000003</v>
      </c>
      <c r="G169" s="73">
        <f>+G134*G65</f>
        <v>224.00693536323945</v>
      </c>
      <c r="H169" s="73">
        <f>+H134*H65</f>
        <v>394.81142605495381</v>
      </c>
      <c r="I169" s="73">
        <f>+I134*I65</f>
        <v>473.33778637963502</v>
      </c>
      <c r="J169" s="73">
        <f>+J134*J65</f>
        <v>560.28663270801928</v>
      </c>
      <c r="K169" s="73">
        <f>+K134*K65</f>
        <v>654.99520084990024</v>
      </c>
      <c r="N169" s="73"/>
      <c r="O169" s="73"/>
      <c r="P169" s="73"/>
      <c r="Q169" s="73"/>
      <c r="R169" s="73"/>
      <c r="S169" s="73"/>
      <c r="T169" s="73"/>
    </row>
    <row r="170" spans="2:24" outlineLevel="1" x14ac:dyDescent="0.25">
      <c r="C170" s="24" t="s">
        <v>5</v>
      </c>
      <c r="D170" s="48" t="s">
        <v>46</v>
      </c>
      <c r="E170" s="25">
        <f>SUM(E166:E169)</f>
        <v>1092.3200000000002</v>
      </c>
      <c r="F170" s="25">
        <f>SUM(F166:F169)</f>
        <v>1390.2850000000001</v>
      </c>
      <c r="G170" s="25">
        <f>SUM(G166:G169)</f>
        <v>1033.1423682447967</v>
      </c>
      <c r="H170" s="25">
        <f t="shared" ref="H170:K170" si="70">SUM(H166:H169)</f>
        <v>1610.1449913640968</v>
      </c>
      <c r="I170" s="25">
        <f t="shared" si="70"/>
        <v>1918.754983510184</v>
      </c>
      <c r="J170" s="25">
        <f t="shared" si="70"/>
        <v>2333.033654885925</v>
      </c>
      <c r="K170" s="25">
        <f t="shared" si="70"/>
        <v>2738.6826837136277</v>
      </c>
    </row>
    <row r="171" spans="2:24" outlineLevel="1" x14ac:dyDescent="0.25">
      <c r="B171" s="379"/>
      <c r="N171" s="701"/>
      <c r="O171" s="701"/>
      <c r="P171" s="701"/>
      <c r="Q171" s="701"/>
      <c r="R171" s="701"/>
      <c r="S171" s="701"/>
      <c r="T171" s="701"/>
      <c r="U171" s="701"/>
      <c r="V171" s="701"/>
      <c r="W171" s="701"/>
      <c r="X171" s="701"/>
    </row>
    <row r="172" spans="2:24" outlineLevel="1" x14ac:dyDescent="0.25">
      <c r="C172" s="6" t="s">
        <v>4</v>
      </c>
      <c r="N172" s="702"/>
      <c r="O172" s="702"/>
      <c r="P172" s="702"/>
      <c r="Q172" s="702"/>
      <c r="R172" s="702"/>
      <c r="S172" s="702"/>
      <c r="T172" s="702"/>
      <c r="U172" s="701"/>
      <c r="V172" s="701"/>
      <c r="W172" s="701"/>
      <c r="X172" s="701"/>
    </row>
    <row r="173" spans="2:24" outlineLevel="1" x14ac:dyDescent="0.25">
      <c r="C173" s="389" t="s">
        <v>107</v>
      </c>
      <c r="D173" s="48" t="s">
        <v>46</v>
      </c>
      <c r="E173" s="44">
        <v>839.87099999999998</v>
      </c>
      <c r="F173" s="44">
        <v>323.726</v>
      </c>
      <c r="G173" s="73">
        <f>+F173-G212-G217-G230-G231</f>
        <v>331.281718768269</v>
      </c>
      <c r="H173" s="73">
        <f>+G173-H212-H217-H230-H231</f>
        <v>419.71700386199188</v>
      </c>
      <c r="I173" s="73">
        <f>+H173-I212-I217-I230-I231</f>
        <v>497.25745007091427</v>
      </c>
      <c r="J173" s="73">
        <f>+I173-J212-J217-J230-J231</f>
        <v>534.12997143426708</v>
      </c>
      <c r="K173" s="73">
        <f>+J173-K212-K217-K230-K231</f>
        <v>569.92203948689064</v>
      </c>
      <c r="N173" s="73"/>
      <c r="O173" s="73"/>
      <c r="P173" s="73"/>
      <c r="Q173" s="73"/>
      <c r="R173" s="73"/>
      <c r="S173" s="73"/>
      <c r="T173" s="73"/>
      <c r="U173" s="701"/>
      <c r="V173" s="701"/>
      <c r="W173" s="701"/>
      <c r="X173" s="701"/>
    </row>
    <row r="174" spans="2:24" outlineLevel="1" x14ac:dyDescent="0.25">
      <c r="C174" s="389" t="s">
        <v>105</v>
      </c>
      <c r="D174" s="48" t="s">
        <v>46</v>
      </c>
      <c r="E174" s="44">
        <v>0</v>
      </c>
      <c r="F174" s="44">
        <v>51.258000000000003</v>
      </c>
      <c r="G174" s="73">
        <f>-G142*G67</f>
        <v>46.67635765303671</v>
      </c>
      <c r="H174" s="73">
        <f>-H142*H67</f>
        <v>52.747609682390461</v>
      </c>
      <c r="I174" s="73">
        <f>-I142*I67</f>
        <v>59.17767797303172</v>
      </c>
      <c r="J174" s="73">
        <f>-J142*J67</f>
        <v>70.048204214984679</v>
      </c>
      <c r="K174" s="73">
        <f>-K142*K67</f>
        <v>80.283203013380202</v>
      </c>
      <c r="N174" s="73"/>
      <c r="O174" s="73"/>
      <c r="P174" s="73"/>
      <c r="Q174" s="73"/>
      <c r="R174" s="73"/>
      <c r="S174" s="73"/>
      <c r="T174" s="73"/>
      <c r="U174" s="701"/>
      <c r="V174" s="701"/>
      <c r="W174" s="701"/>
      <c r="X174" s="701"/>
    </row>
    <row r="175" spans="2:24" outlineLevel="1" x14ac:dyDescent="0.25">
      <c r="C175" s="389" t="s">
        <v>8</v>
      </c>
      <c r="D175" s="48" t="s">
        <v>46</v>
      </c>
      <c r="E175" s="44">
        <v>12.582000000000001</v>
      </c>
      <c r="F175" s="44">
        <v>7.4660000000000002</v>
      </c>
      <c r="G175" s="73">
        <f>+F175-G213-G232</f>
        <v>8.8610798631410006</v>
      </c>
      <c r="H175" s="73">
        <f>+G175-H213-H232</f>
        <v>13.778726447021153</v>
      </c>
      <c r="I175" s="73">
        <f>+H175-I213-I232</f>
        <v>25.570218762581497</v>
      </c>
      <c r="J175" s="73">
        <f>+I175-J213-J232</f>
        <v>43.017102663978477</v>
      </c>
      <c r="K175" s="73">
        <f>+J175-K213-K232</f>
        <v>71.571550300814962</v>
      </c>
      <c r="N175" s="73"/>
      <c r="O175" s="73"/>
      <c r="P175" s="73"/>
      <c r="Q175" s="73"/>
      <c r="R175" s="73"/>
      <c r="S175" s="73"/>
      <c r="T175" s="73"/>
      <c r="U175" s="701"/>
      <c r="V175" s="701"/>
      <c r="W175" s="701"/>
      <c r="X175" s="701"/>
    </row>
    <row r="176" spans="2:24" outlineLevel="1" x14ac:dyDescent="0.25">
      <c r="C176" s="389" t="s">
        <v>279</v>
      </c>
      <c r="D176" s="48" t="s">
        <v>46</v>
      </c>
      <c r="E176" s="44">
        <v>88.693999999999988</v>
      </c>
      <c r="F176" s="44">
        <v>226.60200000000003</v>
      </c>
      <c r="G176" s="73">
        <f>+F176-G208-G210-G211-G233</f>
        <v>238.17699035816841</v>
      </c>
      <c r="H176" s="73">
        <f>+G176-H208-H210-H211-H233</f>
        <v>258.81537321473331</v>
      </c>
      <c r="I176" s="73">
        <f>+H176-I208-I210-I211-I233</f>
        <v>283.66085336250035</v>
      </c>
      <c r="J176" s="73">
        <f>+I176-J208-J210-J211-J233</f>
        <v>314.11104218853012</v>
      </c>
      <c r="K176" s="73">
        <f>+J176-K208-K210-K211-K233</f>
        <v>351.03226309806331</v>
      </c>
      <c r="N176" s="73"/>
      <c r="O176" s="73"/>
      <c r="P176" s="73"/>
      <c r="Q176" s="73"/>
      <c r="R176" s="73"/>
      <c r="S176" s="73"/>
      <c r="T176" s="73"/>
      <c r="U176" s="701"/>
      <c r="V176" s="701"/>
      <c r="W176" s="701"/>
      <c r="X176" s="701"/>
    </row>
    <row r="177" spans="2:24" outlineLevel="1" x14ac:dyDescent="0.25">
      <c r="C177" s="45" t="s">
        <v>58</v>
      </c>
      <c r="D177" s="58" t="s">
        <v>46</v>
      </c>
      <c r="E177" s="44">
        <v>319.18200000000002</v>
      </c>
      <c r="F177" s="44">
        <v>172.58399999999995</v>
      </c>
      <c r="G177" s="73">
        <f>+F177-G216-G218</f>
        <v>214.41433231075624</v>
      </c>
      <c r="H177" s="73">
        <f>+G177-H216-H218</f>
        <v>219.8654456177801</v>
      </c>
      <c r="I177" s="73">
        <f>+H177-I216-I218</f>
        <v>206.36452264450864</v>
      </c>
      <c r="J177" s="73">
        <f>+I177-J216-J218</f>
        <v>181.22651849558545</v>
      </c>
      <c r="K177" s="73">
        <f>+J177-K216-K218</f>
        <v>138.78357155530122</v>
      </c>
      <c r="N177" s="73"/>
      <c r="O177" s="73"/>
      <c r="P177" s="73"/>
      <c r="Q177" s="73"/>
      <c r="R177" s="73"/>
      <c r="S177" s="73"/>
      <c r="T177" s="73"/>
      <c r="U177" s="701"/>
      <c r="V177" s="701"/>
      <c r="W177" s="701"/>
      <c r="X177" s="701"/>
    </row>
    <row r="178" spans="2:24" outlineLevel="1" x14ac:dyDescent="0.25">
      <c r="C178" s="6" t="s">
        <v>22</v>
      </c>
      <c r="D178" s="48" t="s">
        <v>46</v>
      </c>
      <c r="E178" s="25">
        <f>SUM(E173:E177)</f>
        <v>1260.329</v>
      </c>
      <c r="F178" s="25">
        <f>SUM(F173:F177)</f>
        <v>781.63599999999997</v>
      </c>
      <c r="G178" s="25">
        <f>SUM(G173:G177)</f>
        <v>839.41047895337135</v>
      </c>
      <c r="H178" s="25">
        <f t="shared" ref="H178:K178" si="71">SUM(H173:H177)</f>
        <v>964.92415882391697</v>
      </c>
      <c r="I178" s="25">
        <f t="shared" si="71"/>
        <v>1072.0307228135364</v>
      </c>
      <c r="J178" s="25">
        <f t="shared" si="71"/>
        <v>1142.5328389973458</v>
      </c>
      <c r="K178" s="25">
        <f t="shared" si="71"/>
        <v>1211.5926274544504</v>
      </c>
      <c r="N178" s="701"/>
      <c r="O178" s="701"/>
      <c r="P178" s="701"/>
      <c r="Q178" s="701"/>
      <c r="R178" s="701"/>
      <c r="S178" s="701"/>
      <c r="T178" s="701"/>
      <c r="U178" s="701"/>
      <c r="V178" s="701"/>
      <c r="W178" s="701"/>
      <c r="X178" s="701"/>
    </row>
    <row r="179" spans="2:24" outlineLevel="1" x14ac:dyDescent="0.25">
      <c r="B179" s="46"/>
      <c r="E179" s="383"/>
      <c r="N179" s="701"/>
      <c r="O179" s="701"/>
      <c r="P179" s="701"/>
      <c r="Q179" s="701"/>
      <c r="R179" s="701"/>
      <c r="S179" s="701"/>
      <c r="T179" s="701"/>
      <c r="U179" s="701"/>
      <c r="V179" s="701"/>
      <c r="W179" s="701"/>
      <c r="X179" s="701"/>
    </row>
    <row r="180" spans="2:24" outlineLevel="1" x14ac:dyDescent="0.25">
      <c r="C180" s="47" t="s">
        <v>23</v>
      </c>
      <c r="D180" s="48" t="s">
        <v>46</v>
      </c>
      <c r="E180" s="49">
        <f>+E170+E178</f>
        <v>2352.6490000000003</v>
      </c>
      <c r="F180" s="49">
        <f>+F170+F178</f>
        <v>2171.9210000000003</v>
      </c>
      <c r="G180" s="49">
        <f t="shared" ref="G180:K180" si="72">+G170+G178</f>
        <v>1872.5528471981679</v>
      </c>
      <c r="H180" s="49">
        <f t="shared" si="72"/>
        <v>2575.0691501880137</v>
      </c>
      <c r="I180" s="49">
        <f t="shared" si="72"/>
        <v>2990.7857063237207</v>
      </c>
      <c r="J180" s="49">
        <f t="shared" si="72"/>
        <v>3475.5664938832706</v>
      </c>
      <c r="K180" s="49">
        <f t="shared" si="72"/>
        <v>3950.2753111680781</v>
      </c>
      <c r="N180" s="701"/>
      <c r="O180" s="701"/>
      <c r="P180" s="701"/>
      <c r="Q180" s="701"/>
      <c r="R180" s="701"/>
      <c r="S180" s="701"/>
      <c r="T180" s="701"/>
      <c r="U180" s="701"/>
      <c r="V180" s="701"/>
      <c r="W180" s="701"/>
      <c r="X180" s="701"/>
    </row>
    <row r="181" spans="2:24" x14ac:dyDescent="0.25">
      <c r="C181" s="46"/>
      <c r="N181" s="701"/>
      <c r="O181" s="701"/>
      <c r="P181" s="701"/>
      <c r="Q181" s="701"/>
      <c r="R181" s="701"/>
      <c r="S181" s="701"/>
      <c r="T181" s="701"/>
      <c r="U181" s="701"/>
      <c r="V181" s="701"/>
      <c r="W181" s="701"/>
      <c r="X181" s="701"/>
    </row>
    <row r="182" spans="2:24" x14ac:dyDescent="0.25">
      <c r="B182" s="59" t="s">
        <v>48</v>
      </c>
      <c r="C182" s="406"/>
      <c r="D182" s="406"/>
      <c r="E182" s="406"/>
      <c r="F182" s="406"/>
      <c r="G182" s="406"/>
      <c r="H182" s="406"/>
      <c r="I182" s="406"/>
      <c r="J182" s="406"/>
      <c r="K182" s="406"/>
      <c r="N182" s="701"/>
      <c r="O182" s="701"/>
      <c r="P182" s="701"/>
      <c r="Q182" s="701"/>
      <c r="R182" s="701"/>
      <c r="S182" s="701"/>
      <c r="T182" s="701"/>
      <c r="U182" s="701"/>
      <c r="V182" s="701"/>
      <c r="W182" s="701"/>
      <c r="X182" s="701"/>
    </row>
    <row r="183" spans="2:24" outlineLevel="1" x14ac:dyDescent="0.25">
      <c r="C183" s="6" t="s">
        <v>56</v>
      </c>
      <c r="E183" s="755"/>
      <c r="N183" s="701"/>
      <c r="O183" s="701"/>
      <c r="P183" s="701"/>
      <c r="Q183" s="701"/>
      <c r="R183" s="701"/>
      <c r="S183" s="701"/>
      <c r="T183" s="701"/>
      <c r="U183" s="701"/>
      <c r="V183" s="701"/>
      <c r="W183" s="701"/>
      <c r="X183" s="701"/>
    </row>
    <row r="184" spans="2:24" outlineLevel="1" x14ac:dyDescent="0.25">
      <c r="C184" s="753" t="s">
        <v>366</v>
      </c>
      <c r="D184" s="48" t="s">
        <v>46</v>
      </c>
      <c r="E184" s="51">
        <v>560.80200000000002</v>
      </c>
      <c r="F184" s="51">
        <v>645.649</v>
      </c>
      <c r="G184" s="80">
        <f>-SUM(G$135:G$137)*G69</f>
        <v>402.5680714126957</v>
      </c>
      <c r="H184" s="80">
        <f>-SUM(H$135:H$137)*H69</f>
        <v>671.95133904312081</v>
      </c>
      <c r="I184" s="80">
        <f>-SUM(I$135:I$137)*I69</f>
        <v>785.34005693935217</v>
      </c>
      <c r="J184" s="80">
        <f>-SUM(J$135:J$137)*J69</f>
        <v>917.91385587176512</v>
      </c>
      <c r="K184" s="80">
        <f>-SUM(K$135:K$137)*K69</f>
        <v>1059.4623492370101</v>
      </c>
      <c r="N184" s="73"/>
      <c r="O184" s="73"/>
      <c r="P184" s="73"/>
      <c r="Q184" s="73"/>
      <c r="R184" s="73"/>
      <c r="S184" s="73"/>
      <c r="T184" s="73"/>
      <c r="U184" s="701"/>
      <c r="V184" s="701"/>
      <c r="W184" s="701"/>
      <c r="X184" s="701"/>
    </row>
    <row r="185" spans="2:24" outlineLevel="1" x14ac:dyDescent="0.25">
      <c r="C185" s="389" t="s">
        <v>220</v>
      </c>
      <c r="D185" s="58" t="s">
        <v>46</v>
      </c>
      <c r="E185" s="44">
        <v>203.63900000000001</v>
      </c>
      <c r="F185" s="44">
        <v>205.97900000000001</v>
      </c>
      <c r="G185" s="73">
        <f>+G134*G70</f>
        <v>159.36541804643747</v>
      </c>
      <c r="H185" s="73">
        <f>+H134*H70</f>
        <v>280.88098192464793</v>
      </c>
      <c r="I185" s="73">
        <f>+I134*I70</f>
        <v>336.74704794852011</v>
      </c>
      <c r="J185" s="73">
        <f>+J134*J70</f>
        <v>398.60512935706714</v>
      </c>
      <c r="K185" s="73">
        <f>+K134*K70</f>
        <v>465.98371533716551</v>
      </c>
      <c r="N185" s="73"/>
      <c r="O185" s="73"/>
      <c r="P185" s="73"/>
      <c r="Q185" s="73"/>
      <c r="R185" s="73"/>
      <c r="S185" s="73"/>
      <c r="T185" s="73"/>
      <c r="U185" s="701"/>
      <c r="V185" s="701"/>
      <c r="W185" s="701"/>
      <c r="X185" s="701"/>
    </row>
    <row r="186" spans="2:24" outlineLevel="1" x14ac:dyDescent="0.25">
      <c r="C186" s="24" t="s">
        <v>57</v>
      </c>
      <c r="D186" s="48" t="s">
        <v>46</v>
      </c>
      <c r="E186" s="25">
        <f t="shared" ref="E186:K186" si="73">SUM(E184:E185)</f>
        <v>764.44100000000003</v>
      </c>
      <c r="F186" s="25">
        <f t="shared" si="73"/>
        <v>851.62800000000004</v>
      </c>
      <c r="G186" s="25">
        <f t="shared" si="73"/>
        <v>561.93348945913317</v>
      </c>
      <c r="H186" s="25">
        <f t="shared" si="73"/>
        <v>952.83232096776874</v>
      </c>
      <c r="I186" s="25">
        <f t="shared" si="73"/>
        <v>1122.0871048878723</v>
      </c>
      <c r="J186" s="25">
        <f t="shared" si="73"/>
        <v>1316.5189852288322</v>
      </c>
      <c r="K186" s="25">
        <f t="shared" si="73"/>
        <v>1525.4460645741756</v>
      </c>
      <c r="N186" s="701"/>
      <c r="O186" s="701"/>
      <c r="P186" s="701"/>
      <c r="Q186" s="701"/>
      <c r="R186" s="701"/>
      <c r="S186" s="701"/>
      <c r="T186" s="701"/>
      <c r="U186" s="701"/>
      <c r="V186" s="701"/>
      <c r="W186" s="701"/>
      <c r="X186" s="701"/>
    </row>
    <row r="187" spans="2:24" outlineLevel="1" x14ac:dyDescent="0.25">
      <c r="C187" s="379"/>
      <c r="N187" s="701"/>
      <c r="O187" s="701"/>
      <c r="P187" s="701"/>
      <c r="Q187" s="701"/>
      <c r="R187" s="701"/>
      <c r="S187" s="701"/>
      <c r="T187" s="701"/>
      <c r="U187" s="701"/>
      <c r="V187" s="701"/>
      <c r="W187" s="701"/>
      <c r="X187" s="701"/>
    </row>
    <row r="188" spans="2:24" outlineLevel="1" x14ac:dyDescent="0.25">
      <c r="C188" s="6" t="s">
        <v>54</v>
      </c>
      <c r="N188" s="701"/>
      <c r="O188" s="701"/>
      <c r="P188" s="701"/>
      <c r="Q188" s="701"/>
      <c r="R188" s="701"/>
      <c r="S188" s="701"/>
      <c r="T188" s="701"/>
      <c r="U188" s="701"/>
      <c r="V188" s="701"/>
      <c r="W188" s="701"/>
      <c r="X188" s="701"/>
    </row>
    <row r="189" spans="2:24" outlineLevel="1" x14ac:dyDescent="0.25">
      <c r="C189" s="389" t="s">
        <v>103</v>
      </c>
      <c r="D189" s="48" t="s">
        <v>46</v>
      </c>
      <c r="E189" s="44">
        <v>898.95799999999997</v>
      </c>
      <c r="F189" s="44">
        <v>1038.942</v>
      </c>
      <c r="G189" s="73">
        <f>+F189+G215+G236+G237+G238</f>
        <v>1058.5181323337397</v>
      </c>
      <c r="H189" s="73">
        <f>+G189+H215+H236+H237+H238</f>
        <v>1202.0226222475603</v>
      </c>
      <c r="I189" s="73">
        <f>+H189+I215+I236+I237+I238</f>
        <v>1289.0995608873243</v>
      </c>
      <c r="J189" s="73">
        <f>+I189+J215+J236+J237+J238</f>
        <v>1393.0160214996024</v>
      </c>
      <c r="K189" s="73">
        <f>+J189+K215+K236+K237+K238</f>
        <v>1430.3508812245598</v>
      </c>
      <c r="N189" s="73"/>
      <c r="O189" s="73"/>
      <c r="P189" s="73"/>
      <c r="Q189" s="73"/>
      <c r="R189" s="73"/>
      <c r="S189" s="73"/>
      <c r="T189" s="73"/>
      <c r="U189" s="701"/>
      <c r="V189" s="701"/>
      <c r="W189" s="701"/>
      <c r="X189" s="701"/>
    </row>
    <row r="190" spans="2:24" outlineLevel="1" x14ac:dyDescent="0.25">
      <c r="C190" s="389" t="s">
        <v>106</v>
      </c>
      <c r="D190" s="48" t="s">
        <v>46</v>
      </c>
      <c r="E190" s="44">
        <v>0</v>
      </c>
      <c r="F190" s="44">
        <v>55.552</v>
      </c>
      <c r="G190" s="73">
        <f>+F190+(G174-F174)</f>
        <v>50.970357653036707</v>
      </c>
      <c r="H190" s="73">
        <f>+G190+(H174-G174)</f>
        <v>57.041609682390458</v>
      </c>
      <c r="I190" s="73">
        <f>+H190+(I174-H174)</f>
        <v>63.471677973031717</v>
      </c>
      <c r="J190" s="73">
        <f>+I190+(J174-I174)</f>
        <v>74.342204214984676</v>
      </c>
      <c r="K190" s="73">
        <f>+J190+(K174-J174)</f>
        <v>84.577203013380199</v>
      </c>
      <c r="N190" s="73"/>
      <c r="O190" s="73"/>
      <c r="P190" s="73"/>
      <c r="Q190" s="73"/>
      <c r="R190" s="73"/>
      <c r="S190" s="73"/>
      <c r="T190" s="73"/>
      <c r="U190" s="701"/>
      <c r="V190" s="701"/>
      <c r="W190" s="701"/>
      <c r="X190" s="701"/>
    </row>
    <row r="191" spans="2:24" outlineLevel="1" x14ac:dyDescent="0.25">
      <c r="C191" s="389" t="s">
        <v>68</v>
      </c>
      <c r="D191" s="58" t="s">
        <v>46</v>
      </c>
      <c r="E191" s="52">
        <v>839.13599999999997</v>
      </c>
      <c r="F191" s="52">
        <v>204.3</v>
      </c>
      <c r="G191" s="81">
        <f>+G134*G72</f>
        <v>152.88648958130392</v>
      </c>
      <c r="H191" s="81">
        <f>+H134*H72</f>
        <v>269.46189357151485</v>
      </c>
      <c r="I191" s="81">
        <f>+I134*I72</f>
        <v>323.05675013329642</v>
      </c>
      <c r="J191" s="81">
        <f>+J134*J72</f>
        <v>382.40001942420071</v>
      </c>
      <c r="K191" s="81">
        <f>+K134*K72</f>
        <v>447.03935968839539</v>
      </c>
      <c r="N191" s="73"/>
      <c r="O191" s="73"/>
      <c r="P191" s="73"/>
      <c r="Q191" s="73"/>
      <c r="R191" s="73"/>
      <c r="S191" s="73"/>
      <c r="T191" s="73"/>
      <c r="U191" s="701"/>
      <c r="V191" s="701"/>
      <c r="W191" s="701"/>
      <c r="X191" s="701"/>
    </row>
    <row r="192" spans="2:24" outlineLevel="1" x14ac:dyDescent="0.25">
      <c r="C192" s="24" t="s">
        <v>55</v>
      </c>
      <c r="D192" s="48" t="s">
        <v>46</v>
      </c>
      <c r="E192" s="14">
        <f>SUM(E189:E191)</f>
        <v>1738.0940000000001</v>
      </c>
      <c r="F192" s="14">
        <f>SUM(F189:F191)</f>
        <v>1298.7939999999999</v>
      </c>
      <c r="G192" s="14">
        <f>SUM(G189:G191)</f>
        <v>1262.3749795680803</v>
      </c>
      <c r="H192" s="14">
        <f t="shared" ref="H192:K192" si="74">SUM(H189:H191)</f>
        <v>1528.5261255014657</v>
      </c>
      <c r="I192" s="14">
        <f t="shared" si="74"/>
        <v>1675.6279889936525</v>
      </c>
      <c r="J192" s="14">
        <f t="shared" si="74"/>
        <v>1849.7582451387877</v>
      </c>
      <c r="K192" s="14">
        <f t="shared" si="74"/>
        <v>1961.9674439263354</v>
      </c>
      <c r="N192" s="701"/>
      <c r="O192" s="701"/>
      <c r="P192" s="701"/>
      <c r="Q192" s="701"/>
      <c r="R192" s="701"/>
      <c r="S192" s="701"/>
      <c r="T192" s="701"/>
      <c r="U192" s="701"/>
      <c r="V192" s="701"/>
      <c r="W192" s="701"/>
      <c r="X192" s="701"/>
    </row>
    <row r="193" spans="2:24" outlineLevel="1" x14ac:dyDescent="0.25">
      <c r="C193" s="379"/>
      <c r="N193" s="701"/>
      <c r="O193" s="701"/>
      <c r="P193" s="701"/>
      <c r="Q193" s="701"/>
      <c r="R193" s="701"/>
      <c r="S193" s="701"/>
      <c r="T193" s="701"/>
      <c r="U193" s="701"/>
      <c r="V193" s="701"/>
      <c r="W193" s="701"/>
      <c r="X193" s="701"/>
    </row>
    <row r="194" spans="2:24" outlineLevel="1" x14ac:dyDescent="0.25">
      <c r="C194" s="6" t="s">
        <v>7</v>
      </c>
      <c r="D194" s="48" t="s">
        <v>46</v>
      </c>
      <c r="E194" s="49">
        <f>+E186+E192</f>
        <v>2502.5349999999999</v>
      </c>
      <c r="F194" s="49">
        <f>+F186+F192</f>
        <v>2150.422</v>
      </c>
      <c r="G194" s="49">
        <f t="shared" ref="G194:K194" si="75">+G186+G192</f>
        <v>1824.3084690272135</v>
      </c>
      <c r="H194" s="49">
        <f t="shared" si="75"/>
        <v>2481.3584464692344</v>
      </c>
      <c r="I194" s="49">
        <f t="shared" si="75"/>
        <v>2797.7150938815248</v>
      </c>
      <c r="J194" s="49">
        <f t="shared" si="75"/>
        <v>3166.2772303676202</v>
      </c>
      <c r="K194" s="49">
        <f t="shared" si="75"/>
        <v>3487.4135085005109</v>
      </c>
    </row>
    <row r="195" spans="2:24" outlineLevel="1" x14ac:dyDescent="0.25">
      <c r="C195" s="379"/>
    </row>
    <row r="196" spans="2:24" outlineLevel="1" x14ac:dyDescent="0.25">
      <c r="C196" s="6" t="s">
        <v>104</v>
      </c>
      <c r="D196" s="48" t="s">
        <v>46</v>
      </c>
      <c r="E196" s="78">
        <v>-208.696</v>
      </c>
      <c r="F196" s="78">
        <v>10.163</v>
      </c>
      <c r="G196" s="159">
        <f>+F196+G207+G239+G242+G245</f>
        <v>35.708378170954944</v>
      </c>
      <c r="H196" s="159">
        <f t="shared" ref="H196:K196" si="76">+G196+H207+H239+H242+H245</f>
        <v>79.97470371877931</v>
      </c>
      <c r="I196" s="159">
        <f t="shared" si="76"/>
        <v>176.93461244219617</v>
      </c>
      <c r="J196" s="159">
        <f t="shared" si="76"/>
        <v>289.15326351565102</v>
      </c>
      <c r="K196" s="159">
        <f t="shared" si="76"/>
        <v>436.72580266756773</v>
      </c>
    </row>
    <row r="197" spans="2:24" outlineLevel="1" x14ac:dyDescent="0.25">
      <c r="C197" s="381" t="s">
        <v>221</v>
      </c>
      <c r="D197" s="58" t="s">
        <v>46</v>
      </c>
      <c r="E197" s="52">
        <v>58.81</v>
      </c>
      <c r="F197" s="52">
        <v>11.336</v>
      </c>
      <c r="G197" s="383">
        <f>+F197+G209+G240+G241</f>
        <v>12.536</v>
      </c>
      <c r="H197" s="383">
        <f>+G197+H209+H240+H241</f>
        <v>13.735999999999999</v>
      </c>
      <c r="I197" s="383">
        <f>+H197+I209+I240+I241</f>
        <v>16.135999999999996</v>
      </c>
      <c r="J197" s="383">
        <f>+I197+J209+J240+J241</f>
        <v>20.135999999999996</v>
      </c>
      <c r="K197" s="383">
        <f>+J197+K209+K240+K241</f>
        <v>26.135999999999996</v>
      </c>
    </row>
    <row r="198" spans="2:24" outlineLevel="1" x14ac:dyDescent="0.25">
      <c r="C198" s="24" t="s">
        <v>222</v>
      </c>
      <c r="D198" s="48" t="s">
        <v>46</v>
      </c>
      <c r="E198" s="5">
        <f>SUM(E196:E197)</f>
        <v>-149.886</v>
      </c>
      <c r="F198" s="5">
        <f>SUM(F196:F197)</f>
        <v>21.499000000000002</v>
      </c>
      <c r="G198" s="5">
        <f>SUM(G196:G197)</f>
        <v>48.244378170954946</v>
      </c>
      <c r="H198" s="5">
        <f t="shared" ref="H198:K198" si="77">SUM(H196:H197)</f>
        <v>93.710703718779314</v>
      </c>
      <c r="I198" s="5">
        <f t="shared" si="77"/>
        <v>193.07061244219616</v>
      </c>
      <c r="J198" s="5">
        <f t="shared" si="77"/>
        <v>309.28926351565099</v>
      </c>
      <c r="K198" s="5">
        <f t="shared" si="77"/>
        <v>462.86180266756776</v>
      </c>
    </row>
    <row r="199" spans="2:24" outlineLevel="1" x14ac:dyDescent="0.25"/>
    <row r="200" spans="2:24" outlineLevel="1" x14ac:dyDescent="0.25">
      <c r="C200" s="2" t="s">
        <v>24</v>
      </c>
      <c r="D200" s="48" t="s">
        <v>46</v>
      </c>
      <c r="E200" s="49">
        <f>+E194+E198</f>
        <v>2352.6489999999999</v>
      </c>
      <c r="F200" s="49">
        <f>+F194+F198</f>
        <v>2171.9209999999998</v>
      </c>
      <c r="G200" s="49">
        <f>+G194+G198</f>
        <v>1872.5528471981684</v>
      </c>
      <c r="H200" s="49">
        <f t="shared" ref="H200:K200" si="78">+H194+H198</f>
        <v>2575.0691501880137</v>
      </c>
      <c r="I200" s="49">
        <f t="shared" si="78"/>
        <v>2990.7857063237211</v>
      </c>
      <c r="J200" s="49">
        <f t="shared" si="78"/>
        <v>3475.5664938832711</v>
      </c>
      <c r="K200" s="49">
        <f t="shared" si="78"/>
        <v>3950.2753111680786</v>
      </c>
    </row>
    <row r="201" spans="2:24" outlineLevel="1" x14ac:dyDescent="0.25">
      <c r="H201" s="412"/>
      <c r="I201" s="412"/>
      <c r="J201" s="412"/>
      <c r="K201" s="412"/>
    </row>
    <row r="202" spans="2:24" outlineLevel="1" x14ac:dyDescent="0.25">
      <c r="C202" s="53" t="s">
        <v>25</v>
      </c>
      <c r="E202" s="54">
        <f t="shared" ref="E202:K202" si="79">+E180-E200</f>
        <v>0</v>
      </c>
      <c r="F202" s="54">
        <f t="shared" si="79"/>
        <v>0</v>
      </c>
      <c r="G202" s="411">
        <f t="shared" si="79"/>
        <v>0</v>
      </c>
      <c r="H202" s="411">
        <f t="shared" si="79"/>
        <v>0</v>
      </c>
      <c r="I202" s="411">
        <f t="shared" si="79"/>
        <v>0</v>
      </c>
      <c r="J202" s="411">
        <f t="shared" si="79"/>
        <v>0</v>
      </c>
      <c r="K202" s="411">
        <f t="shared" si="79"/>
        <v>0</v>
      </c>
    </row>
    <row r="203" spans="2:24" x14ac:dyDescent="0.25">
      <c r="B203" s="379"/>
      <c r="C203" s="6"/>
      <c r="D203" s="37"/>
      <c r="E203" s="10"/>
      <c r="F203" s="10"/>
      <c r="G203" s="10"/>
      <c r="H203" s="8"/>
      <c r="I203" s="8"/>
      <c r="J203" s="8"/>
      <c r="K203" s="8"/>
    </row>
    <row r="204" spans="2:24" x14ac:dyDescent="0.25">
      <c r="B204" s="28"/>
      <c r="C204" s="29"/>
      <c r="D204" s="29"/>
      <c r="E204" s="33" t="str">
        <f>$E$30</f>
        <v>Historical:</v>
      </c>
      <c r="F204" s="34"/>
      <c r="G204" s="33" t="str">
        <f>$G$30</f>
        <v>Projected:</v>
      </c>
      <c r="H204" s="33"/>
      <c r="I204" s="33"/>
      <c r="J204" s="33"/>
      <c r="K204" s="33"/>
    </row>
    <row r="205" spans="2:24" x14ac:dyDescent="0.25">
      <c r="B205" s="30" t="s">
        <v>270</v>
      </c>
      <c r="C205" s="31"/>
      <c r="D205" s="36" t="str">
        <f>$D$5</f>
        <v>Units:</v>
      </c>
      <c r="E205" s="32">
        <f>$E$31</f>
        <v>43465</v>
      </c>
      <c r="F205" s="35">
        <f>$F$31</f>
        <v>43830</v>
      </c>
      <c r="G205" s="32">
        <f>$G$31</f>
        <v>44196</v>
      </c>
      <c r="H205" s="32">
        <f>$H$31</f>
        <v>44561</v>
      </c>
      <c r="I205" s="32">
        <f>$I$31</f>
        <v>44926</v>
      </c>
      <c r="J205" s="32">
        <f>$J$31</f>
        <v>45291</v>
      </c>
      <c r="K205" s="32">
        <f>$K$31</f>
        <v>45657</v>
      </c>
    </row>
    <row r="206" spans="2:24" outlineLevel="1" x14ac:dyDescent="0.25">
      <c r="B206" s="379"/>
      <c r="C206" s="389"/>
      <c r="D206" s="37"/>
      <c r="E206" s="20"/>
      <c r="F206" s="20"/>
      <c r="G206" s="65"/>
      <c r="H206" s="65"/>
      <c r="I206" s="65"/>
      <c r="J206" s="65"/>
      <c r="K206" s="65"/>
    </row>
    <row r="207" spans="2:24" outlineLevel="1" x14ac:dyDescent="0.25">
      <c r="B207" s="379"/>
      <c r="C207" s="6" t="s">
        <v>238</v>
      </c>
      <c r="D207" s="37" t="s">
        <v>46</v>
      </c>
      <c r="E207" s="49">
        <f t="shared" ref="E207:K207" si="80">+E156</f>
        <v>-811.09100000000001</v>
      </c>
      <c r="F207" s="49">
        <f t="shared" si="80"/>
        <v>22.159000000000216</v>
      </c>
      <c r="G207" s="49">
        <f t="shared" si="80"/>
        <v>-149.30754182904502</v>
      </c>
      <c r="H207" s="49">
        <f t="shared" si="80"/>
        <v>-18.326674452175542</v>
      </c>
      <c r="I207" s="49">
        <f t="shared" si="80"/>
        <v>46.866908723416969</v>
      </c>
      <c r="J207" s="49">
        <f t="shared" si="80"/>
        <v>87.125651073454932</v>
      </c>
      <c r="K207" s="49">
        <f t="shared" si="80"/>
        <v>147.47953915191678</v>
      </c>
    </row>
    <row r="208" spans="2:24" outlineLevel="1" x14ac:dyDescent="0.25">
      <c r="B208" s="379"/>
      <c r="C208" s="389" t="s">
        <v>240</v>
      </c>
      <c r="D208" s="40" t="s">
        <v>46</v>
      </c>
      <c r="E208" s="15">
        <f t="shared" ref="E208:K209" si="81">-E154</f>
        <v>17.815000000000001</v>
      </c>
      <c r="F208" s="15">
        <f t="shared" si="81"/>
        <v>7.0579999999999998</v>
      </c>
      <c r="G208" s="15">
        <f t="shared" si="81"/>
        <v>-2</v>
      </c>
      <c r="H208" s="15">
        <f t="shared" si="81"/>
        <v>-4</v>
      </c>
      <c r="I208" s="15">
        <f t="shared" si="81"/>
        <v>-5</v>
      </c>
      <c r="J208" s="15">
        <f t="shared" si="81"/>
        <v>-8</v>
      </c>
      <c r="K208" s="15">
        <f t="shared" si="81"/>
        <v>-12</v>
      </c>
    </row>
    <row r="209" spans="2:22" outlineLevel="1" x14ac:dyDescent="0.25">
      <c r="B209" s="379"/>
      <c r="C209" s="389" t="s">
        <v>239</v>
      </c>
      <c r="D209" s="40" t="s">
        <v>46</v>
      </c>
      <c r="E209" s="15">
        <f t="shared" si="81"/>
        <v>-106.405</v>
      </c>
      <c r="F209" s="15">
        <f t="shared" si="81"/>
        <v>-29.88</v>
      </c>
      <c r="G209" s="15">
        <f t="shared" si="81"/>
        <v>3</v>
      </c>
      <c r="H209" s="15">
        <f t="shared" si="81"/>
        <v>3</v>
      </c>
      <c r="I209" s="15">
        <f t="shared" si="81"/>
        <v>6</v>
      </c>
      <c r="J209" s="15">
        <f t="shared" si="81"/>
        <v>10</v>
      </c>
      <c r="K209" s="15">
        <f t="shared" si="81"/>
        <v>15</v>
      </c>
    </row>
    <row r="210" spans="2:22" outlineLevel="1" x14ac:dyDescent="0.25">
      <c r="B210" s="379"/>
      <c r="C210" s="389" t="s">
        <v>282</v>
      </c>
      <c r="D210" s="40" t="s">
        <v>46</v>
      </c>
      <c r="E210" s="18">
        <v>16.899000000000001</v>
      </c>
      <c r="F210" s="18">
        <v>0</v>
      </c>
      <c r="G210" s="15">
        <f>+G74</f>
        <v>1</v>
      </c>
      <c r="H210" s="15">
        <f>+H74</f>
        <v>2</v>
      </c>
      <c r="I210" s="15">
        <f>+I74</f>
        <v>2.5</v>
      </c>
      <c r="J210" s="15">
        <f>+J74</f>
        <v>4</v>
      </c>
      <c r="K210" s="15">
        <f>+K74</f>
        <v>6</v>
      </c>
      <c r="N210" s="701"/>
      <c r="O210" s="701"/>
      <c r="P210" s="701"/>
      <c r="Q210" s="701"/>
      <c r="R210" s="701"/>
      <c r="S210" s="701"/>
      <c r="T210" s="701"/>
      <c r="U210" s="701"/>
      <c r="V210" s="701"/>
    </row>
    <row r="211" spans="2:22" outlineLevel="1" x14ac:dyDescent="0.25">
      <c r="B211" s="379"/>
      <c r="C211" s="389" t="s">
        <v>283</v>
      </c>
      <c r="D211" s="40" t="s">
        <v>46</v>
      </c>
      <c r="E211" s="18">
        <v>6.375</v>
      </c>
      <c r="F211" s="18">
        <v>-158.28800000000001</v>
      </c>
      <c r="G211" s="15">
        <f>G75</f>
        <v>0</v>
      </c>
      <c r="H211" s="15">
        <f>H75</f>
        <v>0</v>
      </c>
      <c r="I211" s="15">
        <f>I75</f>
        <v>0</v>
      </c>
      <c r="J211" s="15">
        <f>J75</f>
        <v>0</v>
      </c>
      <c r="K211" s="15">
        <f>K75</f>
        <v>0</v>
      </c>
      <c r="N211" s="702"/>
      <c r="O211" s="702"/>
      <c r="P211" s="702"/>
      <c r="Q211" s="702"/>
      <c r="R211" s="702"/>
      <c r="S211" s="702"/>
      <c r="T211" s="702"/>
      <c r="U211" s="701"/>
      <c r="V211" s="701"/>
    </row>
    <row r="212" spans="2:22" outlineLevel="1" x14ac:dyDescent="0.25">
      <c r="B212" s="379"/>
      <c r="C212" s="389" t="s">
        <v>131</v>
      </c>
      <c r="D212" s="40" t="s">
        <v>46</v>
      </c>
      <c r="E212" s="18">
        <v>118.238</v>
      </c>
      <c r="F212" s="18">
        <v>72.945999999999998</v>
      </c>
      <c r="G212" s="15">
        <f t="shared" ref="G212:K213" si="82">+G77*G$134</f>
        <v>75.334312609614017</v>
      </c>
      <c r="H212" s="15">
        <f t="shared" si="82"/>
        <v>103.27057826148317</v>
      </c>
      <c r="I212" s="15">
        <f t="shared" si="82"/>
        <v>117.91492315560345</v>
      </c>
      <c r="J212" s="15">
        <f t="shared" si="82"/>
        <v>132.59631765061707</v>
      </c>
      <c r="K212" s="15">
        <f t="shared" si="82"/>
        <v>142.77223818418241</v>
      </c>
      <c r="N212" s="84"/>
      <c r="O212" s="84"/>
      <c r="P212" s="84"/>
      <c r="Q212" s="84"/>
      <c r="R212" s="84"/>
      <c r="S212" s="84"/>
      <c r="T212" s="84"/>
      <c r="U212" s="701"/>
      <c r="V212" s="701"/>
    </row>
    <row r="213" spans="2:22" outlineLevel="1" x14ac:dyDescent="0.25">
      <c r="B213" s="379"/>
      <c r="C213" s="389" t="s">
        <v>132</v>
      </c>
      <c r="D213" s="40" t="s">
        <v>46</v>
      </c>
      <c r="E213" s="18">
        <v>8.9659999999999993</v>
      </c>
      <c r="F213" s="18">
        <v>7.1349999999999998</v>
      </c>
      <c r="G213" s="15">
        <f t="shared" si="82"/>
        <v>6.9753993157050012</v>
      </c>
      <c r="H213" s="15">
        <f t="shared" si="82"/>
        <v>12.294116459700376</v>
      </c>
      <c r="I213" s="15">
        <f t="shared" si="82"/>
        <v>11.791492315560346</v>
      </c>
      <c r="J213" s="15">
        <f t="shared" si="82"/>
        <v>13.957507121117585</v>
      </c>
      <c r="K213" s="15">
        <f t="shared" si="82"/>
        <v>12.237620415787063</v>
      </c>
      <c r="N213" s="84"/>
      <c r="O213" s="84"/>
      <c r="P213" s="84"/>
      <c r="Q213" s="84"/>
      <c r="R213" s="84"/>
      <c r="S213" s="84"/>
      <c r="T213" s="84"/>
      <c r="U213" s="701"/>
      <c r="V213" s="701"/>
    </row>
    <row r="214" spans="2:22" outlineLevel="1" x14ac:dyDescent="0.25">
      <c r="B214" s="379"/>
      <c r="C214" s="405" t="s">
        <v>59</v>
      </c>
      <c r="D214" s="40" t="s">
        <v>46</v>
      </c>
      <c r="E214" s="18">
        <v>26.353000000000002</v>
      </c>
      <c r="F214" s="18">
        <v>26.934999999999999</v>
      </c>
      <c r="G214" s="154">
        <v>0</v>
      </c>
      <c r="H214" s="15">
        <f>+G214</f>
        <v>0</v>
      </c>
      <c r="I214" s="15">
        <f t="shared" ref="I214:K214" si="83">+H214</f>
        <v>0</v>
      </c>
      <c r="J214" s="15">
        <f t="shared" si="83"/>
        <v>0</v>
      </c>
      <c r="K214" s="15">
        <f t="shared" si="83"/>
        <v>0</v>
      </c>
      <c r="N214" s="702"/>
      <c r="O214" s="702"/>
      <c r="P214" s="702"/>
      <c r="Q214" s="702"/>
      <c r="R214" s="702"/>
      <c r="S214" s="702"/>
      <c r="T214" s="702"/>
      <c r="U214" s="701"/>
      <c r="V214" s="701"/>
    </row>
    <row r="215" spans="2:22" outlineLevel="1" x14ac:dyDescent="0.25">
      <c r="B215" s="379"/>
      <c r="C215" s="405" t="s">
        <v>280</v>
      </c>
      <c r="D215" s="40" t="s">
        <v>46</v>
      </c>
      <c r="E215" s="18">
        <v>15.346</v>
      </c>
      <c r="F215" s="18">
        <v>9.4719999999999995</v>
      </c>
      <c r="G215" s="84">
        <f>-G148*G105</f>
        <v>9.1420323337394844</v>
      </c>
      <c r="H215" s="84">
        <f>-H148*H105</f>
        <v>9.3142899138205788</v>
      </c>
      <c r="I215" s="84">
        <f>-I148*I105</f>
        <v>10.577038639763835</v>
      </c>
      <c r="J215" s="84">
        <f>-J148*J105</f>
        <v>11.343260612277962</v>
      </c>
      <c r="K215" s="84">
        <f>-K148*K105</f>
        <v>12.257659724957218</v>
      </c>
      <c r="N215" s="84"/>
      <c r="O215" s="84"/>
      <c r="P215" s="84"/>
      <c r="Q215" s="84"/>
      <c r="R215" s="84"/>
      <c r="S215" s="84"/>
      <c r="T215" s="84"/>
      <c r="U215" s="701"/>
      <c r="V215" s="701"/>
    </row>
    <row r="216" spans="2:22" outlineLevel="1" x14ac:dyDescent="0.25">
      <c r="B216" s="379"/>
      <c r="C216" s="405" t="s">
        <v>60</v>
      </c>
      <c r="D216" s="40" t="s">
        <v>46</v>
      </c>
      <c r="E216" s="18">
        <v>-6.8620000000000001</v>
      </c>
      <c r="F216" s="18">
        <v>5.0670000000000002</v>
      </c>
      <c r="G216" s="84">
        <f>G126</f>
        <v>-41.83033231075629</v>
      </c>
      <c r="H216" s="84">
        <f>H126</f>
        <v>-5.4511133070238706</v>
      </c>
      <c r="I216" s="84">
        <f>I126</f>
        <v>13.500922973271454</v>
      </c>
      <c r="J216" s="84">
        <f>J126</f>
        <v>25.138004148923187</v>
      </c>
      <c r="K216" s="84">
        <f>K126</f>
        <v>42.442946940284223</v>
      </c>
      <c r="N216" s="84"/>
      <c r="O216" s="84"/>
      <c r="P216" s="84"/>
      <c r="Q216" s="84"/>
      <c r="R216" s="84"/>
      <c r="S216" s="84"/>
      <c r="T216" s="84"/>
      <c r="U216" s="701"/>
      <c r="V216" s="701"/>
    </row>
    <row r="217" spans="2:22" outlineLevel="1" x14ac:dyDescent="0.25">
      <c r="B217" s="379"/>
      <c r="C217" s="405" t="s">
        <v>242</v>
      </c>
      <c r="D217" s="40" t="s">
        <v>46</v>
      </c>
      <c r="E217" s="18">
        <v>369.16800000000001</v>
      </c>
      <c r="F217" s="18">
        <v>0.77700000000000002</v>
      </c>
      <c r="G217" s="84">
        <f t="shared" ref="G217:K218" si="84">G82</f>
        <v>0</v>
      </c>
      <c r="H217" s="84">
        <f t="shared" si="84"/>
        <v>0</v>
      </c>
      <c r="I217" s="84">
        <f t="shared" si="84"/>
        <v>0</v>
      </c>
      <c r="J217" s="84">
        <f t="shared" si="84"/>
        <v>0</v>
      </c>
      <c r="K217" s="84">
        <f t="shared" si="84"/>
        <v>0</v>
      </c>
      <c r="N217" s="701"/>
      <c r="O217" s="701"/>
      <c r="P217" s="701"/>
      <c r="Q217" s="701"/>
      <c r="R217" s="701"/>
      <c r="S217" s="701"/>
      <c r="T217" s="701"/>
      <c r="U217" s="701"/>
      <c r="V217" s="701"/>
    </row>
    <row r="218" spans="2:22" outlineLevel="1" x14ac:dyDescent="0.25">
      <c r="B218" s="379"/>
      <c r="C218" s="405" t="s">
        <v>281</v>
      </c>
      <c r="D218" s="40" t="s">
        <v>46</v>
      </c>
      <c r="E218" s="18">
        <v>131.64500000000001</v>
      </c>
      <c r="F218" s="18">
        <v>-146.23500000000001</v>
      </c>
      <c r="G218" s="84">
        <f t="shared" si="84"/>
        <v>0</v>
      </c>
      <c r="H218" s="84">
        <f t="shared" si="84"/>
        <v>0</v>
      </c>
      <c r="I218" s="84">
        <f t="shared" si="84"/>
        <v>0</v>
      </c>
      <c r="J218" s="84">
        <f t="shared" si="84"/>
        <v>0</v>
      </c>
      <c r="K218" s="84">
        <f t="shared" si="84"/>
        <v>0</v>
      </c>
      <c r="N218" s="701"/>
      <c r="O218" s="701"/>
      <c r="P218" s="701"/>
      <c r="Q218" s="701"/>
      <c r="R218" s="701"/>
      <c r="S218" s="701"/>
      <c r="T218" s="701"/>
      <c r="U218" s="701"/>
      <c r="V218" s="701"/>
    </row>
    <row r="219" spans="2:22" outlineLevel="1" x14ac:dyDescent="0.25">
      <c r="B219" s="379"/>
      <c r="C219" s="149" t="s">
        <v>108</v>
      </c>
      <c r="D219" s="40"/>
      <c r="E219" s="18"/>
      <c r="F219" s="18"/>
      <c r="G219" s="85"/>
      <c r="H219" s="85"/>
      <c r="I219" s="85"/>
      <c r="J219" s="85"/>
      <c r="K219" s="85"/>
      <c r="N219" s="701"/>
      <c r="O219" s="701"/>
      <c r="P219" s="701"/>
      <c r="Q219" s="701"/>
      <c r="R219" s="701"/>
      <c r="S219" s="701"/>
      <c r="T219" s="701"/>
      <c r="U219" s="701"/>
      <c r="V219" s="701"/>
    </row>
    <row r="220" spans="2:22" outlineLevel="1" x14ac:dyDescent="0.25">
      <c r="B220" s="379"/>
      <c r="C220" s="407" t="s">
        <v>109</v>
      </c>
      <c r="D220" s="40" t="s">
        <v>46</v>
      </c>
      <c r="E220" s="18">
        <v>-0.17499999999999999</v>
      </c>
      <c r="F220" s="18">
        <v>-66.194000000000003</v>
      </c>
      <c r="G220" s="84">
        <f t="shared" ref="G220:K222" si="85">+F167-G167</f>
        <v>70.770198106611332</v>
      </c>
      <c r="H220" s="84">
        <f t="shared" si="85"/>
        <v>-118.72511959069291</v>
      </c>
      <c r="I220" s="84">
        <f t="shared" si="85"/>
        <v>-54.58317566952519</v>
      </c>
      <c r="J220" s="84">
        <f t="shared" si="85"/>
        <v>-60.437592342008372</v>
      </c>
      <c r="K220" s="84">
        <f t="shared" si="85"/>
        <v>-65.831325823879922</v>
      </c>
      <c r="N220" s="701"/>
      <c r="O220" s="701"/>
      <c r="P220" s="701"/>
      <c r="Q220" s="701"/>
      <c r="R220" s="701"/>
      <c r="S220" s="701"/>
      <c r="T220" s="701"/>
      <c r="U220" s="701"/>
      <c r="V220" s="701"/>
    </row>
    <row r="221" spans="2:22" outlineLevel="1" x14ac:dyDescent="0.25">
      <c r="B221" s="379"/>
      <c r="C221" s="407" t="s">
        <v>245</v>
      </c>
      <c r="D221" s="40" t="s">
        <v>46</v>
      </c>
      <c r="E221" s="18">
        <v>-39.173999999999999</v>
      </c>
      <c r="F221" s="18">
        <v>-128.404</v>
      </c>
      <c r="G221" s="84">
        <f t="shared" si="85"/>
        <v>135.81037600981588</v>
      </c>
      <c r="H221" s="84">
        <f t="shared" si="85"/>
        <v>-148.85283433817435</v>
      </c>
      <c r="I221" s="84">
        <f t="shared" si="85"/>
        <v>-62.655086892707232</v>
      </c>
      <c r="J221" s="84">
        <f t="shared" si="85"/>
        <v>-73.256167332347275</v>
      </c>
      <c r="K221" s="84">
        <f t="shared" si="85"/>
        <v>-78.215304978115398</v>
      </c>
      <c r="N221" s="701"/>
      <c r="O221" s="701"/>
      <c r="P221" s="701"/>
      <c r="Q221" s="701"/>
      <c r="R221" s="701"/>
      <c r="S221" s="701"/>
      <c r="T221" s="701"/>
      <c r="U221" s="701"/>
      <c r="V221" s="701"/>
    </row>
    <row r="222" spans="2:22" outlineLevel="1" x14ac:dyDescent="0.25">
      <c r="B222" s="379"/>
      <c r="C222" s="407" t="s">
        <v>261</v>
      </c>
      <c r="D222" s="40" t="s">
        <v>46</v>
      </c>
      <c r="E222" s="18">
        <v>-119.754</v>
      </c>
      <c r="F222" s="18">
        <v>0.53800000000000003</v>
      </c>
      <c r="G222" s="84">
        <f t="shared" si="85"/>
        <v>116.70106463676058</v>
      </c>
      <c r="H222" s="84">
        <f t="shared" si="85"/>
        <v>-170.80449069171436</v>
      </c>
      <c r="I222" s="84">
        <f t="shared" si="85"/>
        <v>-78.526360324681207</v>
      </c>
      <c r="J222" s="84">
        <f t="shared" si="85"/>
        <v>-86.948846328384263</v>
      </c>
      <c r="K222" s="84">
        <f t="shared" si="85"/>
        <v>-94.70856814188096</v>
      </c>
      <c r="N222" s="701"/>
      <c r="O222" s="701"/>
      <c r="P222" s="701"/>
      <c r="Q222" s="701"/>
      <c r="R222" s="701"/>
      <c r="S222" s="701"/>
      <c r="T222" s="701"/>
      <c r="U222" s="701"/>
      <c r="V222" s="701"/>
    </row>
    <row r="223" spans="2:22" outlineLevel="1" x14ac:dyDescent="0.25">
      <c r="B223" s="379"/>
      <c r="C223" s="407" t="s">
        <v>110</v>
      </c>
      <c r="D223" s="40" t="s">
        <v>46</v>
      </c>
      <c r="E223" s="18">
        <v>0</v>
      </c>
      <c r="F223" s="18">
        <v>8.5299999999999994</v>
      </c>
      <c r="G223" s="84">
        <f>+F174-G174</f>
        <v>4.5816423469632923</v>
      </c>
      <c r="H223" s="84">
        <f>+G174-H174</f>
        <v>-6.0712520293537509</v>
      </c>
      <c r="I223" s="84">
        <f>+H174-I174</f>
        <v>-6.430068290641259</v>
      </c>
      <c r="J223" s="84">
        <f>+I174-J174</f>
        <v>-10.870526241952959</v>
      </c>
      <c r="K223" s="84">
        <f>+J174-K174</f>
        <v>-10.234998798395523</v>
      </c>
      <c r="N223" s="701"/>
      <c r="O223" s="701"/>
      <c r="P223" s="701"/>
      <c r="Q223" s="701"/>
      <c r="R223" s="701"/>
      <c r="S223" s="701"/>
      <c r="T223" s="701"/>
      <c r="U223" s="701"/>
      <c r="V223" s="701"/>
    </row>
    <row r="224" spans="2:22" outlineLevel="1" x14ac:dyDescent="0.25">
      <c r="B224" s="379"/>
      <c r="C224" s="407" t="s">
        <v>246</v>
      </c>
      <c r="D224" s="40" t="s">
        <v>46</v>
      </c>
      <c r="E224" s="18">
        <v>-127.286</v>
      </c>
      <c r="F224" s="18">
        <v>79.394000000000005</v>
      </c>
      <c r="G224" s="84">
        <f>+G184-F184</f>
        <v>-243.0809285873043</v>
      </c>
      <c r="H224" s="84">
        <f t="shared" ref="H224:K224" si="86">+H184-G184</f>
        <v>269.38326763042511</v>
      </c>
      <c r="I224" s="84">
        <f t="shared" si="86"/>
        <v>113.38871789623136</v>
      </c>
      <c r="J224" s="84">
        <f t="shared" si="86"/>
        <v>132.57379893241296</v>
      </c>
      <c r="K224" s="84">
        <f t="shared" si="86"/>
        <v>141.54849336524501</v>
      </c>
      <c r="N224" s="701"/>
      <c r="O224" s="701"/>
      <c r="P224" s="701"/>
      <c r="Q224" s="701"/>
      <c r="R224" s="701"/>
      <c r="S224" s="701"/>
      <c r="T224" s="701"/>
      <c r="U224" s="701"/>
      <c r="V224" s="701"/>
    </row>
    <row r="225" spans="2:22" outlineLevel="1" x14ac:dyDescent="0.25">
      <c r="B225" s="379"/>
      <c r="C225" s="509" t="s">
        <v>367</v>
      </c>
      <c r="D225" s="40" t="s">
        <v>46</v>
      </c>
      <c r="E225" s="18">
        <v>0</v>
      </c>
      <c r="F225" s="18">
        <v>0</v>
      </c>
      <c r="G225" s="84">
        <f>+G185-F185</f>
        <v>-46.613581953562544</v>
      </c>
      <c r="H225" s="84">
        <f t="shared" ref="H225:K225" si="87">+H185-G185</f>
        <v>121.51556387821046</v>
      </c>
      <c r="I225" s="84">
        <f t="shared" si="87"/>
        <v>55.866066023872179</v>
      </c>
      <c r="J225" s="84">
        <f t="shared" si="87"/>
        <v>61.858081408547037</v>
      </c>
      <c r="K225" s="84">
        <f t="shared" si="87"/>
        <v>67.378585980098364</v>
      </c>
      <c r="N225" s="701"/>
      <c r="O225" s="701"/>
      <c r="P225" s="701"/>
      <c r="Q225" s="701"/>
      <c r="R225" s="701"/>
      <c r="S225" s="701"/>
      <c r="T225" s="701"/>
      <c r="U225" s="701"/>
      <c r="V225" s="701"/>
    </row>
    <row r="226" spans="2:22" outlineLevel="1" x14ac:dyDescent="0.25">
      <c r="B226" s="379"/>
      <c r="C226" s="407" t="s">
        <v>256</v>
      </c>
      <c r="D226" s="40" t="s">
        <v>46</v>
      </c>
      <c r="E226" s="18">
        <v>-30.495000000000001</v>
      </c>
      <c r="F226" s="18">
        <v>27.530999999999999</v>
      </c>
      <c r="G226" s="84">
        <f>+G191-F191</f>
        <v>-51.413510418696092</v>
      </c>
      <c r="H226" s="84">
        <f t="shared" ref="H226:K226" si="88">+H191-G191</f>
        <v>116.57540399021093</v>
      </c>
      <c r="I226" s="84">
        <f t="shared" si="88"/>
        <v>53.594856561781569</v>
      </c>
      <c r="J226" s="84">
        <f t="shared" si="88"/>
        <v>59.343269290904288</v>
      </c>
      <c r="K226" s="84">
        <f t="shared" si="88"/>
        <v>64.639340264194686</v>
      </c>
      <c r="N226" s="701"/>
      <c r="O226" s="701"/>
      <c r="P226" s="701"/>
      <c r="Q226" s="701"/>
      <c r="R226" s="701"/>
      <c r="S226" s="701"/>
      <c r="T226" s="701"/>
      <c r="U226" s="701"/>
      <c r="V226" s="701"/>
    </row>
    <row r="227" spans="2:22" outlineLevel="1" x14ac:dyDescent="0.25">
      <c r="B227" s="379"/>
      <c r="C227" s="407" t="s">
        <v>111</v>
      </c>
      <c r="D227" s="40" t="s">
        <v>46</v>
      </c>
      <c r="E227" s="18">
        <v>0</v>
      </c>
      <c r="F227" s="18">
        <v>-8.9540000000000006</v>
      </c>
      <c r="G227" s="84">
        <f>+G190-F190</f>
        <v>-4.5816423469632923</v>
      </c>
      <c r="H227" s="84">
        <f t="shared" ref="H227:K227" si="89">+H190-G190</f>
        <v>6.0712520293537509</v>
      </c>
      <c r="I227" s="84">
        <f t="shared" si="89"/>
        <v>6.430068290641259</v>
      </c>
      <c r="J227" s="84">
        <f t="shared" si="89"/>
        <v>10.870526241952959</v>
      </c>
      <c r="K227" s="84">
        <f t="shared" si="89"/>
        <v>10.234998798395523</v>
      </c>
      <c r="N227" s="701"/>
      <c r="O227" s="701"/>
      <c r="P227" s="701"/>
      <c r="Q227" s="701"/>
      <c r="R227" s="701"/>
      <c r="S227" s="701"/>
      <c r="T227" s="701"/>
      <c r="U227" s="701"/>
      <c r="V227" s="701"/>
    </row>
    <row r="228" spans="2:22" outlineLevel="1" x14ac:dyDescent="0.25">
      <c r="B228" s="379"/>
      <c r="C228" s="24" t="s">
        <v>36</v>
      </c>
      <c r="D228" s="41" t="s">
        <v>46</v>
      </c>
      <c r="E228" s="12">
        <f>SUM(E207:E227)</f>
        <v>-530.4369999999999</v>
      </c>
      <c r="F228" s="12">
        <f>SUM(F207:F227)</f>
        <v>-270.41299999999984</v>
      </c>
      <c r="G228" s="12">
        <f t="shared" ref="G228:K228" si="90">SUM(G207:G227)</f>
        <v>-115.51251208711795</v>
      </c>
      <c r="H228" s="12">
        <f t="shared" si="90"/>
        <v>171.19298775406961</v>
      </c>
      <c r="I228" s="12">
        <f t="shared" si="90"/>
        <v>231.23630340258751</v>
      </c>
      <c r="J228" s="12">
        <f t="shared" si="90"/>
        <v>309.2932842355151</v>
      </c>
      <c r="K228" s="12">
        <f t="shared" si="90"/>
        <v>401.00122508278946</v>
      </c>
      <c r="N228" s="701"/>
      <c r="O228" s="701"/>
      <c r="P228" s="701"/>
      <c r="Q228" s="701"/>
      <c r="R228" s="701"/>
      <c r="S228" s="701"/>
      <c r="T228" s="701"/>
      <c r="U228" s="701"/>
      <c r="V228" s="701"/>
    </row>
    <row r="229" spans="2:22" outlineLevel="1" x14ac:dyDescent="0.25">
      <c r="B229" s="379"/>
      <c r="C229" s="379"/>
      <c r="D229" s="21"/>
      <c r="E229" s="18"/>
      <c r="F229" s="18"/>
      <c r="G229" s="84"/>
      <c r="H229" s="84"/>
      <c r="I229" s="84"/>
      <c r="J229" s="84"/>
      <c r="K229" s="84"/>
      <c r="N229" s="702"/>
      <c r="O229" s="702"/>
      <c r="P229" s="702"/>
      <c r="Q229" s="702"/>
      <c r="R229" s="702"/>
      <c r="S229" s="702"/>
      <c r="T229" s="702"/>
      <c r="U229" s="701"/>
      <c r="V229" s="701"/>
    </row>
    <row r="230" spans="2:22" outlineLevel="1" x14ac:dyDescent="0.25">
      <c r="B230" s="379"/>
      <c r="C230" s="389" t="s">
        <v>49</v>
      </c>
      <c r="D230" s="40" t="s">
        <v>46</v>
      </c>
      <c r="E230" s="18">
        <v>-44.905999999999999</v>
      </c>
      <c r="F230" s="18">
        <v>-47.395000000000003</v>
      </c>
      <c r="G230" s="84">
        <f>-G134*G85</f>
        <v>-87.89003137788302</v>
      </c>
      <c r="H230" s="84">
        <f>-H134*H85</f>
        <v>-196.70586335520602</v>
      </c>
      <c r="I230" s="84">
        <f>-I134*I85</f>
        <v>-200.45536936452586</v>
      </c>
      <c r="J230" s="84">
        <f>-J134*J85</f>
        <v>-174.46883901396984</v>
      </c>
      <c r="K230" s="84">
        <f>-K134*K85</f>
        <v>-183.56430623680595</v>
      </c>
      <c r="N230" s="84"/>
      <c r="O230" s="84"/>
      <c r="P230" s="84"/>
      <c r="Q230" s="84"/>
      <c r="R230" s="84"/>
      <c r="S230" s="84"/>
      <c r="T230" s="84"/>
      <c r="U230" s="701"/>
      <c r="V230" s="701"/>
    </row>
    <row r="231" spans="2:22" outlineLevel="1" x14ac:dyDescent="0.25">
      <c r="B231" s="379"/>
      <c r="C231" s="410" t="s">
        <v>320</v>
      </c>
      <c r="D231" s="40" t="s">
        <v>46</v>
      </c>
      <c r="E231" s="18">
        <v>338.541</v>
      </c>
      <c r="F231" s="18">
        <v>81.161000000000001</v>
      </c>
      <c r="G231" s="84">
        <f>G86</f>
        <v>5</v>
      </c>
      <c r="H231" s="84">
        <f>H86</f>
        <v>5</v>
      </c>
      <c r="I231" s="84">
        <f>I86</f>
        <v>5</v>
      </c>
      <c r="J231" s="84">
        <f>J86</f>
        <v>5</v>
      </c>
      <c r="K231" s="84">
        <f>K86</f>
        <v>5</v>
      </c>
      <c r="N231" s="84"/>
      <c r="O231" s="84"/>
      <c r="P231" s="84"/>
      <c r="Q231" s="84"/>
      <c r="R231" s="84"/>
      <c r="S231" s="84"/>
      <c r="T231" s="84"/>
      <c r="U231" s="701"/>
      <c r="V231" s="701"/>
    </row>
    <row r="232" spans="2:22" outlineLevel="1" x14ac:dyDescent="0.25">
      <c r="B232" s="379"/>
      <c r="C232" s="410" t="s">
        <v>321</v>
      </c>
      <c r="D232" s="40" t="s">
        <v>46</v>
      </c>
      <c r="E232" s="18">
        <v>-17</v>
      </c>
      <c r="F232" s="18">
        <v>0</v>
      </c>
      <c r="G232" s="84">
        <f t="shared" ref="G232:K233" si="91">-G87*G$134</f>
        <v>-8.3704791788460025</v>
      </c>
      <c r="H232" s="84">
        <f t="shared" si="91"/>
        <v>-17.211763043580529</v>
      </c>
      <c r="I232" s="84">
        <f t="shared" si="91"/>
        <v>-23.582984631120691</v>
      </c>
      <c r="J232" s="84">
        <f t="shared" si="91"/>
        <v>-31.404391022514567</v>
      </c>
      <c r="K232" s="84">
        <f t="shared" si="91"/>
        <v>-40.792068052623549</v>
      </c>
      <c r="N232" s="84"/>
      <c r="O232" s="84"/>
      <c r="P232" s="84"/>
      <c r="Q232" s="84"/>
      <c r="R232" s="84"/>
      <c r="S232" s="84"/>
      <c r="T232" s="84"/>
      <c r="U232" s="701"/>
      <c r="V232" s="701"/>
    </row>
    <row r="233" spans="2:22" outlineLevel="1" x14ac:dyDescent="0.25">
      <c r="B233" s="379"/>
      <c r="C233" s="389" t="s">
        <v>244</v>
      </c>
      <c r="D233" s="40" t="s">
        <v>46</v>
      </c>
      <c r="E233" s="18">
        <v>-14.686999999999999</v>
      </c>
      <c r="F233" s="18">
        <v>-12.4</v>
      </c>
      <c r="G233" s="15">
        <f t="shared" si="91"/>
        <v>-10.574990358168376</v>
      </c>
      <c r="H233" s="15">
        <f t="shared" si="91"/>
        <v>-18.638382856564895</v>
      </c>
      <c r="I233" s="15">
        <f t="shared" si="91"/>
        <v>-22.345480147767045</v>
      </c>
      <c r="J233" s="15">
        <f t="shared" si="91"/>
        <v>-26.450188826029773</v>
      </c>
      <c r="K233" s="15">
        <f t="shared" si="91"/>
        <v>-30.921220909533208</v>
      </c>
      <c r="N233" s="701"/>
      <c r="O233" s="701"/>
      <c r="P233" s="701"/>
      <c r="Q233" s="701"/>
      <c r="R233" s="701"/>
      <c r="S233" s="701"/>
      <c r="T233" s="701"/>
      <c r="U233" s="701"/>
      <c r="V233" s="701"/>
    </row>
    <row r="234" spans="2:22" outlineLevel="1" x14ac:dyDescent="0.25">
      <c r="B234" s="379"/>
      <c r="C234" s="24" t="s">
        <v>61</v>
      </c>
      <c r="D234" s="41" t="s">
        <v>46</v>
      </c>
      <c r="E234" s="12">
        <f>SUM(E230:E233)</f>
        <v>261.94799999999998</v>
      </c>
      <c r="F234" s="12">
        <f>SUM(F230:F233)</f>
        <v>21.366</v>
      </c>
      <c r="G234" s="12">
        <f t="shared" ref="G234:K234" si="92">SUM(G230:G233)</f>
        <v>-101.83550091489739</v>
      </c>
      <c r="H234" s="12">
        <f t="shared" si="92"/>
        <v>-227.55600925535146</v>
      </c>
      <c r="I234" s="12">
        <f t="shared" si="92"/>
        <v>-241.38383414341359</v>
      </c>
      <c r="J234" s="12">
        <f t="shared" si="92"/>
        <v>-227.32341886251419</v>
      </c>
      <c r="K234" s="12">
        <f t="shared" si="92"/>
        <v>-250.2775951989627</v>
      </c>
    </row>
    <row r="235" spans="2:22" outlineLevel="1" x14ac:dyDescent="0.25">
      <c r="B235" s="379"/>
      <c r="C235" s="379"/>
      <c r="D235" s="21"/>
      <c r="F235" s="378"/>
      <c r="G235" s="379"/>
      <c r="H235" s="379"/>
      <c r="I235" s="22"/>
      <c r="J235" s="22"/>
    </row>
    <row r="236" spans="2:22" outlineLevel="1" x14ac:dyDescent="0.25">
      <c r="B236" s="379"/>
      <c r="C236" s="389" t="s">
        <v>113</v>
      </c>
      <c r="D236" s="40" t="s">
        <v>46</v>
      </c>
      <c r="E236" s="18">
        <v>545.98299999999995</v>
      </c>
      <c r="F236" s="18">
        <v>457.19099999999997</v>
      </c>
      <c r="G236" s="15">
        <f>+G98</f>
        <v>114.77510000000001</v>
      </c>
      <c r="H236" s="15">
        <f>+H98</f>
        <v>513.59220000000005</v>
      </c>
      <c r="I236" s="15">
        <f>+I98</f>
        <v>16.498900000000003</v>
      </c>
      <c r="J236" s="15">
        <f>+J98</f>
        <v>468.30520000000007</v>
      </c>
      <c r="K236" s="15">
        <f>+K98</f>
        <v>0.84920000000000007</v>
      </c>
      <c r="N236" s="84"/>
      <c r="O236" s="84"/>
      <c r="P236" s="84"/>
      <c r="Q236" s="84"/>
      <c r="R236" s="84"/>
      <c r="S236" s="84"/>
      <c r="T236" s="84"/>
    </row>
    <row r="237" spans="2:22" outlineLevel="1" x14ac:dyDescent="0.25">
      <c r="B237" s="379"/>
      <c r="C237" s="389" t="s">
        <v>114</v>
      </c>
      <c r="D237" s="40" t="s">
        <v>46</v>
      </c>
      <c r="E237" s="18">
        <v>-583.89200000000005</v>
      </c>
      <c r="F237" s="18">
        <v>-273.97399999999999</v>
      </c>
      <c r="G237" s="15">
        <f>-G96</f>
        <v>-104.34099999999999</v>
      </c>
      <c r="H237" s="15">
        <f>-H96</f>
        <v>-466.90199999999999</v>
      </c>
      <c r="I237" s="15">
        <f>-I96</f>
        <v>-14.999000000000001</v>
      </c>
      <c r="J237" s="15">
        <f>-J96</f>
        <v>-425.73200000000003</v>
      </c>
      <c r="K237" s="15">
        <f>-K96</f>
        <v>-0.77200000000000002</v>
      </c>
      <c r="N237" s="84"/>
      <c r="O237" s="84"/>
      <c r="P237" s="84"/>
      <c r="Q237" s="84"/>
      <c r="R237" s="84"/>
      <c r="S237" s="84"/>
      <c r="T237" s="84"/>
    </row>
    <row r="238" spans="2:22" outlineLevel="1" x14ac:dyDescent="0.25">
      <c r="B238" s="379"/>
      <c r="C238" s="389" t="s">
        <v>313</v>
      </c>
      <c r="D238" s="40" t="s">
        <v>46</v>
      </c>
      <c r="E238" s="18">
        <v>0</v>
      </c>
      <c r="F238" s="18">
        <v>0</v>
      </c>
      <c r="G238" s="15">
        <f>+G101</f>
        <v>0</v>
      </c>
      <c r="H238" s="15">
        <f t="shared" ref="H238:K238" si="93">+H101</f>
        <v>87.5</v>
      </c>
      <c r="I238" s="15">
        <f t="shared" si="93"/>
        <v>75</v>
      </c>
      <c r="J238" s="15">
        <f t="shared" si="93"/>
        <v>50</v>
      </c>
      <c r="K238" s="15">
        <f t="shared" si="93"/>
        <v>25</v>
      </c>
    </row>
    <row r="239" spans="2:22" outlineLevel="1" x14ac:dyDescent="0.25">
      <c r="B239" s="379"/>
      <c r="C239" s="389" t="s">
        <v>314</v>
      </c>
      <c r="D239" s="40" t="s">
        <v>46</v>
      </c>
      <c r="E239" s="18">
        <v>0</v>
      </c>
      <c r="F239" s="18">
        <v>171.834</v>
      </c>
      <c r="G239" s="15">
        <f t="shared" ref="G239:K239" si="94">+G102</f>
        <v>199.75992000000005</v>
      </c>
      <c r="H239" s="15">
        <f t="shared" si="94"/>
        <v>87.5</v>
      </c>
      <c r="I239" s="15">
        <f t="shared" si="94"/>
        <v>75</v>
      </c>
      <c r="J239" s="15">
        <f t="shared" si="94"/>
        <v>50</v>
      </c>
      <c r="K239" s="15">
        <f t="shared" si="94"/>
        <v>25</v>
      </c>
      <c r="N239" s="515"/>
    </row>
    <row r="240" spans="2:22" outlineLevel="1" x14ac:dyDescent="0.25">
      <c r="B240" s="379"/>
      <c r="C240" s="389" t="s">
        <v>284</v>
      </c>
      <c r="D240" s="40" t="s">
        <v>46</v>
      </c>
      <c r="E240" s="18">
        <v>151.20400000000001</v>
      </c>
      <c r="F240" s="18">
        <v>35.79</v>
      </c>
      <c r="G240" s="15">
        <f t="shared" ref="G240:K241" si="95">-G90*G$155</f>
        <v>-1.5</v>
      </c>
      <c r="H240" s="15">
        <f t="shared" si="95"/>
        <v>-1.5</v>
      </c>
      <c r="I240" s="15">
        <f t="shared" si="95"/>
        <v>-3</v>
      </c>
      <c r="J240" s="15">
        <f t="shared" si="95"/>
        <v>-5</v>
      </c>
      <c r="K240" s="15">
        <f t="shared" si="95"/>
        <v>-7.5</v>
      </c>
    </row>
    <row r="241" spans="2:11" outlineLevel="1" x14ac:dyDescent="0.25">
      <c r="B241" s="379"/>
      <c r="C241" s="389" t="s">
        <v>285</v>
      </c>
      <c r="D241" s="40" t="s">
        <v>46</v>
      </c>
      <c r="E241" s="18">
        <v>-21.917999999999999</v>
      </c>
      <c r="F241" s="18">
        <v>-0.316</v>
      </c>
      <c r="G241" s="15">
        <f t="shared" si="95"/>
        <v>-0.30000000000000004</v>
      </c>
      <c r="H241" s="15">
        <f t="shared" si="95"/>
        <v>-0.30000000000000004</v>
      </c>
      <c r="I241" s="15">
        <f t="shared" si="95"/>
        <v>-0.60000000000000009</v>
      </c>
      <c r="J241" s="15">
        <f t="shared" si="95"/>
        <v>-1</v>
      </c>
      <c r="K241" s="15">
        <f t="shared" si="95"/>
        <v>-1.5</v>
      </c>
    </row>
    <row r="242" spans="2:11" outlineLevel="1" x14ac:dyDescent="0.25">
      <c r="B242" s="379"/>
      <c r="C242" s="389" t="s">
        <v>67</v>
      </c>
      <c r="D242" s="40" t="s">
        <v>46</v>
      </c>
      <c r="E242" s="18">
        <v>-5.53</v>
      </c>
      <c r="F242" s="18">
        <v>-45.979000000000191</v>
      </c>
      <c r="G242" s="15">
        <f>G93</f>
        <v>-25.754500000000096</v>
      </c>
      <c r="H242" s="15">
        <f>H93</f>
        <v>-25.754500000000096</v>
      </c>
      <c r="I242" s="15">
        <f>I93</f>
        <v>-25.754500000000096</v>
      </c>
      <c r="J242" s="15">
        <f>J93</f>
        <v>-25.754500000000096</v>
      </c>
      <c r="K242" s="15">
        <f>K93</f>
        <v>-25.754500000000096</v>
      </c>
    </row>
    <row r="243" spans="2:11" outlineLevel="1" x14ac:dyDescent="0.25">
      <c r="B243" s="379"/>
      <c r="C243" s="24" t="s">
        <v>63</v>
      </c>
      <c r="D243" s="41" t="s">
        <v>46</v>
      </c>
      <c r="E243" s="12">
        <f t="shared" ref="E243:K243" si="96">SUM(E236:E242)</f>
        <v>85.846999999999895</v>
      </c>
      <c r="F243" s="12">
        <f t="shared" si="96"/>
        <v>344.54599999999982</v>
      </c>
      <c r="G243" s="12">
        <f t="shared" si="96"/>
        <v>182.63951999999998</v>
      </c>
      <c r="H243" s="12">
        <f t="shared" si="96"/>
        <v>194.13569999999996</v>
      </c>
      <c r="I243" s="12">
        <f t="shared" si="96"/>
        <v>122.14539999999991</v>
      </c>
      <c r="J243" s="12">
        <f t="shared" si="96"/>
        <v>110.81869999999995</v>
      </c>
      <c r="K243" s="12">
        <f t="shared" si="96"/>
        <v>15.322699999999909</v>
      </c>
    </row>
    <row r="244" spans="2:11" outlineLevel="1" x14ac:dyDescent="0.25">
      <c r="B244" s="379"/>
      <c r="C244" s="379"/>
      <c r="D244" s="42"/>
      <c r="E244" s="21"/>
      <c r="F244" s="21"/>
      <c r="G244" s="379"/>
      <c r="H244" s="379"/>
      <c r="I244" s="22"/>
      <c r="J244" s="22"/>
    </row>
    <row r="245" spans="2:11" outlineLevel="1" x14ac:dyDescent="0.25">
      <c r="B245" s="379"/>
      <c r="C245" s="379" t="s">
        <v>248</v>
      </c>
      <c r="D245" s="40" t="s">
        <v>46</v>
      </c>
      <c r="E245" s="18">
        <v>2.0680000000000001</v>
      </c>
      <c r="F245" s="18">
        <v>-0.373</v>
      </c>
      <c r="G245" s="156">
        <f>AVERAGE(E245,F245)</f>
        <v>0.84750000000000003</v>
      </c>
      <c r="H245" s="15">
        <f>+G245</f>
        <v>0.84750000000000003</v>
      </c>
      <c r="I245" s="15">
        <f t="shared" ref="I245:K245" si="97">+H245</f>
        <v>0.84750000000000003</v>
      </c>
      <c r="J245" s="15">
        <f t="shared" si="97"/>
        <v>0.84750000000000003</v>
      </c>
      <c r="K245" s="15">
        <f t="shared" si="97"/>
        <v>0.84750000000000003</v>
      </c>
    </row>
    <row r="246" spans="2:11" outlineLevel="1" x14ac:dyDescent="0.25">
      <c r="B246" s="379"/>
      <c r="C246" s="379"/>
      <c r="D246" s="42"/>
      <c r="E246" s="21"/>
      <c r="F246" s="21"/>
      <c r="G246" s="379"/>
      <c r="H246" s="379"/>
      <c r="I246" s="22"/>
      <c r="J246" s="22"/>
    </row>
    <row r="247" spans="2:11" outlineLevel="1" x14ac:dyDescent="0.25">
      <c r="B247" s="379"/>
      <c r="C247" s="6" t="s">
        <v>64</v>
      </c>
      <c r="D247" s="40" t="s">
        <v>46</v>
      </c>
      <c r="E247" s="13">
        <f t="shared" ref="E247:K247" si="98">+E228+E234+E243+E245</f>
        <v>-180.57400000000001</v>
      </c>
      <c r="F247" s="13">
        <f t="shared" si="98"/>
        <v>95.125999999999962</v>
      </c>
      <c r="G247" s="13">
        <f t="shared" si="98"/>
        <v>-33.860993002015391</v>
      </c>
      <c r="H247" s="13">
        <f t="shared" si="98"/>
        <v>138.6201784987181</v>
      </c>
      <c r="I247" s="13">
        <f t="shared" si="98"/>
        <v>112.84536925917382</v>
      </c>
      <c r="J247" s="13">
        <f t="shared" si="98"/>
        <v>193.63606537300086</v>
      </c>
      <c r="K247" s="13">
        <f t="shared" si="98"/>
        <v>166.89382988382667</v>
      </c>
    </row>
    <row r="248" spans="2:11" outlineLevel="1" x14ac:dyDescent="0.25">
      <c r="B248" s="379"/>
      <c r="C248" s="379"/>
      <c r="D248" s="42"/>
      <c r="F248" s="364"/>
      <c r="G248" s="379"/>
      <c r="H248" s="379"/>
      <c r="I248" s="22"/>
      <c r="J248" s="22"/>
    </row>
    <row r="249" spans="2:11" outlineLevel="1" x14ac:dyDescent="0.25">
      <c r="B249" s="379"/>
      <c r="C249" s="6" t="s">
        <v>115</v>
      </c>
      <c r="D249" s="40" t="s">
        <v>46</v>
      </c>
      <c r="E249" s="77">
        <v>550.29200000000003</v>
      </c>
      <c r="F249" s="13">
        <f>+E250</f>
        <v>369.71800000000002</v>
      </c>
      <c r="G249" s="14">
        <f>+F250</f>
        <v>464.84399999999999</v>
      </c>
      <c r="H249" s="14">
        <f t="shared" ref="H249:K249" si="99">+G250</f>
        <v>430.9830069979846</v>
      </c>
      <c r="I249" s="14">
        <f t="shared" si="99"/>
        <v>569.60318549670274</v>
      </c>
      <c r="J249" s="14">
        <f t="shared" si="99"/>
        <v>682.44855475587656</v>
      </c>
      <c r="K249" s="14">
        <f t="shared" si="99"/>
        <v>876.08462012887742</v>
      </c>
    </row>
    <row r="250" spans="2:11" outlineLevel="1" x14ac:dyDescent="0.25">
      <c r="B250" s="379"/>
      <c r="C250" s="6" t="s">
        <v>116</v>
      </c>
      <c r="D250" s="40" t="s">
        <v>46</v>
      </c>
      <c r="E250" s="13">
        <f>+E247+E249</f>
        <v>369.71800000000002</v>
      </c>
      <c r="F250" s="13">
        <f>+F247+F249</f>
        <v>464.84399999999999</v>
      </c>
      <c r="G250" s="13">
        <f>+G247+G249</f>
        <v>430.9830069979846</v>
      </c>
      <c r="H250" s="13">
        <f t="shared" ref="H250:K250" si="100">+H247+H249</f>
        <v>569.60318549670274</v>
      </c>
      <c r="I250" s="13">
        <f t="shared" si="100"/>
        <v>682.44855475587656</v>
      </c>
      <c r="J250" s="13">
        <f t="shared" si="100"/>
        <v>876.08462012887742</v>
      </c>
      <c r="K250" s="13">
        <f t="shared" si="100"/>
        <v>1042.9784500127041</v>
      </c>
    </row>
    <row r="251" spans="2:11" x14ac:dyDescent="0.25">
      <c r="B251" s="379"/>
      <c r="C251" s="379"/>
      <c r="D251" s="42"/>
      <c r="E251" s="21"/>
      <c r="G251" s="16"/>
      <c r="H251" s="379"/>
      <c r="I251" s="379"/>
      <c r="J251" s="22"/>
      <c r="K251" s="22"/>
    </row>
    <row r="252" spans="2:11" x14ac:dyDescent="0.25">
      <c r="B252" s="28"/>
      <c r="C252" s="29"/>
      <c r="D252" s="29"/>
      <c r="E252" s="33" t="str">
        <f>$E$30</f>
        <v>Historical:</v>
      </c>
      <c r="F252" s="34"/>
      <c r="G252" s="33" t="str">
        <f>$G$30</f>
        <v>Projected:</v>
      </c>
      <c r="H252" s="33"/>
      <c r="I252" s="33"/>
      <c r="J252" s="33"/>
      <c r="K252" s="33"/>
    </row>
    <row r="253" spans="2:11" x14ac:dyDescent="0.25">
      <c r="B253" s="30" t="s">
        <v>271</v>
      </c>
      <c r="C253" s="31"/>
      <c r="D253" s="36" t="str">
        <f>$D$5</f>
        <v>Units:</v>
      </c>
      <c r="E253" s="32">
        <f>$E$31</f>
        <v>43465</v>
      </c>
      <c r="F253" s="35">
        <f>$F$31</f>
        <v>43830</v>
      </c>
      <c r="G253" s="32">
        <f>$G$31</f>
        <v>44196</v>
      </c>
      <c r="H253" s="32">
        <f>$H$31</f>
        <v>44561</v>
      </c>
      <c r="I253" s="32">
        <f>$I$31</f>
        <v>44926</v>
      </c>
      <c r="J253" s="32">
        <f>$J$31</f>
        <v>45291</v>
      </c>
      <c r="K253" s="32">
        <f>$K$31</f>
        <v>45657</v>
      </c>
    </row>
    <row r="254" spans="2:11" outlineLevel="1" x14ac:dyDescent="0.25"/>
    <row r="255" spans="2:11" outlineLevel="1" x14ac:dyDescent="0.25">
      <c r="C255" s="16" t="s">
        <v>0</v>
      </c>
      <c r="D255" s="39" t="s">
        <v>46</v>
      </c>
      <c r="E255" s="50">
        <f t="shared" ref="E255:K255" si="101">+E147</f>
        <v>-849.03099999999995</v>
      </c>
      <c r="F255" s="50">
        <f t="shared" si="101"/>
        <v>-98.114999999999782</v>
      </c>
      <c r="G255" s="50">
        <f t="shared" si="101"/>
        <v>-146.18483387002476</v>
      </c>
      <c r="H255" s="50">
        <f t="shared" si="101"/>
        <v>20.490194099500343</v>
      </c>
      <c r="I255" s="50">
        <f t="shared" si="101"/>
        <v>113.5672165139286</v>
      </c>
      <c r="J255" s="50">
        <f t="shared" si="101"/>
        <v>170.46781351961374</v>
      </c>
      <c r="K255" s="50">
        <f t="shared" si="101"/>
        <v>253.49311248814627</v>
      </c>
    </row>
    <row r="256" spans="2:11" outlineLevel="1" x14ac:dyDescent="0.25">
      <c r="C256" s="389" t="s">
        <v>131</v>
      </c>
      <c r="D256" s="39" t="s">
        <v>46</v>
      </c>
      <c r="E256" s="15">
        <f t="shared" ref="E256:K257" si="102">+E212</f>
        <v>118.238</v>
      </c>
      <c r="F256" s="15">
        <f t="shared" si="102"/>
        <v>72.945999999999998</v>
      </c>
      <c r="G256" s="15">
        <f t="shared" si="102"/>
        <v>75.334312609614017</v>
      </c>
      <c r="H256" s="15">
        <f t="shared" si="102"/>
        <v>103.27057826148317</v>
      </c>
      <c r="I256" s="15">
        <f t="shared" si="102"/>
        <v>117.91492315560345</v>
      </c>
      <c r="J256" s="15">
        <f t="shared" si="102"/>
        <v>132.59631765061707</v>
      </c>
      <c r="K256" s="15">
        <f t="shared" si="102"/>
        <v>142.77223818418241</v>
      </c>
    </row>
    <row r="257" spans="3:11" outlineLevel="1" x14ac:dyDescent="0.25">
      <c r="C257" s="389" t="s">
        <v>145</v>
      </c>
      <c r="D257" s="39" t="s">
        <v>46</v>
      </c>
      <c r="E257" s="15">
        <f t="shared" si="102"/>
        <v>8.9659999999999993</v>
      </c>
      <c r="F257" s="15">
        <f t="shared" si="102"/>
        <v>7.1349999999999998</v>
      </c>
      <c r="G257" s="15">
        <f t="shared" si="102"/>
        <v>6.9753993157050012</v>
      </c>
      <c r="H257" s="15">
        <f t="shared" si="102"/>
        <v>12.294116459700376</v>
      </c>
      <c r="I257" s="15">
        <f t="shared" si="102"/>
        <v>11.791492315560346</v>
      </c>
      <c r="J257" s="15">
        <f t="shared" si="102"/>
        <v>13.957507121117585</v>
      </c>
      <c r="K257" s="15">
        <f t="shared" si="102"/>
        <v>12.237620415787063</v>
      </c>
    </row>
    <row r="258" spans="3:11" outlineLevel="1" x14ac:dyDescent="0.25">
      <c r="C258" s="389" t="s">
        <v>278</v>
      </c>
      <c r="D258" s="58" t="s">
        <v>46</v>
      </c>
      <c r="E258" s="15">
        <f t="shared" ref="E258:K258" si="103">-E144</f>
        <v>192.637</v>
      </c>
      <c r="F258" s="15">
        <f t="shared" si="103"/>
        <v>-118.048</v>
      </c>
      <c r="G258" s="15">
        <f t="shared" si="103"/>
        <v>0</v>
      </c>
      <c r="H258" s="15">
        <f t="shared" si="103"/>
        <v>0</v>
      </c>
      <c r="I258" s="15">
        <f t="shared" si="103"/>
        <v>0</v>
      </c>
      <c r="J258" s="15">
        <f t="shared" si="103"/>
        <v>0</v>
      </c>
      <c r="K258" s="15">
        <f t="shared" si="103"/>
        <v>0</v>
      </c>
    </row>
    <row r="259" spans="3:11" outlineLevel="1" x14ac:dyDescent="0.25">
      <c r="C259" s="24" t="s">
        <v>20</v>
      </c>
      <c r="D259" s="39" t="s">
        <v>46</v>
      </c>
      <c r="E259" s="25">
        <f>SUM(E255:E258)</f>
        <v>-529.18999999999983</v>
      </c>
      <c r="F259" s="25">
        <f>SUM(F255:F258)</f>
        <v>-136.08199999999979</v>
      </c>
      <c r="G259" s="25">
        <f t="shared" ref="G259:K259" si="104">SUM(G255:G258)</f>
        <v>-63.875121944705739</v>
      </c>
      <c r="H259" s="25">
        <f t="shared" si="104"/>
        <v>136.05488882068389</v>
      </c>
      <c r="I259" s="25">
        <f t="shared" si="104"/>
        <v>243.27363198509238</v>
      </c>
      <c r="J259" s="25">
        <f t="shared" si="104"/>
        <v>317.02163829134838</v>
      </c>
      <c r="K259" s="25">
        <f t="shared" si="104"/>
        <v>408.50297108811571</v>
      </c>
    </row>
    <row r="260" spans="3:11" outlineLevel="1" x14ac:dyDescent="0.25">
      <c r="F260" s="383"/>
      <c r="G260" s="383"/>
      <c r="H260" s="383"/>
      <c r="I260" s="383"/>
      <c r="J260" s="383"/>
      <c r="K260" s="383"/>
    </row>
    <row r="261" spans="3:11" outlineLevel="1" x14ac:dyDescent="0.25">
      <c r="C261" s="26" t="s">
        <v>15</v>
      </c>
      <c r="D261" s="37" t="s">
        <v>32</v>
      </c>
      <c r="E261" s="27">
        <f>IFERROR(+E134/2552.6-1,"N/A")</f>
        <v>-0.32379338713468619</v>
      </c>
      <c r="F261" s="27">
        <f t="shared" ref="F261:K261" si="105">IFERROR(+F134/E134-1,"N/A")</f>
        <v>8.0030821193626256E-2</v>
      </c>
      <c r="G261" s="27">
        <f t="shared" si="105"/>
        <v>-0.2516569281385026</v>
      </c>
      <c r="H261" s="27">
        <f t="shared" si="105"/>
        <v>0.7624964397407854</v>
      </c>
      <c r="I261" s="27">
        <f t="shared" si="105"/>
        <v>0.19889586557647165</v>
      </c>
      <c r="J261" s="27">
        <f t="shared" si="105"/>
        <v>0.18369301760888357</v>
      </c>
      <c r="K261" s="27">
        <f t="shared" si="105"/>
        <v>0.1690359230669638</v>
      </c>
    </row>
    <row r="262" spans="3:11" outlineLevel="1" x14ac:dyDescent="0.25">
      <c r="C262" s="26" t="s">
        <v>294</v>
      </c>
      <c r="D262" s="37" t="s">
        <v>32</v>
      </c>
      <c r="E262" s="27">
        <f t="shared" ref="E262:K262" si="106">IFERROR(+E138/E134,"N/A")</f>
        <v>-0.17211261322588395</v>
      </c>
      <c r="F262" s="27">
        <f t="shared" si="106"/>
        <v>6.7537448537596148E-2</v>
      </c>
      <c r="G262" s="27">
        <f t="shared" si="106"/>
        <v>0.11021400334681061</v>
      </c>
      <c r="H262" s="27">
        <f t="shared" si="106"/>
        <v>0.15733333333333321</v>
      </c>
      <c r="I262" s="27">
        <f t="shared" si="106"/>
        <v>0.17852513777719634</v>
      </c>
      <c r="J262" s="27">
        <f t="shared" si="106"/>
        <v>0.18885336959970378</v>
      </c>
      <c r="K262" s="27">
        <f t="shared" si="106"/>
        <v>0.19914274602629342</v>
      </c>
    </row>
    <row r="263" spans="3:11" outlineLevel="1" x14ac:dyDescent="0.25">
      <c r="C263" s="26" t="s">
        <v>16</v>
      </c>
      <c r="D263" s="37" t="s">
        <v>32</v>
      </c>
      <c r="E263" s="27">
        <f t="shared" ref="E263:K263" si="107">IFERROR(+E255/E134,"N/A")</f>
        <v>-0.49188249709602944</v>
      </c>
      <c r="F263" s="27">
        <f t="shared" si="107"/>
        <v>-5.2630449650658995E-2</v>
      </c>
      <c r="G263" s="27">
        <f t="shared" si="107"/>
        <v>-0.10478599665318938</v>
      </c>
      <c r="H263" s="27">
        <f t="shared" si="107"/>
        <v>8.333333333333217E-3</v>
      </c>
      <c r="I263" s="27">
        <f t="shared" si="107"/>
        <v>3.8525137777196357E-2</v>
      </c>
      <c r="J263" s="27">
        <f t="shared" si="107"/>
        <v>4.8853369599703787E-2</v>
      </c>
      <c r="K263" s="27">
        <f t="shared" si="107"/>
        <v>6.2142746026293424E-2</v>
      </c>
    </row>
    <row r="264" spans="3:11" outlineLevel="1" x14ac:dyDescent="0.25">
      <c r="C264" s="26" t="s">
        <v>17</v>
      </c>
      <c r="D264" s="37" t="s">
        <v>32</v>
      </c>
      <c r="E264" s="27">
        <f t="shared" ref="E264:K264" si="108">IFERROR(+E259/E134,"N/A")</f>
        <v>-0.3065839747173516</v>
      </c>
      <c r="F264" s="27">
        <f t="shared" si="108"/>
        <v>-7.2996553527605187E-2</v>
      </c>
      <c r="G264" s="27">
        <f t="shared" si="108"/>
        <v>-4.578599665318938E-2</v>
      </c>
      <c r="H264" s="27">
        <f t="shared" si="108"/>
        <v>5.5333333333333221E-2</v>
      </c>
      <c r="I264" s="27">
        <f t="shared" si="108"/>
        <v>8.2525137777196361E-2</v>
      </c>
      <c r="J264" s="27">
        <f t="shared" si="108"/>
        <v>9.085336959970379E-2</v>
      </c>
      <c r="K264" s="27">
        <f t="shared" si="108"/>
        <v>0.10014274602629342</v>
      </c>
    </row>
    <row r="265" spans="3:11" outlineLevel="1" x14ac:dyDescent="0.25">
      <c r="C265" s="26" t="s">
        <v>18</v>
      </c>
      <c r="D265" s="37" t="s">
        <v>32</v>
      </c>
      <c r="E265" s="27">
        <f t="shared" ref="E265:K265" si="109">IFERROR(+E156/E142,"N/A")</f>
        <v>3.1182495165525488</v>
      </c>
      <c r="F265" s="27">
        <f t="shared" si="109"/>
        <v>-8.5081956512558288E-2</v>
      </c>
      <c r="G265" s="27">
        <f t="shared" si="109"/>
        <v>0.62955511080238735</v>
      </c>
      <c r="H265" s="27">
        <f t="shared" si="109"/>
        <v>6.8380118470794171E-2</v>
      </c>
      <c r="I265" s="27">
        <f t="shared" si="109"/>
        <v>-0.15586814119602527</v>
      </c>
      <c r="J265" s="27">
        <f t="shared" si="109"/>
        <v>-0.24479243817039448</v>
      </c>
      <c r="K265" s="27">
        <f t="shared" si="109"/>
        <v>-0.3615397458193631</v>
      </c>
    </row>
    <row r="266" spans="3:11" outlineLevel="1" x14ac:dyDescent="0.25">
      <c r="D266" s="26"/>
    </row>
    <row r="267" spans="3:11" outlineLevel="1" x14ac:dyDescent="0.25">
      <c r="C267" s="26" t="s">
        <v>19</v>
      </c>
      <c r="D267" s="37" t="s">
        <v>32</v>
      </c>
      <c r="E267" s="27">
        <f t="shared" ref="E267:K267" si="110">-E152/E151</f>
        <v>-1.1238818210446316E-3</v>
      </c>
      <c r="F267" s="27">
        <f t="shared" si="110"/>
        <v>1.0255314232901949</v>
      </c>
      <c r="G267" s="27">
        <f t="shared" si="110"/>
        <v>0.22</v>
      </c>
      <c r="H267" s="27">
        <f t="shared" si="110"/>
        <v>0.22</v>
      </c>
      <c r="I267" s="27">
        <f t="shared" si="110"/>
        <v>0.22</v>
      </c>
      <c r="J267" s="27">
        <f t="shared" si="110"/>
        <v>0.22</v>
      </c>
      <c r="K267" s="27">
        <f t="shared" si="110"/>
        <v>0.22</v>
      </c>
    </row>
    <row r="268" spans="3:11" outlineLevel="1" x14ac:dyDescent="0.25">
      <c r="D268" s="26"/>
    </row>
    <row r="269" spans="3:11" outlineLevel="1" x14ac:dyDescent="0.25">
      <c r="C269" s="26" t="s">
        <v>130</v>
      </c>
      <c r="D269" s="37" t="s">
        <v>32</v>
      </c>
      <c r="E269" s="27">
        <f t="shared" ref="E269:K269" si="111">E212/E134</f>
        <v>6.8500682179614553E-2</v>
      </c>
      <c r="F269" s="27">
        <f t="shared" si="111"/>
        <v>3.9129396934382915E-2</v>
      </c>
      <c r="G269" s="27">
        <f t="shared" si="111"/>
        <v>5.3999999999999999E-2</v>
      </c>
      <c r="H269" s="27">
        <f t="shared" si="111"/>
        <v>4.2000000000000003E-2</v>
      </c>
      <c r="I269" s="27">
        <f t="shared" si="111"/>
        <v>0.04</v>
      </c>
      <c r="J269" s="27">
        <f t="shared" si="111"/>
        <v>3.7999999999999999E-2</v>
      </c>
      <c r="K269" s="27">
        <f t="shared" si="111"/>
        <v>3.5000000000000003E-2</v>
      </c>
    </row>
    <row r="270" spans="3:11" outlineLevel="1" x14ac:dyDescent="0.25">
      <c r="C270" s="26" t="s">
        <v>21</v>
      </c>
      <c r="D270" s="37" t="s">
        <v>32</v>
      </c>
      <c r="E270" s="27">
        <f t="shared" ref="E270:K270" si="112">-E230/E134</f>
        <v>2.6016100018249388E-2</v>
      </c>
      <c r="F270" s="27">
        <f t="shared" si="112"/>
        <v>2.5423433330204238E-2</v>
      </c>
      <c r="G270" s="27">
        <f t="shared" si="112"/>
        <v>6.3E-2</v>
      </c>
      <c r="H270" s="27">
        <f t="shared" si="112"/>
        <v>0.08</v>
      </c>
      <c r="I270" s="27">
        <f t="shared" si="112"/>
        <v>6.8000000000000005E-2</v>
      </c>
      <c r="J270" s="27">
        <f t="shared" si="112"/>
        <v>5.000000000000001E-2</v>
      </c>
      <c r="K270" s="27">
        <f t="shared" si="112"/>
        <v>4.4999999999999998E-2</v>
      </c>
    </row>
    <row r="271" spans="3:11" outlineLevel="1" x14ac:dyDescent="0.25"/>
    <row r="272" spans="3:11" outlineLevel="1" x14ac:dyDescent="0.25">
      <c r="C272" s="26" t="s">
        <v>211</v>
      </c>
      <c r="D272" s="37" t="s">
        <v>32</v>
      </c>
      <c r="E272" s="27">
        <f t="shared" ref="E272:K272" si="113">+E213/E134</f>
        <v>5.1944139483281523E-3</v>
      </c>
      <c r="F272" s="27">
        <f t="shared" si="113"/>
        <v>3.8273277099062602E-3</v>
      </c>
      <c r="G272" s="27">
        <f t="shared" si="113"/>
        <v>5.0000000000000001E-3</v>
      </c>
      <c r="H272" s="27">
        <f t="shared" si="113"/>
        <v>5.0000000000000001E-3</v>
      </c>
      <c r="I272" s="27">
        <f t="shared" si="113"/>
        <v>4.0000000000000001E-3</v>
      </c>
      <c r="J272" s="27">
        <f t="shared" si="113"/>
        <v>4.0000000000000001E-3</v>
      </c>
      <c r="K272" s="27">
        <f t="shared" si="113"/>
        <v>3.0000000000000001E-3</v>
      </c>
    </row>
    <row r="273" spans="3:11" outlineLevel="1" x14ac:dyDescent="0.25">
      <c r="C273" s="26" t="s">
        <v>210</v>
      </c>
      <c r="D273" s="37" t="s">
        <v>32</v>
      </c>
      <c r="E273" s="27">
        <f t="shared" ref="E273:K273" si="114">-E232/E134</f>
        <v>9.8488776624557888E-3</v>
      </c>
      <c r="F273" s="27">
        <f t="shared" si="114"/>
        <v>0</v>
      </c>
      <c r="G273" s="27">
        <f t="shared" si="114"/>
        <v>6.000000000000001E-3</v>
      </c>
      <c r="H273" s="27">
        <f t="shared" si="114"/>
        <v>7.000000000000001E-3</v>
      </c>
      <c r="I273" s="27">
        <f t="shared" si="114"/>
        <v>8.0000000000000002E-3</v>
      </c>
      <c r="J273" s="27">
        <f t="shared" si="114"/>
        <v>8.9999999999999993E-3</v>
      </c>
      <c r="K273" s="27">
        <f t="shared" si="114"/>
        <v>0.01</v>
      </c>
    </row>
    <row r="274" spans="3:11" outlineLevel="1" x14ac:dyDescent="0.25"/>
    <row r="275" spans="3:11" outlineLevel="1" x14ac:dyDescent="0.25">
      <c r="C275" s="539" t="s">
        <v>401</v>
      </c>
      <c r="D275" s="540" t="s">
        <v>46</v>
      </c>
      <c r="E275" s="15">
        <f>+E196+E189</f>
        <v>690.26199999999994</v>
      </c>
      <c r="F275" s="15">
        <f t="shared" ref="F275:K275" si="115">+F196+F189</f>
        <v>1049.105</v>
      </c>
      <c r="G275" s="15">
        <f t="shared" si="115"/>
        <v>1094.2265105046947</v>
      </c>
      <c r="H275" s="15">
        <f t="shared" si="115"/>
        <v>1281.9973259663395</v>
      </c>
      <c r="I275" s="15">
        <f t="shared" si="115"/>
        <v>1466.0341733295204</v>
      </c>
      <c r="J275" s="15">
        <f t="shared" si="115"/>
        <v>1682.1692850152535</v>
      </c>
      <c r="K275" s="15">
        <f t="shared" si="115"/>
        <v>1867.0766838921274</v>
      </c>
    </row>
    <row r="276" spans="3:11" outlineLevel="1" x14ac:dyDescent="0.25">
      <c r="C276" s="539" t="s">
        <v>399</v>
      </c>
      <c r="D276" s="540" t="s">
        <v>46</v>
      </c>
      <c r="E276" s="15">
        <f>+E255*(1-E267)</f>
        <v>-849.98521050640329</v>
      </c>
      <c r="F276" s="15">
        <f>+F255*(1-F267)</f>
        <v>2.5050155961174636</v>
      </c>
      <c r="G276" s="15">
        <f t="shared" ref="G276:K276" si="116">+G255*(1-G267)</f>
        <v>-114.02417041861932</v>
      </c>
      <c r="H276" s="15">
        <f t="shared" si="116"/>
        <v>15.982351397610268</v>
      </c>
      <c r="I276" s="15">
        <f t="shared" si="116"/>
        <v>88.582428880864313</v>
      </c>
      <c r="J276" s="15">
        <f t="shared" si="116"/>
        <v>132.96489454529873</v>
      </c>
      <c r="K276" s="15">
        <f t="shared" si="116"/>
        <v>197.7246277407541</v>
      </c>
    </row>
    <row r="277" spans="3:11" outlineLevel="1" x14ac:dyDescent="0.25">
      <c r="C277" s="26" t="s">
        <v>400</v>
      </c>
      <c r="D277" s="37" t="s">
        <v>32</v>
      </c>
      <c r="E277" s="27">
        <f>+E276/AVERAGE(588.209+1248.3+299.7,E275)</f>
        <v>-0.60144626320694849</v>
      </c>
      <c r="F277" s="27">
        <f>+F276/AVERAGE(E275,F275)</f>
        <v>2.8803761323716775E-3</v>
      </c>
      <c r="G277" s="27">
        <f t="shared" ref="G277:K277" si="117">+G276/AVERAGE(F275,G275)</f>
        <v>-0.10639900534264043</v>
      </c>
      <c r="H277" s="27">
        <f t="shared" si="117"/>
        <v>1.3451890476232154E-2</v>
      </c>
      <c r="I277" s="27">
        <f t="shared" si="117"/>
        <v>6.4469733264383738E-2</v>
      </c>
      <c r="J277" s="27">
        <f t="shared" si="117"/>
        <v>8.4470331288694717E-2</v>
      </c>
      <c r="K277" s="27">
        <f t="shared" si="117"/>
        <v>0.11141782196719531</v>
      </c>
    </row>
  </sheetData>
  <pageMargins left="0.7" right="0.7" top="0.75" bottom="0.75" header="0.3" footer="0.3"/>
  <pageSetup scale="53" orientation="portrait" horizontalDpi="300" verticalDpi="300" r:id="rId1"/>
  <rowBreaks count="6" manualBreakCount="6">
    <brk id="61" max="11" man="1"/>
    <brk id="94" max="11" man="1"/>
    <brk id="127" max="11" man="1"/>
    <brk id="161" max="11" man="1"/>
    <brk id="203" max="11" man="1"/>
    <brk id="251" max="1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C358-3972-411F-B643-0DF133EC9697}">
  <sheetPr>
    <pageSetUpPr autoPageBreaks="0"/>
  </sheetPr>
  <dimension ref="A1:W235"/>
  <sheetViews>
    <sheetView showGridLines="0" zoomScaleNormal="100" zoomScaleSheetLayoutView="55" workbookViewId="0">
      <selection activeCell="B2" sqref="B2"/>
    </sheetView>
  </sheetViews>
  <sheetFormatPr defaultRowHeight="15.75" outlineLevelRow="1" outlineLevelCol="1" x14ac:dyDescent="0.25"/>
  <cols>
    <col min="1" max="2" width="2.5703125" style="165" customWidth="1"/>
    <col min="3" max="3" width="52" style="165" bestFit="1" customWidth="1"/>
    <col min="4" max="4" width="12.7109375" style="165" customWidth="1"/>
    <col min="5" max="6" width="12.7109375" style="165" customWidth="1" outlineLevel="1"/>
    <col min="7" max="11" width="12.7109375" style="165" customWidth="1"/>
    <col min="12" max="13" width="2.5703125" style="165" customWidth="1"/>
    <col min="14" max="21" width="12.7109375" style="165" customWidth="1"/>
    <col min="22" max="16384" width="9.140625" style="165"/>
  </cols>
  <sheetData>
    <row r="1" spans="2:23" x14ac:dyDescent="0.25"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</row>
    <row r="2" spans="2:23" ht="18.75" x14ac:dyDescent="0.3">
      <c r="B2" s="147" t="str">
        <f>"Financial Projections of the Subsidiary Company ("&amp;Sub_Name&amp;")"</f>
        <v>Financial Projections of the Subsidiary Company (Maxeon Solar Technologies, Ltd.)</v>
      </c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</row>
    <row r="3" spans="2:23" x14ac:dyDescent="0.25">
      <c r="B3" s="391" t="str">
        <f>SPWR!$B$3</f>
        <v>($ USD in Millions Except for Per-Share Figures and Other Per-Unit Data)</v>
      </c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</row>
    <row r="4" spans="2:23" x14ac:dyDescent="0.25"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</row>
    <row r="5" spans="2:23" x14ac:dyDescent="0.25">
      <c r="B5" s="1" t="s">
        <v>402</v>
      </c>
      <c r="C5" s="1"/>
      <c r="D5" s="36" t="str">
        <f>SPWR!$D$5</f>
        <v>Units:</v>
      </c>
      <c r="E5" s="1"/>
      <c r="F5" s="1"/>
      <c r="G5" s="1"/>
      <c r="H5" s="1"/>
      <c r="I5" s="1"/>
      <c r="J5" s="1"/>
      <c r="K5" s="1"/>
      <c r="L5" s="56"/>
      <c r="M5" s="767"/>
      <c r="N5" s="767"/>
      <c r="O5" s="767"/>
      <c r="P5" s="767"/>
      <c r="Q5" s="767"/>
      <c r="R5" s="767"/>
      <c r="S5" s="767"/>
      <c r="T5" s="767"/>
      <c r="U5" s="767"/>
      <c r="V5" s="767"/>
      <c r="W5" s="767"/>
    </row>
    <row r="6" spans="2:23" outlineLevel="1" x14ac:dyDescent="0.25">
      <c r="C6" s="164"/>
      <c r="D6" s="164"/>
      <c r="E6" s="60"/>
      <c r="F6" s="164"/>
      <c r="G6" s="164"/>
      <c r="H6" s="164"/>
      <c r="I6" s="164"/>
      <c r="J6" s="164"/>
      <c r="K6" s="164"/>
      <c r="L6" s="164"/>
      <c r="M6" s="767"/>
      <c r="N6" s="767"/>
      <c r="O6" s="767"/>
      <c r="P6" s="767"/>
      <c r="Q6" s="767"/>
      <c r="R6" s="767"/>
      <c r="S6" s="767"/>
      <c r="T6" s="767"/>
      <c r="U6" s="767"/>
      <c r="V6" s="767"/>
      <c r="W6" s="767"/>
    </row>
    <row r="7" spans="2:23" outlineLevel="1" x14ac:dyDescent="0.25">
      <c r="C7" s="706" t="s">
        <v>520</v>
      </c>
      <c r="D7" s="48" t="s">
        <v>128</v>
      </c>
      <c r="E7" s="349" t="s">
        <v>216</v>
      </c>
      <c r="F7" s="82"/>
      <c r="G7" s="82"/>
      <c r="H7" s="367"/>
      <c r="I7" s="367"/>
      <c r="J7" s="367"/>
      <c r="K7" s="367"/>
      <c r="L7" s="164"/>
      <c r="M7" s="767"/>
      <c r="N7" s="767"/>
      <c r="O7" s="767"/>
      <c r="P7" s="767"/>
      <c r="Q7" s="767"/>
      <c r="R7" s="767"/>
      <c r="S7" s="767"/>
      <c r="T7" s="767"/>
      <c r="U7" s="767"/>
      <c r="V7" s="767"/>
      <c r="W7" s="767"/>
    </row>
    <row r="8" spans="2:23" outlineLevel="1" x14ac:dyDescent="0.25">
      <c r="C8" s="706" t="s">
        <v>521</v>
      </c>
      <c r="D8" s="48" t="s">
        <v>128</v>
      </c>
      <c r="E8" s="61" t="s">
        <v>217</v>
      </c>
      <c r="F8" s="164"/>
      <c r="G8" s="164"/>
      <c r="H8" s="367"/>
      <c r="I8" s="367"/>
      <c r="J8" s="367"/>
      <c r="K8" s="367"/>
      <c r="L8" s="164"/>
      <c r="M8" s="767"/>
      <c r="N8" s="767"/>
      <c r="O8" s="767"/>
      <c r="P8" s="767"/>
      <c r="Q8" s="767"/>
      <c r="R8" s="767"/>
      <c r="S8" s="767"/>
      <c r="T8" s="767"/>
      <c r="U8" s="767"/>
      <c r="V8" s="767"/>
      <c r="W8" s="767"/>
    </row>
    <row r="9" spans="2:23" outlineLevel="1" x14ac:dyDescent="0.25">
      <c r="C9" s="164" t="s">
        <v>13</v>
      </c>
      <c r="D9" s="48" t="s">
        <v>97</v>
      </c>
      <c r="E9" s="413">
        <v>43830</v>
      </c>
      <c r="F9" s="164"/>
      <c r="G9" s="164"/>
      <c r="H9" s="367"/>
      <c r="I9" s="367"/>
      <c r="J9" s="366"/>
      <c r="K9" s="366"/>
      <c r="L9" s="164"/>
      <c r="M9" s="767"/>
      <c r="N9" s="767"/>
      <c r="O9" s="767"/>
      <c r="P9" s="767"/>
      <c r="Q9" s="767"/>
      <c r="R9" s="767"/>
      <c r="S9" s="767"/>
      <c r="T9" s="767"/>
      <c r="U9" s="767"/>
      <c r="V9" s="767"/>
      <c r="W9" s="767"/>
    </row>
    <row r="10" spans="2:23" outlineLevel="1" x14ac:dyDescent="0.25">
      <c r="C10" s="706" t="s">
        <v>519</v>
      </c>
      <c r="D10" s="37" t="s">
        <v>32</v>
      </c>
      <c r="E10" s="148">
        <v>0.22</v>
      </c>
      <c r="F10" s="164"/>
      <c r="G10" s="164"/>
      <c r="H10" s="164"/>
      <c r="I10" s="164"/>
      <c r="J10" s="164"/>
      <c r="K10" s="164"/>
      <c r="L10" s="164"/>
      <c r="M10" s="767"/>
      <c r="N10" s="767"/>
      <c r="O10" s="767"/>
      <c r="P10" s="767"/>
      <c r="Q10" s="767"/>
      <c r="R10" s="767"/>
      <c r="S10" s="767"/>
      <c r="T10" s="767"/>
      <c r="U10" s="767"/>
      <c r="V10" s="767"/>
      <c r="W10" s="767"/>
    </row>
    <row r="11" spans="2:23" x14ac:dyDescent="0.25">
      <c r="C11" s="164"/>
      <c r="D11" s="164"/>
      <c r="E11" s="55"/>
      <c r="F11" s="164"/>
      <c r="G11" s="164"/>
      <c r="H11" s="164"/>
      <c r="I11" s="164"/>
      <c r="J11" s="164"/>
      <c r="K11" s="164"/>
      <c r="L11" s="164"/>
      <c r="M11" s="767"/>
      <c r="N11" s="767"/>
      <c r="O11" s="767"/>
      <c r="P11" s="767"/>
      <c r="Q11" s="767"/>
      <c r="R11" s="767"/>
      <c r="S11" s="767"/>
      <c r="T11" s="767"/>
      <c r="U11" s="767"/>
      <c r="V11" s="767"/>
      <c r="W11" s="767"/>
    </row>
    <row r="12" spans="2:23" x14ac:dyDescent="0.25">
      <c r="B12" s="28"/>
      <c r="C12" s="29"/>
      <c r="D12" s="29"/>
      <c r="E12" s="33" t="s">
        <v>69</v>
      </c>
      <c r="F12" s="34"/>
      <c r="G12" s="33" t="s">
        <v>70</v>
      </c>
      <c r="H12" s="33"/>
      <c r="I12" s="33"/>
      <c r="J12" s="33"/>
      <c r="K12" s="33"/>
      <c r="L12" s="164"/>
      <c r="M12" s="767"/>
      <c r="N12" s="767"/>
      <c r="O12" s="767"/>
      <c r="P12" s="767"/>
      <c r="Q12" s="767"/>
      <c r="R12" s="767"/>
      <c r="S12" s="767"/>
      <c r="T12" s="767"/>
      <c r="U12" s="767"/>
      <c r="V12" s="767"/>
      <c r="W12" s="767"/>
    </row>
    <row r="13" spans="2:23" x14ac:dyDescent="0.25">
      <c r="B13" s="30" t="s">
        <v>403</v>
      </c>
      <c r="C13" s="31"/>
      <c r="D13" s="36" t="str">
        <f>SPWR!$D$5</f>
        <v>Units:</v>
      </c>
      <c r="E13" s="32">
        <f>EOMONTH(F13,-12)</f>
        <v>43465</v>
      </c>
      <c r="F13" s="35">
        <f>Sub_Hist_Year</f>
        <v>43830</v>
      </c>
      <c r="G13" s="32">
        <f>EOMONTH(F13,12)</f>
        <v>44196</v>
      </c>
      <c r="H13" s="32">
        <f t="shared" ref="H13:K13" si="0">EOMONTH(G13,12)</f>
        <v>44561</v>
      </c>
      <c r="I13" s="32">
        <f t="shared" si="0"/>
        <v>44926</v>
      </c>
      <c r="J13" s="32">
        <f t="shared" si="0"/>
        <v>45291</v>
      </c>
      <c r="K13" s="32">
        <f t="shared" si="0"/>
        <v>45657</v>
      </c>
      <c r="L13" s="164"/>
      <c r="M13" s="767"/>
      <c r="N13" s="767"/>
      <c r="O13" s="767"/>
      <c r="P13" s="767"/>
      <c r="Q13" s="767"/>
      <c r="R13" s="767"/>
      <c r="S13" s="767"/>
      <c r="T13" s="767"/>
      <c r="U13" s="767"/>
      <c r="V13" s="767"/>
      <c r="W13" s="767"/>
    </row>
    <row r="14" spans="2:23" x14ac:dyDescent="0.25">
      <c r="B14" s="72" t="s">
        <v>134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64"/>
      <c r="M14" s="768"/>
      <c r="N14" s="768"/>
      <c r="O14" s="768"/>
      <c r="P14" s="768"/>
      <c r="Q14" s="768"/>
      <c r="R14" s="768"/>
      <c r="S14" s="768"/>
      <c r="T14" s="768"/>
      <c r="U14" s="768"/>
      <c r="V14" s="767"/>
      <c r="W14" s="767"/>
    </row>
    <row r="15" spans="2:23" outlineLevel="1" x14ac:dyDescent="0.25">
      <c r="C15" s="357" t="s">
        <v>232</v>
      </c>
      <c r="D15" s="37" t="s">
        <v>233</v>
      </c>
      <c r="E15" s="151">
        <v>975</v>
      </c>
      <c r="F15" s="151">
        <v>1600</v>
      </c>
      <c r="G15" s="152">
        <f>+F15*(1+G16)</f>
        <v>1200</v>
      </c>
      <c r="H15" s="152">
        <f t="shared" ref="H15:K15" si="1">+G15*(1+H16)</f>
        <v>1655.9999999999998</v>
      </c>
      <c r="I15" s="152">
        <f t="shared" si="1"/>
        <v>2202.48</v>
      </c>
      <c r="J15" s="152">
        <f t="shared" si="1"/>
        <v>2863.2240000000002</v>
      </c>
      <c r="K15" s="152">
        <f t="shared" si="1"/>
        <v>3636.2944800000005</v>
      </c>
      <c r="L15" s="164"/>
      <c r="M15" s="767"/>
      <c r="N15" s="767"/>
      <c r="O15" s="767"/>
      <c r="P15" s="767"/>
      <c r="Q15" s="767"/>
      <c r="R15" s="767"/>
      <c r="S15" s="767"/>
      <c r="T15" s="767"/>
      <c r="U15" s="767"/>
      <c r="V15" s="767"/>
      <c r="W15" s="767"/>
    </row>
    <row r="16" spans="2:23" outlineLevel="1" x14ac:dyDescent="0.25">
      <c r="C16" s="352" t="s">
        <v>118</v>
      </c>
      <c r="D16" s="37" t="s">
        <v>32</v>
      </c>
      <c r="E16" s="4">
        <f>E15/800-1</f>
        <v>0.21875</v>
      </c>
      <c r="F16" s="4">
        <f>F15/E15-1</f>
        <v>0.64102564102564097</v>
      </c>
      <c r="G16" s="148">
        <v>-0.25</v>
      </c>
      <c r="H16" s="148">
        <v>0.38</v>
      </c>
      <c r="I16" s="148">
        <v>0.33</v>
      </c>
      <c r="J16" s="148">
        <v>0.3</v>
      </c>
      <c r="K16" s="148">
        <v>0.27</v>
      </c>
      <c r="L16" s="164"/>
      <c r="M16" s="767"/>
      <c r="N16" s="767"/>
      <c r="O16" s="767"/>
      <c r="P16" s="767"/>
      <c r="Q16" s="767"/>
      <c r="R16" s="769"/>
      <c r="S16" s="767"/>
      <c r="T16" s="767"/>
      <c r="U16" s="767"/>
      <c r="V16" s="767"/>
      <c r="W16" s="767"/>
    </row>
    <row r="17" spans="3:23" outlineLevel="1" x14ac:dyDescent="0.25">
      <c r="C17" s="352"/>
      <c r="D17" s="37"/>
      <c r="E17" s="4"/>
      <c r="F17" s="4"/>
      <c r="G17" s="356"/>
      <c r="H17" s="356"/>
      <c r="I17" s="356"/>
      <c r="J17" s="356"/>
      <c r="K17" s="356"/>
      <c r="L17" s="164"/>
      <c r="M17" s="767"/>
      <c r="N17" s="767"/>
      <c r="O17" s="767"/>
      <c r="P17" s="767"/>
      <c r="Q17" s="767"/>
      <c r="R17" s="767"/>
      <c r="S17" s="767"/>
      <c r="T17" s="767"/>
      <c r="U17" s="767"/>
      <c r="V17" s="767"/>
      <c r="W17" s="767"/>
    </row>
    <row r="18" spans="3:23" outlineLevel="1" x14ac:dyDescent="0.25">
      <c r="C18" s="357" t="s">
        <v>236</v>
      </c>
      <c r="D18" s="37" t="s">
        <v>235</v>
      </c>
      <c r="E18" s="358">
        <f>+E100/E15</f>
        <v>0.77663568205128208</v>
      </c>
      <c r="F18" s="358">
        <f>+F100/F15</f>
        <v>0.50927792500000002</v>
      </c>
      <c r="G18" s="358">
        <f>+F18*(1+G19)</f>
        <v>0.45835013250000001</v>
      </c>
      <c r="H18" s="358">
        <f t="shared" ref="H18:K18" si="2">+G18*(1+H19)</f>
        <v>0.42397387256250002</v>
      </c>
      <c r="I18" s="358">
        <f t="shared" si="2"/>
        <v>0.40277517893437498</v>
      </c>
      <c r="J18" s="358">
        <f t="shared" si="2"/>
        <v>0.38263641998765618</v>
      </c>
      <c r="K18" s="358">
        <f t="shared" si="2"/>
        <v>0.36350459898827336</v>
      </c>
      <c r="L18" s="164"/>
      <c r="M18" s="767"/>
      <c r="N18" s="767"/>
      <c r="O18" s="767"/>
      <c r="P18" s="767"/>
      <c r="Q18" s="767"/>
      <c r="R18" s="767"/>
      <c r="S18" s="767"/>
      <c r="T18" s="767"/>
      <c r="U18" s="767"/>
      <c r="V18" s="767"/>
      <c r="W18" s="767"/>
    </row>
    <row r="19" spans="3:23" outlineLevel="1" x14ac:dyDescent="0.25">
      <c r="C19" s="352" t="s">
        <v>118</v>
      </c>
      <c r="D19" s="37" t="s">
        <v>32</v>
      </c>
      <c r="E19" s="4" t="str">
        <f>IFERROR(E18/D18-1,"N/A")</f>
        <v>N/A</v>
      </c>
      <c r="F19" s="4">
        <f>IFERROR(F18/E18-1,"N/A")</f>
        <v>-0.34425118910983565</v>
      </c>
      <c r="G19" s="148">
        <v>-0.1</v>
      </c>
      <c r="H19" s="148">
        <v>-7.4999999999999997E-2</v>
      </c>
      <c r="I19" s="148">
        <v>-0.05</v>
      </c>
      <c r="J19" s="148">
        <v>-0.05</v>
      </c>
      <c r="K19" s="148">
        <v>-0.05</v>
      </c>
      <c r="L19" s="164"/>
      <c r="M19" s="767"/>
      <c r="N19" s="767"/>
      <c r="O19" s="767"/>
      <c r="P19" s="767"/>
      <c r="Q19" s="767"/>
      <c r="R19" s="767"/>
      <c r="S19" s="767"/>
      <c r="T19" s="767"/>
      <c r="U19" s="767"/>
      <c r="V19" s="767"/>
      <c r="W19" s="767"/>
    </row>
    <row r="20" spans="3:23" outlineLevel="1" x14ac:dyDescent="0.25">
      <c r="C20" s="352"/>
      <c r="D20" s="37"/>
      <c r="E20" s="4"/>
      <c r="F20" s="4"/>
      <c r="G20" s="356"/>
      <c r="H20" s="356"/>
      <c r="I20" s="356"/>
      <c r="J20" s="356"/>
      <c r="K20" s="356"/>
      <c r="L20" s="164"/>
      <c r="M20" s="767"/>
      <c r="N20" s="767"/>
      <c r="O20" s="767"/>
      <c r="P20" s="767"/>
      <c r="Q20" s="767"/>
      <c r="R20" s="767"/>
      <c r="S20" s="767"/>
      <c r="T20" s="767"/>
      <c r="U20" s="767"/>
      <c r="V20" s="767"/>
      <c r="W20" s="767"/>
    </row>
    <row r="21" spans="3:23" outlineLevel="1" x14ac:dyDescent="0.25">
      <c r="C21" s="357" t="s">
        <v>234</v>
      </c>
      <c r="D21" s="37" t="s">
        <v>233</v>
      </c>
      <c r="E21" s="151">
        <v>80</v>
      </c>
      <c r="F21" s="152">
        <f>1850-F15</f>
        <v>250</v>
      </c>
      <c r="G21" s="152">
        <f>+F21*(1+G22)</f>
        <v>205.00000000000003</v>
      </c>
      <c r="H21" s="152">
        <f t="shared" ref="H21" si="3">+G21*(1+H22)</f>
        <v>270.60000000000002</v>
      </c>
      <c r="I21" s="152">
        <f t="shared" ref="I21" si="4">+H21*(1+I22)</f>
        <v>338.25</v>
      </c>
      <c r="J21" s="152">
        <f t="shared" ref="J21" si="5">+I21*(1+J22)</f>
        <v>414.35625000000005</v>
      </c>
      <c r="K21" s="152">
        <f t="shared" ref="K21" si="6">+J21*(1+K22)</f>
        <v>497.22750000000002</v>
      </c>
      <c r="L21" s="164"/>
      <c r="M21" s="767"/>
      <c r="N21" s="767"/>
      <c r="O21" s="767"/>
      <c r="P21" s="767"/>
      <c r="Q21" s="767"/>
      <c r="R21" s="767"/>
      <c r="S21" s="767"/>
      <c r="T21" s="767"/>
      <c r="U21" s="767"/>
      <c r="V21" s="767"/>
      <c r="W21" s="767"/>
    </row>
    <row r="22" spans="3:23" outlineLevel="1" x14ac:dyDescent="0.25">
      <c r="C22" s="352" t="s">
        <v>118</v>
      </c>
      <c r="D22" s="37" t="s">
        <v>32</v>
      </c>
      <c r="E22" s="4">
        <f>E21/800-1</f>
        <v>-0.9</v>
      </c>
      <c r="F22" s="4">
        <f>F21/E21-1</f>
        <v>2.125</v>
      </c>
      <c r="G22" s="148">
        <v>-0.18</v>
      </c>
      <c r="H22" s="148">
        <v>0.32</v>
      </c>
      <c r="I22" s="148">
        <v>0.25</v>
      </c>
      <c r="J22" s="148">
        <v>0.22500000000000001</v>
      </c>
      <c r="K22" s="148">
        <v>0.2</v>
      </c>
      <c r="L22" s="164"/>
      <c r="M22" s="767"/>
      <c r="N22" s="767"/>
      <c r="O22" s="767"/>
      <c r="P22" s="767"/>
      <c r="Q22" s="767"/>
      <c r="R22" s="767"/>
      <c r="S22" s="767"/>
      <c r="T22" s="767"/>
      <c r="U22" s="767"/>
      <c r="V22" s="767"/>
      <c r="W22" s="767"/>
    </row>
    <row r="23" spans="3:23" outlineLevel="1" x14ac:dyDescent="0.25">
      <c r="C23" s="352"/>
      <c r="D23" s="37"/>
      <c r="E23" s="4"/>
      <c r="F23" s="4"/>
      <c r="G23" s="356"/>
      <c r="H23" s="356"/>
      <c r="I23" s="356"/>
      <c r="J23" s="356"/>
      <c r="K23" s="356"/>
      <c r="L23" s="164"/>
      <c r="M23" s="767"/>
      <c r="N23" s="767"/>
      <c r="O23" s="767"/>
      <c r="P23" s="767"/>
      <c r="Q23" s="767"/>
      <c r="R23" s="767"/>
      <c r="S23" s="767"/>
      <c r="T23" s="767"/>
      <c r="U23" s="767"/>
      <c r="V23" s="767"/>
      <c r="W23" s="767"/>
    </row>
    <row r="24" spans="3:23" outlineLevel="1" x14ac:dyDescent="0.25">
      <c r="C24" s="357" t="s">
        <v>237</v>
      </c>
      <c r="D24" s="37" t="s">
        <v>235</v>
      </c>
      <c r="E24" s="358">
        <f>+E101/E21</f>
        <v>1.938665125</v>
      </c>
      <c r="F24" s="358">
        <f>+F101/F21</f>
        <v>1.5338252799999996</v>
      </c>
      <c r="G24" s="358">
        <f>+F24*(1+G25)</f>
        <v>1.4111192575999998</v>
      </c>
      <c r="H24" s="358">
        <f t="shared" ref="H24" si="7">+G24*(1+H25)</f>
        <v>1.3264521021439997</v>
      </c>
      <c r="I24" s="358">
        <f t="shared" ref="I24" si="8">+H24*(1+I25)</f>
        <v>1.2468649760153596</v>
      </c>
      <c r="J24" s="358">
        <f t="shared" ref="J24" si="9">+I24*(1+J25)</f>
        <v>1.1845217272145916</v>
      </c>
      <c r="K24" s="358">
        <f t="shared" ref="K24" si="10">+J24*(1+K25)</f>
        <v>1.1252956408538619</v>
      </c>
      <c r="L24" s="164"/>
      <c r="M24" s="767"/>
      <c r="N24" s="767"/>
      <c r="O24" s="767"/>
      <c r="P24" s="767"/>
      <c r="Q24" s="767"/>
      <c r="R24" s="767"/>
      <c r="S24" s="767"/>
      <c r="T24" s="767"/>
      <c r="U24" s="767"/>
      <c r="V24" s="767"/>
      <c r="W24" s="767"/>
    </row>
    <row r="25" spans="3:23" outlineLevel="1" x14ac:dyDescent="0.25">
      <c r="C25" s="352" t="s">
        <v>118</v>
      </c>
      <c r="D25" s="37" t="s">
        <v>32</v>
      </c>
      <c r="E25" s="4" t="str">
        <f>IFERROR(E24/D24-1,"N/A")</f>
        <v>N/A</v>
      </c>
      <c r="F25" s="4">
        <f>IFERROR(F24/E24-1,"N/A")</f>
        <v>-0.20882402008443846</v>
      </c>
      <c r="G25" s="148">
        <v>-0.08</v>
      </c>
      <c r="H25" s="148">
        <v>-0.06</v>
      </c>
      <c r="I25" s="148">
        <v>-0.06</v>
      </c>
      <c r="J25" s="148">
        <v>-0.05</v>
      </c>
      <c r="K25" s="148">
        <v>-0.05</v>
      </c>
      <c r="L25" s="164"/>
      <c r="M25" s="767"/>
      <c r="N25" s="767"/>
      <c r="O25" s="767"/>
      <c r="P25" s="767"/>
      <c r="Q25" s="767"/>
      <c r="R25" s="767"/>
      <c r="S25" s="767"/>
      <c r="T25" s="767"/>
      <c r="U25" s="767"/>
      <c r="V25" s="767"/>
      <c r="W25" s="767"/>
    </row>
    <row r="26" spans="3:23" outlineLevel="1" x14ac:dyDescent="0.25"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767"/>
      <c r="N26" s="767"/>
      <c r="O26" s="767"/>
      <c r="P26" s="767"/>
      <c r="Q26" s="767"/>
      <c r="R26" s="767"/>
      <c r="S26" s="767"/>
      <c r="T26" s="767"/>
      <c r="U26" s="767"/>
      <c r="V26" s="767"/>
      <c r="W26" s="767"/>
    </row>
    <row r="27" spans="3:23" outlineLevel="1" x14ac:dyDescent="0.25">
      <c r="C27" s="164" t="s">
        <v>117</v>
      </c>
      <c r="D27" s="37" t="s">
        <v>32</v>
      </c>
      <c r="E27" s="4">
        <f>-E103/E102</f>
        <v>1.1043074032705882</v>
      </c>
      <c r="F27" s="4">
        <f>-F103/F102</f>
        <v>1.0019268948285949</v>
      </c>
      <c r="G27" s="148">
        <v>0.95499999999999996</v>
      </c>
      <c r="H27" s="148">
        <v>0.876</v>
      </c>
      <c r="I27" s="148">
        <v>0.84799999999999998</v>
      </c>
      <c r="J27" s="148">
        <v>0.84</v>
      </c>
      <c r="K27" s="148">
        <v>0.83</v>
      </c>
      <c r="L27" s="164"/>
      <c r="M27" s="767"/>
      <c r="N27" s="767"/>
      <c r="O27" s="767"/>
      <c r="P27" s="767"/>
      <c r="Q27" s="767"/>
      <c r="R27" s="767"/>
      <c r="S27" s="767"/>
      <c r="T27" s="767"/>
      <c r="U27" s="767"/>
      <c r="V27" s="767"/>
      <c r="W27" s="767"/>
    </row>
    <row r="28" spans="3:23" outlineLevel="1" x14ac:dyDescent="0.25">
      <c r="C28" s="164"/>
      <c r="D28" s="164"/>
      <c r="E28" s="164"/>
      <c r="F28" s="164"/>
      <c r="G28" s="376"/>
      <c r="H28" s="376"/>
      <c r="I28" s="376"/>
      <c r="J28" s="376"/>
      <c r="K28" s="376"/>
      <c r="L28" s="164"/>
      <c r="M28" s="767"/>
      <c r="N28" s="770"/>
      <c r="O28" s="770"/>
      <c r="P28" s="770"/>
      <c r="Q28" s="767"/>
      <c r="R28" s="767"/>
      <c r="S28" s="767"/>
      <c r="T28" s="767"/>
      <c r="U28" s="767"/>
      <c r="V28" s="767"/>
      <c r="W28" s="767"/>
    </row>
    <row r="29" spans="3:23" outlineLevel="1" x14ac:dyDescent="0.25">
      <c r="C29" s="353" t="s">
        <v>250</v>
      </c>
      <c r="D29" s="37" t="s">
        <v>32</v>
      </c>
      <c r="E29" s="4">
        <f>-E108/E$102</f>
        <v>5.4839731539504534E-2</v>
      </c>
      <c r="F29" s="4">
        <f t="shared" ref="F29:F30" si="11">-F108/F$102</f>
        <v>3.0874546545483984E-2</v>
      </c>
      <c r="G29" s="148">
        <v>7.4999999999999997E-2</v>
      </c>
      <c r="H29" s="148">
        <v>7.4999999999999997E-2</v>
      </c>
      <c r="I29" s="148">
        <v>7.0000000000000007E-2</v>
      </c>
      <c r="J29" s="148">
        <v>6.5000000000000002E-2</v>
      </c>
      <c r="K29" s="148">
        <v>5.5E-2</v>
      </c>
      <c r="L29" s="164"/>
      <c r="M29" s="767"/>
      <c r="N29" s="767"/>
      <c r="O29" s="767"/>
      <c r="P29" s="767"/>
      <c r="Q29" s="767"/>
      <c r="R29" s="767"/>
      <c r="S29" s="767"/>
      <c r="T29" s="767"/>
      <c r="U29" s="767"/>
      <c r="V29" s="767"/>
      <c r="W29" s="767"/>
    </row>
    <row r="30" spans="3:23" outlineLevel="1" x14ac:dyDescent="0.25">
      <c r="C30" s="353" t="s">
        <v>249</v>
      </c>
      <c r="D30" s="37" t="s">
        <v>32</v>
      </c>
      <c r="E30" s="4">
        <f t="shared" ref="E30" si="12">-E109/E$102</f>
        <v>8.9926373952799094E-2</v>
      </c>
      <c r="F30" s="4">
        <f t="shared" si="11"/>
        <v>8.0828606502039144E-2</v>
      </c>
      <c r="G30" s="148">
        <v>0.13</v>
      </c>
      <c r="H30" s="148">
        <v>0.125</v>
      </c>
      <c r="I30" s="148">
        <v>0.112</v>
      </c>
      <c r="J30" s="148">
        <v>0.11</v>
      </c>
      <c r="K30" s="148">
        <v>9.5000000000000001E-2</v>
      </c>
      <c r="L30" s="164"/>
      <c r="M30" s="767"/>
      <c r="N30" s="767"/>
      <c r="O30" s="767"/>
      <c r="P30" s="767"/>
      <c r="Q30" s="767"/>
      <c r="R30" s="767"/>
      <c r="S30" s="767"/>
      <c r="T30" s="767"/>
      <c r="U30" s="767"/>
      <c r="V30" s="767"/>
      <c r="W30" s="767"/>
    </row>
    <row r="31" spans="3:23" outlineLevel="1" x14ac:dyDescent="0.25"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767"/>
      <c r="N31" s="767"/>
      <c r="O31" s="767"/>
      <c r="P31" s="767"/>
      <c r="Q31" s="767"/>
      <c r="R31" s="767"/>
      <c r="S31" s="767"/>
      <c r="T31" s="767"/>
      <c r="U31" s="767"/>
      <c r="V31" s="767"/>
      <c r="W31" s="767"/>
    </row>
    <row r="32" spans="3:23" outlineLevel="1" x14ac:dyDescent="0.25">
      <c r="C32" s="164" t="s">
        <v>144</v>
      </c>
      <c r="D32" s="37" t="s">
        <v>46</v>
      </c>
      <c r="E32" s="155">
        <f>+E117</f>
        <v>13.468999999999999</v>
      </c>
      <c r="F32" s="155">
        <f>+F117</f>
        <v>-1.9610000000000001</v>
      </c>
      <c r="G32" s="156">
        <f>AVERAGE(E32:F32)</f>
        <v>5.7539999999999996</v>
      </c>
      <c r="H32" s="156">
        <f>+G32</f>
        <v>5.7539999999999996</v>
      </c>
      <c r="I32" s="156">
        <f t="shared" ref="I32:K32" si="13">+H32</f>
        <v>5.7539999999999996</v>
      </c>
      <c r="J32" s="156">
        <f t="shared" si="13"/>
        <v>5.7539999999999996</v>
      </c>
      <c r="K32" s="156">
        <f t="shared" si="13"/>
        <v>5.7539999999999996</v>
      </c>
      <c r="L32" s="164"/>
      <c r="M32" s="767"/>
      <c r="N32" s="767"/>
      <c r="O32" s="767"/>
      <c r="P32" s="767"/>
      <c r="Q32" s="767"/>
      <c r="R32" s="767"/>
      <c r="S32" s="767"/>
      <c r="T32" s="767"/>
      <c r="U32" s="767"/>
      <c r="V32" s="767"/>
      <c r="W32" s="767"/>
    </row>
    <row r="33" spans="2:23" outlineLevel="1" x14ac:dyDescent="0.25"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767"/>
      <c r="N33" s="767"/>
      <c r="O33" s="767"/>
      <c r="P33" s="767"/>
      <c r="Q33" s="767"/>
      <c r="R33" s="767"/>
      <c r="S33" s="767"/>
      <c r="T33" s="767"/>
      <c r="U33" s="767"/>
      <c r="V33" s="767"/>
      <c r="W33" s="767"/>
    </row>
    <row r="34" spans="2:23" outlineLevel="1" x14ac:dyDescent="0.25">
      <c r="C34" s="361" t="s">
        <v>19</v>
      </c>
      <c r="D34" s="37" t="s">
        <v>32</v>
      </c>
      <c r="E34" s="4">
        <f>-E119/E118</f>
        <v>1.7436444161033034E-3</v>
      </c>
      <c r="F34" s="4">
        <f>-F119/F118</f>
        <v>-6.1931741700216612E-2</v>
      </c>
      <c r="G34" s="153">
        <f>$E$10</f>
        <v>0.22</v>
      </c>
      <c r="H34" s="153">
        <f t="shared" ref="H34:K34" si="14">$E$10</f>
        <v>0.22</v>
      </c>
      <c r="I34" s="153">
        <f t="shared" si="14"/>
        <v>0.22</v>
      </c>
      <c r="J34" s="153">
        <f t="shared" si="14"/>
        <v>0.22</v>
      </c>
      <c r="K34" s="153">
        <f t="shared" si="14"/>
        <v>0.22</v>
      </c>
      <c r="L34" s="164"/>
      <c r="M34" s="767"/>
      <c r="N34" s="767"/>
      <c r="O34" s="767"/>
      <c r="P34" s="767"/>
      <c r="Q34" s="767"/>
      <c r="R34" s="767"/>
      <c r="S34" s="767"/>
      <c r="T34" s="767"/>
      <c r="U34" s="767"/>
      <c r="V34" s="767"/>
      <c r="W34" s="767"/>
    </row>
    <row r="35" spans="2:23" outlineLevel="1" x14ac:dyDescent="0.25"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767"/>
      <c r="N35" s="767"/>
      <c r="O35" s="767"/>
      <c r="P35" s="767"/>
      <c r="Q35" s="767"/>
      <c r="R35" s="767"/>
      <c r="S35" s="767"/>
      <c r="T35" s="767"/>
      <c r="U35" s="767"/>
      <c r="V35" s="767"/>
      <c r="W35" s="767"/>
    </row>
    <row r="36" spans="2:23" outlineLevel="1" x14ac:dyDescent="0.25">
      <c r="C36" s="362" t="s">
        <v>259</v>
      </c>
      <c r="D36" s="37" t="s">
        <v>46</v>
      </c>
      <c r="E36" s="173">
        <f>+E121</f>
        <v>-2.9430000000000001</v>
      </c>
      <c r="F36" s="173">
        <f t="shared" ref="F36:F37" si="15">+F121</f>
        <v>-5.3419999999999996</v>
      </c>
      <c r="G36" s="154">
        <v>1</v>
      </c>
      <c r="H36" s="154">
        <v>2</v>
      </c>
      <c r="I36" s="154">
        <v>2</v>
      </c>
      <c r="J36" s="154">
        <v>3</v>
      </c>
      <c r="K36" s="154">
        <v>4</v>
      </c>
      <c r="L36" s="164"/>
      <c r="M36" s="767"/>
      <c r="N36" s="414"/>
      <c r="O36" s="414"/>
      <c r="P36" s="414"/>
      <c r="Q36" s="414"/>
      <c r="R36" s="414"/>
      <c r="S36" s="767"/>
      <c r="T36" s="767"/>
      <c r="U36" s="767"/>
      <c r="V36" s="767"/>
      <c r="W36" s="767"/>
    </row>
    <row r="37" spans="2:23" outlineLevel="1" x14ac:dyDescent="0.25">
      <c r="C37" s="362" t="s">
        <v>260</v>
      </c>
      <c r="D37" s="37" t="s">
        <v>46</v>
      </c>
      <c r="E37" s="173">
        <f t="shared" ref="E37" si="16">+E122</f>
        <v>0.26600000000000001</v>
      </c>
      <c r="F37" s="173">
        <f t="shared" si="15"/>
        <v>-4.157</v>
      </c>
      <c r="G37" s="154">
        <v>-1</v>
      </c>
      <c r="H37" s="154">
        <v>-1</v>
      </c>
      <c r="I37" s="154">
        <v>-2</v>
      </c>
      <c r="J37" s="154">
        <v>-4</v>
      </c>
      <c r="K37" s="154">
        <v>-8</v>
      </c>
      <c r="L37" s="164"/>
      <c r="M37" s="767"/>
      <c r="N37" s="414"/>
      <c r="O37" s="414"/>
      <c r="P37" s="414"/>
      <c r="Q37" s="414"/>
      <c r="R37" s="414"/>
      <c r="S37" s="767"/>
      <c r="T37" s="767"/>
      <c r="U37" s="767"/>
      <c r="V37" s="767"/>
      <c r="W37" s="767"/>
    </row>
    <row r="38" spans="2:23" x14ac:dyDescent="0.25"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767"/>
      <c r="N38" s="767"/>
      <c r="O38" s="767"/>
      <c r="P38" s="767"/>
      <c r="Q38" s="767"/>
      <c r="R38" s="767"/>
      <c r="S38" s="767"/>
      <c r="T38" s="767"/>
      <c r="U38" s="767"/>
      <c r="V38" s="767"/>
      <c r="W38" s="767"/>
    </row>
    <row r="39" spans="2:23" x14ac:dyDescent="0.25">
      <c r="B39" s="72" t="s">
        <v>133</v>
      </c>
      <c r="C39" s="170"/>
      <c r="D39" s="495" t="str">
        <f>$D$13</f>
        <v>Units:</v>
      </c>
      <c r="E39" s="388">
        <f>$E$13</f>
        <v>43465</v>
      </c>
      <c r="F39" s="388">
        <f>$F$13</f>
        <v>43830</v>
      </c>
      <c r="G39" s="388">
        <f>$G$13</f>
        <v>44196</v>
      </c>
      <c r="H39" s="388">
        <f>$H$13</f>
        <v>44561</v>
      </c>
      <c r="I39" s="388">
        <f>$I$13</f>
        <v>44926</v>
      </c>
      <c r="J39" s="388">
        <f>$J$13</f>
        <v>45291</v>
      </c>
      <c r="K39" s="388">
        <f>$K$13</f>
        <v>45657</v>
      </c>
      <c r="L39" s="164"/>
      <c r="M39" s="768"/>
      <c r="N39" s="768"/>
      <c r="O39" s="768"/>
      <c r="P39" s="768"/>
      <c r="Q39" s="768"/>
      <c r="R39" s="768"/>
      <c r="S39" s="768"/>
      <c r="T39" s="768"/>
      <c r="U39" s="768"/>
      <c r="V39" s="767"/>
      <c r="W39" s="767"/>
    </row>
    <row r="40" spans="2:23" outlineLevel="1" x14ac:dyDescent="0.25">
      <c r="C40" s="164" t="s">
        <v>122</v>
      </c>
      <c r="D40" s="37" t="s">
        <v>32</v>
      </c>
      <c r="E40" s="4">
        <f>+E130/E102</f>
        <v>8.0895482142641847E-2</v>
      </c>
      <c r="F40" s="4">
        <f>+F130/F102</f>
        <v>0.12548182802150712</v>
      </c>
      <c r="G40" s="153">
        <f>AVERAGE(E40:F40)</f>
        <v>0.10318865508207448</v>
      </c>
      <c r="H40" s="153">
        <f>+G40</f>
        <v>0.10318865508207448</v>
      </c>
      <c r="I40" s="153">
        <f t="shared" ref="I40:K41" si="17">+H40</f>
        <v>0.10318865508207448</v>
      </c>
      <c r="J40" s="153">
        <f t="shared" si="17"/>
        <v>0.10318865508207448</v>
      </c>
      <c r="K40" s="153">
        <f t="shared" si="17"/>
        <v>0.10318865508207448</v>
      </c>
      <c r="L40" s="164"/>
      <c r="M40" s="767"/>
      <c r="N40" s="767"/>
      <c r="O40" s="767"/>
      <c r="P40" s="767"/>
      <c r="Q40" s="767"/>
      <c r="R40" s="767"/>
      <c r="S40" s="767"/>
      <c r="T40" s="767"/>
      <c r="U40" s="767"/>
      <c r="V40" s="767"/>
      <c r="W40" s="767"/>
    </row>
    <row r="41" spans="2:23" outlineLevel="1" x14ac:dyDescent="0.25">
      <c r="C41" s="353" t="s">
        <v>251</v>
      </c>
      <c r="D41" s="37" t="s">
        <v>32</v>
      </c>
      <c r="E41" s="4">
        <f>-E131/E103</f>
        <v>0.22116402011367042</v>
      </c>
      <c r="F41" s="4">
        <f>-F131/F103</f>
        <v>0.16229416713170808</v>
      </c>
      <c r="G41" s="153">
        <f>AVERAGE(E41:F41)</f>
        <v>0.19172909362268925</v>
      </c>
      <c r="H41" s="153">
        <f>+G41</f>
        <v>0.19172909362268925</v>
      </c>
      <c r="I41" s="153">
        <f t="shared" si="17"/>
        <v>0.19172909362268925</v>
      </c>
      <c r="J41" s="153">
        <f t="shared" si="17"/>
        <v>0.19172909362268925</v>
      </c>
      <c r="K41" s="153">
        <f t="shared" si="17"/>
        <v>0.19172909362268925</v>
      </c>
      <c r="L41" s="164"/>
      <c r="M41" s="767"/>
      <c r="N41" s="767"/>
      <c r="O41" s="767"/>
      <c r="P41" s="767"/>
      <c r="Q41" s="767"/>
      <c r="R41" s="767"/>
      <c r="S41" s="767"/>
      <c r="T41" s="767"/>
      <c r="U41" s="767"/>
      <c r="V41" s="767"/>
      <c r="W41" s="767"/>
    </row>
    <row r="42" spans="2:23" outlineLevel="1" x14ac:dyDescent="0.25">
      <c r="C42" s="353" t="s">
        <v>252</v>
      </c>
      <c r="D42" s="37" t="s">
        <v>32</v>
      </c>
      <c r="E42" s="4">
        <f>+E132/E102</f>
        <v>0.22287307097454492</v>
      </c>
      <c r="F42" s="4">
        <f>+F132/F102</f>
        <v>0.13331375005111404</v>
      </c>
      <c r="G42" s="153">
        <f>AVERAGE(E42:F42)</f>
        <v>0.17809341051282948</v>
      </c>
      <c r="H42" s="153">
        <f>+G42</f>
        <v>0.17809341051282948</v>
      </c>
      <c r="I42" s="153">
        <f t="shared" ref="I42" si="18">+H42</f>
        <v>0.17809341051282948</v>
      </c>
      <c r="J42" s="153">
        <f t="shared" ref="J42" si="19">+I42</f>
        <v>0.17809341051282948</v>
      </c>
      <c r="K42" s="153">
        <f t="shared" ref="K42" si="20">+J42</f>
        <v>0.17809341051282948</v>
      </c>
      <c r="L42" s="164"/>
      <c r="M42" s="767"/>
      <c r="N42" s="767"/>
      <c r="O42" s="767"/>
      <c r="P42" s="767"/>
      <c r="Q42" s="767"/>
      <c r="R42" s="767"/>
      <c r="S42" s="767"/>
      <c r="T42" s="767"/>
      <c r="U42" s="767"/>
      <c r="V42" s="767"/>
      <c r="W42" s="767"/>
    </row>
    <row r="43" spans="2:23" outlineLevel="1" x14ac:dyDescent="0.25"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767"/>
      <c r="N43" s="767"/>
      <c r="O43" s="767"/>
      <c r="P43" s="767"/>
      <c r="Q43" s="767"/>
      <c r="R43" s="767"/>
      <c r="S43" s="767"/>
      <c r="T43" s="767"/>
      <c r="U43" s="767"/>
      <c r="V43" s="767"/>
      <c r="W43" s="767"/>
    </row>
    <row r="44" spans="2:23" outlineLevel="1" x14ac:dyDescent="0.25">
      <c r="C44" s="164" t="s">
        <v>123</v>
      </c>
      <c r="D44" s="37" t="s">
        <v>32</v>
      </c>
      <c r="E44" s="4">
        <f>-E137/E109</f>
        <v>0</v>
      </c>
      <c r="F44" s="4">
        <f>-F137/F109</f>
        <v>0.1936772768101428</v>
      </c>
      <c r="G44" s="153">
        <f>+F44</f>
        <v>0.1936772768101428</v>
      </c>
      <c r="H44" s="153">
        <f t="shared" ref="H44:K44" si="21">+G44</f>
        <v>0.1936772768101428</v>
      </c>
      <c r="I44" s="153">
        <f t="shared" si="21"/>
        <v>0.1936772768101428</v>
      </c>
      <c r="J44" s="153">
        <f t="shared" si="21"/>
        <v>0.1936772768101428</v>
      </c>
      <c r="K44" s="153">
        <f t="shared" si="21"/>
        <v>0.1936772768101428</v>
      </c>
      <c r="L44" s="164"/>
      <c r="M44" s="767"/>
      <c r="N44" s="767"/>
      <c r="O44" s="767"/>
      <c r="P44" s="767"/>
      <c r="Q44" s="767"/>
      <c r="R44" s="767"/>
      <c r="S44" s="767"/>
      <c r="T44" s="767"/>
      <c r="U44" s="767"/>
      <c r="V44" s="767"/>
      <c r="W44" s="767"/>
    </row>
    <row r="45" spans="2:23" outlineLevel="1" x14ac:dyDescent="0.25"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767"/>
      <c r="N45" s="767"/>
      <c r="O45" s="767"/>
      <c r="P45" s="767"/>
      <c r="Q45" s="767"/>
      <c r="R45" s="767"/>
      <c r="S45" s="767"/>
      <c r="T45" s="767"/>
      <c r="U45" s="767"/>
      <c r="V45" s="767"/>
      <c r="W45" s="767"/>
    </row>
    <row r="46" spans="2:23" outlineLevel="1" x14ac:dyDescent="0.25">
      <c r="C46" s="754" t="s">
        <v>522</v>
      </c>
      <c r="D46" s="37" t="s">
        <v>32</v>
      </c>
      <c r="E46" s="4">
        <f>-E147/E103</f>
        <v>0.29423687360666378</v>
      </c>
      <c r="F46" s="4">
        <f>-F147/F103</f>
        <v>0.31570118523084101</v>
      </c>
      <c r="G46" s="153">
        <f>AVERAGE(E46:F46)</f>
        <v>0.30496902941875237</v>
      </c>
      <c r="H46" s="153">
        <f>+G46</f>
        <v>0.30496902941875237</v>
      </c>
      <c r="I46" s="153">
        <f t="shared" ref="I46:K46" si="22">+H46</f>
        <v>0.30496902941875237</v>
      </c>
      <c r="J46" s="153">
        <f t="shared" si="22"/>
        <v>0.30496902941875237</v>
      </c>
      <c r="K46" s="153">
        <f t="shared" si="22"/>
        <v>0.30496902941875237</v>
      </c>
      <c r="L46" s="164"/>
      <c r="M46" s="767"/>
      <c r="N46" s="767"/>
      <c r="O46" s="767"/>
      <c r="P46" s="767"/>
      <c r="Q46" s="767"/>
      <c r="R46" s="767"/>
      <c r="S46" s="767"/>
      <c r="T46" s="767"/>
      <c r="U46" s="767"/>
      <c r="V46" s="767"/>
      <c r="W46" s="767"/>
    </row>
    <row r="47" spans="2:23" outlineLevel="1" x14ac:dyDescent="0.25">
      <c r="C47" s="353" t="s">
        <v>254</v>
      </c>
      <c r="D47" s="37" t="s">
        <v>32</v>
      </c>
      <c r="E47" s="4">
        <f>+E148/E102</f>
        <v>0.11848455519103641</v>
      </c>
      <c r="F47" s="4">
        <f>+F148/F102</f>
        <v>9.5597850623507799E-2</v>
      </c>
      <c r="G47" s="153">
        <f>AVERAGE(E47:F47)</f>
        <v>0.10704120290727211</v>
      </c>
      <c r="H47" s="153">
        <f>+G47</f>
        <v>0.10704120290727211</v>
      </c>
      <c r="I47" s="153">
        <f t="shared" ref="I47" si="23">+H47</f>
        <v>0.10704120290727211</v>
      </c>
      <c r="J47" s="153">
        <f t="shared" ref="J47" si="24">+I47</f>
        <v>0.10704120290727211</v>
      </c>
      <c r="K47" s="153">
        <f t="shared" ref="K47" si="25">+J47</f>
        <v>0.10704120290727211</v>
      </c>
      <c r="L47" s="164"/>
      <c r="M47" s="767"/>
      <c r="N47" s="767"/>
      <c r="O47" s="767"/>
      <c r="P47" s="767"/>
      <c r="Q47" s="767"/>
      <c r="R47" s="767"/>
      <c r="S47" s="767"/>
      <c r="T47" s="767"/>
      <c r="U47" s="767"/>
      <c r="V47" s="767"/>
      <c r="W47" s="767"/>
    </row>
    <row r="48" spans="2:23" outlineLevel="1" x14ac:dyDescent="0.25"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767"/>
      <c r="N48" s="767"/>
      <c r="O48" s="767"/>
      <c r="P48" s="767"/>
      <c r="Q48" s="767"/>
      <c r="R48" s="767"/>
      <c r="S48" s="767"/>
      <c r="T48" s="767"/>
      <c r="U48" s="767"/>
      <c r="V48" s="767"/>
      <c r="W48" s="767"/>
    </row>
    <row r="49" spans="2:23" outlineLevel="1" x14ac:dyDescent="0.25">
      <c r="C49" s="353" t="s">
        <v>255</v>
      </c>
      <c r="D49" s="37" t="s">
        <v>32</v>
      </c>
      <c r="E49" s="4">
        <f>+E154/E102</f>
        <v>9.8184504660133093E-2</v>
      </c>
      <c r="F49" s="4">
        <f>+F154/F102</f>
        <v>3.8826638715982048E-2</v>
      </c>
      <c r="G49" s="153">
        <f>AVERAGE(E49:F49)</f>
        <v>6.850557168805757E-2</v>
      </c>
      <c r="H49" s="153">
        <f>+G49</f>
        <v>6.850557168805757E-2</v>
      </c>
      <c r="I49" s="153">
        <f t="shared" ref="I49" si="26">+H49</f>
        <v>6.850557168805757E-2</v>
      </c>
      <c r="J49" s="153">
        <f t="shared" ref="J49" si="27">+I49</f>
        <v>6.850557168805757E-2</v>
      </c>
      <c r="K49" s="153">
        <f t="shared" ref="K49" si="28">+J49</f>
        <v>6.850557168805757E-2</v>
      </c>
      <c r="L49" s="164"/>
      <c r="M49" s="767"/>
      <c r="N49" s="767"/>
      <c r="O49" s="767"/>
      <c r="P49" s="767"/>
      <c r="Q49" s="767"/>
      <c r="R49" s="767"/>
      <c r="S49" s="767"/>
      <c r="T49" s="767"/>
      <c r="U49" s="767"/>
      <c r="V49" s="767"/>
      <c r="W49" s="767"/>
    </row>
    <row r="50" spans="2:23" outlineLevel="1" x14ac:dyDescent="0.25"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767"/>
      <c r="N50" s="767"/>
      <c r="O50" s="767"/>
      <c r="P50" s="767"/>
      <c r="Q50" s="767"/>
      <c r="R50" s="767"/>
      <c r="S50" s="767"/>
      <c r="T50" s="767"/>
      <c r="U50" s="767"/>
      <c r="V50" s="767"/>
      <c r="W50" s="767"/>
    </row>
    <row r="51" spans="2:23" outlineLevel="1" x14ac:dyDescent="0.25">
      <c r="C51" s="164" t="s">
        <v>130</v>
      </c>
      <c r="D51" s="37" t="s">
        <v>32</v>
      </c>
      <c r="E51" s="4">
        <f>+E173/E102</f>
        <v>8.2969331797310794E-2</v>
      </c>
      <c r="F51" s="4">
        <f>+F173/F102</f>
        <v>3.8511192096142795E-2</v>
      </c>
      <c r="G51" s="148">
        <v>5.7000000000000002E-2</v>
      </c>
      <c r="H51" s="148">
        <v>6.3E-2</v>
      </c>
      <c r="I51" s="148">
        <v>6.0999999999999999E-2</v>
      </c>
      <c r="J51" s="148">
        <v>5.8000000000000003E-2</v>
      </c>
      <c r="K51" s="148">
        <v>5.5E-2</v>
      </c>
      <c r="L51" s="164"/>
      <c r="M51" s="767"/>
      <c r="N51" s="767"/>
      <c r="O51" s="767"/>
      <c r="P51" s="767"/>
      <c r="Q51" s="767"/>
      <c r="R51" s="767"/>
      <c r="S51" s="767"/>
      <c r="T51" s="767"/>
      <c r="U51" s="767"/>
      <c r="V51" s="767"/>
      <c r="W51" s="767"/>
    </row>
    <row r="52" spans="2:23" outlineLevel="1" x14ac:dyDescent="0.25">
      <c r="C52" s="164" t="s">
        <v>209</v>
      </c>
      <c r="D52" s="37" t="s">
        <v>32</v>
      </c>
      <c r="E52" s="4">
        <f>+E174/E102</f>
        <v>7.8920282841524782E-3</v>
      </c>
      <c r="F52" s="4">
        <f>+F174/F102</f>
        <v>6.0919585312872145E-3</v>
      </c>
      <c r="G52" s="148">
        <v>3.0000000000000001E-3</v>
      </c>
      <c r="H52" s="148">
        <v>3.0000000000000001E-3</v>
      </c>
      <c r="I52" s="148">
        <v>4.0000000000000001E-3</v>
      </c>
      <c r="J52" s="148">
        <v>4.0000000000000001E-3</v>
      </c>
      <c r="K52" s="148">
        <v>4.0000000000000001E-3</v>
      </c>
      <c r="L52" s="164"/>
      <c r="M52" s="767"/>
      <c r="N52" s="767"/>
      <c r="O52" s="767"/>
      <c r="P52" s="767"/>
      <c r="Q52" s="767"/>
      <c r="R52" s="767"/>
      <c r="S52" s="767"/>
      <c r="T52" s="767"/>
      <c r="U52" s="767"/>
      <c r="V52" s="767"/>
      <c r="W52" s="767"/>
    </row>
    <row r="53" spans="2:23" outlineLevel="1" x14ac:dyDescent="0.25"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767"/>
      <c r="N53" s="767"/>
      <c r="O53" s="767"/>
      <c r="P53" s="767"/>
      <c r="Q53" s="767"/>
      <c r="R53" s="767"/>
      <c r="S53" s="767"/>
      <c r="T53" s="767"/>
      <c r="U53" s="767"/>
      <c r="V53" s="767"/>
      <c r="W53" s="767"/>
    </row>
    <row r="54" spans="2:23" outlineLevel="1" x14ac:dyDescent="0.25">
      <c r="C54" s="164" t="s">
        <v>135</v>
      </c>
      <c r="D54" s="37" t="s">
        <v>32</v>
      </c>
      <c r="E54" s="4">
        <f>+E175/E102</f>
        <v>9.4046670386150368E-3</v>
      </c>
      <c r="F54" s="4">
        <f>+F175/F102</f>
        <v>5.9542635781827773E-3</v>
      </c>
      <c r="G54" s="153">
        <f>AVERAGE(E54:F54)</f>
        <v>7.679465308398907E-3</v>
      </c>
      <c r="H54" s="153">
        <f>+G54</f>
        <v>7.679465308398907E-3</v>
      </c>
      <c r="I54" s="153">
        <f t="shared" ref="I54:K54" si="29">+H54</f>
        <v>7.679465308398907E-3</v>
      </c>
      <c r="J54" s="153">
        <f t="shared" si="29"/>
        <v>7.679465308398907E-3</v>
      </c>
      <c r="K54" s="153">
        <f t="shared" si="29"/>
        <v>7.679465308398907E-3</v>
      </c>
      <c r="L54" s="164"/>
      <c r="M54" s="767"/>
      <c r="N54" s="767"/>
      <c r="O54" s="767"/>
      <c r="P54" s="767"/>
      <c r="Q54" s="767"/>
      <c r="R54" s="767"/>
      <c r="S54" s="767"/>
      <c r="T54" s="767"/>
      <c r="U54" s="767"/>
      <c r="V54" s="767"/>
      <c r="W54" s="767"/>
    </row>
    <row r="55" spans="2:23" outlineLevel="1" x14ac:dyDescent="0.25">
      <c r="C55" s="164" t="s">
        <v>65</v>
      </c>
      <c r="D55" s="37" t="s">
        <v>46</v>
      </c>
      <c r="E55" s="155">
        <f>+E179</f>
        <v>-10.395</v>
      </c>
      <c r="F55" s="155">
        <f>+F179</f>
        <v>0.249</v>
      </c>
      <c r="G55" s="156">
        <f>AVERAGE(E55:F55)</f>
        <v>-5.0729999999999995</v>
      </c>
      <c r="H55" s="156">
        <f>+G55</f>
        <v>-5.0729999999999995</v>
      </c>
      <c r="I55" s="156">
        <f t="shared" ref="I55:K55" si="30">+H55</f>
        <v>-5.0729999999999995</v>
      </c>
      <c r="J55" s="156">
        <f t="shared" si="30"/>
        <v>-5.0729999999999995</v>
      </c>
      <c r="K55" s="156">
        <f t="shared" si="30"/>
        <v>-5.0729999999999995</v>
      </c>
      <c r="L55" s="164"/>
      <c r="M55" s="767"/>
      <c r="N55" s="767"/>
      <c r="O55" s="767"/>
      <c r="P55" s="767"/>
      <c r="Q55" s="767"/>
      <c r="R55" s="767"/>
      <c r="S55" s="767"/>
      <c r="T55" s="767"/>
      <c r="U55" s="767"/>
      <c r="V55" s="767"/>
      <c r="W55" s="767"/>
    </row>
    <row r="56" spans="2:23" outlineLevel="1" x14ac:dyDescent="0.25">
      <c r="C56" s="164"/>
      <c r="D56" s="37"/>
      <c r="E56" s="4"/>
      <c r="F56" s="4"/>
      <c r="G56" s="157"/>
      <c r="H56" s="157"/>
      <c r="I56" s="157"/>
      <c r="J56" s="157"/>
      <c r="K56" s="157"/>
      <c r="L56" s="164"/>
      <c r="M56" s="767"/>
      <c r="N56" s="767"/>
      <c r="O56" s="767"/>
      <c r="P56" s="767"/>
      <c r="Q56" s="767"/>
      <c r="R56" s="767"/>
      <c r="S56" s="767"/>
      <c r="T56" s="767"/>
      <c r="U56" s="767"/>
      <c r="V56" s="767"/>
      <c r="W56" s="767"/>
    </row>
    <row r="57" spans="2:23" outlineLevel="1" x14ac:dyDescent="0.25">
      <c r="C57" s="164" t="s">
        <v>21</v>
      </c>
      <c r="D57" s="37" t="s">
        <v>32</v>
      </c>
      <c r="E57" s="4">
        <f>-E191/E$102</f>
        <v>4.3429173978667412E-2</v>
      </c>
      <c r="F57" s="4">
        <f>-F191/F$102</f>
        <v>3.497034551419051E-2</v>
      </c>
      <c r="G57" s="148">
        <v>8.9360222966430064E-2</v>
      </c>
      <c r="H57" s="148">
        <v>0.15079563474158297</v>
      </c>
      <c r="I57" s="148">
        <v>0.11457000000000001</v>
      </c>
      <c r="J57" s="148">
        <v>0.08</v>
      </c>
      <c r="K57" s="148">
        <v>7.0000000000000007E-2</v>
      </c>
      <c r="L57" s="164"/>
      <c r="M57" s="767"/>
      <c r="N57" s="767"/>
      <c r="O57" s="767"/>
      <c r="P57" s="767"/>
      <c r="Q57" s="767"/>
      <c r="R57" s="767"/>
      <c r="S57" s="767"/>
      <c r="T57" s="767"/>
      <c r="U57" s="767"/>
      <c r="V57" s="767"/>
      <c r="W57" s="767"/>
    </row>
    <row r="58" spans="2:23" outlineLevel="1" x14ac:dyDescent="0.25">
      <c r="C58" s="164" t="s">
        <v>136</v>
      </c>
      <c r="D58" s="37" t="s">
        <v>46</v>
      </c>
      <c r="E58" s="15">
        <f>+E192</f>
        <v>0</v>
      </c>
      <c r="F58" s="15">
        <f>+F192</f>
        <v>0.26500000000000001</v>
      </c>
      <c r="G58" s="156">
        <f>AVERAGE(E58:F58)</f>
        <v>0.13250000000000001</v>
      </c>
      <c r="H58" s="156">
        <f>+G58</f>
        <v>0.13250000000000001</v>
      </c>
      <c r="I58" s="156">
        <f t="shared" ref="I58:K58" si="31">+H58</f>
        <v>0.13250000000000001</v>
      </c>
      <c r="J58" s="156">
        <f t="shared" si="31"/>
        <v>0.13250000000000001</v>
      </c>
      <c r="K58" s="156">
        <f t="shared" si="31"/>
        <v>0.13250000000000001</v>
      </c>
      <c r="L58" s="164"/>
      <c r="M58" s="767"/>
      <c r="N58" s="767"/>
      <c r="O58" s="767"/>
      <c r="P58" s="767"/>
      <c r="Q58" s="767"/>
      <c r="R58" s="767"/>
      <c r="S58" s="767"/>
      <c r="T58" s="767"/>
      <c r="U58" s="767"/>
      <c r="V58" s="767"/>
      <c r="W58" s="767"/>
    </row>
    <row r="59" spans="2:23" outlineLevel="1" x14ac:dyDescent="0.25">
      <c r="C59" s="361" t="s">
        <v>257</v>
      </c>
      <c r="D59" s="37" t="s">
        <v>32</v>
      </c>
      <c r="E59" s="4">
        <f>-E193/E$102</f>
        <v>0</v>
      </c>
      <c r="F59" s="4">
        <f>-F193/F$102</f>
        <v>1.9277293434621185E-4</v>
      </c>
      <c r="G59" s="148">
        <v>5.0000000000000001E-3</v>
      </c>
      <c r="H59" s="148">
        <v>7.0000000000000001E-3</v>
      </c>
      <c r="I59" s="148">
        <v>8.0000000000000002E-3</v>
      </c>
      <c r="J59" s="148">
        <v>0.01</v>
      </c>
      <c r="K59" s="148">
        <v>0.01</v>
      </c>
      <c r="L59" s="164"/>
      <c r="M59" s="767"/>
      <c r="N59" s="767"/>
      <c r="O59" s="767"/>
      <c r="P59" s="767"/>
      <c r="Q59" s="767"/>
      <c r="R59" s="767"/>
      <c r="S59" s="767"/>
      <c r="T59" s="767"/>
      <c r="U59" s="767"/>
      <c r="V59" s="767"/>
      <c r="W59" s="767"/>
    </row>
    <row r="60" spans="2:23" outlineLevel="1" x14ac:dyDescent="0.25">
      <c r="C60" s="361" t="s">
        <v>258</v>
      </c>
      <c r="D60" s="37" t="s">
        <v>32</v>
      </c>
      <c r="E60" s="4">
        <f>-E194/E$102</f>
        <v>1.4630943546787123E-2</v>
      </c>
      <c r="F60" s="4">
        <f>-F194/F$102</f>
        <v>0</v>
      </c>
      <c r="G60" s="148">
        <v>0</v>
      </c>
      <c r="H60" s="148">
        <v>0</v>
      </c>
      <c r="I60" s="148">
        <v>0</v>
      </c>
      <c r="J60" s="148">
        <v>0</v>
      </c>
      <c r="K60" s="148">
        <v>0</v>
      </c>
      <c r="L60" s="164"/>
      <c r="M60" s="767"/>
      <c r="N60" s="767"/>
      <c r="O60" s="767"/>
      <c r="P60" s="767"/>
      <c r="Q60" s="767"/>
      <c r="R60" s="767"/>
      <c r="S60" s="767"/>
      <c r="T60" s="767"/>
      <c r="U60" s="767"/>
      <c r="V60" s="767"/>
      <c r="W60" s="767"/>
    </row>
    <row r="61" spans="2:23" x14ac:dyDescent="0.25"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767"/>
      <c r="N61" s="767"/>
      <c r="O61" s="767"/>
      <c r="P61" s="767"/>
      <c r="Q61" s="767"/>
      <c r="R61" s="767"/>
      <c r="S61" s="767"/>
      <c r="T61" s="767"/>
      <c r="U61" s="767"/>
      <c r="V61" s="767"/>
      <c r="W61" s="767"/>
    </row>
    <row r="62" spans="2:23" x14ac:dyDescent="0.25">
      <c r="B62" s="72" t="s">
        <v>262</v>
      </c>
      <c r="C62" s="170"/>
      <c r="D62" s="495" t="str">
        <f>$D$13</f>
        <v>Units:</v>
      </c>
      <c r="E62" s="388">
        <f>$E$13</f>
        <v>43465</v>
      </c>
      <c r="F62" s="388">
        <f>$F$13</f>
        <v>43830</v>
      </c>
      <c r="G62" s="388">
        <f>$G$13</f>
        <v>44196</v>
      </c>
      <c r="H62" s="388">
        <f>$H$13</f>
        <v>44561</v>
      </c>
      <c r="I62" s="388">
        <f>$I$13</f>
        <v>44926</v>
      </c>
      <c r="J62" s="388">
        <f>$J$13</f>
        <v>45291</v>
      </c>
      <c r="K62" s="388">
        <f>$K$13</f>
        <v>45657</v>
      </c>
      <c r="L62" s="164"/>
      <c r="M62" s="768"/>
      <c r="N62" s="768"/>
      <c r="O62" s="768"/>
      <c r="P62" s="768"/>
      <c r="Q62" s="768"/>
      <c r="R62" s="768"/>
      <c r="S62" s="768"/>
      <c r="T62" s="768"/>
      <c r="U62" s="768"/>
      <c r="V62" s="767"/>
      <c r="W62" s="767"/>
    </row>
    <row r="63" spans="2:23" outlineLevel="1" x14ac:dyDescent="0.25">
      <c r="C63" s="164" t="s">
        <v>142</v>
      </c>
      <c r="D63" s="37" t="s">
        <v>46</v>
      </c>
      <c r="E63" s="155">
        <f>-E198</f>
        <v>232.941</v>
      </c>
      <c r="F63" s="155">
        <f>-F198</f>
        <v>255.839</v>
      </c>
      <c r="G63" s="154">
        <v>100</v>
      </c>
      <c r="H63" s="154">
        <v>400</v>
      </c>
      <c r="I63" s="154">
        <v>10</v>
      </c>
      <c r="J63" s="154">
        <v>390</v>
      </c>
      <c r="K63" s="154">
        <v>0</v>
      </c>
      <c r="L63" s="164"/>
      <c r="M63" s="767"/>
      <c r="N63" s="767"/>
      <c r="O63" s="767"/>
      <c r="P63" s="767"/>
      <c r="Q63" s="767"/>
      <c r="R63" s="767"/>
      <c r="S63" s="767"/>
      <c r="T63" s="767"/>
      <c r="U63" s="767"/>
      <c r="V63" s="767"/>
      <c r="W63" s="767"/>
    </row>
    <row r="64" spans="2:23" outlineLevel="1" x14ac:dyDescent="0.25">
      <c r="C64" s="164" t="s">
        <v>124</v>
      </c>
      <c r="D64" s="37" t="s">
        <v>32</v>
      </c>
      <c r="E64" s="4">
        <f t="shared" ref="E64:F64" si="32">+E65/E63</f>
        <v>0.97739771014978039</v>
      </c>
      <c r="F64" s="4">
        <f t="shared" si="32"/>
        <v>0.99013051176716604</v>
      </c>
      <c r="G64" s="148">
        <v>0.9</v>
      </c>
      <c r="H64" s="148">
        <v>0.9</v>
      </c>
      <c r="I64" s="148">
        <v>0.9</v>
      </c>
      <c r="J64" s="148">
        <v>0.9</v>
      </c>
      <c r="K64" s="148">
        <v>0.9</v>
      </c>
      <c r="L64" s="164"/>
      <c r="M64" s="767"/>
      <c r="N64" s="767"/>
      <c r="O64" s="767"/>
      <c r="P64" s="767"/>
      <c r="Q64" s="767"/>
      <c r="R64" s="767"/>
      <c r="S64" s="767"/>
      <c r="T64" s="767"/>
      <c r="U64" s="767"/>
      <c r="V64" s="767"/>
      <c r="W64" s="767"/>
    </row>
    <row r="65" spans="2:23" outlineLevel="1" x14ac:dyDescent="0.25">
      <c r="C65" s="164" t="s">
        <v>129</v>
      </c>
      <c r="D65" s="37" t="s">
        <v>46</v>
      </c>
      <c r="E65" s="155">
        <f>+E197</f>
        <v>227.67599999999999</v>
      </c>
      <c r="F65" s="155">
        <f>+F197</f>
        <v>253.31399999999999</v>
      </c>
      <c r="G65" s="84">
        <f>+G64*G63</f>
        <v>90</v>
      </c>
      <c r="H65" s="84">
        <f t="shared" ref="H65:K65" si="33">+H64*H63</f>
        <v>360</v>
      </c>
      <c r="I65" s="84">
        <f t="shared" si="33"/>
        <v>9</v>
      </c>
      <c r="J65" s="84">
        <f t="shared" si="33"/>
        <v>351</v>
      </c>
      <c r="K65" s="84">
        <f t="shared" si="33"/>
        <v>0</v>
      </c>
      <c r="L65" s="164"/>
      <c r="M65" s="767"/>
      <c r="N65" s="767"/>
      <c r="O65" s="767"/>
      <c r="P65" s="767"/>
      <c r="Q65" s="767"/>
      <c r="R65" s="767"/>
      <c r="S65" s="767"/>
      <c r="T65" s="767"/>
      <c r="U65" s="767"/>
      <c r="V65" s="767"/>
      <c r="W65" s="767"/>
    </row>
    <row r="66" spans="2:23" outlineLevel="1" x14ac:dyDescent="0.25"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767"/>
      <c r="N66" s="767"/>
      <c r="O66" s="767"/>
      <c r="P66" s="767"/>
      <c r="Q66" s="767"/>
      <c r="R66" s="767"/>
      <c r="S66" s="767"/>
      <c r="T66" s="767"/>
      <c r="U66" s="767"/>
      <c r="V66" s="767"/>
      <c r="W66" s="767"/>
    </row>
    <row r="67" spans="2:23" outlineLevel="1" x14ac:dyDescent="0.25">
      <c r="C67" s="374" t="s">
        <v>295</v>
      </c>
      <c r="D67" s="37" t="s">
        <v>46</v>
      </c>
      <c r="E67" s="173">
        <f>-E115</f>
        <v>17</v>
      </c>
      <c r="F67" s="173">
        <f>-F115</f>
        <v>19.5</v>
      </c>
      <c r="G67" s="154">
        <v>19.5</v>
      </c>
      <c r="H67" s="154">
        <v>18</v>
      </c>
      <c r="I67" s="154">
        <v>17</v>
      </c>
      <c r="J67" s="154">
        <v>0</v>
      </c>
      <c r="K67" s="154">
        <v>0</v>
      </c>
      <c r="L67" s="164"/>
      <c r="M67" s="767"/>
      <c r="N67" s="767"/>
      <c r="O67" s="767"/>
      <c r="P67" s="767"/>
      <c r="Q67" s="767"/>
      <c r="R67" s="767"/>
      <c r="S67" s="767"/>
      <c r="T67" s="767"/>
      <c r="U67" s="767"/>
      <c r="V67" s="767"/>
      <c r="W67" s="767"/>
    </row>
    <row r="68" spans="2:23" outlineLevel="1" x14ac:dyDescent="0.25"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767"/>
      <c r="N68" s="767"/>
      <c r="O68" s="767"/>
      <c r="P68" s="767"/>
      <c r="Q68" s="767"/>
      <c r="R68" s="767"/>
      <c r="S68" s="767"/>
      <c r="T68" s="767"/>
      <c r="U68" s="767"/>
      <c r="V68" s="767"/>
      <c r="W68" s="767"/>
    </row>
    <row r="69" spans="2:23" outlineLevel="1" x14ac:dyDescent="0.25">
      <c r="C69" s="374" t="s">
        <v>298</v>
      </c>
      <c r="D69" s="37" t="s">
        <v>32</v>
      </c>
      <c r="E69" s="4"/>
      <c r="F69" s="4">
        <f>-F114/AVERAGE(E152,F152)</f>
        <v>0.12207985036492833</v>
      </c>
      <c r="G69" s="148">
        <v>0.115</v>
      </c>
      <c r="H69" s="148">
        <v>0.11</v>
      </c>
      <c r="I69" s="148">
        <v>0.105</v>
      </c>
      <c r="J69" s="148">
        <v>0.1</v>
      </c>
      <c r="K69" s="148">
        <v>0.1</v>
      </c>
      <c r="L69" s="164"/>
      <c r="M69" s="767"/>
      <c r="N69" s="767"/>
      <c r="O69" s="767"/>
      <c r="P69" s="767"/>
      <c r="Q69" s="767"/>
      <c r="R69" s="767"/>
      <c r="S69" s="767"/>
      <c r="T69" s="767"/>
      <c r="U69" s="767"/>
      <c r="V69" s="767"/>
      <c r="W69" s="767"/>
    </row>
    <row r="70" spans="2:23" outlineLevel="1" x14ac:dyDescent="0.25">
      <c r="C70" s="374" t="s">
        <v>297</v>
      </c>
      <c r="D70" s="37" t="s">
        <v>32</v>
      </c>
      <c r="E70" s="4">
        <f>-E176/SUM(E114:E115)</f>
        <v>0.92838657344818265</v>
      </c>
      <c r="F70" s="4">
        <f>-F176/SUM(F114:F115)</f>
        <v>0.92296078355464373</v>
      </c>
      <c r="G70" s="153">
        <f>AVERAGE(E70,F70)</f>
        <v>0.92567367850141324</v>
      </c>
      <c r="H70" s="153">
        <f t="shared" ref="H70" si="34">+G70</f>
        <v>0.92567367850141324</v>
      </c>
      <c r="I70" s="153">
        <f t="shared" ref="I70" si="35">+H70</f>
        <v>0.92567367850141324</v>
      </c>
      <c r="J70" s="153">
        <f t="shared" ref="J70" si="36">+I70</f>
        <v>0.92567367850141324</v>
      </c>
      <c r="K70" s="153">
        <f t="shared" ref="K70" si="37">+J70</f>
        <v>0.92567367850141324</v>
      </c>
      <c r="L70" s="164"/>
      <c r="M70" s="767"/>
      <c r="N70" s="767"/>
      <c r="O70" s="767"/>
      <c r="P70" s="767"/>
      <c r="Q70" s="767"/>
      <c r="R70" s="767"/>
      <c r="S70" s="767"/>
      <c r="T70" s="767"/>
      <c r="U70" s="767"/>
      <c r="V70" s="767"/>
      <c r="W70" s="767"/>
    </row>
    <row r="71" spans="2:23" outlineLevel="1" x14ac:dyDescent="0.25">
      <c r="C71" s="164"/>
      <c r="D71" s="343"/>
      <c r="E71" s="167"/>
      <c r="F71" s="167"/>
      <c r="G71" s="164"/>
      <c r="H71" s="164"/>
      <c r="I71" s="164"/>
      <c r="J71" s="164"/>
      <c r="K71" s="164"/>
      <c r="L71" s="164"/>
      <c r="M71" s="767"/>
      <c r="N71" s="767"/>
      <c r="O71" s="767"/>
      <c r="P71" s="767"/>
      <c r="Q71" s="767"/>
      <c r="R71" s="767"/>
      <c r="S71" s="767"/>
      <c r="T71" s="767"/>
      <c r="U71" s="767"/>
      <c r="V71" s="767"/>
      <c r="W71" s="767"/>
    </row>
    <row r="72" spans="2:23" outlineLevel="1" x14ac:dyDescent="0.25">
      <c r="C72" s="164" t="s">
        <v>66</v>
      </c>
      <c r="D72" s="37" t="s">
        <v>46</v>
      </c>
      <c r="E72" s="15">
        <f t="shared" ref="E72:F72" si="38">+E199</f>
        <v>0</v>
      </c>
      <c r="F72" s="15">
        <f t="shared" si="38"/>
        <v>0</v>
      </c>
      <c r="G72" s="154">
        <v>0</v>
      </c>
      <c r="H72" s="156">
        <f>+G72</f>
        <v>0</v>
      </c>
      <c r="I72" s="156">
        <f t="shared" ref="I72:K72" si="39">+H72</f>
        <v>0</v>
      </c>
      <c r="J72" s="156">
        <f t="shared" si="39"/>
        <v>0</v>
      </c>
      <c r="K72" s="156">
        <f t="shared" si="39"/>
        <v>0</v>
      </c>
      <c r="L72" s="164"/>
      <c r="M72" s="767"/>
      <c r="N72" s="767"/>
      <c r="O72" s="767"/>
      <c r="P72" s="767"/>
      <c r="Q72" s="767"/>
      <c r="R72" s="767"/>
      <c r="S72" s="767"/>
      <c r="T72" s="767"/>
      <c r="U72" s="767"/>
      <c r="V72" s="767"/>
      <c r="W72" s="767"/>
    </row>
    <row r="73" spans="2:23" outlineLevel="1" x14ac:dyDescent="0.25">
      <c r="C73" s="164"/>
      <c r="D73" s="343"/>
      <c r="E73" s="167"/>
      <c r="F73" s="167"/>
      <c r="G73" s="164"/>
      <c r="H73" s="164"/>
      <c r="I73" s="164"/>
      <c r="J73" s="164"/>
      <c r="K73" s="164"/>
      <c r="L73" s="164"/>
      <c r="M73" s="767"/>
      <c r="N73" s="767"/>
      <c r="O73" s="767"/>
      <c r="P73" s="767"/>
      <c r="Q73" s="767"/>
      <c r="R73" s="767"/>
      <c r="S73" s="767"/>
      <c r="T73" s="767"/>
      <c r="U73" s="767"/>
      <c r="V73" s="767"/>
      <c r="W73" s="767"/>
    </row>
    <row r="74" spans="2:23" outlineLevel="1" x14ac:dyDescent="0.25">
      <c r="C74" s="361" t="s">
        <v>263</v>
      </c>
      <c r="D74" s="37" t="s">
        <v>46</v>
      </c>
      <c r="E74" s="155">
        <f>+E200</f>
        <v>171.089</v>
      </c>
      <c r="F74" s="155">
        <f>+F200</f>
        <v>92.409000000000006</v>
      </c>
      <c r="G74" s="154">
        <v>200</v>
      </c>
      <c r="H74" s="154">
        <v>175</v>
      </c>
      <c r="I74" s="154">
        <v>150</v>
      </c>
      <c r="J74" s="154">
        <v>100</v>
      </c>
      <c r="K74" s="154">
        <v>50</v>
      </c>
      <c r="L74" s="164"/>
      <c r="M74" s="767"/>
      <c r="N74" s="767"/>
      <c r="O74" s="767"/>
      <c r="P74" s="767"/>
      <c r="Q74" s="767"/>
      <c r="R74" s="767"/>
      <c r="S74" s="767"/>
      <c r="T74" s="767"/>
      <c r="U74" s="767"/>
      <c r="V74" s="767"/>
      <c r="W74" s="767"/>
    </row>
    <row r="75" spans="2:23" outlineLevel="1" x14ac:dyDescent="0.25">
      <c r="C75" s="164"/>
      <c r="D75" s="343"/>
      <c r="E75" s="167"/>
      <c r="F75" s="167"/>
      <c r="G75" s="164"/>
      <c r="H75" s="173"/>
      <c r="I75" s="173"/>
      <c r="J75" s="173"/>
      <c r="K75" s="173"/>
      <c r="L75" s="164"/>
      <c r="M75" s="767"/>
      <c r="N75" s="767"/>
      <c r="O75" s="767"/>
      <c r="P75" s="767"/>
      <c r="Q75" s="767"/>
      <c r="R75" s="767"/>
      <c r="S75" s="767"/>
      <c r="T75" s="767"/>
      <c r="U75" s="767"/>
      <c r="V75" s="767"/>
      <c r="W75" s="767"/>
    </row>
    <row r="76" spans="2:23" outlineLevel="1" x14ac:dyDescent="0.25">
      <c r="C76" s="164" t="s">
        <v>143</v>
      </c>
      <c r="D76" s="37" t="s">
        <v>32</v>
      </c>
      <c r="E76" s="4"/>
      <c r="F76" s="4">
        <f>+F116/E129</f>
        <v>0</v>
      </c>
      <c r="G76" s="148">
        <v>0</v>
      </c>
      <c r="H76" s="153">
        <f>+G76</f>
        <v>0</v>
      </c>
      <c r="I76" s="153">
        <f t="shared" ref="I76:K76" si="40">+H76</f>
        <v>0</v>
      </c>
      <c r="J76" s="153">
        <f t="shared" si="40"/>
        <v>0</v>
      </c>
      <c r="K76" s="153">
        <f t="shared" si="40"/>
        <v>0</v>
      </c>
      <c r="L76" s="164"/>
      <c r="M76" s="767"/>
      <c r="N76" s="767"/>
      <c r="O76" s="767"/>
      <c r="P76" s="767"/>
      <c r="Q76" s="767"/>
      <c r="R76" s="767"/>
      <c r="S76" s="767"/>
      <c r="T76" s="767"/>
      <c r="U76" s="767"/>
      <c r="V76" s="767"/>
      <c r="W76" s="767"/>
    </row>
    <row r="77" spans="2:23" x14ac:dyDescent="0.25">
      <c r="C77" s="164"/>
      <c r="D77" s="164"/>
      <c r="E77" s="55"/>
      <c r="F77" s="354"/>
      <c r="G77" s="164"/>
      <c r="H77" s="164"/>
      <c r="I77" s="164"/>
      <c r="J77" s="164"/>
      <c r="K77" s="164"/>
      <c r="L77" s="164"/>
      <c r="M77" s="767"/>
      <c r="N77" s="767"/>
      <c r="O77" s="767"/>
      <c r="P77" s="767"/>
      <c r="Q77" s="767"/>
      <c r="R77" s="767"/>
      <c r="S77" s="767"/>
      <c r="T77" s="767"/>
      <c r="U77" s="767"/>
      <c r="V77" s="767"/>
      <c r="W77" s="767"/>
    </row>
    <row r="78" spans="2:23" x14ac:dyDescent="0.25">
      <c r="B78" s="72" t="s">
        <v>299</v>
      </c>
      <c r="C78" s="170"/>
      <c r="D78" s="495" t="str">
        <f>$D$13</f>
        <v>Units:</v>
      </c>
      <c r="E78" s="388">
        <f>$E$13</f>
        <v>43465</v>
      </c>
      <c r="F78" s="388">
        <f>$F$13</f>
        <v>43830</v>
      </c>
      <c r="G78" s="388">
        <f>$G$13</f>
        <v>44196</v>
      </c>
      <c r="H78" s="388">
        <f>$H$13</f>
        <v>44561</v>
      </c>
      <c r="I78" s="388">
        <f>$I$13</f>
        <v>44926</v>
      </c>
      <c r="J78" s="388">
        <f>$J$13</f>
        <v>45291</v>
      </c>
      <c r="K78" s="388">
        <f>$K$13</f>
        <v>45657</v>
      </c>
      <c r="L78" s="164"/>
      <c r="M78" s="768"/>
      <c r="N78" s="768"/>
      <c r="O78" s="768"/>
      <c r="P78" s="768"/>
      <c r="Q78" s="768"/>
      <c r="R78" s="768"/>
      <c r="S78" s="768"/>
      <c r="T78" s="768"/>
      <c r="U78" s="768"/>
      <c r="V78" s="767"/>
      <c r="W78" s="767"/>
    </row>
    <row r="79" spans="2:23" outlineLevel="1" x14ac:dyDescent="0.25">
      <c r="C79" s="164"/>
      <c r="D79" s="164"/>
      <c r="E79" s="55"/>
      <c r="F79" s="354"/>
      <c r="G79" s="164"/>
      <c r="H79" s="164"/>
      <c r="I79" s="164"/>
      <c r="J79" s="164"/>
      <c r="K79" s="164"/>
      <c r="L79" s="164"/>
      <c r="M79" s="767"/>
      <c r="N79" s="767"/>
      <c r="O79" s="767"/>
      <c r="P79" s="767"/>
      <c r="Q79" s="767"/>
      <c r="R79" s="767"/>
      <c r="S79" s="767"/>
      <c r="T79" s="767"/>
      <c r="U79" s="767"/>
      <c r="V79" s="767"/>
      <c r="W79" s="767"/>
    </row>
    <row r="80" spans="2:23" outlineLevel="1" x14ac:dyDescent="0.25">
      <c r="C80" s="380" t="s">
        <v>300</v>
      </c>
      <c r="D80" s="48" t="s">
        <v>46</v>
      </c>
      <c r="E80" s="755"/>
      <c r="F80" s="755"/>
      <c r="G80" s="755">
        <f>G118</f>
        <v>-155.14898708927996</v>
      </c>
      <c r="H80" s="755">
        <f t="shared" ref="H80:K80" si="41">H118</f>
        <v>-101.30069269314852</v>
      </c>
      <c r="I80" s="755">
        <f t="shared" si="41"/>
        <v>-56.912408630044474</v>
      </c>
      <c r="J80" s="755">
        <f t="shared" si="41"/>
        <v>-26.203881207628399</v>
      </c>
      <c r="K80" s="755">
        <f t="shared" si="41"/>
        <v>38.363148468656277</v>
      </c>
      <c r="L80" s="164"/>
      <c r="M80" s="767"/>
      <c r="N80" s="767"/>
      <c r="O80" s="767"/>
      <c r="P80" s="767"/>
      <c r="Q80" s="767"/>
      <c r="R80" s="767"/>
      <c r="S80" s="767"/>
      <c r="T80" s="767"/>
      <c r="U80" s="767"/>
      <c r="V80" s="767"/>
      <c r="W80" s="767"/>
    </row>
    <row r="81" spans="3:23" outlineLevel="1" x14ac:dyDescent="0.25">
      <c r="C81" s="381" t="s">
        <v>59</v>
      </c>
      <c r="D81" s="48" t="s">
        <v>46</v>
      </c>
      <c r="E81" s="383"/>
      <c r="F81" s="383"/>
      <c r="G81" s="383">
        <f>+G54*G102</f>
        <v>6.4453722138348795</v>
      </c>
      <c r="H81" s="383">
        <f>+H54*H102</f>
        <v>8.1482096709859082</v>
      </c>
      <c r="I81" s="383">
        <f>+I54*I102</f>
        <v>10.051316966037268</v>
      </c>
      <c r="J81" s="383">
        <f>+J54*J102</f>
        <v>12.182609783294044</v>
      </c>
      <c r="K81" s="383">
        <f>+K54*K102</f>
        <v>14.447667639071126</v>
      </c>
      <c r="L81" s="164"/>
      <c r="M81" s="767"/>
      <c r="N81" s="767"/>
      <c r="O81" s="767"/>
      <c r="P81" s="767"/>
      <c r="Q81" s="767"/>
      <c r="R81" s="767"/>
      <c r="S81" s="767"/>
      <c r="T81" s="767"/>
      <c r="U81" s="767"/>
      <c r="V81" s="767"/>
      <c r="W81" s="767"/>
    </row>
    <row r="82" spans="3:23" outlineLevel="1" x14ac:dyDescent="0.25">
      <c r="C82" s="381" t="s">
        <v>303</v>
      </c>
      <c r="D82" s="48" t="s">
        <v>46</v>
      </c>
      <c r="E82" s="383"/>
      <c r="F82" s="383"/>
      <c r="G82" s="383">
        <f>-G104</f>
        <v>0</v>
      </c>
      <c r="H82" s="383">
        <f t="shared" ref="H82:K82" si="42">-H104</f>
        <v>0</v>
      </c>
      <c r="I82" s="383">
        <f t="shared" si="42"/>
        <v>0</v>
      </c>
      <c r="J82" s="383">
        <f t="shared" si="42"/>
        <v>0</v>
      </c>
      <c r="K82" s="383">
        <f t="shared" si="42"/>
        <v>0</v>
      </c>
      <c r="L82" s="164"/>
      <c r="M82" s="767"/>
      <c r="N82" s="767"/>
      <c r="O82" s="767"/>
      <c r="P82" s="767"/>
      <c r="Q82" s="767"/>
      <c r="R82" s="767"/>
      <c r="S82" s="767"/>
      <c r="T82" s="767"/>
      <c r="U82" s="767"/>
      <c r="V82" s="767"/>
      <c r="W82" s="767"/>
    </row>
    <row r="83" spans="3:23" outlineLevel="1" x14ac:dyDescent="0.25">
      <c r="C83" s="381" t="s">
        <v>301</v>
      </c>
      <c r="D83" s="48" t="s">
        <v>46</v>
      </c>
      <c r="E83" s="383"/>
      <c r="F83" s="383"/>
      <c r="G83" s="383">
        <f>+G174</f>
        <v>2.517898820424</v>
      </c>
      <c r="H83" s="383">
        <f t="shared" ref="H83:K83" si="43">+H174</f>
        <v>3.1831160154109983</v>
      </c>
      <c r="I83" s="383">
        <f t="shared" si="43"/>
        <v>5.2354254169463106</v>
      </c>
      <c r="J83" s="383">
        <f t="shared" si="43"/>
        <v>6.3455510476595922</v>
      </c>
      <c r="K83" s="383">
        <f t="shared" si="43"/>
        <v>7.525350820073343</v>
      </c>
      <c r="L83" s="164"/>
      <c r="M83" s="767"/>
      <c r="N83" s="767"/>
      <c r="O83" s="767"/>
      <c r="P83" s="767"/>
      <c r="Q83" s="767"/>
      <c r="R83" s="767"/>
      <c r="S83" s="767"/>
      <c r="T83" s="767"/>
      <c r="U83" s="767"/>
      <c r="V83" s="767"/>
      <c r="W83" s="767"/>
    </row>
    <row r="84" spans="3:23" outlineLevel="1" x14ac:dyDescent="0.25">
      <c r="C84" s="24" t="s">
        <v>302</v>
      </c>
      <c r="D84" s="382" t="s">
        <v>46</v>
      </c>
      <c r="E84" s="25"/>
      <c r="F84" s="25"/>
      <c r="G84" s="25">
        <f>SUM(G80:G83)</f>
        <v>-146.18571605502109</v>
      </c>
      <c r="H84" s="25">
        <f t="shared" ref="H84:K84" si="44">SUM(H80:H83)</f>
        <v>-89.969367006751611</v>
      </c>
      <c r="I84" s="25">
        <f t="shared" si="44"/>
        <v>-41.625666247060892</v>
      </c>
      <c r="J84" s="25">
        <f t="shared" si="44"/>
        <v>-7.6757203766747626</v>
      </c>
      <c r="K84" s="25">
        <f t="shared" si="44"/>
        <v>60.336166927800747</v>
      </c>
      <c r="L84" s="164"/>
      <c r="M84" s="767"/>
      <c r="N84" s="767"/>
      <c r="O84" s="767"/>
      <c r="P84" s="767"/>
      <c r="Q84" s="767"/>
      <c r="R84" s="767"/>
      <c r="S84" s="767"/>
      <c r="T84" s="767"/>
      <c r="U84" s="767"/>
      <c r="V84" s="767"/>
      <c r="W84" s="767"/>
    </row>
    <row r="85" spans="3:23" outlineLevel="1" x14ac:dyDescent="0.25">
      <c r="C85" s="164"/>
      <c r="D85" s="164"/>
      <c r="E85" s="55"/>
      <c r="F85" s="354"/>
      <c r="G85" s="164"/>
      <c r="H85" s="164"/>
      <c r="I85" s="164"/>
      <c r="J85" s="164"/>
      <c r="K85" s="164"/>
      <c r="L85" s="164"/>
      <c r="M85" s="767"/>
      <c r="N85" s="767"/>
      <c r="O85" s="767"/>
      <c r="P85" s="767"/>
      <c r="Q85" s="767"/>
      <c r="R85" s="767"/>
      <c r="S85" s="767"/>
      <c r="T85" s="767"/>
      <c r="U85" s="767"/>
      <c r="V85" s="767"/>
      <c r="W85" s="767"/>
    </row>
    <row r="86" spans="3:23" outlineLevel="1" x14ac:dyDescent="0.25">
      <c r="C86" s="380" t="s">
        <v>304</v>
      </c>
      <c r="D86" s="48" t="s">
        <v>46</v>
      </c>
      <c r="E86" s="55"/>
      <c r="F86" s="354"/>
      <c r="G86" s="387">
        <f>142.052/$E$10</f>
        <v>645.69090909090903</v>
      </c>
      <c r="H86" s="383">
        <f>+G89</f>
        <v>791.87662514593012</v>
      </c>
      <c r="I86" s="383">
        <f t="shared" ref="I86:K86" si="45">+H89</f>
        <v>881.84599215268167</v>
      </c>
      <c r="J86" s="383">
        <f t="shared" si="45"/>
        <v>923.47165839974252</v>
      </c>
      <c r="K86" s="383">
        <f t="shared" si="45"/>
        <v>931.14737877641733</v>
      </c>
      <c r="L86" s="164"/>
      <c r="M86" s="767"/>
      <c r="N86" s="767"/>
      <c r="O86" s="767"/>
      <c r="P86" s="767"/>
      <c r="Q86" s="767"/>
      <c r="R86" s="767"/>
      <c r="S86" s="767"/>
      <c r="T86" s="767"/>
      <c r="U86" s="767"/>
      <c r="V86" s="767"/>
      <c r="W86" s="767"/>
    </row>
    <row r="87" spans="3:23" outlineLevel="1" x14ac:dyDescent="0.25">
      <c r="C87" s="381" t="s">
        <v>305</v>
      </c>
      <c r="D87" s="48" t="s">
        <v>46</v>
      </c>
      <c r="E87" s="55"/>
      <c r="F87" s="354"/>
      <c r="G87" s="383">
        <f>MAX(0,-G84)</f>
        <v>146.18571605502109</v>
      </c>
      <c r="H87" s="383">
        <f t="shared" ref="H87:K87" si="46">MAX(0,-H84)</f>
        <v>89.969367006751611</v>
      </c>
      <c r="I87" s="383">
        <f t="shared" si="46"/>
        <v>41.625666247060892</v>
      </c>
      <c r="J87" s="383">
        <f t="shared" si="46"/>
        <v>7.6757203766747626</v>
      </c>
      <c r="K87" s="383">
        <f t="shared" si="46"/>
        <v>0</v>
      </c>
      <c r="L87" s="164"/>
      <c r="M87" s="767"/>
      <c r="N87" s="767"/>
      <c r="O87" s="767"/>
      <c r="P87" s="767"/>
      <c r="Q87" s="767"/>
      <c r="R87" s="767"/>
      <c r="S87" s="767"/>
      <c r="T87" s="767"/>
      <c r="U87" s="767"/>
      <c r="V87" s="767"/>
      <c r="W87" s="767"/>
    </row>
    <row r="88" spans="3:23" outlineLevel="1" x14ac:dyDescent="0.25">
      <c r="C88" s="381" t="s">
        <v>306</v>
      </c>
      <c r="D88" s="48" t="s">
        <v>46</v>
      </c>
      <c r="E88" s="385"/>
      <c r="F88" s="386"/>
      <c r="G88" s="383">
        <f>-MIN(+G86+G87,MAX(G84,0))</f>
        <v>0</v>
      </c>
      <c r="H88" s="383">
        <f t="shared" ref="H88" si="47">-MIN(+H86+H87,MAX(H84,0))</f>
        <v>0</v>
      </c>
      <c r="I88" s="383">
        <f t="shared" ref="I88" si="48">-MIN(+I86+I87,MAX(I84,0))</f>
        <v>0</v>
      </c>
      <c r="J88" s="383">
        <f t="shared" ref="J88" si="49">-MIN(+J86+J87,MAX(J84,0))</f>
        <v>0</v>
      </c>
      <c r="K88" s="383">
        <f t="shared" ref="K88" si="50">-MIN(+K86+K87,MAX(K84,0))</f>
        <v>-60.336166927800747</v>
      </c>
      <c r="L88" s="164"/>
      <c r="M88" s="767"/>
      <c r="N88" s="767"/>
      <c r="O88" s="767"/>
      <c r="P88" s="767"/>
      <c r="Q88" s="767"/>
      <c r="R88" s="767"/>
      <c r="S88" s="767"/>
      <c r="T88" s="767"/>
      <c r="U88" s="767"/>
      <c r="V88" s="767"/>
      <c r="W88" s="767"/>
    </row>
    <row r="89" spans="3:23" outlineLevel="1" x14ac:dyDescent="0.25">
      <c r="C89" s="24" t="s">
        <v>307</v>
      </c>
      <c r="D89" s="382" t="s">
        <v>46</v>
      </c>
      <c r="E89" s="55"/>
      <c r="F89" s="354"/>
      <c r="G89" s="25">
        <f>SUM(G86:G88)</f>
        <v>791.87662514593012</v>
      </c>
      <c r="H89" s="25">
        <f t="shared" ref="H89" si="51">SUM(H86:H88)</f>
        <v>881.84599215268167</v>
      </c>
      <c r="I89" s="25">
        <f t="shared" ref="I89" si="52">SUM(I86:I88)</f>
        <v>923.47165839974252</v>
      </c>
      <c r="J89" s="25">
        <f t="shared" ref="J89" si="53">SUM(J86:J88)</f>
        <v>931.14737877641733</v>
      </c>
      <c r="K89" s="25">
        <f t="shared" ref="K89" si="54">SUM(K86:K88)</f>
        <v>870.81121184861661</v>
      </c>
      <c r="L89" s="164"/>
      <c r="M89" s="767"/>
      <c r="N89" s="767"/>
      <c r="O89" s="767"/>
      <c r="P89" s="767"/>
      <c r="Q89" s="767"/>
      <c r="R89" s="767"/>
      <c r="S89" s="767"/>
      <c r="T89" s="767"/>
      <c r="U89" s="767"/>
      <c r="V89" s="767"/>
      <c r="W89" s="767"/>
    </row>
    <row r="90" spans="3:23" outlineLevel="1" x14ac:dyDescent="0.25">
      <c r="C90" s="164"/>
      <c r="D90" s="164"/>
      <c r="E90" s="55"/>
      <c r="F90" s="354"/>
      <c r="G90" s="164"/>
      <c r="H90" s="164"/>
      <c r="I90" s="164"/>
      <c r="J90" s="164"/>
      <c r="K90" s="164"/>
      <c r="L90" s="164"/>
      <c r="M90" s="767"/>
      <c r="N90" s="767"/>
      <c r="O90" s="767"/>
      <c r="P90" s="767"/>
      <c r="Q90" s="767"/>
      <c r="R90" s="767"/>
      <c r="S90" s="767"/>
      <c r="T90" s="767"/>
      <c r="U90" s="767"/>
      <c r="V90" s="767"/>
      <c r="W90" s="767"/>
    </row>
    <row r="91" spans="3:23" outlineLevel="1" x14ac:dyDescent="0.25">
      <c r="C91" s="380" t="s">
        <v>308</v>
      </c>
      <c r="D91" s="48" t="s">
        <v>46</v>
      </c>
      <c r="E91" s="383"/>
      <c r="F91" s="383"/>
      <c r="G91" s="383">
        <f>+G84+G88</f>
        <v>-146.18571605502109</v>
      </c>
      <c r="H91" s="383">
        <f t="shared" ref="H91:K91" si="55">+H84+H88</f>
        <v>-89.969367006751611</v>
      </c>
      <c r="I91" s="383">
        <f t="shared" si="55"/>
        <v>-41.625666247060892</v>
      </c>
      <c r="J91" s="383">
        <f t="shared" si="55"/>
        <v>-7.6757203766747626</v>
      </c>
      <c r="K91" s="383">
        <f t="shared" si="55"/>
        <v>0</v>
      </c>
      <c r="L91" s="164"/>
      <c r="M91" s="767"/>
      <c r="N91" s="767"/>
      <c r="O91" s="767"/>
      <c r="P91" s="767"/>
      <c r="Q91" s="767"/>
      <c r="R91" s="767"/>
      <c r="S91" s="767"/>
      <c r="T91" s="767"/>
      <c r="U91" s="767"/>
      <c r="V91" s="767"/>
      <c r="W91" s="767"/>
    </row>
    <row r="92" spans="3:23" outlineLevel="1" x14ac:dyDescent="0.25">
      <c r="C92" s="380"/>
      <c r="D92" s="380"/>
      <c r="E92" s="164"/>
      <c r="F92" s="164"/>
      <c r="G92" s="164"/>
      <c r="H92" s="164"/>
      <c r="I92" s="164"/>
      <c r="J92" s="164"/>
      <c r="K92" s="164"/>
      <c r="L92" s="164"/>
      <c r="M92" s="767"/>
      <c r="N92" s="767"/>
      <c r="O92" s="767"/>
      <c r="P92" s="767"/>
      <c r="Q92" s="767"/>
      <c r="R92" s="767"/>
      <c r="S92" s="767"/>
      <c r="T92" s="767"/>
      <c r="U92" s="767"/>
      <c r="V92" s="767"/>
      <c r="W92" s="767"/>
    </row>
    <row r="93" spans="3:23" outlineLevel="1" x14ac:dyDescent="0.25">
      <c r="C93" s="380" t="s">
        <v>309</v>
      </c>
      <c r="D93" s="48" t="s">
        <v>46</v>
      </c>
      <c r="E93" s="383"/>
      <c r="F93" s="383"/>
      <c r="G93" s="383">
        <f>-MAX(G91,0)*G34</f>
        <v>0</v>
      </c>
      <c r="H93" s="383">
        <f>-MAX(H91,0)*H34</f>
        <v>0</v>
      </c>
      <c r="I93" s="383">
        <f>-MAX(I91,0)*I34</f>
        <v>0</v>
      </c>
      <c r="J93" s="383">
        <f>-MAX(J91,0)*J34</f>
        <v>0</v>
      </c>
      <c r="K93" s="383">
        <f>-MAX(K91,0)*K34</f>
        <v>0</v>
      </c>
      <c r="L93" s="164"/>
      <c r="M93" s="767"/>
      <c r="N93" s="767"/>
      <c r="O93" s="767"/>
      <c r="P93" s="767"/>
      <c r="Q93" s="767"/>
      <c r="R93" s="767"/>
      <c r="S93" s="767"/>
      <c r="T93" s="767"/>
      <c r="U93" s="767"/>
      <c r="V93" s="767"/>
      <c r="W93" s="767"/>
    </row>
    <row r="94" spans="3:23" outlineLevel="1" x14ac:dyDescent="0.25">
      <c r="C94" s="380"/>
      <c r="D94" s="380"/>
      <c r="E94" s="164"/>
      <c r="F94" s="164"/>
      <c r="G94" s="164"/>
      <c r="H94" s="164"/>
      <c r="I94" s="164"/>
      <c r="J94" s="164"/>
      <c r="K94" s="164"/>
      <c r="L94" s="164"/>
      <c r="M94" s="767"/>
      <c r="N94" s="767"/>
      <c r="O94" s="767"/>
      <c r="P94" s="767"/>
      <c r="Q94" s="767"/>
      <c r="R94" s="767"/>
      <c r="S94" s="767"/>
      <c r="T94" s="767"/>
      <c r="U94" s="767"/>
      <c r="V94" s="767"/>
      <c r="W94" s="767"/>
    </row>
    <row r="95" spans="3:23" outlineLevel="1" x14ac:dyDescent="0.25">
      <c r="C95" s="2" t="s">
        <v>310</v>
      </c>
      <c r="D95" s="48" t="s">
        <v>46</v>
      </c>
      <c r="E95" s="50"/>
      <c r="F95" s="50"/>
      <c r="G95" s="50">
        <f>G93-G119</f>
        <v>-34.132777159641591</v>
      </c>
      <c r="H95" s="50">
        <f t="shared" ref="H95:K95" si="56">H93-H119</f>
        <v>-22.286152392492674</v>
      </c>
      <c r="I95" s="50">
        <f t="shared" si="56"/>
        <v>-12.520729898609785</v>
      </c>
      <c r="J95" s="50">
        <f t="shared" si="56"/>
        <v>-5.7648538656782478</v>
      </c>
      <c r="K95" s="50">
        <f t="shared" si="56"/>
        <v>8.4398926631043807</v>
      </c>
      <c r="L95" s="164"/>
      <c r="M95" s="767"/>
      <c r="N95" s="767"/>
      <c r="O95" s="767"/>
      <c r="P95" s="767"/>
      <c r="Q95" s="767"/>
      <c r="R95" s="767"/>
      <c r="S95" s="767"/>
      <c r="T95" s="767"/>
      <c r="U95" s="767"/>
      <c r="V95" s="767"/>
      <c r="W95" s="767"/>
    </row>
    <row r="96" spans="3:23" x14ac:dyDescent="0.25">
      <c r="C96" s="164"/>
      <c r="D96" s="164"/>
      <c r="E96" s="55"/>
      <c r="F96" s="354"/>
      <c r="G96" s="164"/>
      <c r="H96" s="164"/>
      <c r="I96" s="164"/>
      <c r="J96" s="164"/>
      <c r="K96" s="164"/>
      <c r="L96" s="164"/>
      <c r="M96" s="767"/>
      <c r="N96" s="767"/>
      <c r="O96" s="767"/>
      <c r="P96" s="767"/>
      <c r="Q96" s="767"/>
      <c r="R96" s="767"/>
      <c r="S96" s="767"/>
      <c r="T96" s="767"/>
      <c r="U96" s="767"/>
      <c r="V96" s="767"/>
      <c r="W96" s="767"/>
    </row>
    <row r="97" spans="1:23" x14ac:dyDescent="0.25">
      <c r="B97" s="28"/>
      <c r="C97" s="29"/>
      <c r="D97" s="29"/>
      <c r="E97" s="33" t="str">
        <f>$E$12</f>
        <v>Historical:</v>
      </c>
      <c r="F97" s="34"/>
      <c r="G97" s="33" t="str">
        <f>$G$12</f>
        <v>Projected:</v>
      </c>
      <c r="H97" s="33"/>
      <c r="I97" s="33"/>
      <c r="J97" s="33"/>
      <c r="K97" s="33"/>
      <c r="L97" s="164"/>
      <c r="M97" s="767"/>
      <c r="N97" s="767"/>
      <c r="O97" s="767"/>
      <c r="P97" s="767"/>
      <c r="Q97" s="767"/>
      <c r="R97" s="767"/>
      <c r="S97" s="767"/>
      <c r="T97" s="767"/>
      <c r="U97" s="767"/>
      <c r="V97" s="767"/>
      <c r="W97" s="767"/>
    </row>
    <row r="98" spans="1:23" x14ac:dyDescent="0.25">
      <c r="A98" s="164"/>
      <c r="B98" s="30" t="s">
        <v>404</v>
      </c>
      <c r="C98" s="31"/>
      <c r="D98" s="36" t="str">
        <f>SPWR!$D$5</f>
        <v>Units:</v>
      </c>
      <c r="E98" s="32">
        <f>$E$13</f>
        <v>43465</v>
      </c>
      <c r="F98" s="35">
        <f>$F$13</f>
        <v>43830</v>
      </c>
      <c r="G98" s="32">
        <f>$G$13</f>
        <v>44196</v>
      </c>
      <c r="H98" s="32">
        <f>$H$13</f>
        <v>44561</v>
      </c>
      <c r="I98" s="32">
        <f>$I$13</f>
        <v>44926</v>
      </c>
      <c r="J98" s="32">
        <f>$J$13</f>
        <v>45291</v>
      </c>
      <c r="K98" s="32">
        <f>$K$13</f>
        <v>45657</v>
      </c>
      <c r="L98" s="56"/>
      <c r="M98" s="767"/>
      <c r="N98" s="767"/>
      <c r="O98" s="767"/>
      <c r="P98" s="767"/>
      <c r="Q98" s="767"/>
      <c r="R98" s="767"/>
      <c r="S98" s="767"/>
      <c r="T98" s="767"/>
      <c r="U98" s="767"/>
      <c r="V98" s="767"/>
      <c r="W98" s="767"/>
    </row>
    <row r="99" spans="1:23" outlineLevel="1" x14ac:dyDescent="0.25">
      <c r="A99" s="164"/>
      <c r="B99" s="164"/>
      <c r="C99" s="6" t="s">
        <v>3</v>
      </c>
      <c r="E99" s="57"/>
      <c r="F99" s="171"/>
      <c r="G99" s="359"/>
      <c r="H99" s="359"/>
      <c r="I99" s="359"/>
      <c r="J99" s="359"/>
      <c r="K99" s="359"/>
      <c r="L99" s="164"/>
      <c r="M99" s="767"/>
      <c r="N99" s="767"/>
      <c r="O99" s="767"/>
      <c r="P99" s="767"/>
      <c r="Q99" s="767"/>
      <c r="R99" s="767"/>
      <c r="S99" s="767"/>
      <c r="T99" s="767"/>
      <c r="U99" s="767"/>
      <c r="V99" s="767"/>
      <c r="W99" s="767"/>
    </row>
    <row r="100" spans="1:23" outlineLevel="1" x14ac:dyDescent="0.25">
      <c r="A100" s="164"/>
      <c r="B100" s="164"/>
      <c r="C100" s="352" t="s">
        <v>229</v>
      </c>
      <c r="D100" s="37" t="s">
        <v>46</v>
      </c>
      <c r="E100" s="76">
        <v>757.21978999999999</v>
      </c>
      <c r="F100" s="76">
        <v>814.84468000000004</v>
      </c>
      <c r="G100" s="150">
        <f>+G15*G18</f>
        <v>550.02015900000004</v>
      </c>
      <c r="H100" s="150">
        <f t="shared" ref="H100:K100" si="57">+H15*H18</f>
        <v>702.10073296349992</v>
      </c>
      <c r="I100" s="150">
        <f t="shared" si="57"/>
        <v>887.10427609938222</v>
      </c>
      <c r="J100" s="150">
        <f t="shared" si="57"/>
        <v>1095.5737809827369</v>
      </c>
      <c r="K100" s="150">
        <f t="shared" si="57"/>
        <v>1321.8097667556722</v>
      </c>
      <c r="L100" s="164"/>
      <c r="M100" s="767"/>
      <c r="N100" s="767"/>
      <c r="O100" s="767"/>
      <c r="P100" s="767"/>
      <c r="Q100" s="767"/>
      <c r="R100" s="767"/>
      <c r="S100" s="767"/>
      <c r="T100" s="767"/>
      <c r="U100" s="767"/>
      <c r="V100" s="767"/>
      <c r="W100" s="767"/>
    </row>
    <row r="101" spans="1:23" outlineLevel="1" x14ac:dyDescent="0.25">
      <c r="A101" s="164"/>
      <c r="B101" s="164"/>
      <c r="C101" s="355" t="s">
        <v>230</v>
      </c>
      <c r="D101" s="37" t="s">
        <v>46</v>
      </c>
      <c r="E101" s="18">
        <v>155.09321</v>
      </c>
      <c r="F101" s="18">
        <v>383.45631999999989</v>
      </c>
      <c r="G101" s="84">
        <f>+G21*G24</f>
        <v>289.27944780799999</v>
      </c>
      <c r="H101" s="84">
        <f t="shared" ref="H101:K101" si="58">+H21*H24</f>
        <v>358.93793884016634</v>
      </c>
      <c r="I101" s="84">
        <f t="shared" si="58"/>
        <v>421.75207813719538</v>
      </c>
      <c r="J101" s="84">
        <f t="shared" si="58"/>
        <v>490.81398093216114</v>
      </c>
      <c r="K101" s="84">
        <f t="shared" si="58"/>
        <v>559.52793826266361</v>
      </c>
      <c r="L101" s="164"/>
      <c r="M101" s="767"/>
      <c r="N101" s="767"/>
      <c r="O101" s="767"/>
      <c r="P101" s="767"/>
      <c r="Q101" s="767"/>
      <c r="R101" s="767"/>
      <c r="S101" s="767"/>
      <c r="T101" s="767"/>
      <c r="U101" s="767"/>
      <c r="V101" s="767"/>
      <c r="W101" s="767"/>
    </row>
    <row r="102" spans="1:23" outlineLevel="1" x14ac:dyDescent="0.25">
      <c r="A102" s="164"/>
      <c r="B102" s="164"/>
      <c r="C102" s="24" t="s">
        <v>35</v>
      </c>
      <c r="D102" s="43" t="s">
        <v>46</v>
      </c>
      <c r="E102" s="12">
        <f>SUM(E100:E101)</f>
        <v>912.31299999999999</v>
      </c>
      <c r="F102" s="12">
        <f>SUM(F100:F101)</f>
        <v>1198.3009999999999</v>
      </c>
      <c r="G102" s="12">
        <f>SUM(G100:G101)</f>
        <v>839.29960680800002</v>
      </c>
      <c r="H102" s="12">
        <f t="shared" ref="H102:K102" si="59">SUM(H100:H101)</f>
        <v>1061.0386718036661</v>
      </c>
      <c r="I102" s="12">
        <f t="shared" si="59"/>
        <v>1308.8563542365775</v>
      </c>
      <c r="J102" s="12">
        <f t="shared" si="59"/>
        <v>1586.387761914898</v>
      </c>
      <c r="K102" s="12">
        <f t="shared" si="59"/>
        <v>1881.3377050183358</v>
      </c>
      <c r="L102" s="164"/>
      <c r="M102" s="767"/>
      <c r="N102" s="771"/>
      <c r="O102" s="769"/>
      <c r="P102" s="769"/>
      <c r="Q102" s="769"/>
      <c r="R102" s="767"/>
      <c r="S102" s="767"/>
      <c r="T102" s="767"/>
      <c r="U102" s="767"/>
      <c r="V102" s="767"/>
      <c r="W102" s="767"/>
    </row>
    <row r="103" spans="1:23" outlineLevel="1" x14ac:dyDescent="0.25">
      <c r="A103" s="164"/>
      <c r="B103" s="164"/>
      <c r="C103" s="169" t="s">
        <v>98</v>
      </c>
      <c r="D103" s="37" t="s">
        <v>46</v>
      </c>
      <c r="E103" s="18">
        <v>-1007.474</v>
      </c>
      <c r="F103" s="18">
        <v>-1200.6099999999999</v>
      </c>
      <c r="G103" s="15">
        <f>-G102*G27</f>
        <v>-801.53112450163997</v>
      </c>
      <c r="H103" s="15">
        <f>-H102*H27</f>
        <v>-929.46987650001154</v>
      </c>
      <c r="I103" s="15">
        <f>-I102*I27</f>
        <v>-1109.9101883926178</v>
      </c>
      <c r="J103" s="15">
        <f>-J102*J27</f>
        <v>-1332.5657200085143</v>
      </c>
      <c r="K103" s="15">
        <f>-K102*K27</f>
        <v>-1561.5102951652186</v>
      </c>
      <c r="L103" s="164"/>
      <c r="M103" s="767"/>
      <c r="N103" s="767"/>
      <c r="O103" s="767"/>
      <c r="P103" s="767"/>
      <c r="Q103" s="767"/>
      <c r="R103" s="767"/>
      <c r="S103" s="767"/>
      <c r="T103" s="767"/>
      <c r="U103" s="767"/>
      <c r="V103" s="767"/>
      <c r="W103" s="767"/>
    </row>
    <row r="104" spans="1:23" outlineLevel="1" x14ac:dyDescent="0.25">
      <c r="A104" s="164"/>
      <c r="B104" s="164"/>
      <c r="C104" s="352" t="s">
        <v>223</v>
      </c>
      <c r="D104" s="37" t="s">
        <v>46</v>
      </c>
      <c r="E104" s="18">
        <v>-354.76799999999997</v>
      </c>
      <c r="F104" s="18">
        <v>0</v>
      </c>
      <c r="G104" s="154">
        <v>0</v>
      </c>
      <c r="H104" s="15">
        <f>+G104</f>
        <v>0</v>
      </c>
      <c r="I104" s="15">
        <f t="shared" ref="I104:K104" si="60">+H104</f>
        <v>0</v>
      </c>
      <c r="J104" s="15">
        <f t="shared" si="60"/>
        <v>0</v>
      </c>
      <c r="K104" s="15">
        <f t="shared" si="60"/>
        <v>0</v>
      </c>
      <c r="L104" s="164"/>
      <c r="M104" s="767"/>
      <c r="N104" s="767"/>
      <c r="O104" s="767"/>
      <c r="P104" s="767"/>
      <c r="Q104" s="767"/>
      <c r="R104" s="767"/>
      <c r="S104" s="767"/>
      <c r="T104" s="767"/>
      <c r="U104" s="767"/>
      <c r="V104" s="767"/>
      <c r="W104" s="767"/>
    </row>
    <row r="105" spans="1:23" outlineLevel="1" x14ac:dyDescent="0.25">
      <c r="A105" s="164"/>
      <c r="B105" s="164"/>
      <c r="C105" s="24" t="s">
        <v>99</v>
      </c>
      <c r="D105" s="43" t="s">
        <v>46</v>
      </c>
      <c r="E105" s="12">
        <f>SUM(E102:E104)</f>
        <v>-449.92900000000003</v>
      </c>
      <c r="F105" s="12">
        <f>SUM(F102:F104)</f>
        <v>-2.3089999999999691</v>
      </c>
      <c r="G105" s="12">
        <f t="shared" ref="G105:K105" si="61">SUM(G102:G104)</f>
        <v>37.768482306360056</v>
      </c>
      <c r="H105" s="12">
        <f t="shared" si="61"/>
        <v>131.56879530365461</v>
      </c>
      <c r="I105" s="12">
        <f t="shared" si="61"/>
        <v>198.94616584395976</v>
      </c>
      <c r="J105" s="12">
        <f t="shared" si="61"/>
        <v>253.82204190638367</v>
      </c>
      <c r="K105" s="12">
        <f t="shared" si="61"/>
        <v>319.82740985311716</v>
      </c>
      <c r="L105" s="164"/>
      <c r="M105" s="767"/>
      <c r="N105" s="767"/>
      <c r="O105" s="767"/>
      <c r="P105" s="767"/>
      <c r="Q105" s="767"/>
      <c r="R105" s="767"/>
      <c r="S105" s="767"/>
      <c r="T105" s="767"/>
      <c r="U105" s="767"/>
      <c r="V105" s="767"/>
      <c r="W105" s="767"/>
    </row>
    <row r="106" spans="1:23" outlineLevel="1" x14ac:dyDescent="0.25">
      <c r="A106" s="164"/>
      <c r="B106" s="164"/>
      <c r="C106" s="6"/>
      <c r="D106" s="37"/>
      <c r="E106" s="10"/>
      <c r="F106" s="10"/>
      <c r="J106" s="8"/>
      <c r="K106" s="8"/>
      <c r="L106" s="164"/>
      <c r="M106" s="767"/>
      <c r="N106" s="767"/>
      <c r="O106" s="767"/>
      <c r="P106" s="767"/>
      <c r="Q106" s="767"/>
      <c r="R106" s="767"/>
      <c r="S106" s="767"/>
      <c r="T106" s="767"/>
      <c r="U106" s="767"/>
      <c r="V106" s="767"/>
      <c r="W106" s="767"/>
    </row>
    <row r="107" spans="1:23" outlineLevel="1" x14ac:dyDescent="0.25">
      <c r="A107" s="164"/>
      <c r="B107" s="164"/>
      <c r="C107" s="6" t="s">
        <v>101</v>
      </c>
      <c r="D107" s="37"/>
      <c r="E107" s="18"/>
      <c r="F107" s="18"/>
      <c r="G107" s="8"/>
      <c r="H107" s="8"/>
      <c r="I107" s="8"/>
      <c r="J107" s="8"/>
      <c r="K107" s="8"/>
      <c r="L107" s="164"/>
      <c r="M107" s="767"/>
      <c r="N107" s="767"/>
      <c r="O107" s="767"/>
      <c r="P107" s="767"/>
      <c r="Q107" s="767"/>
      <c r="R107" s="767"/>
      <c r="S107" s="767"/>
      <c r="T107" s="767"/>
      <c r="U107" s="767"/>
      <c r="V107" s="767"/>
      <c r="W107" s="767"/>
    </row>
    <row r="108" spans="1:23" outlineLevel="1" x14ac:dyDescent="0.25">
      <c r="A108" s="164"/>
      <c r="B108" s="164"/>
      <c r="C108" s="352" t="s">
        <v>224</v>
      </c>
      <c r="D108" s="37" t="s">
        <v>46</v>
      </c>
      <c r="E108" s="18">
        <v>-50.030999999999999</v>
      </c>
      <c r="F108" s="18">
        <v>-36.997</v>
      </c>
      <c r="G108" s="15">
        <f t="shared" ref="G108:K109" si="62">-G29*G$102</f>
        <v>-62.947470510599999</v>
      </c>
      <c r="H108" s="15">
        <f t="shared" si="62"/>
        <v>-79.577900385274958</v>
      </c>
      <c r="I108" s="15">
        <f t="shared" si="62"/>
        <v>-91.619944796560432</v>
      </c>
      <c r="J108" s="15">
        <f t="shared" si="62"/>
        <v>-103.11520452446837</v>
      </c>
      <c r="K108" s="15">
        <f t="shared" si="62"/>
        <v>-103.47357377600846</v>
      </c>
      <c r="L108" s="164"/>
      <c r="M108" s="767"/>
      <c r="N108" s="771"/>
      <c r="O108" s="767"/>
      <c r="P108" s="767"/>
      <c r="Q108" s="767"/>
      <c r="R108" s="767"/>
      <c r="S108" s="767"/>
      <c r="T108" s="767"/>
      <c r="U108" s="767"/>
      <c r="V108" s="767"/>
      <c r="W108" s="767"/>
    </row>
    <row r="109" spans="1:23" outlineLevel="1" x14ac:dyDescent="0.25">
      <c r="A109" s="164"/>
      <c r="B109" s="164"/>
      <c r="C109" s="169" t="s">
        <v>100</v>
      </c>
      <c r="D109" s="37" t="s">
        <v>46</v>
      </c>
      <c r="E109" s="18">
        <v>-82.040999999999997</v>
      </c>
      <c r="F109" s="18">
        <v>-96.856999999999999</v>
      </c>
      <c r="G109" s="15">
        <f t="shared" si="62"/>
        <v>-109.10894888504001</v>
      </c>
      <c r="H109" s="15">
        <f t="shared" si="62"/>
        <v>-132.62983397545827</v>
      </c>
      <c r="I109" s="15">
        <f t="shared" si="62"/>
        <v>-146.59191167449669</v>
      </c>
      <c r="J109" s="15">
        <f t="shared" si="62"/>
        <v>-174.50265381063878</v>
      </c>
      <c r="K109" s="15">
        <f t="shared" si="62"/>
        <v>-178.72708197674191</v>
      </c>
      <c r="L109" s="164"/>
      <c r="M109" s="767"/>
      <c r="N109" s="771"/>
      <c r="O109" s="767"/>
      <c r="P109" s="767"/>
      <c r="Q109" s="767"/>
      <c r="R109" s="767"/>
      <c r="S109" s="767"/>
      <c r="T109" s="767"/>
      <c r="U109" s="767"/>
      <c r="V109" s="767"/>
      <c r="W109" s="767"/>
    </row>
    <row r="110" spans="1:23" outlineLevel="1" x14ac:dyDescent="0.25">
      <c r="A110" s="164"/>
      <c r="B110" s="164"/>
      <c r="C110" s="352" t="s">
        <v>225</v>
      </c>
      <c r="D110" s="38" t="s">
        <v>46</v>
      </c>
      <c r="E110" s="18">
        <v>-7.766</v>
      </c>
      <c r="F110" s="18">
        <v>0.51700000000000002</v>
      </c>
      <c r="G110" s="154">
        <v>0</v>
      </c>
      <c r="H110" s="15">
        <f>+G110</f>
        <v>0</v>
      </c>
      <c r="I110" s="15">
        <f t="shared" ref="I110:K110" si="63">+H110</f>
        <v>0</v>
      </c>
      <c r="J110" s="15">
        <f t="shared" si="63"/>
        <v>0</v>
      </c>
      <c r="K110" s="15">
        <f t="shared" si="63"/>
        <v>0</v>
      </c>
      <c r="L110" s="164"/>
      <c r="M110" s="767"/>
      <c r="N110" s="767"/>
      <c r="O110" s="767"/>
      <c r="P110" s="767"/>
      <c r="Q110" s="767"/>
      <c r="R110" s="767"/>
      <c r="S110" s="767"/>
      <c r="T110" s="767"/>
      <c r="U110" s="767"/>
      <c r="V110" s="767"/>
      <c r="W110" s="767"/>
    </row>
    <row r="111" spans="1:23" outlineLevel="1" x14ac:dyDescent="0.25">
      <c r="A111" s="164"/>
      <c r="B111" s="164"/>
      <c r="C111" s="19" t="s">
        <v>102</v>
      </c>
      <c r="D111" s="37" t="s">
        <v>46</v>
      </c>
      <c r="E111" s="25">
        <f>SUM(E108:E110)</f>
        <v>-139.83799999999999</v>
      </c>
      <c r="F111" s="25">
        <f>SUM(F108:F110)</f>
        <v>-133.33699999999999</v>
      </c>
      <c r="G111" s="25">
        <f t="shared" ref="G111:K111" si="64">SUM(G108:G110)</f>
        <v>-172.05641939564001</v>
      </c>
      <c r="H111" s="25">
        <f t="shared" si="64"/>
        <v>-212.20773436073324</v>
      </c>
      <c r="I111" s="25">
        <f t="shared" si="64"/>
        <v>-238.2118564710571</v>
      </c>
      <c r="J111" s="25">
        <f t="shared" si="64"/>
        <v>-277.61785833510714</v>
      </c>
      <c r="K111" s="25">
        <f t="shared" si="64"/>
        <v>-282.20065575275038</v>
      </c>
      <c r="L111" s="164"/>
      <c r="M111" s="767"/>
      <c r="N111" s="767"/>
      <c r="O111" s="767"/>
      <c r="P111" s="767"/>
      <c r="Q111" s="767"/>
      <c r="R111" s="767"/>
      <c r="S111" s="767"/>
      <c r="T111" s="767"/>
      <c r="U111" s="767"/>
      <c r="V111" s="767"/>
      <c r="W111" s="767"/>
    </row>
    <row r="112" spans="1:23" outlineLevel="1" x14ac:dyDescent="0.25">
      <c r="A112" s="164"/>
      <c r="B112" s="164"/>
      <c r="C112" s="6"/>
      <c r="D112" s="37"/>
      <c r="E112" s="17"/>
      <c r="F112" s="17"/>
      <c r="G112" s="79"/>
      <c r="H112" s="79"/>
      <c r="I112" s="79"/>
      <c r="J112" s="79"/>
      <c r="K112" s="79"/>
      <c r="L112" s="164"/>
      <c r="M112" s="767"/>
      <c r="N112" s="767"/>
      <c r="O112" s="767"/>
      <c r="P112" s="767"/>
      <c r="Q112" s="767"/>
      <c r="R112" s="767"/>
      <c r="S112" s="767"/>
      <c r="T112" s="767"/>
      <c r="U112" s="767"/>
      <c r="V112" s="767"/>
      <c r="W112" s="767"/>
    </row>
    <row r="113" spans="1:23" outlineLevel="1" x14ac:dyDescent="0.25">
      <c r="A113" s="164"/>
      <c r="B113" s="164"/>
      <c r="C113" s="6" t="s">
        <v>0</v>
      </c>
      <c r="D113" s="37" t="s">
        <v>46</v>
      </c>
      <c r="E113" s="13">
        <f>+E105+E111</f>
        <v>-589.76700000000005</v>
      </c>
      <c r="F113" s="13">
        <f>+F105+F111</f>
        <v>-135.64599999999996</v>
      </c>
      <c r="G113" s="13">
        <f t="shared" ref="G113:K113" si="65">+G105+G111</f>
        <v>-134.28793708927995</v>
      </c>
      <c r="H113" s="13">
        <f t="shared" si="65"/>
        <v>-80.63893905707863</v>
      </c>
      <c r="I113" s="13">
        <f t="shared" si="65"/>
        <v>-39.265690627097342</v>
      </c>
      <c r="J113" s="13">
        <f t="shared" si="65"/>
        <v>-23.795816428723469</v>
      </c>
      <c r="K113" s="13">
        <f t="shared" si="65"/>
        <v>37.626754100366782</v>
      </c>
      <c r="L113" s="164"/>
      <c r="M113" s="767"/>
      <c r="N113" s="767"/>
      <c r="O113" s="767"/>
      <c r="P113" s="767"/>
      <c r="Q113" s="767"/>
      <c r="R113" s="767"/>
      <c r="S113" s="767"/>
      <c r="T113" s="767"/>
      <c r="U113" s="767"/>
      <c r="V113" s="767"/>
      <c r="W113" s="767"/>
    </row>
    <row r="114" spans="1:23" outlineLevel="1" x14ac:dyDescent="0.25">
      <c r="A114" s="164"/>
      <c r="B114" s="164"/>
      <c r="C114" s="168" t="s">
        <v>51</v>
      </c>
      <c r="D114" s="37" t="s">
        <v>46</v>
      </c>
      <c r="E114" s="17">
        <v>-8.8889999999999993</v>
      </c>
      <c r="F114" s="17">
        <v>-6.3310000000000004</v>
      </c>
      <c r="G114" s="15">
        <f>-G69*F152</f>
        <v>-7.1150500000000001</v>
      </c>
      <c r="H114" s="15">
        <f>-H69*G152</f>
        <v>-8.4157536360698941</v>
      </c>
      <c r="I114" s="15">
        <f>-I69*H152</f>
        <v>-6.4007180029471318</v>
      </c>
      <c r="J114" s="15">
        <f>-J69*I152</f>
        <v>-8.162064778904929</v>
      </c>
      <c r="K114" s="15">
        <f>-K69*J152</f>
        <v>-5.0176056317105013</v>
      </c>
      <c r="L114" s="164"/>
      <c r="M114" s="767"/>
      <c r="N114" s="767"/>
      <c r="O114" s="771"/>
      <c r="P114" s="771"/>
      <c r="Q114" s="771"/>
      <c r="R114" s="767"/>
      <c r="S114" s="767"/>
      <c r="T114" s="767"/>
      <c r="U114" s="767"/>
      <c r="V114" s="767"/>
      <c r="W114" s="767"/>
    </row>
    <row r="115" spans="1:23" outlineLevel="1" x14ac:dyDescent="0.25">
      <c r="A115" s="164"/>
      <c r="B115" s="164"/>
      <c r="C115" s="369" t="s">
        <v>296</v>
      </c>
      <c r="D115" s="37" t="s">
        <v>46</v>
      </c>
      <c r="E115" s="17">
        <v>-17</v>
      </c>
      <c r="F115" s="17">
        <v>-19.5</v>
      </c>
      <c r="G115" s="15">
        <f>-G67</f>
        <v>-19.5</v>
      </c>
      <c r="H115" s="15">
        <f>-H67</f>
        <v>-18</v>
      </c>
      <c r="I115" s="15">
        <f>-I67</f>
        <v>-17</v>
      </c>
      <c r="J115" s="15">
        <f>-J67</f>
        <v>0</v>
      </c>
      <c r="K115" s="15">
        <f>-K67</f>
        <v>0</v>
      </c>
      <c r="L115" s="164"/>
      <c r="M115" s="767"/>
      <c r="N115" s="767"/>
      <c r="O115" s="771"/>
      <c r="P115" s="771"/>
      <c r="Q115" s="771"/>
      <c r="R115" s="767"/>
      <c r="S115" s="767"/>
      <c r="T115" s="767"/>
      <c r="U115" s="767"/>
      <c r="V115" s="767"/>
      <c r="W115" s="767"/>
    </row>
    <row r="116" spans="1:23" outlineLevel="1" x14ac:dyDescent="0.25">
      <c r="A116" s="164"/>
      <c r="B116" s="164"/>
      <c r="C116" s="168" t="s">
        <v>50</v>
      </c>
      <c r="D116" s="37" t="s">
        <v>46</v>
      </c>
      <c r="E116" s="17">
        <v>0</v>
      </c>
      <c r="F116" s="17">
        <v>0</v>
      </c>
      <c r="G116" s="15">
        <f>+G76*F129</f>
        <v>0</v>
      </c>
      <c r="H116" s="15">
        <f t="shared" ref="H116:K116" si="66">+H76*G129</f>
        <v>0</v>
      </c>
      <c r="I116" s="15">
        <f t="shared" si="66"/>
        <v>0</v>
      </c>
      <c r="J116" s="15">
        <f t="shared" si="66"/>
        <v>0</v>
      </c>
      <c r="K116" s="15">
        <f t="shared" si="66"/>
        <v>0</v>
      </c>
      <c r="L116" s="164"/>
      <c r="M116" s="767"/>
      <c r="N116" s="767"/>
      <c r="O116" s="771"/>
      <c r="P116" s="771"/>
      <c r="Q116" s="771"/>
      <c r="R116" s="767"/>
      <c r="S116" s="767"/>
      <c r="T116" s="767"/>
      <c r="U116" s="767"/>
      <c r="V116" s="767"/>
      <c r="W116" s="767"/>
    </row>
    <row r="117" spans="1:23" outlineLevel="1" x14ac:dyDescent="0.25">
      <c r="A117" s="164"/>
      <c r="B117" s="164"/>
      <c r="C117" s="168" t="s">
        <v>141</v>
      </c>
      <c r="D117" s="38" t="s">
        <v>46</v>
      </c>
      <c r="E117" s="17">
        <v>13.468999999999999</v>
      </c>
      <c r="F117" s="17">
        <v>-1.9610000000000001</v>
      </c>
      <c r="G117" s="15">
        <f>+G32</f>
        <v>5.7539999999999996</v>
      </c>
      <c r="H117" s="15">
        <f>+H32</f>
        <v>5.7539999999999996</v>
      </c>
      <c r="I117" s="15">
        <f>+I32</f>
        <v>5.7539999999999996</v>
      </c>
      <c r="J117" s="15">
        <f>+J32</f>
        <v>5.7539999999999996</v>
      </c>
      <c r="K117" s="15">
        <f>+K32</f>
        <v>5.7539999999999996</v>
      </c>
      <c r="L117" s="164"/>
      <c r="M117" s="767"/>
      <c r="N117" s="767"/>
      <c r="O117" s="771"/>
      <c r="P117" s="771"/>
      <c r="Q117" s="771"/>
      <c r="R117" s="767"/>
      <c r="S117" s="767"/>
      <c r="T117" s="767"/>
      <c r="U117" s="767"/>
      <c r="V117" s="767"/>
      <c r="W117" s="767"/>
    </row>
    <row r="118" spans="1:23" outlineLevel="1" x14ac:dyDescent="0.25">
      <c r="A118" s="164"/>
      <c r="B118" s="164"/>
      <c r="C118" s="19" t="s">
        <v>1</v>
      </c>
      <c r="D118" s="37" t="s">
        <v>46</v>
      </c>
      <c r="E118" s="12">
        <f>SUM(E113:E117)</f>
        <v>-602.18700000000001</v>
      </c>
      <c r="F118" s="12">
        <f>SUM(F113:F117)</f>
        <v>-163.43799999999996</v>
      </c>
      <c r="G118" s="12">
        <f t="shared" ref="G118:K118" si="67">SUM(G113:G117)</f>
        <v>-155.14898708927996</v>
      </c>
      <c r="H118" s="12">
        <f t="shared" si="67"/>
        <v>-101.30069269314852</v>
      </c>
      <c r="I118" s="12">
        <f t="shared" si="67"/>
        <v>-56.912408630044474</v>
      </c>
      <c r="J118" s="12">
        <f t="shared" si="67"/>
        <v>-26.203881207628399</v>
      </c>
      <c r="K118" s="12">
        <f t="shared" si="67"/>
        <v>38.363148468656277</v>
      </c>
      <c r="L118" s="164"/>
      <c r="M118" s="767"/>
      <c r="N118" s="767"/>
      <c r="O118" s="767"/>
      <c r="P118" s="767"/>
      <c r="Q118" s="767"/>
      <c r="R118" s="767"/>
      <c r="S118" s="767"/>
      <c r="T118" s="767"/>
      <c r="U118" s="767"/>
      <c r="V118" s="767"/>
      <c r="W118" s="767"/>
    </row>
    <row r="119" spans="1:23" outlineLevel="1" x14ac:dyDescent="0.25">
      <c r="A119" s="164"/>
      <c r="B119" s="164"/>
      <c r="C119" s="352" t="s">
        <v>226</v>
      </c>
      <c r="D119" s="37" t="s">
        <v>46</v>
      </c>
      <c r="E119" s="18">
        <v>1.05</v>
      </c>
      <c r="F119" s="18">
        <v>-10.122</v>
      </c>
      <c r="G119" s="15">
        <f>-G118*G34</f>
        <v>34.132777159641591</v>
      </c>
      <c r="H119" s="15">
        <f>-H118*H34</f>
        <v>22.286152392492674</v>
      </c>
      <c r="I119" s="15">
        <f>-I118*I34</f>
        <v>12.520729898609785</v>
      </c>
      <c r="J119" s="15">
        <f>-J118*J34</f>
        <v>5.7648538656782478</v>
      </c>
      <c r="K119" s="15">
        <f>-K118*K34</f>
        <v>-8.4398926631043807</v>
      </c>
      <c r="L119" s="164"/>
      <c r="M119" s="767"/>
      <c r="N119" s="771"/>
      <c r="O119" s="771"/>
      <c r="P119" s="771"/>
      <c r="Q119" s="767"/>
      <c r="R119" s="767"/>
      <c r="S119" s="767"/>
      <c r="T119" s="767"/>
      <c r="U119" s="767"/>
      <c r="V119" s="767"/>
      <c r="W119" s="767"/>
    </row>
    <row r="120" spans="1:23" outlineLevel="1" x14ac:dyDescent="0.25">
      <c r="A120" s="164"/>
      <c r="B120" s="164"/>
      <c r="C120" s="19" t="s">
        <v>2</v>
      </c>
      <c r="D120" s="43" t="s">
        <v>46</v>
      </c>
      <c r="E120" s="25">
        <f t="shared" ref="E120:G120" si="68">SUM(E118:E119)</f>
        <v>-601.13700000000006</v>
      </c>
      <c r="F120" s="25">
        <f t="shared" si="68"/>
        <v>-173.55999999999995</v>
      </c>
      <c r="G120" s="25">
        <f t="shared" si="68"/>
        <v>-121.01620992963836</v>
      </c>
      <c r="H120" s="25">
        <f t="shared" ref="H120:K120" si="69">SUM(H118:H119)</f>
        <v>-79.014540300655852</v>
      </c>
      <c r="I120" s="25">
        <f t="shared" si="69"/>
        <v>-44.391678731434688</v>
      </c>
      <c r="J120" s="25">
        <f t="shared" si="69"/>
        <v>-20.439027341950151</v>
      </c>
      <c r="K120" s="25">
        <f t="shared" si="69"/>
        <v>29.923255805551896</v>
      </c>
      <c r="L120" s="164"/>
      <c r="M120" s="767"/>
      <c r="N120" s="767"/>
      <c r="O120" s="767"/>
      <c r="P120" s="767"/>
      <c r="Q120" s="767"/>
      <c r="R120" s="767"/>
      <c r="S120" s="767"/>
      <c r="T120" s="767"/>
      <c r="U120" s="767"/>
      <c r="V120" s="767"/>
      <c r="W120" s="767"/>
    </row>
    <row r="121" spans="1:23" outlineLevel="1" x14ac:dyDescent="0.25">
      <c r="A121" s="164"/>
      <c r="B121" s="164"/>
      <c r="C121" s="352" t="s">
        <v>227</v>
      </c>
      <c r="D121" s="37" t="s">
        <v>46</v>
      </c>
      <c r="E121" s="17">
        <v>-2.9430000000000001</v>
      </c>
      <c r="F121" s="17">
        <v>-5.3419999999999996</v>
      </c>
      <c r="G121" s="173">
        <f t="shared" ref="G121:K122" si="70">+G36</f>
        <v>1</v>
      </c>
      <c r="H121" s="173">
        <f t="shared" si="70"/>
        <v>2</v>
      </c>
      <c r="I121" s="173">
        <f t="shared" si="70"/>
        <v>2</v>
      </c>
      <c r="J121" s="173">
        <f t="shared" si="70"/>
        <v>3</v>
      </c>
      <c r="K121" s="173">
        <f t="shared" si="70"/>
        <v>4</v>
      </c>
      <c r="L121" s="164"/>
      <c r="M121" s="767"/>
      <c r="N121" s="767"/>
      <c r="O121" s="767"/>
      <c r="P121" s="767"/>
      <c r="Q121" s="767"/>
      <c r="R121" s="767"/>
      <c r="S121" s="767"/>
      <c r="T121" s="767"/>
      <c r="U121" s="767"/>
      <c r="V121" s="767"/>
      <c r="W121" s="767"/>
    </row>
    <row r="122" spans="1:23" outlineLevel="1" x14ac:dyDescent="0.25">
      <c r="A122" s="164"/>
      <c r="B122" s="164"/>
      <c r="C122" s="352" t="s">
        <v>241</v>
      </c>
      <c r="D122" s="37" t="s">
        <v>46</v>
      </c>
      <c r="E122" s="17">
        <v>0.26600000000000001</v>
      </c>
      <c r="F122" s="17">
        <v>-4.157</v>
      </c>
      <c r="G122" s="173">
        <f t="shared" si="70"/>
        <v>-1</v>
      </c>
      <c r="H122" s="173">
        <f t="shared" si="70"/>
        <v>-1</v>
      </c>
      <c r="I122" s="173">
        <f t="shared" si="70"/>
        <v>-2</v>
      </c>
      <c r="J122" s="173">
        <f t="shared" si="70"/>
        <v>-4</v>
      </c>
      <c r="K122" s="173">
        <f t="shared" si="70"/>
        <v>-8</v>
      </c>
      <c r="L122" s="164"/>
      <c r="M122" s="767"/>
      <c r="N122" s="767"/>
      <c r="O122" s="767"/>
      <c r="P122" s="767"/>
      <c r="Q122" s="767"/>
      <c r="R122" s="767"/>
      <c r="S122" s="767"/>
      <c r="T122" s="767"/>
      <c r="U122" s="767"/>
      <c r="V122" s="767"/>
      <c r="W122" s="767"/>
    </row>
    <row r="123" spans="1:23" outlineLevel="1" x14ac:dyDescent="0.25">
      <c r="A123" s="164"/>
      <c r="B123" s="164"/>
      <c r="C123" s="24" t="s">
        <v>228</v>
      </c>
      <c r="D123" s="43" t="s">
        <v>46</v>
      </c>
      <c r="E123" s="174">
        <f>SUM(E120:E122)</f>
        <v>-603.81400000000008</v>
      </c>
      <c r="F123" s="174">
        <f t="shared" ref="F123:K123" si="71">SUM(F120:F122)</f>
        <v>-183.05899999999997</v>
      </c>
      <c r="G123" s="174">
        <f t="shared" si="71"/>
        <v>-121.01620992963836</v>
      </c>
      <c r="H123" s="174">
        <f t="shared" si="71"/>
        <v>-78.014540300655852</v>
      </c>
      <c r="I123" s="174">
        <f t="shared" si="71"/>
        <v>-44.391678731434688</v>
      </c>
      <c r="J123" s="174">
        <f t="shared" si="71"/>
        <v>-21.439027341950151</v>
      </c>
      <c r="K123" s="174">
        <f t="shared" si="71"/>
        <v>25.923255805551896</v>
      </c>
      <c r="L123" s="164"/>
      <c r="M123" s="767"/>
      <c r="N123" s="767"/>
      <c r="O123" s="767"/>
      <c r="P123" s="767"/>
      <c r="Q123" s="767"/>
      <c r="R123" s="767"/>
      <c r="S123" s="767"/>
      <c r="T123" s="767"/>
      <c r="U123" s="767"/>
      <c r="V123" s="767"/>
      <c r="W123" s="767"/>
    </row>
    <row r="124" spans="1:23" x14ac:dyDescent="0.25">
      <c r="A124" s="164"/>
      <c r="B124" s="164"/>
      <c r="C124" s="6"/>
      <c r="D124" s="37"/>
      <c r="E124" s="10"/>
      <c r="F124" s="10"/>
      <c r="G124" s="10"/>
      <c r="H124" s="8"/>
      <c r="I124" s="8"/>
      <c r="J124" s="8"/>
      <c r="K124" s="8"/>
      <c r="L124" s="164"/>
    </row>
    <row r="125" spans="1:23" x14ac:dyDescent="0.25">
      <c r="B125" s="28"/>
      <c r="C125" s="29"/>
      <c r="D125" s="29"/>
      <c r="E125" s="33" t="str">
        <f>$E$12</f>
        <v>Historical:</v>
      </c>
      <c r="F125" s="34"/>
      <c r="G125" s="33" t="str">
        <f>$G$12</f>
        <v>Projected:</v>
      </c>
      <c r="H125" s="33"/>
      <c r="I125" s="33"/>
      <c r="J125" s="33"/>
      <c r="K125" s="33"/>
    </row>
    <row r="126" spans="1:23" x14ac:dyDescent="0.25">
      <c r="B126" s="30" t="s">
        <v>405</v>
      </c>
      <c r="C126" s="31"/>
      <c r="D126" s="36" t="str">
        <f>SPWR!$D$5</f>
        <v>Units:</v>
      </c>
      <c r="E126" s="32">
        <f>$E$13</f>
        <v>43465</v>
      </c>
      <c r="F126" s="35">
        <f>$F$13</f>
        <v>43830</v>
      </c>
      <c r="G126" s="32">
        <f>$G$13</f>
        <v>44196</v>
      </c>
      <c r="H126" s="32">
        <f>$H$13</f>
        <v>44561</v>
      </c>
      <c r="I126" s="32">
        <f>$I$13</f>
        <v>44926</v>
      </c>
      <c r="J126" s="32">
        <f>$J$13</f>
        <v>45291</v>
      </c>
      <c r="K126" s="32">
        <f>$K$13</f>
        <v>45657</v>
      </c>
    </row>
    <row r="127" spans="1:23" outlineLevel="1" x14ac:dyDescent="0.25">
      <c r="B127" s="59" t="s">
        <v>47</v>
      </c>
      <c r="C127" s="175"/>
      <c r="D127" s="175"/>
      <c r="E127" s="175"/>
      <c r="F127" s="175"/>
      <c r="G127" s="175"/>
      <c r="H127" s="175"/>
      <c r="I127" s="175"/>
      <c r="J127" s="175"/>
      <c r="K127" s="175"/>
    </row>
    <row r="128" spans="1:23" outlineLevel="1" x14ac:dyDescent="0.25">
      <c r="C128" s="6" t="s">
        <v>6</v>
      </c>
      <c r="F128" s="172"/>
    </row>
    <row r="129" spans="2:14" outlineLevel="1" x14ac:dyDescent="0.25">
      <c r="C129" s="169" t="s">
        <v>12</v>
      </c>
      <c r="D129" s="48" t="s">
        <v>46</v>
      </c>
      <c r="E129" s="80">
        <f>E208</f>
        <v>101.74899999999991</v>
      </c>
      <c r="F129" s="80">
        <f t="shared" ref="F129" si="72">F208</f>
        <v>123.80299999999995</v>
      </c>
      <c r="G129" s="80">
        <f>+G208</f>
        <v>116.60658743759889</v>
      </c>
      <c r="H129" s="80">
        <f t="shared" ref="H129:K129" si="73">+H208</f>
        <v>63.682175718388386</v>
      </c>
      <c r="I129" s="80">
        <f t="shared" si="73"/>
        <v>91.590810055162763</v>
      </c>
      <c r="J129" s="80">
        <f t="shared" si="73"/>
        <v>80.67261399440676</v>
      </c>
      <c r="K129" s="80">
        <f t="shared" si="73"/>
        <v>124.1918870473051</v>
      </c>
      <c r="N129" s="166"/>
    </row>
    <row r="130" spans="2:14" outlineLevel="1" x14ac:dyDescent="0.25">
      <c r="C130" s="169" t="s">
        <v>11</v>
      </c>
      <c r="D130" s="48" t="s">
        <v>46</v>
      </c>
      <c r="E130" s="44">
        <v>73.802000000000007</v>
      </c>
      <c r="F130" s="44">
        <v>150.36500000000001</v>
      </c>
      <c r="G130" s="73">
        <f>+G40*G$102</f>
        <v>86.606197637431436</v>
      </c>
      <c r="H130" s="73">
        <f>+H40*H$102</f>
        <v>109.48715353349093</v>
      </c>
      <c r="I130" s="73">
        <f>+I40*I$102</f>
        <v>135.05912688929968</v>
      </c>
      <c r="J130" s="73">
        <f>+J40*J$102</f>
        <v>163.6972195906605</v>
      </c>
      <c r="K130" s="73">
        <f>+K40*K$102</f>
        <v>194.13270753603862</v>
      </c>
      <c r="N130" s="166"/>
    </row>
    <row r="131" spans="2:14" outlineLevel="1" x14ac:dyDescent="0.25">
      <c r="C131" s="350" t="s">
        <v>219</v>
      </c>
      <c r="D131" s="48" t="s">
        <v>46</v>
      </c>
      <c r="E131" s="44">
        <v>222.81700000000001</v>
      </c>
      <c r="F131" s="44">
        <v>194.852</v>
      </c>
      <c r="G131" s="73">
        <f>-G41*G$103</f>
        <v>153.67683601107433</v>
      </c>
      <c r="H131" s="73">
        <f>-H41*H$103</f>
        <v>178.20641697094013</v>
      </c>
      <c r="I131" s="73">
        <f>-I41*I$103</f>
        <v>212.80207442310487</v>
      </c>
      <c r="J131" s="73">
        <f>-J41*J$103</f>
        <v>255.49161768989876</v>
      </c>
      <c r="K131" s="73">
        <f>-K41*K$103</f>
        <v>299.38695357452531</v>
      </c>
      <c r="N131" s="166"/>
    </row>
    <row r="132" spans="2:14" outlineLevel="1" x14ac:dyDescent="0.25">
      <c r="C132" s="350" t="s">
        <v>218</v>
      </c>
      <c r="D132" s="58" t="s">
        <v>46</v>
      </c>
      <c r="E132" s="44">
        <v>203.33</v>
      </c>
      <c r="F132" s="44">
        <v>159.75</v>
      </c>
      <c r="G132" s="73">
        <f>+G42*G$102</f>
        <v>149.47372941851353</v>
      </c>
      <c r="H132" s="73">
        <f>+H42*H$102</f>
        <v>188.96399574751766</v>
      </c>
      <c r="I132" s="73">
        <f>+I42*I$102</f>
        <v>233.09869199738017</v>
      </c>
      <c r="J132" s="73">
        <f>+J42*J$102</f>
        <v>282.5252069152387</v>
      </c>
      <c r="K132" s="73">
        <f>+K42*K$102</f>
        <v>335.05384821309497</v>
      </c>
      <c r="N132" s="166"/>
    </row>
    <row r="133" spans="2:14" outlineLevel="1" x14ac:dyDescent="0.25">
      <c r="C133" s="24" t="s">
        <v>5</v>
      </c>
      <c r="D133" s="48" t="s">
        <v>46</v>
      </c>
      <c r="E133" s="25">
        <f>SUM(E129:E132)</f>
        <v>601.69799999999998</v>
      </c>
      <c r="F133" s="25">
        <f t="shared" ref="F133:K133" si="74">SUM(F129:F132)</f>
        <v>628.77</v>
      </c>
      <c r="G133" s="25">
        <f t="shared" si="74"/>
        <v>506.36335050461815</v>
      </c>
      <c r="H133" s="25">
        <f t="shared" si="74"/>
        <v>540.33974197033706</v>
      </c>
      <c r="I133" s="25">
        <f t="shared" si="74"/>
        <v>672.55070336494748</v>
      </c>
      <c r="J133" s="25">
        <f t="shared" si="74"/>
        <v>782.3866581902048</v>
      </c>
      <c r="K133" s="25">
        <f t="shared" si="74"/>
        <v>952.76539637096391</v>
      </c>
    </row>
    <row r="134" spans="2:14" outlineLevel="1" x14ac:dyDescent="0.25">
      <c r="B134" s="164"/>
    </row>
    <row r="135" spans="2:14" outlineLevel="1" x14ac:dyDescent="0.25">
      <c r="C135" s="6" t="s">
        <v>4</v>
      </c>
    </row>
    <row r="136" spans="2:14" outlineLevel="1" x14ac:dyDescent="0.25">
      <c r="C136" s="169" t="s">
        <v>107</v>
      </c>
      <c r="D136" s="48" t="s">
        <v>46</v>
      </c>
      <c r="E136" s="44">
        <v>285.74</v>
      </c>
      <c r="F136" s="44">
        <v>281.2</v>
      </c>
      <c r="G136" s="73">
        <f>+F136-G173-G178-G191-G192</f>
        <v>308.22742241194396</v>
      </c>
      <c r="H136" s="73">
        <f>+G136-H173-H178-H191-H192</f>
        <v>401.24948608831295</v>
      </c>
      <c r="I136" s="73">
        <f>+H136-I173-I178-I191-I192</f>
        <v>471.23242098476641</v>
      </c>
      <c r="J136" s="73">
        <f>+I136-J173-J178-J191-J192</f>
        <v>506.00045174689416</v>
      </c>
      <c r="K136" s="73">
        <f>+J136-K173-K178-K191-K192</f>
        <v>534.08801732216921</v>
      </c>
      <c r="N136" s="166"/>
    </row>
    <row r="137" spans="2:14" outlineLevel="1" x14ac:dyDescent="0.25">
      <c r="C137" s="169" t="s">
        <v>105</v>
      </c>
      <c r="D137" s="48" t="s">
        <v>46</v>
      </c>
      <c r="E137" s="44">
        <v>0</v>
      </c>
      <c r="F137" s="44">
        <v>18.759</v>
      </c>
      <c r="G137" s="73">
        <f>-G109*G44</f>
        <v>21.131924095671614</v>
      </c>
      <c r="H137" s="73">
        <f>-H109*H44</f>
        <v>25.687385068148114</v>
      </c>
      <c r="I137" s="73">
        <f>-I109*I44</f>
        <v>28.391522255509496</v>
      </c>
      <c r="J137" s="73">
        <f>-J109*J44</f>
        <v>33.797198786187607</v>
      </c>
      <c r="K137" s="73">
        <f>-K109*K44</f>
        <v>34.61537452947853</v>
      </c>
      <c r="N137" s="166"/>
    </row>
    <row r="138" spans="2:14" outlineLevel="1" x14ac:dyDescent="0.25">
      <c r="C138" s="169" t="s">
        <v>8</v>
      </c>
      <c r="D138" s="48" t="s">
        <v>46</v>
      </c>
      <c r="E138" s="44">
        <v>12.16</v>
      </c>
      <c r="F138" s="44">
        <v>5.0919999999999996</v>
      </c>
      <c r="G138" s="73">
        <f>+F138-G174-G193</f>
        <v>6.7705992136160003</v>
      </c>
      <c r="H138" s="73">
        <f>+G138-H174-H193</f>
        <v>11.014753900830666</v>
      </c>
      <c r="I138" s="73">
        <f>+H138-I174-I193</f>
        <v>16.250179317776976</v>
      </c>
      <c r="J138" s="73">
        <f>+I138-J174-J193</f>
        <v>25.768505889266365</v>
      </c>
      <c r="K138" s="73">
        <f>+J138-K174-K193</f>
        <v>37.056532119376385</v>
      </c>
      <c r="N138" s="166"/>
    </row>
    <row r="139" spans="2:14" outlineLevel="1" x14ac:dyDescent="0.25">
      <c r="C139" s="368" t="s">
        <v>279</v>
      </c>
      <c r="D139" s="48" t="s">
        <v>46</v>
      </c>
      <c r="E139" s="44">
        <f>8.389+32.784</f>
        <v>41.173000000000002</v>
      </c>
      <c r="F139" s="44">
        <f>7.86+26.533</f>
        <v>34.393000000000001</v>
      </c>
      <c r="G139" s="73">
        <f>+F139-G171-G194</f>
        <v>35.393000000000001</v>
      </c>
      <c r="H139" s="73">
        <f>+G139-H171-H194</f>
        <v>37.393000000000001</v>
      </c>
      <c r="I139" s="73">
        <f>+H139-I171-I194</f>
        <v>39.393000000000001</v>
      </c>
      <c r="J139" s="73">
        <f>+I139-J171-J194</f>
        <v>42.393000000000001</v>
      </c>
      <c r="K139" s="73">
        <f>+J139-K171-K194</f>
        <v>46.393000000000001</v>
      </c>
      <c r="N139" s="166"/>
    </row>
    <row r="140" spans="2:14" outlineLevel="1" x14ac:dyDescent="0.25">
      <c r="C140" s="45" t="s">
        <v>58</v>
      </c>
      <c r="D140" s="58" t="s">
        <v>46</v>
      </c>
      <c r="E140" s="44">
        <v>24.613</v>
      </c>
      <c r="F140" s="44">
        <v>18.656999999999996</v>
      </c>
      <c r="G140" s="73">
        <f>+F140-G179-G177</f>
        <v>57.862777159641588</v>
      </c>
      <c r="H140" s="73">
        <f>+G140-H179-H177</f>
        <v>85.22192955213427</v>
      </c>
      <c r="I140" s="73">
        <f>+H140-I179-I177</f>
        <v>102.81565945074405</v>
      </c>
      <c r="J140" s="73">
        <f>+I140-J179-J177</f>
        <v>113.65351331642229</v>
      </c>
      <c r="K140" s="73">
        <f>+J140-K179-K177</f>
        <v>110.2866206533179</v>
      </c>
      <c r="N140" s="166"/>
    </row>
    <row r="141" spans="2:14" outlineLevel="1" x14ac:dyDescent="0.25">
      <c r="C141" s="6" t="s">
        <v>22</v>
      </c>
      <c r="D141" s="48" t="s">
        <v>46</v>
      </c>
      <c r="E141" s="25">
        <f t="shared" ref="E141:K141" si="75">SUM(E136:E140)</f>
        <v>363.68600000000004</v>
      </c>
      <c r="F141" s="25">
        <f t="shared" si="75"/>
        <v>358.10099999999994</v>
      </c>
      <c r="G141" s="25">
        <f t="shared" si="75"/>
        <v>429.38572288087312</v>
      </c>
      <c r="H141" s="25">
        <f t="shared" si="75"/>
        <v>560.56655460942602</v>
      </c>
      <c r="I141" s="25">
        <f t="shared" si="75"/>
        <v>658.08278200879693</v>
      </c>
      <c r="J141" s="25">
        <f t="shared" si="75"/>
        <v>721.61266973877048</v>
      </c>
      <c r="K141" s="25">
        <f t="shared" si="75"/>
        <v>762.43954462434203</v>
      </c>
    </row>
    <row r="142" spans="2:14" outlineLevel="1" x14ac:dyDescent="0.25">
      <c r="B142" s="46"/>
      <c r="E142" s="171"/>
    </row>
    <row r="143" spans="2:14" outlineLevel="1" x14ac:dyDescent="0.25">
      <c r="C143" s="47" t="s">
        <v>23</v>
      </c>
      <c r="D143" s="48" t="s">
        <v>46</v>
      </c>
      <c r="E143" s="49">
        <f t="shared" ref="E143:K143" si="76">+E133+E141</f>
        <v>965.38400000000001</v>
      </c>
      <c r="F143" s="49">
        <f t="shared" si="76"/>
        <v>986.87099999999987</v>
      </c>
      <c r="G143" s="49">
        <f t="shared" si="76"/>
        <v>935.74907338549133</v>
      </c>
      <c r="H143" s="49">
        <f t="shared" si="76"/>
        <v>1100.906296579763</v>
      </c>
      <c r="I143" s="49">
        <f t="shared" si="76"/>
        <v>1330.6334853737444</v>
      </c>
      <c r="J143" s="49">
        <f t="shared" si="76"/>
        <v>1503.9993279289752</v>
      </c>
      <c r="K143" s="49">
        <f t="shared" si="76"/>
        <v>1715.2049409953061</v>
      </c>
    </row>
    <row r="144" spans="2:14" outlineLevel="1" x14ac:dyDescent="0.25">
      <c r="C144" s="46"/>
    </row>
    <row r="145" spans="2:14" outlineLevel="1" x14ac:dyDescent="0.25">
      <c r="B145" s="59" t="s">
        <v>48</v>
      </c>
      <c r="C145" s="175"/>
      <c r="D145" s="175"/>
      <c r="E145" s="175"/>
      <c r="F145" s="175"/>
      <c r="G145" s="175"/>
      <c r="H145" s="175"/>
      <c r="I145" s="175"/>
      <c r="J145" s="175"/>
      <c r="K145" s="175"/>
    </row>
    <row r="146" spans="2:14" outlineLevel="1" x14ac:dyDescent="0.25">
      <c r="C146" s="6" t="s">
        <v>56</v>
      </c>
      <c r="E146" s="616"/>
    </row>
    <row r="147" spans="2:14" outlineLevel="1" x14ac:dyDescent="0.25">
      <c r="C147" s="753" t="s">
        <v>366</v>
      </c>
      <c r="D147" s="48" t="s">
        <v>46</v>
      </c>
      <c r="E147" s="51">
        <v>296.43599999999998</v>
      </c>
      <c r="F147" s="51">
        <v>379.03399999999999</v>
      </c>
      <c r="G147" s="80">
        <f>-G46*G103</f>
        <v>244.44216908818632</v>
      </c>
      <c r="H147" s="80">
        <f t="shared" ref="H147:K147" si="77">-H46*H103</f>
        <v>283.45952611017617</v>
      </c>
      <c r="I147" s="80">
        <f t="shared" si="77"/>
        <v>338.48823289608123</v>
      </c>
      <c r="J147" s="80">
        <f t="shared" si="77"/>
        <v>406.39127426769755</v>
      </c>
      <c r="K147" s="80">
        <f t="shared" si="77"/>
        <v>476.21227914392625</v>
      </c>
      <c r="N147" s="166"/>
    </row>
    <row r="148" spans="2:14" outlineLevel="1" x14ac:dyDescent="0.25">
      <c r="C148" s="350" t="s">
        <v>220</v>
      </c>
      <c r="D148" s="58" t="s">
        <v>46</v>
      </c>
      <c r="E148" s="44">
        <v>108.095</v>
      </c>
      <c r="F148" s="44">
        <v>114.55500000000001</v>
      </c>
      <c r="G148" s="73">
        <f>+G47*G102</f>
        <v>89.83963951232883</v>
      </c>
      <c r="H148" s="73">
        <f>+H47*H102</f>
        <v>113.57485576099873</v>
      </c>
      <c r="I148" s="73">
        <f>+I47*I102</f>
        <v>140.10155859030991</v>
      </c>
      <c r="J148" s="73">
        <f>+J47*J102</f>
        <v>169.80885431274586</v>
      </c>
      <c r="K148" s="73">
        <f>+K47*K102</f>
        <v>201.38065101996932</v>
      </c>
      <c r="N148" s="166"/>
    </row>
    <row r="149" spans="2:14" outlineLevel="1" x14ac:dyDescent="0.25">
      <c r="C149" s="24" t="s">
        <v>57</v>
      </c>
      <c r="D149" s="48" t="s">
        <v>46</v>
      </c>
      <c r="E149" s="25">
        <f t="shared" ref="E149:K149" si="78">SUM(E147:E148)</f>
        <v>404.53099999999995</v>
      </c>
      <c r="F149" s="25">
        <f t="shared" si="78"/>
        <v>493.589</v>
      </c>
      <c r="G149" s="25">
        <f t="shared" si="78"/>
        <v>334.28180860051515</v>
      </c>
      <c r="H149" s="25">
        <f t="shared" si="78"/>
        <v>397.0343818711749</v>
      </c>
      <c r="I149" s="25">
        <f t="shared" si="78"/>
        <v>478.58979148639116</v>
      </c>
      <c r="J149" s="25">
        <f t="shared" si="78"/>
        <v>576.20012858044345</v>
      </c>
      <c r="K149" s="25">
        <f t="shared" si="78"/>
        <v>677.59293016389552</v>
      </c>
    </row>
    <row r="150" spans="2:14" outlineLevel="1" x14ac:dyDescent="0.25">
      <c r="C150" s="164"/>
    </row>
    <row r="151" spans="2:14" outlineLevel="1" x14ac:dyDescent="0.25">
      <c r="C151" s="6" t="s">
        <v>54</v>
      </c>
    </row>
    <row r="152" spans="2:14" outlineLevel="1" x14ac:dyDescent="0.25">
      <c r="C152" s="169" t="s">
        <v>103</v>
      </c>
      <c r="D152" s="48" t="s">
        <v>46</v>
      </c>
      <c r="E152" s="44">
        <v>41.848999999999997</v>
      </c>
      <c r="F152" s="44">
        <v>61.87</v>
      </c>
      <c r="G152" s="73">
        <f>+F152+G197+G198+G176</f>
        <v>76.50685123699904</v>
      </c>
      <c r="H152" s="73">
        <f t="shared" ref="H152:K152" si="79">+G152+H197+H198+H176</f>
        <v>60.959219075686974</v>
      </c>
      <c r="I152" s="73">
        <f t="shared" si="79"/>
        <v>81.620647789049286</v>
      </c>
      <c r="J152" s="73">
        <f t="shared" si="79"/>
        <v>50.176056317105008</v>
      </c>
      <c r="K152" s="73">
        <f t="shared" si="79"/>
        <v>54.820721779479875</v>
      </c>
      <c r="N152" s="166"/>
    </row>
    <row r="153" spans="2:14" outlineLevel="1" x14ac:dyDescent="0.25">
      <c r="C153" s="169" t="s">
        <v>106</v>
      </c>
      <c r="D153" s="48" t="s">
        <v>46</v>
      </c>
      <c r="E153" s="44">
        <v>0</v>
      </c>
      <c r="F153" s="44">
        <v>20.702999999999999</v>
      </c>
      <c r="G153" s="73">
        <f>+F153+(G137-F137)</f>
        <v>23.075924095671613</v>
      </c>
      <c r="H153" s="73">
        <f>+G153+(H137-G137)</f>
        <v>27.631385068148113</v>
      </c>
      <c r="I153" s="73">
        <f>+H153+(I137-H137)</f>
        <v>30.335522255509495</v>
      </c>
      <c r="J153" s="73">
        <f>+I153+(J137-I137)</f>
        <v>35.74119878618761</v>
      </c>
      <c r="K153" s="73">
        <f>+J153+(K137-J137)</f>
        <v>36.559374529478532</v>
      </c>
      <c r="N153" s="166"/>
    </row>
    <row r="154" spans="2:14" outlineLevel="1" x14ac:dyDescent="0.25">
      <c r="C154" s="169" t="s">
        <v>68</v>
      </c>
      <c r="D154" s="58" t="s">
        <v>46</v>
      </c>
      <c r="E154" s="52">
        <v>89.575000000000003</v>
      </c>
      <c r="F154" s="52">
        <v>46.526000000000003</v>
      </c>
      <c r="G154" s="81">
        <f>+G102*G49</f>
        <v>57.496699381943976</v>
      </c>
      <c r="H154" s="81">
        <f>+H102*H49</f>
        <v>72.687060795047444</v>
      </c>
      <c r="I154" s="81">
        <f>+I102*I49</f>
        <v>89.663952804523532</v>
      </c>
      <c r="J154" s="81">
        <f>+J102*J49</f>
        <v>108.67640054891825</v>
      </c>
      <c r="K154" s="81">
        <f>+K102*K49</f>
        <v>128.88211502057931</v>
      </c>
      <c r="N154" s="166"/>
    </row>
    <row r="155" spans="2:14" outlineLevel="1" x14ac:dyDescent="0.25">
      <c r="C155" s="24" t="s">
        <v>55</v>
      </c>
      <c r="D155" s="48" t="s">
        <v>46</v>
      </c>
      <c r="E155" s="14">
        <f>SUM(E152:E154)</f>
        <v>131.42400000000001</v>
      </c>
      <c r="F155" s="14">
        <f t="shared" ref="F155:K155" si="80">SUM(F152:F154)</f>
        <v>129.09899999999999</v>
      </c>
      <c r="G155" s="14">
        <f t="shared" si="80"/>
        <v>157.07947471461463</v>
      </c>
      <c r="H155" s="14">
        <f t="shared" si="80"/>
        <v>161.27766493888254</v>
      </c>
      <c r="I155" s="14">
        <f t="shared" si="80"/>
        <v>201.62012284908229</v>
      </c>
      <c r="J155" s="14">
        <f t="shared" si="80"/>
        <v>194.59365565221088</v>
      </c>
      <c r="K155" s="14">
        <f t="shared" si="80"/>
        <v>220.26221132953771</v>
      </c>
    </row>
    <row r="156" spans="2:14" outlineLevel="1" x14ac:dyDescent="0.25">
      <c r="C156" s="164"/>
    </row>
    <row r="157" spans="2:14" outlineLevel="1" x14ac:dyDescent="0.25">
      <c r="C157" s="6" t="s">
        <v>7</v>
      </c>
      <c r="D157" s="48" t="s">
        <v>46</v>
      </c>
      <c r="E157" s="49">
        <f>+E149+E155</f>
        <v>535.95499999999993</v>
      </c>
      <c r="F157" s="49">
        <f t="shared" ref="F157:K157" si="81">+F149+F155</f>
        <v>622.68799999999999</v>
      </c>
      <c r="G157" s="49">
        <f t="shared" si="81"/>
        <v>491.36128331512975</v>
      </c>
      <c r="H157" s="49">
        <f t="shared" si="81"/>
        <v>558.31204681005738</v>
      </c>
      <c r="I157" s="49">
        <f t="shared" si="81"/>
        <v>680.20991433547351</v>
      </c>
      <c r="J157" s="49">
        <f t="shared" si="81"/>
        <v>770.79378423265439</v>
      </c>
      <c r="K157" s="49">
        <f t="shared" si="81"/>
        <v>897.85514149343317</v>
      </c>
    </row>
    <row r="158" spans="2:14" outlineLevel="1" x14ac:dyDescent="0.25">
      <c r="C158" s="164"/>
    </row>
    <row r="159" spans="2:14" outlineLevel="1" x14ac:dyDescent="0.25">
      <c r="C159" s="6" t="s">
        <v>104</v>
      </c>
      <c r="D159" s="48" t="s">
        <v>46</v>
      </c>
      <c r="E159" s="78">
        <v>428.2820000000001</v>
      </c>
      <c r="F159" s="78">
        <v>358.87900000000002</v>
      </c>
      <c r="G159" s="159">
        <f>+F159+G170+G175+G199+G200+G203</f>
        <v>438.08379007036166</v>
      </c>
      <c r="H159" s="159">
        <f t="shared" ref="H159:K159" si="82">+G159+H170+H175+H199+H200+H203</f>
        <v>535.29024976970584</v>
      </c>
      <c r="I159" s="159">
        <f t="shared" si="82"/>
        <v>641.11957103827115</v>
      </c>
      <c r="J159" s="159">
        <f t="shared" si="82"/>
        <v>719.90154369632103</v>
      </c>
      <c r="K159" s="159">
        <f t="shared" si="82"/>
        <v>796.04579950187292</v>
      </c>
      <c r="N159" s="166"/>
    </row>
    <row r="160" spans="2:14" outlineLevel="1" x14ac:dyDescent="0.25">
      <c r="C160" s="351" t="s">
        <v>221</v>
      </c>
      <c r="D160" s="58" t="s">
        <v>46</v>
      </c>
      <c r="E160" s="52">
        <v>1.147</v>
      </c>
      <c r="F160" s="52">
        <v>5.3040000000000003</v>
      </c>
      <c r="G160" s="171">
        <f>+F160+G172</f>
        <v>6.3040000000000003</v>
      </c>
      <c r="H160" s="171">
        <f t="shared" ref="H160:K160" si="83">+G160+H172</f>
        <v>7.3040000000000003</v>
      </c>
      <c r="I160" s="171">
        <f t="shared" si="83"/>
        <v>9.3040000000000003</v>
      </c>
      <c r="J160" s="171">
        <f t="shared" si="83"/>
        <v>13.304</v>
      </c>
      <c r="K160" s="171">
        <f t="shared" si="83"/>
        <v>21.304000000000002</v>
      </c>
    </row>
    <row r="161" spans="1:14" outlineLevel="1" x14ac:dyDescent="0.25">
      <c r="C161" s="24" t="s">
        <v>222</v>
      </c>
      <c r="D161" s="48" t="s">
        <v>46</v>
      </c>
      <c r="E161" s="5">
        <f>SUM(E159:E160)</f>
        <v>429.42900000000009</v>
      </c>
      <c r="F161" s="5">
        <f t="shared" ref="F161" si="84">SUM(F159:F160)</f>
        <v>364.18299999999999</v>
      </c>
      <c r="G161" s="5">
        <f>SUM(G159:G160)</f>
        <v>444.38779007036163</v>
      </c>
      <c r="H161" s="5">
        <f t="shared" ref="H161:K161" si="85">SUM(H159:H160)</f>
        <v>542.59424976970581</v>
      </c>
      <c r="I161" s="5">
        <f t="shared" si="85"/>
        <v>650.42357103827112</v>
      </c>
      <c r="J161" s="5">
        <f t="shared" si="85"/>
        <v>733.205543696321</v>
      </c>
      <c r="K161" s="5">
        <f t="shared" si="85"/>
        <v>817.34979950187289</v>
      </c>
    </row>
    <row r="162" spans="1:14" outlineLevel="1" x14ac:dyDescent="0.25"/>
    <row r="163" spans="1:14" outlineLevel="1" x14ac:dyDescent="0.25">
      <c r="C163" s="2" t="s">
        <v>24</v>
      </c>
      <c r="D163" s="48" t="s">
        <v>46</v>
      </c>
      <c r="E163" s="49">
        <f>+E157+E161</f>
        <v>965.38400000000001</v>
      </c>
      <c r="F163" s="49">
        <f t="shared" ref="F163:K163" si="86">+F157+F161</f>
        <v>986.87099999999998</v>
      </c>
      <c r="G163" s="49">
        <f t="shared" si="86"/>
        <v>935.74907338549133</v>
      </c>
      <c r="H163" s="49">
        <f t="shared" si="86"/>
        <v>1100.9062965797632</v>
      </c>
      <c r="I163" s="49">
        <f t="shared" si="86"/>
        <v>1330.6334853737446</v>
      </c>
      <c r="J163" s="49">
        <f t="shared" si="86"/>
        <v>1503.9993279289754</v>
      </c>
      <c r="K163" s="49">
        <f t="shared" si="86"/>
        <v>1715.2049409953061</v>
      </c>
    </row>
    <row r="164" spans="1:14" outlineLevel="1" x14ac:dyDescent="0.25"/>
    <row r="165" spans="1:14" outlineLevel="1" x14ac:dyDescent="0.25">
      <c r="C165" s="53" t="s">
        <v>25</v>
      </c>
      <c r="E165" s="54">
        <f t="shared" ref="E165:K165" si="87">+E143-E163</f>
        <v>0</v>
      </c>
      <c r="F165" s="54">
        <f t="shared" si="87"/>
        <v>0</v>
      </c>
      <c r="G165" s="54">
        <f t="shared" si="87"/>
        <v>0</v>
      </c>
      <c r="H165" s="54">
        <f t="shared" si="87"/>
        <v>0</v>
      </c>
      <c r="I165" s="54">
        <f t="shared" si="87"/>
        <v>0</v>
      </c>
      <c r="J165" s="54">
        <f t="shared" si="87"/>
        <v>0</v>
      </c>
      <c r="K165" s="54">
        <f t="shared" si="87"/>
        <v>0</v>
      </c>
    </row>
    <row r="166" spans="1:14" x14ac:dyDescent="0.25">
      <c r="A166" s="164"/>
      <c r="B166" s="164"/>
      <c r="C166" s="6"/>
      <c r="D166" s="37"/>
      <c r="E166" s="10"/>
      <c r="F166" s="10"/>
      <c r="G166" s="10"/>
      <c r="H166" s="8"/>
      <c r="I166" s="8"/>
      <c r="J166" s="8"/>
      <c r="K166" s="8"/>
      <c r="L166" s="164"/>
    </row>
    <row r="167" spans="1:14" x14ac:dyDescent="0.25">
      <c r="A167" s="164"/>
      <c r="B167" s="28"/>
      <c r="C167" s="29"/>
      <c r="D167" s="29"/>
      <c r="E167" s="33" t="str">
        <f>$E$12</f>
        <v>Historical:</v>
      </c>
      <c r="F167" s="34"/>
      <c r="G167" s="33" t="str">
        <f>$G$12</f>
        <v>Projected:</v>
      </c>
      <c r="H167" s="33"/>
      <c r="I167" s="33"/>
      <c r="J167" s="33"/>
      <c r="K167" s="33"/>
      <c r="L167" s="164"/>
    </row>
    <row r="168" spans="1:14" x14ac:dyDescent="0.25">
      <c r="A168" s="164"/>
      <c r="B168" s="30" t="s">
        <v>406</v>
      </c>
      <c r="C168" s="31"/>
      <c r="D168" s="36" t="str">
        <f>SPWR!$D$5</f>
        <v>Units:</v>
      </c>
      <c r="E168" s="32">
        <f>$E$13</f>
        <v>43465</v>
      </c>
      <c r="F168" s="35">
        <f>$F$13</f>
        <v>43830</v>
      </c>
      <c r="G168" s="32">
        <f>$G$13</f>
        <v>44196</v>
      </c>
      <c r="H168" s="32">
        <f>$H$13</f>
        <v>44561</v>
      </c>
      <c r="I168" s="32">
        <f>$I$13</f>
        <v>44926</v>
      </c>
      <c r="J168" s="32">
        <f>$J$13</f>
        <v>45291</v>
      </c>
      <c r="K168" s="32">
        <f>$K$13</f>
        <v>45657</v>
      </c>
      <c r="L168" s="164"/>
    </row>
    <row r="169" spans="1:14" outlineLevel="1" x14ac:dyDescent="0.25">
      <c r="A169" s="164"/>
      <c r="B169" s="164"/>
      <c r="C169" s="169"/>
      <c r="D169" s="37"/>
      <c r="E169" s="20"/>
      <c r="F169" s="20"/>
      <c r="G169" s="65"/>
      <c r="H169" s="65"/>
      <c r="I169" s="65"/>
      <c r="J169" s="65"/>
      <c r="K169" s="65"/>
      <c r="L169" s="164"/>
    </row>
    <row r="170" spans="1:14" outlineLevel="1" x14ac:dyDescent="0.25">
      <c r="A170" s="164"/>
      <c r="B170" s="164"/>
      <c r="C170" s="6" t="s">
        <v>238</v>
      </c>
      <c r="D170" s="37" t="s">
        <v>46</v>
      </c>
      <c r="E170" s="49">
        <f t="shared" ref="E170:K170" si="88">+E123</f>
        <v>-603.81400000000008</v>
      </c>
      <c r="F170" s="49">
        <f t="shared" si="88"/>
        <v>-183.05899999999997</v>
      </c>
      <c r="G170" s="49">
        <f t="shared" si="88"/>
        <v>-121.01620992963836</v>
      </c>
      <c r="H170" s="49">
        <f t="shared" si="88"/>
        <v>-78.014540300655852</v>
      </c>
      <c r="I170" s="49">
        <f t="shared" si="88"/>
        <v>-44.391678731434688</v>
      </c>
      <c r="J170" s="49">
        <f t="shared" si="88"/>
        <v>-21.439027341950151</v>
      </c>
      <c r="K170" s="49">
        <f t="shared" si="88"/>
        <v>25.923255805551896</v>
      </c>
      <c r="L170" s="164"/>
    </row>
    <row r="171" spans="1:14" outlineLevel="1" x14ac:dyDescent="0.25">
      <c r="A171" s="164"/>
      <c r="B171" s="164"/>
      <c r="C171" s="352" t="s">
        <v>240</v>
      </c>
      <c r="D171" s="40" t="s">
        <v>46</v>
      </c>
      <c r="E171" s="15">
        <f t="shared" ref="E171:K172" si="89">-E121</f>
        <v>2.9430000000000001</v>
      </c>
      <c r="F171" s="15">
        <f t="shared" si="89"/>
        <v>5.3419999999999996</v>
      </c>
      <c r="G171" s="15">
        <f t="shared" si="89"/>
        <v>-1</v>
      </c>
      <c r="H171" s="15">
        <f t="shared" si="89"/>
        <v>-2</v>
      </c>
      <c r="I171" s="15">
        <f t="shared" si="89"/>
        <v>-2</v>
      </c>
      <c r="J171" s="15">
        <f t="shared" si="89"/>
        <v>-3</v>
      </c>
      <c r="K171" s="15">
        <f t="shared" si="89"/>
        <v>-4</v>
      </c>
      <c r="L171" s="164"/>
    </row>
    <row r="172" spans="1:14" outlineLevel="1" x14ac:dyDescent="0.25">
      <c r="A172" s="164"/>
      <c r="B172" s="164"/>
      <c r="C172" s="352" t="s">
        <v>239</v>
      </c>
      <c r="D172" s="40" t="s">
        <v>46</v>
      </c>
      <c r="E172" s="15">
        <f t="shared" si="89"/>
        <v>-0.26600000000000001</v>
      </c>
      <c r="F172" s="15">
        <f t="shared" si="89"/>
        <v>4.157</v>
      </c>
      <c r="G172" s="15">
        <f t="shared" si="89"/>
        <v>1</v>
      </c>
      <c r="H172" s="15">
        <f t="shared" si="89"/>
        <v>1</v>
      </c>
      <c r="I172" s="15">
        <f t="shared" si="89"/>
        <v>2</v>
      </c>
      <c r="J172" s="15">
        <f t="shared" si="89"/>
        <v>4</v>
      </c>
      <c r="K172" s="15">
        <f t="shared" si="89"/>
        <v>8</v>
      </c>
      <c r="L172" s="164"/>
    </row>
    <row r="173" spans="1:14" outlineLevel="1" x14ac:dyDescent="0.25">
      <c r="B173" s="164"/>
      <c r="C173" s="169" t="s">
        <v>131</v>
      </c>
      <c r="D173" s="40" t="s">
        <v>46</v>
      </c>
      <c r="E173" s="18">
        <v>75.694000000000003</v>
      </c>
      <c r="F173" s="18">
        <v>46.148000000000003</v>
      </c>
      <c r="G173" s="15">
        <f>+G102*G51</f>
        <v>47.840077588056005</v>
      </c>
      <c r="H173" s="15">
        <f>+H102*H51</f>
        <v>66.845436323630963</v>
      </c>
      <c r="I173" s="15">
        <f>+I102*I51</f>
        <v>79.840237608431224</v>
      </c>
      <c r="J173" s="15">
        <f>+J102*J51</f>
        <v>92.010490191064093</v>
      </c>
      <c r="K173" s="15">
        <f>+K102*K51</f>
        <v>103.47357377600846</v>
      </c>
      <c r="L173" s="164"/>
      <c r="N173" s="172"/>
    </row>
    <row r="174" spans="1:14" outlineLevel="1" x14ac:dyDescent="0.25">
      <c r="B174" s="164"/>
      <c r="C174" s="169" t="s">
        <v>132</v>
      </c>
      <c r="D174" s="40" t="s">
        <v>46</v>
      </c>
      <c r="E174" s="18">
        <v>7.2</v>
      </c>
      <c r="F174" s="18">
        <v>7.3</v>
      </c>
      <c r="G174" s="15">
        <f>+G102*G52</f>
        <v>2.517898820424</v>
      </c>
      <c r="H174" s="15">
        <f>+H102*H52</f>
        <v>3.1831160154109983</v>
      </c>
      <c r="I174" s="15">
        <f>+I102*I52</f>
        <v>5.2354254169463106</v>
      </c>
      <c r="J174" s="15">
        <f>+J102*J52</f>
        <v>6.3455510476595922</v>
      </c>
      <c r="K174" s="15">
        <f>+K102*K52</f>
        <v>7.525350820073343</v>
      </c>
      <c r="L174" s="164"/>
    </row>
    <row r="175" spans="1:14" outlineLevel="1" x14ac:dyDescent="0.25">
      <c r="B175" s="164"/>
      <c r="C175" s="168" t="s">
        <v>59</v>
      </c>
      <c r="D175" s="40" t="s">
        <v>46</v>
      </c>
      <c r="E175" s="18">
        <v>8.58</v>
      </c>
      <c r="F175" s="18">
        <v>7.1349999999999998</v>
      </c>
      <c r="G175" s="154">
        <v>0</v>
      </c>
      <c r="H175" s="15">
        <f>+G175</f>
        <v>0</v>
      </c>
      <c r="I175" s="15">
        <f t="shared" ref="I175" si="90">+H175</f>
        <v>0</v>
      </c>
      <c r="J175" s="15">
        <f t="shared" ref="J175" si="91">+I175</f>
        <v>0</v>
      </c>
      <c r="K175" s="15">
        <f t="shared" ref="K175" si="92">+J175</f>
        <v>0</v>
      </c>
    </row>
    <row r="176" spans="1:14" outlineLevel="1" x14ac:dyDescent="0.25">
      <c r="B176" s="164"/>
      <c r="C176" s="369" t="s">
        <v>280</v>
      </c>
      <c r="D176" s="40" t="s">
        <v>46</v>
      </c>
      <c r="E176" s="18">
        <v>24.035</v>
      </c>
      <c r="F176" s="18">
        <v>23.841000000000001</v>
      </c>
      <c r="G176" s="84">
        <f>-SUM(G114:G115)*G70</f>
        <v>24.636851236999039</v>
      </c>
      <c r="H176" s="84">
        <f>-SUM(H114:H115)*H70</f>
        <v>24.452367838687902</v>
      </c>
      <c r="I176" s="84">
        <f>-SUM(I114:I115)*I70</f>
        <v>21.661428713362316</v>
      </c>
      <c r="J176" s="84">
        <f>-SUM(J114:J115)*J70</f>
        <v>7.5554085280557501</v>
      </c>
      <c r="K176" s="84">
        <f>-SUM(K114:K115)*K70</f>
        <v>4.6446654623748671</v>
      </c>
    </row>
    <row r="177" spans="2:11" outlineLevel="1" x14ac:dyDescent="0.25">
      <c r="B177" s="164"/>
      <c r="C177" s="168" t="s">
        <v>60</v>
      </c>
      <c r="D177" s="40" t="s">
        <v>46</v>
      </c>
      <c r="E177" s="18">
        <v>-2.2429999999999999</v>
      </c>
      <c r="F177" s="18">
        <v>0.80400000000000005</v>
      </c>
      <c r="G177" s="84">
        <f>+G95</f>
        <v>-34.132777159641591</v>
      </c>
      <c r="H177" s="84">
        <f>+H95</f>
        <v>-22.286152392492674</v>
      </c>
      <c r="I177" s="84">
        <f>+I95</f>
        <v>-12.520729898609785</v>
      </c>
      <c r="J177" s="84">
        <f>+J95</f>
        <v>-5.7648538656782478</v>
      </c>
      <c r="K177" s="84">
        <f>+K95</f>
        <v>8.4398926631043807</v>
      </c>
    </row>
    <row r="178" spans="2:11" outlineLevel="1" x14ac:dyDescent="0.25">
      <c r="B178" s="164"/>
      <c r="C178" s="355" t="s">
        <v>242</v>
      </c>
      <c r="D178" s="40" t="s">
        <v>46</v>
      </c>
      <c r="E178" s="18">
        <v>367.85899999999998</v>
      </c>
      <c r="F178" s="18">
        <v>0</v>
      </c>
      <c r="G178" s="84">
        <f>-G104</f>
        <v>0</v>
      </c>
      <c r="H178" s="84">
        <f>-H104</f>
        <v>0</v>
      </c>
      <c r="I178" s="84">
        <f>-I104</f>
        <v>0</v>
      </c>
      <c r="J178" s="84">
        <f>-J104</f>
        <v>0</v>
      </c>
      <c r="K178" s="84">
        <f>-K104</f>
        <v>0</v>
      </c>
    </row>
    <row r="179" spans="2:11" outlineLevel="1" x14ac:dyDescent="0.25">
      <c r="B179" s="164"/>
      <c r="C179" s="168" t="s">
        <v>67</v>
      </c>
      <c r="D179" s="40" t="s">
        <v>46</v>
      </c>
      <c r="E179" s="18">
        <v>-10.395</v>
      </c>
      <c r="F179" s="18">
        <v>0.249</v>
      </c>
      <c r="G179" s="84">
        <f>+G55</f>
        <v>-5.0729999999999995</v>
      </c>
      <c r="H179" s="84">
        <f>+H55</f>
        <v>-5.0729999999999995</v>
      </c>
      <c r="I179" s="84">
        <f>+I55</f>
        <v>-5.0729999999999995</v>
      </c>
      <c r="J179" s="84">
        <f>+J55</f>
        <v>-5.0729999999999995</v>
      </c>
      <c r="K179" s="84">
        <f>+K55</f>
        <v>-5.0729999999999995</v>
      </c>
    </row>
    <row r="180" spans="2:11" outlineLevel="1" x14ac:dyDescent="0.25">
      <c r="B180" s="164"/>
      <c r="C180" s="149" t="s">
        <v>108</v>
      </c>
      <c r="D180" s="40"/>
      <c r="E180" s="18"/>
      <c r="F180" s="18"/>
      <c r="G180" s="85"/>
      <c r="H180" s="85"/>
      <c r="I180" s="85"/>
      <c r="J180" s="85"/>
      <c r="K180" s="85"/>
    </row>
    <row r="181" spans="2:11" outlineLevel="1" x14ac:dyDescent="0.25">
      <c r="B181" s="164"/>
      <c r="C181" s="344" t="s">
        <v>109</v>
      </c>
      <c r="D181" s="40" t="s">
        <v>46</v>
      </c>
      <c r="E181" s="18">
        <v>-32.54</v>
      </c>
      <c r="F181" s="18">
        <v>-77.83</v>
      </c>
      <c r="G181" s="84">
        <f t="shared" ref="G181:K183" si="93">+F130-G130</f>
        <v>63.758802362568574</v>
      </c>
      <c r="H181" s="84">
        <f t="shared" si="93"/>
        <v>-22.88095589605949</v>
      </c>
      <c r="I181" s="84">
        <f t="shared" si="93"/>
        <v>-25.571973355808751</v>
      </c>
      <c r="J181" s="84">
        <f t="shared" si="93"/>
        <v>-28.638092701360819</v>
      </c>
      <c r="K181" s="84">
        <f t="shared" si="93"/>
        <v>-30.435487945378128</v>
      </c>
    </row>
    <row r="182" spans="2:11" outlineLevel="1" x14ac:dyDescent="0.25">
      <c r="B182" s="164"/>
      <c r="C182" s="360" t="s">
        <v>245</v>
      </c>
      <c r="D182" s="40" t="s">
        <v>46</v>
      </c>
      <c r="E182" s="18">
        <v>18.076000000000001</v>
      </c>
      <c r="F182" s="18">
        <v>28.414999999999999</v>
      </c>
      <c r="G182" s="84">
        <f t="shared" si="93"/>
        <v>41.175163988925675</v>
      </c>
      <c r="H182" s="84">
        <f t="shared" si="93"/>
        <v>-24.529580959865797</v>
      </c>
      <c r="I182" s="84">
        <f t="shared" si="93"/>
        <v>-34.595657452164744</v>
      </c>
      <c r="J182" s="84">
        <f t="shared" si="93"/>
        <v>-42.689543266793891</v>
      </c>
      <c r="K182" s="84">
        <f t="shared" si="93"/>
        <v>-43.895335884626547</v>
      </c>
    </row>
    <row r="183" spans="2:11" outlineLevel="1" x14ac:dyDescent="0.25">
      <c r="B183" s="164"/>
      <c r="C183" s="363" t="s">
        <v>261</v>
      </c>
      <c r="D183" s="40" t="s">
        <v>46</v>
      </c>
      <c r="E183" s="18">
        <v>62.295000000000002</v>
      </c>
      <c r="F183" s="18">
        <v>51.387</v>
      </c>
      <c r="G183" s="84">
        <f t="shared" si="93"/>
        <v>10.276270581486472</v>
      </c>
      <c r="H183" s="84">
        <f t="shared" si="93"/>
        <v>-39.490266329004129</v>
      </c>
      <c r="I183" s="84">
        <f t="shared" si="93"/>
        <v>-44.134696249862515</v>
      </c>
      <c r="J183" s="84">
        <f t="shared" si="93"/>
        <v>-49.426514917858526</v>
      </c>
      <c r="K183" s="84">
        <f t="shared" si="93"/>
        <v>-52.528641297856268</v>
      </c>
    </row>
    <row r="184" spans="2:11" outlineLevel="1" x14ac:dyDescent="0.25">
      <c r="B184" s="164"/>
      <c r="C184" s="344" t="s">
        <v>110</v>
      </c>
      <c r="D184" s="40" t="s">
        <v>46</v>
      </c>
      <c r="E184" s="18">
        <v>0</v>
      </c>
      <c r="F184" s="18">
        <v>2.4489999999999998</v>
      </c>
      <c r="G184" s="84">
        <f>+F137-G137</f>
        <v>-2.372924095671614</v>
      </c>
      <c r="H184" s="84">
        <f>+G137-H137</f>
        <v>-4.5554609724764994</v>
      </c>
      <c r="I184" s="84">
        <f>+H137-I137</f>
        <v>-2.7041371873613826</v>
      </c>
      <c r="J184" s="84">
        <f>+I137-J137</f>
        <v>-5.4056765306781109</v>
      </c>
      <c r="K184" s="84">
        <f>+J137-K137</f>
        <v>-0.81817574329092224</v>
      </c>
    </row>
    <row r="185" spans="2:11" outlineLevel="1" x14ac:dyDescent="0.25">
      <c r="B185" s="164"/>
      <c r="C185" s="360" t="s">
        <v>246</v>
      </c>
      <c r="D185" s="40" t="s">
        <v>46</v>
      </c>
      <c r="E185" s="18">
        <v>-75.483000000000004</v>
      </c>
      <c r="F185" s="18">
        <v>53.451000000000001</v>
      </c>
      <c r="G185" s="84">
        <f>+G147-F147</f>
        <v>-134.59183091181367</v>
      </c>
      <c r="H185" s="84">
        <f t="shared" ref="H185:K185" si="94">+H147-G147</f>
        <v>39.017357021989852</v>
      </c>
      <c r="I185" s="84">
        <f t="shared" si="94"/>
        <v>55.028706785905058</v>
      </c>
      <c r="J185" s="84">
        <f t="shared" si="94"/>
        <v>67.903041371616325</v>
      </c>
      <c r="K185" s="84">
        <f t="shared" si="94"/>
        <v>69.821004876228699</v>
      </c>
    </row>
    <row r="186" spans="2:11" outlineLevel="1" x14ac:dyDescent="0.25">
      <c r="B186" s="164"/>
      <c r="C186" s="509" t="s">
        <v>367</v>
      </c>
      <c r="D186" s="40" t="s">
        <v>46</v>
      </c>
      <c r="E186" s="18">
        <v>0</v>
      </c>
      <c r="F186" s="18">
        <v>0</v>
      </c>
      <c r="G186" s="84">
        <f>+G148-F148</f>
        <v>-24.715360487671177</v>
      </c>
      <c r="H186" s="84">
        <f t="shared" ref="H186:K186" si="95">+H148-G148</f>
        <v>23.7352162486699</v>
      </c>
      <c r="I186" s="84">
        <f t="shared" si="95"/>
        <v>26.526702829311176</v>
      </c>
      <c r="J186" s="84">
        <f t="shared" si="95"/>
        <v>29.707295722435958</v>
      </c>
      <c r="K186" s="84">
        <f t="shared" si="95"/>
        <v>31.571796707223456</v>
      </c>
    </row>
    <row r="187" spans="2:11" outlineLevel="1" x14ac:dyDescent="0.25">
      <c r="B187" s="164"/>
      <c r="C187" s="360" t="s">
        <v>256</v>
      </c>
      <c r="D187" s="40" t="s">
        <v>46</v>
      </c>
      <c r="E187" s="18">
        <v>1.236</v>
      </c>
      <c r="F187" s="18">
        <v>6.46</v>
      </c>
      <c r="G187" s="84">
        <f>+G154-F154</f>
        <v>10.970699381943973</v>
      </c>
      <c r="H187" s="84">
        <f t="shared" ref="H187:K187" si="96">+H154-G154</f>
        <v>15.190361413103467</v>
      </c>
      <c r="I187" s="84">
        <f t="shared" si="96"/>
        <v>16.976892009476089</v>
      </c>
      <c r="J187" s="84">
        <f t="shared" si="96"/>
        <v>19.01244774439472</v>
      </c>
      <c r="K187" s="84">
        <f t="shared" si="96"/>
        <v>20.205714471661054</v>
      </c>
    </row>
    <row r="188" spans="2:11" outlineLevel="1" x14ac:dyDescent="0.25">
      <c r="B188" s="164"/>
      <c r="C188" s="344" t="s">
        <v>111</v>
      </c>
      <c r="D188" s="40" t="s">
        <v>46</v>
      </c>
      <c r="E188" s="18">
        <v>0</v>
      </c>
      <c r="F188" s="18">
        <v>-2.589</v>
      </c>
      <c r="G188" s="84">
        <f>+G153-F153</f>
        <v>2.372924095671614</v>
      </c>
      <c r="H188" s="84">
        <f t="shared" ref="H188:K188" si="97">+H153-G153</f>
        <v>4.5554609724764994</v>
      </c>
      <c r="I188" s="84">
        <f t="shared" si="97"/>
        <v>2.7041371873613826</v>
      </c>
      <c r="J188" s="84">
        <f t="shared" si="97"/>
        <v>5.4056765306781145</v>
      </c>
      <c r="K188" s="84">
        <f t="shared" si="97"/>
        <v>0.81817574329092224</v>
      </c>
    </row>
    <row r="189" spans="2:11" outlineLevel="1" x14ac:dyDescent="0.25">
      <c r="B189" s="164"/>
      <c r="C189" s="24" t="s">
        <v>36</v>
      </c>
      <c r="D189" s="41" t="s">
        <v>46</v>
      </c>
      <c r="E189" s="12">
        <f>SUM(E170:E188)</f>
        <v>-156.82300000000009</v>
      </c>
      <c r="F189" s="12">
        <f>SUM(F170:F188)</f>
        <v>-26.339999999999961</v>
      </c>
      <c r="G189" s="12">
        <f t="shared" ref="G189:K189" si="98">SUM(G170:G188)</f>
        <v>-118.35341452836107</v>
      </c>
      <c r="H189" s="12">
        <f t="shared" si="98"/>
        <v>-20.850641016584849</v>
      </c>
      <c r="I189" s="12">
        <f t="shared" si="98"/>
        <v>38.981657675551695</v>
      </c>
      <c r="J189" s="12">
        <f t="shared" si="98"/>
        <v>70.503202511584817</v>
      </c>
      <c r="K189" s="12">
        <f t="shared" si="98"/>
        <v>143.67278945436522</v>
      </c>
    </row>
    <row r="190" spans="2:11" outlineLevel="1" x14ac:dyDescent="0.25">
      <c r="B190" s="164"/>
      <c r="C190" s="164"/>
      <c r="D190" s="21"/>
      <c r="E190" s="18"/>
      <c r="F190" s="18"/>
      <c r="G190" s="84"/>
      <c r="H190" s="84"/>
      <c r="I190" s="84"/>
      <c r="J190" s="84"/>
      <c r="K190" s="84"/>
    </row>
    <row r="191" spans="2:11" outlineLevel="1" x14ac:dyDescent="0.25">
      <c r="B191" s="164"/>
      <c r="C191" s="169" t="s">
        <v>49</v>
      </c>
      <c r="D191" s="40" t="s">
        <v>46</v>
      </c>
      <c r="E191" s="18">
        <v>-39.621000000000002</v>
      </c>
      <c r="F191" s="18">
        <v>-41.905000000000001</v>
      </c>
      <c r="G191" s="84">
        <f>-G102*G57</f>
        <v>-74.999999999999972</v>
      </c>
      <c r="H191" s="84">
        <f>-H102*H57</f>
        <v>-159.99999999999997</v>
      </c>
      <c r="I191" s="84">
        <f>-I102*I57</f>
        <v>-149.95567250488469</v>
      </c>
      <c r="J191" s="84">
        <f>-J102*J57</f>
        <v>-126.91102095319184</v>
      </c>
      <c r="K191" s="84">
        <f>-K102*K57</f>
        <v>-131.69363935128351</v>
      </c>
    </row>
    <row r="192" spans="2:11" outlineLevel="1" x14ac:dyDescent="0.25">
      <c r="B192" s="164"/>
      <c r="C192" s="169" t="s">
        <v>112</v>
      </c>
      <c r="D192" s="40" t="s">
        <v>46</v>
      </c>
      <c r="E192" s="18">
        <v>0</v>
      </c>
      <c r="F192" s="18">
        <v>0.26500000000000001</v>
      </c>
      <c r="G192" s="15">
        <f>+G58</f>
        <v>0.13250000000000001</v>
      </c>
      <c r="H192" s="15">
        <f>+H58</f>
        <v>0.13250000000000001</v>
      </c>
      <c r="I192" s="15">
        <f>+I58</f>
        <v>0.13250000000000001</v>
      </c>
      <c r="J192" s="15">
        <f>+J58</f>
        <v>0.13250000000000001</v>
      </c>
      <c r="K192" s="15">
        <f>+K58</f>
        <v>0.13250000000000001</v>
      </c>
    </row>
    <row r="193" spans="2:11" outlineLevel="1" x14ac:dyDescent="0.25">
      <c r="B193" s="164"/>
      <c r="C193" s="352" t="s">
        <v>243</v>
      </c>
      <c r="D193" s="40" t="s">
        <v>46</v>
      </c>
      <c r="E193" s="18">
        <v>0</v>
      </c>
      <c r="F193" s="18">
        <v>-0.23100000000000001</v>
      </c>
      <c r="G193" s="15">
        <f t="shared" ref="G193:K194" si="99">-G$102*G59</f>
        <v>-4.1964980340400002</v>
      </c>
      <c r="H193" s="15">
        <f t="shared" si="99"/>
        <v>-7.4272707026256635</v>
      </c>
      <c r="I193" s="15">
        <f t="shared" si="99"/>
        <v>-10.470850833892621</v>
      </c>
      <c r="J193" s="15">
        <f t="shared" si="99"/>
        <v>-15.86387761914898</v>
      </c>
      <c r="K193" s="15">
        <f t="shared" si="99"/>
        <v>-18.813377050183359</v>
      </c>
    </row>
    <row r="194" spans="2:11" outlineLevel="1" x14ac:dyDescent="0.25">
      <c r="B194" s="164"/>
      <c r="C194" s="352" t="s">
        <v>244</v>
      </c>
      <c r="D194" s="40" t="s">
        <v>46</v>
      </c>
      <c r="E194" s="18">
        <v>-13.348000000000001</v>
      </c>
      <c r="F194" s="18">
        <v>0</v>
      </c>
      <c r="G194" s="15">
        <f t="shared" si="99"/>
        <v>0</v>
      </c>
      <c r="H194" s="15">
        <f t="shared" si="99"/>
        <v>0</v>
      </c>
      <c r="I194" s="15">
        <f t="shared" si="99"/>
        <v>0</v>
      </c>
      <c r="J194" s="15">
        <f t="shared" si="99"/>
        <v>0</v>
      </c>
      <c r="K194" s="15">
        <f t="shared" si="99"/>
        <v>0</v>
      </c>
    </row>
    <row r="195" spans="2:11" outlineLevel="1" x14ac:dyDescent="0.25">
      <c r="B195" s="164"/>
      <c r="C195" s="24" t="s">
        <v>61</v>
      </c>
      <c r="D195" s="41" t="s">
        <v>46</v>
      </c>
      <c r="E195" s="12">
        <f>SUM(E191:E194)</f>
        <v>-52.969000000000001</v>
      </c>
      <c r="F195" s="12">
        <f>SUM(F191:F194)</f>
        <v>-41.871000000000002</v>
      </c>
      <c r="G195" s="12">
        <f>SUM(G191:G194)</f>
        <v>-79.063998034039983</v>
      </c>
      <c r="H195" s="12">
        <f t="shared" ref="H195:K195" si="100">SUM(H191:H194)</f>
        <v>-167.29477070262564</v>
      </c>
      <c r="I195" s="12">
        <f t="shared" si="100"/>
        <v>-160.29402333877732</v>
      </c>
      <c r="J195" s="12">
        <f t="shared" si="100"/>
        <v>-142.64239857234082</v>
      </c>
      <c r="K195" s="12">
        <f t="shared" si="100"/>
        <v>-150.37451640146688</v>
      </c>
    </row>
    <row r="196" spans="2:11" outlineLevel="1" x14ac:dyDescent="0.25">
      <c r="B196" s="164"/>
      <c r="C196" s="164"/>
      <c r="D196" s="21"/>
      <c r="F196" s="16"/>
      <c r="G196" s="164"/>
      <c r="H196" s="164"/>
      <c r="I196" s="22"/>
      <c r="J196" s="22"/>
    </row>
    <row r="197" spans="2:11" outlineLevel="1" x14ac:dyDescent="0.25">
      <c r="B197" s="164"/>
      <c r="C197" s="169" t="s">
        <v>113</v>
      </c>
      <c r="D197" s="40" t="s">
        <v>46</v>
      </c>
      <c r="E197" s="18">
        <v>227.67599999999999</v>
      </c>
      <c r="F197" s="18">
        <v>253.31399999999999</v>
      </c>
      <c r="G197" s="15">
        <f>+G65</f>
        <v>90</v>
      </c>
      <c r="H197" s="15">
        <f>+H65</f>
        <v>360</v>
      </c>
      <c r="I197" s="15">
        <f>+I65</f>
        <v>9</v>
      </c>
      <c r="J197" s="15">
        <f>+J65</f>
        <v>351</v>
      </c>
      <c r="K197" s="15">
        <f>+K65</f>
        <v>0</v>
      </c>
    </row>
    <row r="198" spans="2:11" outlineLevel="1" x14ac:dyDescent="0.25">
      <c r="B198" s="164"/>
      <c r="C198" s="169" t="s">
        <v>114</v>
      </c>
      <c r="D198" s="40" t="s">
        <v>46</v>
      </c>
      <c r="E198" s="18">
        <v>-232.941</v>
      </c>
      <c r="F198" s="18">
        <v>-255.839</v>
      </c>
      <c r="G198" s="15">
        <f>-G63</f>
        <v>-100</v>
      </c>
      <c r="H198" s="15">
        <f>-H63</f>
        <v>-400</v>
      </c>
      <c r="I198" s="15">
        <f>-I63</f>
        <v>-10</v>
      </c>
      <c r="J198" s="15">
        <f>-J63</f>
        <v>-390</v>
      </c>
      <c r="K198" s="15">
        <f>-K63</f>
        <v>0</v>
      </c>
    </row>
    <row r="199" spans="2:11" outlineLevel="1" x14ac:dyDescent="0.25">
      <c r="B199" s="164"/>
      <c r="C199" s="169" t="s">
        <v>62</v>
      </c>
      <c r="D199" s="40" t="s">
        <v>46</v>
      </c>
      <c r="E199" s="18">
        <v>0</v>
      </c>
      <c r="F199" s="18">
        <v>0</v>
      </c>
      <c r="G199" s="158">
        <f>+G72</f>
        <v>0</v>
      </c>
      <c r="H199" s="158">
        <f>+H72</f>
        <v>0</v>
      </c>
      <c r="I199" s="158">
        <f>+I72</f>
        <v>0</v>
      </c>
      <c r="J199" s="158">
        <f>+J72</f>
        <v>0</v>
      </c>
      <c r="K199" s="158">
        <f>+K72</f>
        <v>0</v>
      </c>
    </row>
    <row r="200" spans="2:11" outlineLevel="1" x14ac:dyDescent="0.25">
      <c r="B200" s="164"/>
      <c r="C200" s="352" t="s">
        <v>247</v>
      </c>
      <c r="D200" s="40" t="s">
        <v>46</v>
      </c>
      <c r="E200" s="18">
        <v>171.089</v>
      </c>
      <c r="F200" s="18">
        <v>92.409000000000006</v>
      </c>
      <c r="G200" s="365">
        <f>+G74</f>
        <v>200</v>
      </c>
      <c r="H200" s="365">
        <f>+H74</f>
        <v>175</v>
      </c>
      <c r="I200" s="365">
        <f>+I74</f>
        <v>150</v>
      </c>
      <c r="J200" s="365">
        <f>+J74</f>
        <v>100</v>
      </c>
      <c r="K200" s="365">
        <f>+K74</f>
        <v>50</v>
      </c>
    </row>
    <row r="201" spans="2:11" outlineLevel="1" x14ac:dyDescent="0.25">
      <c r="B201" s="164"/>
      <c r="C201" s="24" t="s">
        <v>63</v>
      </c>
      <c r="D201" s="41" t="s">
        <v>46</v>
      </c>
      <c r="E201" s="12">
        <f t="shared" ref="E201:K201" si="101">SUM(E197:E200)</f>
        <v>165.82399999999998</v>
      </c>
      <c r="F201" s="12">
        <f t="shared" si="101"/>
        <v>89.884</v>
      </c>
      <c r="G201" s="12">
        <f t="shared" si="101"/>
        <v>190</v>
      </c>
      <c r="H201" s="12">
        <f t="shared" si="101"/>
        <v>135</v>
      </c>
      <c r="I201" s="12">
        <f t="shared" si="101"/>
        <v>149</v>
      </c>
      <c r="J201" s="12">
        <f t="shared" si="101"/>
        <v>61</v>
      </c>
      <c r="K201" s="12">
        <f t="shared" si="101"/>
        <v>50</v>
      </c>
    </row>
    <row r="202" spans="2:11" outlineLevel="1" x14ac:dyDescent="0.25">
      <c r="B202" s="164"/>
      <c r="C202" s="164"/>
      <c r="D202" s="42"/>
      <c r="E202" s="21"/>
      <c r="F202" s="21"/>
      <c r="G202" s="164"/>
      <c r="H202" s="164"/>
      <c r="I202" s="22"/>
      <c r="J202" s="22"/>
    </row>
    <row r="203" spans="2:11" outlineLevel="1" x14ac:dyDescent="0.25">
      <c r="B203" s="164"/>
      <c r="C203" s="353" t="s">
        <v>248</v>
      </c>
      <c r="D203" s="40" t="s">
        <v>46</v>
      </c>
      <c r="E203" s="18">
        <v>6.0999999999999999E-2</v>
      </c>
      <c r="F203" s="18">
        <v>0.38100000000000001</v>
      </c>
      <c r="G203" s="156">
        <f>AVERAGE(E203:F203)</f>
        <v>0.221</v>
      </c>
      <c r="H203" s="15">
        <f>+G203</f>
        <v>0.221</v>
      </c>
      <c r="I203" s="15">
        <f t="shared" ref="I203" si="102">+H203</f>
        <v>0.221</v>
      </c>
      <c r="J203" s="15">
        <f t="shared" ref="J203" si="103">+I203</f>
        <v>0.221</v>
      </c>
      <c r="K203" s="15">
        <f t="shared" ref="K203" si="104">+J203</f>
        <v>0.221</v>
      </c>
    </row>
    <row r="204" spans="2:11" outlineLevel="1" x14ac:dyDescent="0.25">
      <c r="B204" s="164"/>
      <c r="C204" s="164"/>
      <c r="D204" s="42"/>
      <c r="E204" s="21"/>
      <c r="F204" s="21"/>
      <c r="G204" s="164"/>
      <c r="H204" s="164"/>
      <c r="I204" s="22"/>
      <c r="J204" s="22"/>
    </row>
    <row r="205" spans="2:11" outlineLevel="1" x14ac:dyDescent="0.25">
      <c r="B205" s="164"/>
      <c r="C205" s="6" t="s">
        <v>64</v>
      </c>
      <c r="D205" s="40" t="s">
        <v>46</v>
      </c>
      <c r="E205" s="13">
        <f t="shared" ref="E205:K205" si="105">+E189+E195+E201+E203</f>
        <v>-43.907000000000103</v>
      </c>
      <c r="F205" s="13">
        <f t="shared" si="105"/>
        <v>22.054000000000045</v>
      </c>
      <c r="G205" s="13">
        <f t="shared" si="105"/>
        <v>-7.1964125624010684</v>
      </c>
      <c r="H205" s="13">
        <f t="shared" si="105"/>
        <v>-52.924411719210504</v>
      </c>
      <c r="I205" s="13">
        <f t="shared" si="105"/>
        <v>27.90863433677438</v>
      </c>
      <c r="J205" s="13">
        <f t="shared" si="105"/>
        <v>-10.918196060756006</v>
      </c>
      <c r="K205" s="13">
        <f t="shared" si="105"/>
        <v>43.519273052898335</v>
      </c>
    </row>
    <row r="206" spans="2:11" outlineLevel="1" x14ac:dyDescent="0.25">
      <c r="B206" s="164"/>
      <c r="C206" s="164"/>
      <c r="D206" s="42"/>
      <c r="F206" s="364"/>
      <c r="G206" s="164"/>
      <c r="H206" s="164"/>
      <c r="I206" s="22"/>
      <c r="J206" s="22"/>
    </row>
    <row r="207" spans="2:11" outlineLevel="1" x14ac:dyDescent="0.25">
      <c r="B207" s="164"/>
      <c r="C207" s="6" t="s">
        <v>115</v>
      </c>
      <c r="D207" s="40" t="s">
        <v>46</v>
      </c>
      <c r="E207" s="77">
        <v>145.65600000000001</v>
      </c>
      <c r="F207" s="13">
        <f>+E208</f>
        <v>101.74899999999991</v>
      </c>
      <c r="G207" s="14">
        <f>+F208</f>
        <v>123.80299999999995</v>
      </c>
      <c r="H207" s="14">
        <f t="shared" ref="H207:K207" si="106">+G208</f>
        <v>116.60658743759889</v>
      </c>
      <c r="I207" s="14">
        <f t="shared" si="106"/>
        <v>63.682175718388386</v>
      </c>
      <c r="J207" s="14">
        <f t="shared" si="106"/>
        <v>91.590810055162763</v>
      </c>
      <c r="K207" s="14">
        <f t="shared" si="106"/>
        <v>80.67261399440676</v>
      </c>
    </row>
    <row r="208" spans="2:11" outlineLevel="1" x14ac:dyDescent="0.25">
      <c r="B208" s="164"/>
      <c r="C208" s="6" t="s">
        <v>116</v>
      </c>
      <c r="D208" s="40" t="s">
        <v>46</v>
      </c>
      <c r="E208" s="13">
        <f>+E205+E207</f>
        <v>101.74899999999991</v>
      </c>
      <c r="F208" s="13">
        <f>+F205+F207</f>
        <v>123.80299999999995</v>
      </c>
      <c r="G208" s="13">
        <f t="shared" ref="G208:K208" si="107">+G205+G207</f>
        <v>116.60658743759889</v>
      </c>
      <c r="H208" s="13">
        <f t="shared" si="107"/>
        <v>63.682175718388386</v>
      </c>
      <c r="I208" s="13">
        <f t="shared" si="107"/>
        <v>91.590810055162763</v>
      </c>
      <c r="J208" s="13">
        <f t="shared" si="107"/>
        <v>80.67261399440676</v>
      </c>
      <c r="K208" s="13">
        <f t="shared" si="107"/>
        <v>124.1918870473051</v>
      </c>
    </row>
    <row r="209" spans="2:11" x14ac:dyDescent="0.25">
      <c r="B209" s="164"/>
      <c r="C209" s="164"/>
      <c r="D209" s="42"/>
      <c r="E209" s="21"/>
      <c r="G209" s="16"/>
      <c r="H209" s="164"/>
      <c r="I209" s="164"/>
      <c r="J209" s="22"/>
      <c r="K209" s="22"/>
    </row>
    <row r="210" spans="2:11" x14ac:dyDescent="0.25">
      <c r="B210" s="28"/>
      <c r="C210" s="29"/>
      <c r="D210" s="29"/>
      <c r="E210" s="33" t="str">
        <f>$E$12</f>
        <v>Historical:</v>
      </c>
      <c r="F210" s="34"/>
      <c r="G210" s="33" t="str">
        <f>$G$12</f>
        <v>Projected:</v>
      </c>
      <c r="H210" s="33"/>
      <c r="I210" s="33"/>
      <c r="J210" s="33"/>
      <c r="K210" s="33"/>
    </row>
    <row r="211" spans="2:11" x14ac:dyDescent="0.25">
      <c r="B211" s="30" t="s">
        <v>407</v>
      </c>
      <c r="C211" s="31"/>
      <c r="D211" s="36" t="str">
        <f>SPWR!$D$5</f>
        <v>Units:</v>
      </c>
      <c r="E211" s="32">
        <f>$E$13</f>
        <v>43465</v>
      </c>
      <c r="F211" s="35">
        <f>$F$13</f>
        <v>43830</v>
      </c>
      <c r="G211" s="32">
        <f>$G$13</f>
        <v>44196</v>
      </c>
      <c r="H211" s="32">
        <f>$H$13</f>
        <v>44561</v>
      </c>
      <c r="I211" s="32">
        <f>$I$13</f>
        <v>44926</v>
      </c>
      <c r="J211" s="32">
        <f>$J$13</f>
        <v>45291</v>
      </c>
      <c r="K211" s="32">
        <f>$K$13</f>
        <v>45657</v>
      </c>
    </row>
    <row r="212" spans="2:11" outlineLevel="1" x14ac:dyDescent="0.25"/>
    <row r="213" spans="2:11" outlineLevel="1" x14ac:dyDescent="0.25">
      <c r="C213" s="16" t="s">
        <v>0</v>
      </c>
      <c r="D213" s="39" t="s">
        <v>46</v>
      </c>
      <c r="E213" s="50">
        <f t="shared" ref="E213:K213" si="108">+E113</f>
        <v>-589.76700000000005</v>
      </c>
      <c r="F213" s="50">
        <f t="shared" si="108"/>
        <v>-135.64599999999996</v>
      </c>
      <c r="G213" s="50">
        <f t="shared" si="108"/>
        <v>-134.28793708927995</v>
      </c>
      <c r="H213" s="50">
        <f t="shared" si="108"/>
        <v>-80.63893905707863</v>
      </c>
      <c r="I213" s="50">
        <f t="shared" si="108"/>
        <v>-39.265690627097342</v>
      </c>
      <c r="J213" s="50">
        <f t="shared" si="108"/>
        <v>-23.795816428723469</v>
      </c>
      <c r="K213" s="50">
        <f t="shared" si="108"/>
        <v>37.626754100366782</v>
      </c>
    </row>
    <row r="214" spans="2:11" outlineLevel="1" x14ac:dyDescent="0.25">
      <c r="C214" s="169" t="s">
        <v>131</v>
      </c>
      <c r="D214" s="39" t="s">
        <v>46</v>
      </c>
      <c r="E214" s="15">
        <f t="shared" ref="E214:K215" si="109">+E173</f>
        <v>75.694000000000003</v>
      </c>
      <c r="F214" s="15">
        <f t="shared" si="109"/>
        <v>46.148000000000003</v>
      </c>
      <c r="G214" s="15">
        <f t="shared" si="109"/>
        <v>47.840077588056005</v>
      </c>
      <c r="H214" s="15">
        <f t="shared" si="109"/>
        <v>66.845436323630963</v>
      </c>
      <c r="I214" s="15">
        <f t="shared" si="109"/>
        <v>79.840237608431224</v>
      </c>
      <c r="J214" s="15">
        <f t="shared" si="109"/>
        <v>92.010490191064093</v>
      </c>
      <c r="K214" s="15">
        <f t="shared" si="109"/>
        <v>103.47357377600846</v>
      </c>
    </row>
    <row r="215" spans="2:11" outlineLevel="1" x14ac:dyDescent="0.25">
      <c r="C215" s="169" t="s">
        <v>145</v>
      </c>
      <c r="D215" s="39" t="s">
        <v>46</v>
      </c>
      <c r="E215" s="15">
        <f t="shared" si="109"/>
        <v>7.2</v>
      </c>
      <c r="F215" s="15">
        <f t="shared" si="109"/>
        <v>7.3</v>
      </c>
      <c r="G215" s="15">
        <f t="shared" si="109"/>
        <v>2.517898820424</v>
      </c>
      <c r="H215" s="15">
        <f t="shared" si="109"/>
        <v>3.1831160154109983</v>
      </c>
      <c r="I215" s="15">
        <f t="shared" si="109"/>
        <v>5.2354254169463106</v>
      </c>
      <c r="J215" s="15">
        <f t="shared" si="109"/>
        <v>6.3455510476595922</v>
      </c>
      <c r="K215" s="15">
        <f t="shared" si="109"/>
        <v>7.525350820073343</v>
      </c>
    </row>
    <row r="216" spans="2:11" outlineLevel="1" x14ac:dyDescent="0.25">
      <c r="C216" s="352" t="s">
        <v>231</v>
      </c>
      <c r="D216" s="58" t="s">
        <v>46</v>
      </c>
      <c r="E216" s="15">
        <f t="shared" ref="E216:K216" si="110">-E104</f>
        <v>354.76799999999997</v>
      </c>
      <c r="F216" s="15">
        <f t="shared" si="110"/>
        <v>0</v>
      </c>
      <c r="G216" s="15">
        <f t="shared" si="110"/>
        <v>0</v>
      </c>
      <c r="H216" s="15">
        <f t="shared" si="110"/>
        <v>0</v>
      </c>
      <c r="I216" s="15">
        <f t="shared" si="110"/>
        <v>0</v>
      </c>
      <c r="J216" s="15">
        <f t="shared" si="110"/>
        <v>0</v>
      </c>
      <c r="K216" s="15">
        <f t="shared" si="110"/>
        <v>0</v>
      </c>
    </row>
    <row r="217" spans="2:11" outlineLevel="1" x14ac:dyDescent="0.25">
      <c r="C217" s="24" t="s">
        <v>20</v>
      </c>
      <c r="D217" s="39" t="s">
        <v>46</v>
      </c>
      <c r="E217" s="25">
        <f t="shared" ref="E217:K217" si="111">SUM(E213:E216)</f>
        <v>-152.10500000000013</v>
      </c>
      <c r="F217" s="25">
        <f t="shared" si="111"/>
        <v>-82.197999999999965</v>
      </c>
      <c r="G217" s="25">
        <f t="shared" si="111"/>
        <v>-83.929960680799951</v>
      </c>
      <c r="H217" s="25">
        <f t="shared" si="111"/>
        <v>-10.610386718036668</v>
      </c>
      <c r="I217" s="25">
        <f t="shared" si="111"/>
        <v>45.809972398280195</v>
      </c>
      <c r="J217" s="25">
        <f t="shared" si="111"/>
        <v>74.560224810000221</v>
      </c>
      <c r="K217" s="25">
        <f t="shared" si="111"/>
        <v>148.6256786964486</v>
      </c>
    </row>
    <row r="218" spans="2:11" outlineLevel="1" x14ac:dyDescent="0.25">
      <c r="F218" s="171"/>
    </row>
    <row r="219" spans="2:11" outlineLevel="1" x14ac:dyDescent="0.25">
      <c r="C219" s="26" t="s">
        <v>15</v>
      </c>
      <c r="D219" s="37" t="s">
        <v>32</v>
      </c>
      <c r="E219" s="27" t="str">
        <f t="shared" ref="E219:K219" si="112">IFERROR(+E102/D102-1,"N/A")</f>
        <v>N/A</v>
      </c>
      <c r="F219" s="27">
        <f t="shared" si="112"/>
        <v>0.3134757479066943</v>
      </c>
      <c r="G219" s="27">
        <f t="shared" si="112"/>
        <v>-0.29959199999999997</v>
      </c>
      <c r="H219" s="27">
        <f t="shared" si="112"/>
        <v>0.26419536384507292</v>
      </c>
      <c r="I219" s="27">
        <f t="shared" si="112"/>
        <v>0.23356140451661833</v>
      </c>
      <c r="J219" s="27">
        <f t="shared" si="112"/>
        <v>0.21204115087189801</v>
      </c>
      <c r="K219" s="27">
        <f t="shared" si="112"/>
        <v>0.18592550332549806</v>
      </c>
    </row>
    <row r="220" spans="2:11" outlineLevel="1" x14ac:dyDescent="0.25">
      <c r="C220" s="26" t="s">
        <v>294</v>
      </c>
      <c r="D220" s="37" t="s">
        <v>32</v>
      </c>
      <c r="E220" s="27">
        <f t="shared" ref="E220:K220" si="113">IFERROR(+E105/E102,"N/A")</f>
        <v>-0.49317394359172789</v>
      </c>
      <c r="F220" s="27">
        <f t="shared" si="113"/>
        <v>-1.9268948285947932E-3</v>
      </c>
      <c r="G220" s="27">
        <f t="shared" si="113"/>
        <v>4.5000000000000068E-2</v>
      </c>
      <c r="H220" s="27">
        <f t="shared" si="113"/>
        <v>0.12400000000000001</v>
      </c>
      <c r="I220" s="27">
        <f t="shared" si="113"/>
        <v>0.15199999999999997</v>
      </c>
      <c r="J220" s="27">
        <f t="shared" si="113"/>
        <v>0.16</v>
      </c>
      <c r="K220" s="27">
        <f t="shared" si="113"/>
        <v>0.17000000000000004</v>
      </c>
    </row>
    <row r="221" spans="2:11" outlineLevel="1" x14ac:dyDescent="0.25">
      <c r="C221" s="26" t="s">
        <v>16</v>
      </c>
      <c r="D221" s="37" t="s">
        <v>32</v>
      </c>
      <c r="E221" s="27">
        <f t="shared" ref="E221:K221" si="114">IFERROR(+E113/E102,"N/A")</f>
        <v>-0.64645247848052156</v>
      </c>
      <c r="F221" s="27">
        <f t="shared" si="114"/>
        <v>-0.11319860368972401</v>
      </c>
      <c r="G221" s="27">
        <f t="shared" si="114"/>
        <v>-0.15999999999999995</v>
      </c>
      <c r="H221" s="27">
        <f t="shared" si="114"/>
        <v>-7.5999999999999998E-2</v>
      </c>
      <c r="I221" s="27">
        <f t="shared" si="114"/>
        <v>-3.0000000000000013E-2</v>
      </c>
      <c r="J221" s="27">
        <f t="shared" si="114"/>
        <v>-1.4999999999999999E-2</v>
      </c>
      <c r="K221" s="27">
        <f t="shared" si="114"/>
        <v>2.0000000000000035E-2</v>
      </c>
    </row>
    <row r="222" spans="2:11" outlineLevel="1" x14ac:dyDescent="0.25">
      <c r="C222" s="26" t="s">
        <v>17</v>
      </c>
      <c r="D222" s="37" t="s">
        <v>32</v>
      </c>
      <c r="E222" s="27">
        <f t="shared" ref="E222:K222" si="115">IFERROR(+E217/E102,"N/A")</f>
        <v>-0.16672457807791857</v>
      </c>
      <c r="F222" s="27">
        <f t="shared" si="115"/>
        <v>-6.8595453062294004E-2</v>
      </c>
      <c r="G222" s="27">
        <f t="shared" si="115"/>
        <v>-9.9999999999999936E-2</v>
      </c>
      <c r="H222" s="27">
        <f t="shared" si="115"/>
        <v>-1.0000000000000007E-2</v>
      </c>
      <c r="I222" s="27">
        <f t="shared" si="115"/>
        <v>3.4999999999999983E-2</v>
      </c>
      <c r="J222" s="27">
        <f t="shared" si="115"/>
        <v>4.7000000000000014E-2</v>
      </c>
      <c r="K222" s="27">
        <f t="shared" si="115"/>
        <v>7.9000000000000042E-2</v>
      </c>
    </row>
    <row r="223" spans="2:11" outlineLevel="1" x14ac:dyDescent="0.25">
      <c r="C223" s="26" t="s">
        <v>18</v>
      </c>
      <c r="D223" s="37" t="s">
        <v>32</v>
      </c>
      <c r="E223" s="27">
        <f t="shared" ref="E223:K223" si="116">IFERROR(+E120/E102,"N/A")</f>
        <v>-0.65891530647924568</v>
      </c>
      <c r="F223" s="27">
        <f t="shared" si="116"/>
        <v>-0.14483840036852172</v>
      </c>
      <c r="G223" s="27">
        <f t="shared" si="116"/>
        <v>-0.14418714002486396</v>
      </c>
      <c r="H223" s="27">
        <f t="shared" si="116"/>
        <v>-7.446904849032368E-2</v>
      </c>
      <c r="I223" s="27">
        <f t="shared" si="116"/>
        <v>-3.391638707161812E-2</v>
      </c>
      <c r="J223" s="27">
        <f t="shared" si="116"/>
        <v>-1.2884004675678157E-2</v>
      </c>
      <c r="K223" s="27">
        <f t="shared" si="116"/>
        <v>1.5905308082506252E-2</v>
      </c>
    </row>
    <row r="224" spans="2:11" outlineLevel="1" x14ac:dyDescent="0.25">
      <c r="D224" s="26"/>
    </row>
    <row r="225" spans="3:11" outlineLevel="1" x14ac:dyDescent="0.25">
      <c r="C225" s="26" t="s">
        <v>19</v>
      </c>
      <c r="D225" s="37" t="s">
        <v>32</v>
      </c>
      <c r="E225" s="27">
        <f t="shared" ref="E225:K225" si="117">IFERROR(-E119/E118,"N/A")</f>
        <v>1.7436444161033034E-3</v>
      </c>
      <c r="F225" s="27">
        <f t="shared" si="117"/>
        <v>-6.1931741700216612E-2</v>
      </c>
      <c r="G225" s="27">
        <f t="shared" si="117"/>
        <v>0.22</v>
      </c>
      <c r="H225" s="27">
        <f t="shared" si="117"/>
        <v>0.22</v>
      </c>
      <c r="I225" s="27">
        <f t="shared" si="117"/>
        <v>0.22</v>
      </c>
      <c r="J225" s="27">
        <f t="shared" si="117"/>
        <v>0.22</v>
      </c>
      <c r="K225" s="27">
        <f t="shared" si="117"/>
        <v>0.22</v>
      </c>
    </row>
    <row r="226" spans="3:11" outlineLevel="1" x14ac:dyDescent="0.25">
      <c r="D226" s="26"/>
    </row>
    <row r="227" spans="3:11" outlineLevel="1" x14ac:dyDescent="0.25">
      <c r="C227" s="26" t="s">
        <v>130</v>
      </c>
      <c r="D227" s="37" t="s">
        <v>32</v>
      </c>
      <c r="E227" s="27">
        <f t="shared" ref="E227:K227" si="118">IFERROR(+E214/E102,"N/A")</f>
        <v>8.2969331797310794E-2</v>
      </c>
      <c r="F227" s="27">
        <f t="shared" si="118"/>
        <v>3.8511192096142795E-2</v>
      </c>
      <c r="G227" s="27">
        <f t="shared" si="118"/>
        <v>5.7000000000000002E-2</v>
      </c>
      <c r="H227" s="27">
        <f t="shared" si="118"/>
        <v>6.3E-2</v>
      </c>
      <c r="I227" s="27">
        <f t="shared" si="118"/>
        <v>6.0999999999999992E-2</v>
      </c>
      <c r="J227" s="27">
        <f t="shared" si="118"/>
        <v>5.800000000000001E-2</v>
      </c>
      <c r="K227" s="27">
        <f t="shared" si="118"/>
        <v>5.5E-2</v>
      </c>
    </row>
    <row r="228" spans="3:11" outlineLevel="1" x14ac:dyDescent="0.25">
      <c r="C228" s="26" t="s">
        <v>21</v>
      </c>
      <c r="D228" s="37" t="s">
        <v>32</v>
      </c>
      <c r="E228" s="27">
        <f t="shared" ref="E228:K228" si="119">IFERROR(-E191/E102,"N/A")</f>
        <v>4.3429173978667412E-2</v>
      </c>
      <c r="F228" s="27">
        <f t="shared" si="119"/>
        <v>3.497034551419051E-2</v>
      </c>
      <c r="G228" s="27">
        <f t="shared" si="119"/>
        <v>8.9360222966430064E-2</v>
      </c>
      <c r="H228" s="27">
        <f t="shared" si="119"/>
        <v>0.15079563474158297</v>
      </c>
      <c r="I228" s="27">
        <f t="shared" si="119"/>
        <v>0.11457000000000001</v>
      </c>
      <c r="J228" s="27">
        <f t="shared" si="119"/>
        <v>0.08</v>
      </c>
      <c r="K228" s="27">
        <f t="shared" si="119"/>
        <v>7.0000000000000007E-2</v>
      </c>
    </row>
    <row r="229" spans="3:11" outlineLevel="1" x14ac:dyDescent="0.25"/>
    <row r="230" spans="3:11" outlineLevel="1" x14ac:dyDescent="0.25">
      <c r="C230" s="26" t="s">
        <v>211</v>
      </c>
      <c r="D230" s="37" t="s">
        <v>32</v>
      </c>
      <c r="E230" s="27">
        <f t="shared" ref="E230:K230" si="120">IFERROR(+E215/E102, "N/A")</f>
        <v>7.8920282841524782E-3</v>
      </c>
      <c r="F230" s="27">
        <f t="shared" si="120"/>
        <v>6.0919585312872145E-3</v>
      </c>
      <c r="G230" s="27">
        <f t="shared" si="120"/>
        <v>3.0000000000000001E-3</v>
      </c>
      <c r="H230" s="27">
        <f t="shared" si="120"/>
        <v>3.0000000000000001E-3</v>
      </c>
      <c r="I230" s="27">
        <f t="shared" si="120"/>
        <v>4.0000000000000001E-3</v>
      </c>
      <c r="J230" s="27">
        <f t="shared" si="120"/>
        <v>4.0000000000000001E-3</v>
      </c>
      <c r="K230" s="27">
        <f t="shared" si="120"/>
        <v>4.0000000000000001E-3</v>
      </c>
    </row>
    <row r="231" spans="3:11" outlineLevel="1" x14ac:dyDescent="0.25">
      <c r="C231" s="26" t="s">
        <v>210</v>
      </c>
      <c r="D231" s="37" t="s">
        <v>32</v>
      </c>
      <c r="E231" s="27">
        <f t="shared" ref="E231:K231" si="121">IFERROR(-E193/E102, "N/A")</f>
        <v>0</v>
      </c>
      <c r="F231" s="27">
        <f t="shared" si="121"/>
        <v>1.9277293434621185E-4</v>
      </c>
      <c r="G231" s="27">
        <f t="shared" si="121"/>
        <v>5.0000000000000001E-3</v>
      </c>
      <c r="H231" s="27">
        <f t="shared" si="121"/>
        <v>7.0000000000000001E-3</v>
      </c>
      <c r="I231" s="27">
        <f t="shared" si="121"/>
        <v>8.0000000000000002E-3</v>
      </c>
      <c r="J231" s="27">
        <f t="shared" si="121"/>
        <v>0.01</v>
      </c>
      <c r="K231" s="27">
        <f t="shared" si="121"/>
        <v>0.01</v>
      </c>
    </row>
    <row r="232" spans="3:11" outlineLevel="1" x14ac:dyDescent="0.25"/>
    <row r="233" spans="3:11" outlineLevel="1" x14ac:dyDescent="0.25">
      <c r="C233" s="539" t="s">
        <v>401</v>
      </c>
      <c r="D233" s="540" t="s">
        <v>46</v>
      </c>
      <c r="E233" s="15">
        <f>+E159+E152</f>
        <v>470.13100000000009</v>
      </c>
      <c r="F233" s="15">
        <f t="shared" ref="F233:K233" si="122">+F159+F152</f>
        <v>420.74900000000002</v>
      </c>
      <c r="G233" s="15">
        <f t="shared" si="122"/>
        <v>514.59064130736067</v>
      </c>
      <c r="H233" s="15">
        <f t="shared" si="122"/>
        <v>596.24946884539281</v>
      </c>
      <c r="I233" s="15">
        <f t="shared" si="122"/>
        <v>722.7402188273204</v>
      </c>
      <c r="J233" s="15">
        <f t="shared" si="122"/>
        <v>770.07760001342604</v>
      </c>
      <c r="K233" s="15">
        <f t="shared" si="122"/>
        <v>850.86652128135279</v>
      </c>
    </row>
    <row r="234" spans="3:11" outlineLevel="1" x14ac:dyDescent="0.25">
      <c r="C234" s="539" t="s">
        <v>399</v>
      </c>
      <c r="D234" s="540" t="s">
        <v>46</v>
      </c>
      <c r="E234" s="15">
        <f>+E213*(1-E225)</f>
        <v>-588.73865606364802</v>
      </c>
      <c r="F234" s="15">
        <f t="shared" ref="F234:K234" si="123">+F213*(1-F225)</f>
        <v>-144.04679303466753</v>
      </c>
      <c r="G234" s="15">
        <f t="shared" si="123"/>
        <v>-104.74459092963836</v>
      </c>
      <c r="H234" s="15">
        <f t="shared" si="123"/>
        <v>-62.898372464521337</v>
      </c>
      <c r="I234" s="15">
        <f t="shared" si="123"/>
        <v>-30.627238689135929</v>
      </c>
      <c r="J234" s="15">
        <f t="shared" si="123"/>
        <v>-18.560736814404308</v>
      </c>
      <c r="K234" s="15">
        <f t="shared" si="123"/>
        <v>29.348868198286091</v>
      </c>
    </row>
    <row r="235" spans="3:11" outlineLevel="1" x14ac:dyDescent="0.25">
      <c r="C235" s="26" t="s">
        <v>400</v>
      </c>
      <c r="D235" s="37" t="s">
        <v>32</v>
      </c>
      <c r="E235" s="27">
        <f>+E234/AVERAGE(588.209+1248.3+299.7,E233)</f>
        <v>-0.45177425513451658</v>
      </c>
      <c r="F235" s="27">
        <f>+F234/AVERAGE(E233,F233)</f>
        <v>-0.32338091108716666</v>
      </c>
      <c r="G235" s="27">
        <f t="shared" ref="G235:K235" si="124">+G234/AVERAGE(F233,G233)</f>
        <v>-0.22397124275248884</v>
      </c>
      <c r="H235" s="27">
        <f t="shared" si="124"/>
        <v>-0.11324469091392834</v>
      </c>
      <c r="I235" s="27">
        <f t="shared" si="124"/>
        <v>-4.6440452075369981E-2</v>
      </c>
      <c r="J235" s="27">
        <f t="shared" si="124"/>
        <v>-2.4866713915322528E-2</v>
      </c>
      <c r="K235" s="27">
        <f t="shared" si="124"/>
        <v>3.6212066551489487E-2</v>
      </c>
    </row>
  </sheetData>
  <pageMargins left="0.7" right="0.7" top="0.75" bottom="0.75" header="0.3" footer="0.3"/>
  <pageSetup scale="52" orientation="portrait" horizontalDpi="300" verticalDpi="300" r:id="rId1"/>
  <rowBreaks count="4" manualBreakCount="4">
    <brk id="38" max="11" man="1"/>
    <brk id="96" max="11" man="1"/>
    <brk id="124" max="11" man="1"/>
    <brk id="166" max="11" man="1"/>
  </rowBreaks>
  <ignoredErrors>
    <ignoredError sqref="G131:K131 E58:F58" formula="1"/>
    <ignoredError sqref="E70:F70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EC8F-0937-459A-A2D0-ECCC1DDED4A9}">
  <sheetPr>
    <pageSetUpPr autoPageBreaks="0"/>
  </sheetPr>
  <dimension ref="A1:AF52"/>
  <sheetViews>
    <sheetView showGridLines="0" zoomScaleNormal="100" workbookViewId="0">
      <selection activeCell="T19" sqref="T19"/>
    </sheetView>
  </sheetViews>
  <sheetFormatPr defaultRowHeight="15.75" outlineLevelCol="1" x14ac:dyDescent="0.25"/>
  <cols>
    <col min="1" max="1" width="2.5703125" style="695" customWidth="1"/>
    <col min="2" max="2" width="33.28515625" style="695" bestFit="1" customWidth="1"/>
    <col min="3" max="3" width="15.42578125" style="695" hidden="1" customWidth="1" outlineLevel="1"/>
    <col min="4" max="5" width="12.7109375" style="695" hidden="1" customWidth="1" outlineLevel="1"/>
    <col min="6" max="6" width="12.7109375" style="695" customWidth="1" collapsed="1"/>
    <col min="7" max="10" width="12.7109375" style="695" hidden="1" customWidth="1" outlineLevel="1"/>
    <col min="11" max="11" width="12.7109375" style="695" customWidth="1" collapsed="1"/>
    <col min="12" max="22" width="12.7109375" style="695" customWidth="1"/>
    <col min="23" max="23" width="2.5703125" style="695" customWidth="1"/>
    <col min="24" max="24" width="11.5703125" style="695" bestFit="1" customWidth="1"/>
    <col min="25" max="16384" width="9.140625" style="695"/>
  </cols>
  <sheetData>
    <row r="1" spans="1:22" x14ac:dyDescent="0.25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7.850000000000001" customHeight="1" x14ac:dyDescent="0.3">
      <c r="A2" s="92"/>
      <c r="B2" s="88" t="str">
        <f>"Comparable Companies for "&amp;Parent_Name&amp;" - Pure-Play Solar Installation Companies Worldwide"</f>
        <v>Comparable Companies for SunPower Corporation - Pure-Play Solar Installation Companies Worldwide</v>
      </c>
      <c r="C2" s="696"/>
      <c r="D2" s="696"/>
      <c r="E2" s="696"/>
      <c r="F2" s="697"/>
      <c r="G2" s="697"/>
      <c r="H2" s="697"/>
      <c r="I2" s="697"/>
      <c r="J2" s="697"/>
      <c r="K2" s="697"/>
      <c r="L2" s="697"/>
      <c r="M2" s="697"/>
      <c r="N2" s="697"/>
      <c r="O2" s="697"/>
      <c r="P2" s="697"/>
      <c r="Q2" s="697"/>
      <c r="R2" s="698"/>
      <c r="S2" s="92"/>
      <c r="T2" s="92"/>
      <c r="U2" s="92"/>
      <c r="V2" s="92"/>
    </row>
    <row r="3" spans="1:22" x14ac:dyDescent="0.25">
      <c r="A3" s="92"/>
      <c r="B3" s="699" t="str">
        <f>SPWR!$B$3</f>
        <v>($ USD in Millions Except for Per-Share Figures and Other Per-Unit Data)</v>
      </c>
      <c r="C3" s="92"/>
      <c r="D3" s="93"/>
      <c r="E3" s="93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x14ac:dyDescent="0.25">
      <c r="A4" s="92"/>
      <c r="B4" s="94"/>
      <c r="C4" s="9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2"/>
      <c r="S4" s="92"/>
      <c r="T4" s="92"/>
      <c r="U4" s="92"/>
      <c r="V4" s="92"/>
    </row>
    <row r="5" spans="1:22" x14ac:dyDescent="0.25">
      <c r="A5" s="92"/>
      <c r="B5" s="95" t="s">
        <v>71</v>
      </c>
      <c r="C5" s="96"/>
      <c r="D5" s="96"/>
      <c r="E5" s="96"/>
      <c r="F5" s="97" t="s">
        <v>72</v>
      </c>
      <c r="G5" s="97"/>
      <c r="H5" s="97"/>
      <c r="I5" s="97"/>
      <c r="J5" s="97"/>
      <c r="K5" s="98"/>
      <c r="L5" s="99"/>
      <c r="M5" s="99"/>
      <c r="N5" s="99"/>
      <c r="O5" s="99"/>
      <c r="P5" s="99"/>
      <c r="Q5" s="99"/>
      <c r="R5" s="100" t="s">
        <v>14</v>
      </c>
      <c r="S5" s="100" t="s">
        <v>14</v>
      </c>
      <c r="T5" s="97"/>
      <c r="U5" s="97"/>
      <c r="V5" s="97"/>
    </row>
    <row r="6" spans="1:22" x14ac:dyDescent="0.25">
      <c r="A6" s="92"/>
      <c r="B6" s="99"/>
      <c r="C6" s="99"/>
      <c r="D6" s="100" t="s">
        <v>73</v>
      </c>
      <c r="E6" s="100" t="s">
        <v>74</v>
      </c>
      <c r="F6" s="100" t="s">
        <v>75</v>
      </c>
      <c r="G6" s="100"/>
      <c r="H6" s="100" t="s">
        <v>76</v>
      </c>
      <c r="I6" s="100" t="s">
        <v>77</v>
      </c>
      <c r="J6" s="100"/>
      <c r="K6" s="100" t="s">
        <v>78</v>
      </c>
      <c r="L6" s="97" t="s">
        <v>471</v>
      </c>
      <c r="M6" s="97"/>
      <c r="N6" s="97"/>
      <c r="O6" s="97" t="s">
        <v>80</v>
      </c>
      <c r="P6" s="97"/>
      <c r="Q6" s="97"/>
      <c r="R6" s="100" t="s">
        <v>79</v>
      </c>
      <c r="S6" s="100" t="s">
        <v>80</v>
      </c>
      <c r="T6" s="97" t="s">
        <v>81</v>
      </c>
      <c r="U6" s="97"/>
      <c r="V6" s="97"/>
    </row>
    <row r="7" spans="1:22" x14ac:dyDescent="0.25">
      <c r="A7" s="92"/>
      <c r="B7" s="102" t="s">
        <v>82</v>
      </c>
      <c r="C7" s="102" t="s">
        <v>83</v>
      </c>
      <c r="D7" s="103" t="s">
        <v>84</v>
      </c>
      <c r="E7" s="103" t="s">
        <v>85</v>
      </c>
      <c r="F7" s="103" t="s">
        <v>86</v>
      </c>
      <c r="G7" s="103" t="s">
        <v>203</v>
      </c>
      <c r="H7" s="103" t="s">
        <v>87</v>
      </c>
      <c r="I7" s="103" t="s">
        <v>88</v>
      </c>
      <c r="J7" s="103" t="s">
        <v>202</v>
      </c>
      <c r="K7" s="103" t="s">
        <v>86</v>
      </c>
      <c r="L7" s="104">
        <f>MAXN!G13</f>
        <v>44196</v>
      </c>
      <c r="M7" s="104">
        <f>MAXN!H13</f>
        <v>44561</v>
      </c>
      <c r="N7" s="104">
        <f>MAXN!I13</f>
        <v>44926</v>
      </c>
      <c r="O7" s="104">
        <f>$L$7</f>
        <v>44196</v>
      </c>
      <c r="P7" s="104">
        <f>$M$7</f>
        <v>44561</v>
      </c>
      <c r="Q7" s="104">
        <f>$N$7</f>
        <v>44926</v>
      </c>
      <c r="R7" s="103" t="s">
        <v>89</v>
      </c>
      <c r="S7" s="103" t="s">
        <v>89</v>
      </c>
      <c r="T7" s="104">
        <f>$L$7</f>
        <v>44196</v>
      </c>
      <c r="U7" s="104">
        <f>$M$7</f>
        <v>44561</v>
      </c>
      <c r="V7" s="104">
        <f>$N$7</f>
        <v>44926</v>
      </c>
    </row>
    <row r="8" spans="1:22" x14ac:dyDescent="0.25">
      <c r="A8" s="92"/>
      <c r="B8" s="92" t="s">
        <v>478</v>
      </c>
      <c r="C8" s="92" t="s">
        <v>480</v>
      </c>
      <c r="D8" s="105">
        <v>17.03</v>
      </c>
      <c r="E8" s="106">
        <v>119.4</v>
      </c>
      <c r="F8" s="107">
        <f t="shared" ref="F8:F9" si="0">D8*E8</f>
        <v>2033.3820000000003</v>
      </c>
      <c r="G8" s="108">
        <v>2725.7</v>
      </c>
      <c r="H8" s="108">
        <v>0</v>
      </c>
      <c r="I8" s="108">
        <v>673.3</v>
      </c>
      <c r="J8" s="108">
        <v>-269.60000000000002</v>
      </c>
      <c r="K8" s="107">
        <f t="shared" ref="K8:K9" si="1">+F8+SUM(G8:J8)</f>
        <v>5162.7820000000002</v>
      </c>
      <c r="L8" s="108">
        <v>903.9</v>
      </c>
      <c r="M8" s="108">
        <v>1074.5999999999999</v>
      </c>
      <c r="N8" s="108">
        <v>1205</v>
      </c>
      <c r="O8" s="108">
        <v>-26</v>
      </c>
      <c r="P8" s="108">
        <v>95.1</v>
      </c>
      <c r="Q8" s="108">
        <v>154.1</v>
      </c>
      <c r="R8" s="109">
        <f t="shared" ref="R8:R9" si="2">IFERROR(N8/M8-1,"N/A")</f>
        <v>0.1213474781313979</v>
      </c>
      <c r="S8" s="109">
        <f t="shared" ref="S8:S9" si="3">IFERROR(Q8/P8-1,"N/A")</f>
        <v>0.62039957939011581</v>
      </c>
      <c r="T8" s="109">
        <f t="shared" ref="T8:V9" si="4">O8/L8</f>
        <v>-2.8764243832282332E-2</v>
      </c>
      <c r="U8" s="109">
        <f t="shared" si="4"/>
        <v>8.8498045784477952E-2</v>
      </c>
      <c r="V8" s="109">
        <f t="shared" si="4"/>
        <v>0.12788381742738589</v>
      </c>
    </row>
    <row r="9" spans="1:22" x14ac:dyDescent="0.25">
      <c r="A9" s="92"/>
      <c r="B9" s="92" t="s">
        <v>479</v>
      </c>
      <c r="C9" s="92" t="s">
        <v>481</v>
      </c>
      <c r="D9" s="110">
        <v>8.16</v>
      </c>
      <c r="E9" s="106">
        <v>122.1</v>
      </c>
      <c r="F9" s="111">
        <f t="shared" si="0"/>
        <v>996.33600000000001</v>
      </c>
      <c r="G9" s="106">
        <v>1584.6</v>
      </c>
      <c r="H9" s="106">
        <v>0</v>
      </c>
      <c r="I9" s="106">
        <v>202.1</v>
      </c>
      <c r="J9" s="106">
        <v>-166</v>
      </c>
      <c r="K9" s="111">
        <f t="shared" si="1"/>
        <v>2617.0360000000001</v>
      </c>
      <c r="L9" s="106">
        <v>426.25</v>
      </c>
      <c r="M9" s="106">
        <v>517.89375000000007</v>
      </c>
      <c r="N9" s="106">
        <v>615.77566875000014</v>
      </c>
      <c r="O9" s="106">
        <v>-98.037500000000009</v>
      </c>
      <c r="P9" s="106">
        <v>-56.96831250000001</v>
      </c>
      <c r="Q9" s="106">
        <v>20.320597068750004</v>
      </c>
      <c r="R9" s="109">
        <f t="shared" si="2"/>
        <v>0.18900000000000006</v>
      </c>
      <c r="S9" s="109">
        <f t="shared" si="3"/>
        <v>-1.3567</v>
      </c>
      <c r="T9" s="109">
        <f t="shared" si="4"/>
        <v>-0.23</v>
      </c>
      <c r="U9" s="109">
        <f t="shared" si="4"/>
        <v>-0.11</v>
      </c>
      <c r="V9" s="109">
        <f t="shared" si="4"/>
        <v>3.3000000000000002E-2</v>
      </c>
    </row>
    <row r="10" spans="1:22" x14ac:dyDescent="0.25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</row>
    <row r="11" spans="1:22" x14ac:dyDescent="0.25">
      <c r="A11" s="92"/>
      <c r="B11" s="112" t="s">
        <v>90</v>
      </c>
      <c r="C11" s="113"/>
      <c r="D11" s="114">
        <f>MAX(D8:D9)</f>
        <v>17.03</v>
      </c>
      <c r="E11" s="114"/>
      <c r="F11" s="115">
        <f>MAX(F8:F9)</f>
        <v>2033.3820000000003</v>
      </c>
      <c r="G11" s="115"/>
      <c r="H11" s="115"/>
      <c r="I11" s="115"/>
      <c r="J11" s="115"/>
      <c r="K11" s="115">
        <f t="shared" ref="K11:V11" si="5">MAX(K8:K9)</f>
        <v>5162.7820000000002</v>
      </c>
      <c r="L11" s="115">
        <f t="shared" si="5"/>
        <v>903.9</v>
      </c>
      <c r="M11" s="115">
        <f t="shared" si="5"/>
        <v>1074.5999999999999</v>
      </c>
      <c r="N11" s="115">
        <f t="shared" si="5"/>
        <v>1205</v>
      </c>
      <c r="O11" s="115">
        <f t="shared" si="5"/>
        <v>-26</v>
      </c>
      <c r="P11" s="115">
        <f t="shared" si="5"/>
        <v>95.1</v>
      </c>
      <c r="Q11" s="115">
        <f t="shared" si="5"/>
        <v>154.1</v>
      </c>
      <c r="R11" s="116">
        <f t="shared" si="5"/>
        <v>0.18900000000000006</v>
      </c>
      <c r="S11" s="116">
        <f t="shared" si="5"/>
        <v>0.62039957939011581</v>
      </c>
      <c r="T11" s="116">
        <f t="shared" si="5"/>
        <v>-2.8764243832282332E-2</v>
      </c>
      <c r="U11" s="116">
        <f t="shared" si="5"/>
        <v>8.8498045784477952E-2</v>
      </c>
      <c r="V11" s="117">
        <f t="shared" si="5"/>
        <v>0.12788381742738589</v>
      </c>
    </row>
    <row r="12" spans="1:22" x14ac:dyDescent="0.25">
      <c r="A12" s="92"/>
      <c r="B12" s="118" t="s">
        <v>91</v>
      </c>
      <c r="C12" s="119"/>
      <c r="D12" s="120">
        <f>QUARTILE(D8:D9,3)</f>
        <v>14.8125</v>
      </c>
      <c r="E12" s="120"/>
      <c r="F12" s="121">
        <f>QUARTILE(F8:F9,3)</f>
        <v>1774.1205000000002</v>
      </c>
      <c r="G12" s="121"/>
      <c r="H12" s="121"/>
      <c r="I12" s="121"/>
      <c r="J12" s="121"/>
      <c r="K12" s="121">
        <f t="shared" ref="K12:V12" si="6">QUARTILE(K8:K9,3)</f>
        <v>4526.3455000000004</v>
      </c>
      <c r="L12" s="121">
        <f t="shared" si="6"/>
        <v>784.48749999999995</v>
      </c>
      <c r="M12" s="121">
        <f t="shared" si="6"/>
        <v>935.42343749999998</v>
      </c>
      <c r="N12" s="121">
        <f t="shared" si="6"/>
        <v>1057.6939171875001</v>
      </c>
      <c r="O12" s="121">
        <f t="shared" si="6"/>
        <v>-44.009375000000006</v>
      </c>
      <c r="P12" s="121">
        <f t="shared" si="6"/>
        <v>57.082921874999982</v>
      </c>
      <c r="Q12" s="121">
        <f t="shared" si="6"/>
        <v>120.6551492671875</v>
      </c>
      <c r="R12" s="109">
        <f t="shared" si="6"/>
        <v>0.17208686953284952</v>
      </c>
      <c r="S12" s="109">
        <f t="shared" si="6"/>
        <v>0.12612468454258696</v>
      </c>
      <c r="T12" s="109">
        <f t="shared" si="6"/>
        <v>-7.907318287421175E-2</v>
      </c>
      <c r="U12" s="109">
        <f t="shared" si="6"/>
        <v>3.8873534338358454E-2</v>
      </c>
      <c r="V12" s="122">
        <f t="shared" si="6"/>
        <v>0.10416286307053942</v>
      </c>
    </row>
    <row r="13" spans="1:22" x14ac:dyDescent="0.25">
      <c r="A13" s="92"/>
      <c r="B13" s="123" t="s">
        <v>92</v>
      </c>
      <c r="C13" s="124"/>
      <c r="D13" s="181">
        <f>MEDIAN(D8:D9)</f>
        <v>12.595000000000001</v>
      </c>
      <c r="E13" s="125"/>
      <c r="F13" s="182">
        <f>MEDIAN(F8:F9)</f>
        <v>1514.8590000000002</v>
      </c>
      <c r="G13" s="126"/>
      <c r="H13" s="126"/>
      <c r="I13" s="126"/>
      <c r="J13" s="126"/>
      <c r="K13" s="182">
        <f t="shared" ref="K13:V13" si="7">MEDIAN(K8:K9)</f>
        <v>3889.9090000000001</v>
      </c>
      <c r="L13" s="182">
        <f t="shared" si="7"/>
        <v>665.07500000000005</v>
      </c>
      <c r="M13" s="182">
        <f t="shared" si="7"/>
        <v>796.24687500000005</v>
      </c>
      <c r="N13" s="182">
        <f t="shared" si="7"/>
        <v>910.38783437500001</v>
      </c>
      <c r="O13" s="182">
        <f t="shared" si="7"/>
        <v>-62.018750000000004</v>
      </c>
      <c r="P13" s="182">
        <f t="shared" si="7"/>
        <v>19.065843749999985</v>
      </c>
      <c r="Q13" s="182">
        <f t="shared" si="7"/>
        <v>87.210298534374999</v>
      </c>
      <c r="R13" s="127">
        <f t="shared" si="7"/>
        <v>0.15517373906569898</v>
      </c>
      <c r="S13" s="127">
        <f t="shared" si="7"/>
        <v>-0.3681502103049421</v>
      </c>
      <c r="T13" s="127">
        <f t="shared" si="7"/>
        <v>-0.12938212191614118</v>
      </c>
      <c r="U13" s="127">
        <f t="shared" si="7"/>
        <v>-1.0750977107761031E-2</v>
      </c>
      <c r="V13" s="128">
        <f t="shared" si="7"/>
        <v>8.0441908713692944E-2</v>
      </c>
    </row>
    <row r="14" spans="1:22" x14ac:dyDescent="0.25">
      <c r="A14" s="92"/>
      <c r="B14" s="118" t="s">
        <v>93</v>
      </c>
      <c r="C14" s="129"/>
      <c r="D14" s="120">
        <f>QUARTILE(D8:D9,1)</f>
        <v>10.377500000000001</v>
      </c>
      <c r="E14" s="120"/>
      <c r="F14" s="121">
        <f>QUARTILE(F8:F9,1)</f>
        <v>1255.5975000000001</v>
      </c>
      <c r="G14" s="121"/>
      <c r="H14" s="121"/>
      <c r="I14" s="121"/>
      <c r="J14" s="121"/>
      <c r="K14" s="121">
        <f t="shared" ref="K14:V14" si="8">QUARTILE(K8:K9,1)</f>
        <v>3253.4724999999999</v>
      </c>
      <c r="L14" s="121">
        <f t="shared" si="8"/>
        <v>545.66250000000002</v>
      </c>
      <c r="M14" s="121">
        <f t="shared" si="8"/>
        <v>657.0703125</v>
      </c>
      <c r="N14" s="121">
        <f t="shared" si="8"/>
        <v>763.08175156250013</v>
      </c>
      <c r="O14" s="121">
        <f t="shared" si="8"/>
        <v>-80.028125000000003</v>
      </c>
      <c r="P14" s="121">
        <f t="shared" si="8"/>
        <v>-18.951234375000013</v>
      </c>
      <c r="Q14" s="121">
        <f t="shared" si="8"/>
        <v>53.765447801562502</v>
      </c>
      <c r="R14" s="109">
        <f t="shared" si="8"/>
        <v>0.13826060859854844</v>
      </c>
      <c r="S14" s="109">
        <f t="shared" si="8"/>
        <v>-0.86242510515247106</v>
      </c>
      <c r="T14" s="109">
        <f t="shared" si="8"/>
        <v>-0.17969106095807058</v>
      </c>
      <c r="U14" s="109">
        <f t="shared" si="8"/>
        <v>-6.0375488553880516E-2</v>
      </c>
      <c r="V14" s="122">
        <f t="shared" si="8"/>
        <v>5.6720954356846473E-2</v>
      </c>
    </row>
    <row r="15" spans="1:22" x14ac:dyDescent="0.25">
      <c r="A15" s="92"/>
      <c r="B15" s="130" t="s">
        <v>94</v>
      </c>
      <c r="C15" s="131"/>
      <c r="D15" s="132">
        <f>MIN(D8:D9)</f>
        <v>8.16</v>
      </c>
      <c r="E15" s="132"/>
      <c r="F15" s="133">
        <f>MIN(F8:F9)</f>
        <v>996.33600000000001</v>
      </c>
      <c r="G15" s="133"/>
      <c r="H15" s="133"/>
      <c r="I15" s="133"/>
      <c r="J15" s="133"/>
      <c r="K15" s="133">
        <f t="shared" ref="K15:V15" si="9">MIN(K8:K9)</f>
        <v>2617.0360000000001</v>
      </c>
      <c r="L15" s="133">
        <f t="shared" si="9"/>
        <v>426.25</v>
      </c>
      <c r="M15" s="133">
        <f t="shared" si="9"/>
        <v>517.89375000000007</v>
      </c>
      <c r="N15" s="133">
        <f t="shared" si="9"/>
        <v>615.77566875000014</v>
      </c>
      <c r="O15" s="133">
        <f t="shared" si="9"/>
        <v>-98.037500000000009</v>
      </c>
      <c r="P15" s="133">
        <f t="shared" si="9"/>
        <v>-56.96831250000001</v>
      </c>
      <c r="Q15" s="133">
        <f t="shared" si="9"/>
        <v>20.320597068750004</v>
      </c>
      <c r="R15" s="134">
        <f t="shared" si="9"/>
        <v>0.1213474781313979</v>
      </c>
      <c r="S15" s="134">
        <f t="shared" si="9"/>
        <v>-1.3567</v>
      </c>
      <c r="T15" s="134">
        <f t="shared" si="9"/>
        <v>-0.23</v>
      </c>
      <c r="U15" s="134">
        <f t="shared" si="9"/>
        <v>-0.11</v>
      </c>
      <c r="V15" s="135">
        <f t="shared" si="9"/>
        <v>3.3000000000000002E-2</v>
      </c>
    </row>
    <row r="16" spans="1:22" x14ac:dyDescent="0.25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</row>
    <row r="17" spans="1:25" x14ac:dyDescent="0.25">
      <c r="A17" s="92"/>
      <c r="B17" s="292" t="str">
        <f>Parent_Name</f>
        <v>SunPower Corporation</v>
      </c>
      <c r="C17" s="671" t="str">
        <f>Parent_Ticker</f>
        <v>SPWR</v>
      </c>
      <c r="D17" s="667"/>
      <c r="E17" s="668"/>
      <c r="F17" s="669">
        <f>SPWR_Adj!K17</f>
        <v>794.41068416999985</v>
      </c>
      <c r="G17" s="669">
        <f>SPWR_Adj!K23</f>
        <v>864.15914876300099</v>
      </c>
      <c r="H17" s="669">
        <f>SPWR_Adj!K24</f>
        <v>0</v>
      </c>
      <c r="I17" s="669">
        <f>SUM(SPWR_Adj!K25:K27)+SUM(SPWR_Adj!K19:K22)</f>
        <v>-218.42951044753576</v>
      </c>
      <c r="J17" s="669">
        <f>SPWR_Adj!K18</f>
        <v>-574.34399999999994</v>
      </c>
      <c r="K17" s="669">
        <f t="shared" ref="K17" si="10">+F17+SUM(G17:J17)</f>
        <v>865.79632248546511</v>
      </c>
      <c r="L17" s="669">
        <f>SPWR_Adj!G40</f>
        <v>1395.0798631410003</v>
      </c>
      <c r="M17" s="669">
        <f>SPWR_Adj!K40</f>
        <v>1397.7846201364091</v>
      </c>
      <c r="N17" s="669">
        <f>SPWR_Adj!L40</f>
        <v>1639.0167246535086</v>
      </c>
      <c r="O17" s="669">
        <f>SPWR_Adj!G214</f>
        <v>-63.875121944705739</v>
      </c>
      <c r="P17" s="669">
        <f>SPWR_Adj!K214</f>
        <v>141.90127553872111</v>
      </c>
      <c r="Q17" s="669">
        <f>SPWR_Adj!L214</f>
        <v>216.26665958681198</v>
      </c>
      <c r="R17" s="670">
        <f t="shared" ref="R17" si="11">IFERROR(N17/M17-1,"N/A")</f>
        <v>0.17258174188063236</v>
      </c>
      <c r="S17" s="670">
        <f t="shared" ref="S17" si="12">IFERROR(Q17/P17-1,"N/A")</f>
        <v>0.52406423949162129</v>
      </c>
      <c r="T17" s="670">
        <f t="shared" ref="T17" si="13">O17/L17</f>
        <v>-4.578599665318938E-2</v>
      </c>
      <c r="U17" s="670">
        <f t="shared" ref="U17" si="14">P17/M17</f>
        <v>0.1015186985852463</v>
      </c>
      <c r="V17" s="673">
        <f t="shared" ref="V17" si="15">Q17/N17</f>
        <v>0.13194902549425247</v>
      </c>
      <c r="W17" s="672"/>
      <c r="X17" s="672"/>
      <c r="Y17" s="672"/>
    </row>
    <row r="18" spans="1:25" x14ac:dyDescent="0.25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</row>
    <row r="19" spans="1:25" x14ac:dyDescent="0.25">
      <c r="A19" s="92"/>
      <c r="B19" s="96" t="s">
        <v>95</v>
      </c>
      <c r="C19" s="96"/>
      <c r="D19" s="136"/>
      <c r="E19" s="136"/>
      <c r="F19" s="97" t="s">
        <v>72</v>
      </c>
      <c r="G19" s="97"/>
      <c r="H19" s="97"/>
      <c r="I19" s="97"/>
      <c r="J19" s="97"/>
      <c r="K19" s="98"/>
      <c r="L19" s="97" t="s">
        <v>96</v>
      </c>
      <c r="M19" s="98"/>
      <c r="N19" s="98"/>
      <c r="O19" s="97" t="s">
        <v>96</v>
      </c>
      <c r="P19" s="98"/>
      <c r="Q19" s="98"/>
      <c r="R19" s="92"/>
      <c r="S19" s="92"/>
      <c r="T19" s="92"/>
      <c r="U19" s="92"/>
      <c r="V19" s="92"/>
    </row>
    <row r="20" spans="1:25" x14ac:dyDescent="0.25">
      <c r="A20" s="92"/>
      <c r="B20" s="99"/>
      <c r="C20" s="99"/>
      <c r="D20" s="100"/>
      <c r="E20" s="100"/>
      <c r="F20" s="100" t="s">
        <v>75</v>
      </c>
      <c r="G20" s="100"/>
      <c r="H20" s="100"/>
      <c r="I20" s="100"/>
      <c r="J20" s="100"/>
      <c r="K20" s="100" t="s">
        <v>78</v>
      </c>
      <c r="L20" s="97" t="s">
        <v>79</v>
      </c>
      <c r="M20" s="98"/>
      <c r="N20" s="98"/>
      <c r="O20" s="97" t="s">
        <v>80</v>
      </c>
      <c r="P20" s="101"/>
      <c r="Q20" s="101"/>
      <c r="R20" s="137"/>
      <c r="S20" s="137"/>
      <c r="T20" s="137"/>
      <c r="U20" s="137"/>
      <c r="V20" s="137"/>
    </row>
    <row r="21" spans="1:25" x14ac:dyDescent="0.25">
      <c r="A21" s="92"/>
      <c r="B21" s="102" t="s">
        <v>82</v>
      </c>
      <c r="C21" s="102"/>
      <c r="D21" s="103"/>
      <c r="E21" s="103"/>
      <c r="F21" s="103" t="s">
        <v>86</v>
      </c>
      <c r="G21" s="103"/>
      <c r="H21" s="103"/>
      <c r="I21" s="103"/>
      <c r="J21" s="103"/>
      <c r="K21" s="103" t="s">
        <v>86</v>
      </c>
      <c r="L21" s="104">
        <f>$L$7</f>
        <v>44196</v>
      </c>
      <c r="M21" s="104">
        <f>+$M$7</f>
        <v>44561</v>
      </c>
      <c r="N21" s="104">
        <f>+$N$7</f>
        <v>44926</v>
      </c>
      <c r="O21" s="104">
        <f>$L$7</f>
        <v>44196</v>
      </c>
      <c r="P21" s="104">
        <f>+M7</f>
        <v>44561</v>
      </c>
      <c r="Q21" s="104">
        <f>+$N$7</f>
        <v>44926</v>
      </c>
      <c r="R21" s="138"/>
      <c r="S21" s="138"/>
      <c r="T21" s="138"/>
      <c r="U21" s="138"/>
      <c r="V21" s="138"/>
    </row>
    <row r="22" spans="1:25" x14ac:dyDescent="0.25">
      <c r="A22" s="92"/>
      <c r="B22" s="92" t="str">
        <f>+B8</f>
        <v>Sunrun Inc.</v>
      </c>
      <c r="C22" s="92" t="str">
        <f>+C8</f>
        <v>NasdaqGS:RUN</v>
      </c>
      <c r="D22" s="105"/>
      <c r="E22" s="106"/>
      <c r="F22" s="107">
        <f>+F8</f>
        <v>2033.3820000000003</v>
      </c>
      <c r="G22" s="108"/>
      <c r="H22" s="108"/>
      <c r="I22" s="108"/>
      <c r="J22" s="108"/>
      <c r="K22" s="107">
        <f>+K8</f>
        <v>5162.7820000000002</v>
      </c>
      <c r="L22" s="139">
        <f t="shared" ref="L22:Q23" si="16">IFERROR(IF(OR(+$K8/L8&lt;0,+$K8/L8&gt;=100),"NM",+$K8/L8),"N/A")</f>
        <v>5.7116738577276251</v>
      </c>
      <c r="M22" s="139">
        <f t="shared" si="16"/>
        <v>4.8043755816117635</v>
      </c>
      <c r="N22" s="139">
        <f t="shared" si="16"/>
        <v>4.2844663900414943</v>
      </c>
      <c r="O22" s="139" t="str">
        <f t="shared" si="16"/>
        <v>NM</v>
      </c>
      <c r="P22" s="139">
        <f t="shared" si="16"/>
        <v>54.287928496319665</v>
      </c>
      <c r="Q22" s="139">
        <f t="shared" si="16"/>
        <v>33.50280337443219</v>
      </c>
      <c r="R22" s="92"/>
      <c r="S22" s="92"/>
      <c r="T22" s="92"/>
      <c r="U22" s="92"/>
      <c r="V22" s="92"/>
    </row>
    <row r="23" spans="1:25" x14ac:dyDescent="0.25">
      <c r="A23" s="92"/>
      <c r="B23" s="92" t="str">
        <f>+B9</f>
        <v>Vivint Solar, Inc.</v>
      </c>
      <c r="C23" s="92" t="str">
        <f>+C9</f>
        <v>NYSE:VLSR</v>
      </c>
      <c r="D23" s="110"/>
      <c r="E23" s="106"/>
      <c r="F23" s="111">
        <f>+F9</f>
        <v>996.33600000000001</v>
      </c>
      <c r="G23" s="106"/>
      <c r="H23" s="106"/>
      <c r="I23" s="106"/>
      <c r="J23" s="106"/>
      <c r="K23" s="111">
        <f>+K9</f>
        <v>2617.0360000000001</v>
      </c>
      <c r="L23" s="139">
        <f t="shared" si="16"/>
        <v>6.1396739002932552</v>
      </c>
      <c r="M23" s="139">
        <f t="shared" si="16"/>
        <v>5.0532295475664641</v>
      </c>
      <c r="N23" s="139">
        <f t="shared" si="16"/>
        <v>4.2499827986261263</v>
      </c>
      <c r="O23" s="139" t="str">
        <f t="shared" si="16"/>
        <v>NM</v>
      </c>
      <c r="P23" s="139" t="str">
        <f t="shared" si="16"/>
        <v>NM</v>
      </c>
      <c r="Q23" s="139" t="str">
        <f t="shared" si="16"/>
        <v>NM</v>
      </c>
      <c r="R23" s="92"/>
      <c r="S23" s="92"/>
      <c r="T23" s="92"/>
      <c r="U23" s="92"/>
      <c r="V23" s="92"/>
    </row>
    <row r="24" spans="1:25" x14ac:dyDescent="0.2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</row>
    <row r="25" spans="1:25" x14ac:dyDescent="0.25">
      <c r="A25" s="92"/>
      <c r="B25" s="112" t="s">
        <v>90</v>
      </c>
      <c r="C25" s="113"/>
      <c r="D25" s="114"/>
      <c r="E25" s="114"/>
      <c r="F25" s="115">
        <f>MAX(F22:F23)</f>
        <v>2033.3820000000003</v>
      </c>
      <c r="G25" s="115"/>
      <c r="H25" s="115"/>
      <c r="I25" s="115"/>
      <c r="J25" s="115"/>
      <c r="K25" s="115">
        <f t="shared" ref="K25:Q25" si="17">MAX(K22:K23)</f>
        <v>5162.7820000000002</v>
      </c>
      <c r="L25" s="140">
        <f t="shared" si="17"/>
        <v>6.1396739002932552</v>
      </c>
      <c r="M25" s="140">
        <f t="shared" si="17"/>
        <v>5.0532295475664641</v>
      </c>
      <c r="N25" s="140">
        <f t="shared" si="17"/>
        <v>4.2844663900414943</v>
      </c>
      <c r="O25" s="140">
        <f t="shared" si="17"/>
        <v>0</v>
      </c>
      <c r="P25" s="140">
        <f t="shared" si="17"/>
        <v>54.287928496319665</v>
      </c>
      <c r="Q25" s="141">
        <f t="shared" si="17"/>
        <v>33.50280337443219</v>
      </c>
      <c r="R25" s="92"/>
      <c r="S25" s="92"/>
      <c r="T25" s="92"/>
      <c r="U25" s="92"/>
      <c r="V25" s="92"/>
    </row>
    <row r="26" spans="1:25" x14ac:dyDescent="0.25">
      <c r="A26" s="92"/>
      <c r="B26" s="118" t="s">
        <v>91</v>
      </c>
      <c r="C26" s="119"/>
      <c r="D26" s="120"/>
      <c r="E26" s="120"/>
      <c r="F26" s="121">
        <f>QUARTILE(F22:F23,3)</f>
        <v>1774.1205000000002</v>
      </c>
      <c r="G26" s="121"/>
      <c r="H26" s="121"/>
      <c r="I26" s="121"/>
      <c r="J26" s="121"/>
      <c r="K26" s="121">
        <f t="shared" ref="K26:Q26" si="18">QUARTILE(K22:K23,3)</f>
        <v>4526.3455000000004</v>
      </c>
      <c r="L26" s="139">
        <f t="shared" si="18"/>
        <v>6.0326738896518481</v>
      </c>
      <c r="M26" s="139">
        <f t="shared" si="18"/>
        <v>4.9910160560777888</v>
      </c>
      <c r="N26" s="139">
        <f t="shared" si="18"/>
        <v>4.2758454921876528</v>
      </c>
      <c r="O26" s="139" t="e">
        <f t="shared" si="18"/>
        <v>#NUM!</v>
      </c>
      <c r="P26" s="139">
        <f t="shared" si="18"/>
        <v>54.287928496319665</v>
      </c>
      <c r="Q26" s="142">
        <f t="shared" si="18"/>
        <v>33.50280337443219</v>
      </c>
      <c r="R26" s="92"/>
      <c r="S26" s="92"/>
      <c r="T26" s="92"/>
      <c r="U26" s="92"/>
      <c r="V26" s="92"/>
    </row>
    <row r="27" spans="1:25" x14ac:dyDescent="0.25">
      <c r="A27" s="92"/>
      <c r="B27" s="123" t="s">
        <v>92</v>
      </c>
      <c r="C27" s="124"/>
      <c r="D27" s="125"/>
      <c r="E27" s="125"/>
      <c r="F27" s="182">
        <f>MEDIAN(F22:F23)</f>
        <v>1514.8590000000002</v>
      </c>
      <c r="G27" s="126"/>
      <c r="H27" s="126"/>
      <c r="I27" s="126"/>
      <c r="J27" s="126"/>
      <c r="K27" s="182">
        <f t="shared" ref="K27:Q27" si="19">MEDIAN(K22:K23)</f>
        <v>3889.9090000000001</v>
      </c>
      <c r="L27" s="143">
        <f t="shared" si="19"/>
        <v>5.9256738790104402</v>
      </c>
      <c r="M27" s="143">
        <f t="shared" si="19"/>
        <v>4.9288025645891143</v>
      </c>
      <c r="N27" s="143">
        <f t="shared" si="19"/>
        <v>4.2672245943338103</v>
      </c>
      <c r="O27" s="143" t="e">
        <f t="shared" si="19"/>
        <v>#NUM!</v>
      </c>
      <c r="P27" s="143">
        <f t="shared" si="19"/>
        <v>54.287928496319665</v>
      </c>
      <c r="Q27" s="144">
        <f t="shared" si="19"/>
        <v>33.50280337443219</v>
      </c>
      <c r="R27" s="92"/>
      <c r="S27" s="92"/>
      <c r="T27" s="92"/>
      <c r="U27" s="92"/>
      <c r="V27" s="92"/>
    </row>
    <row r="28" spans="1:25" x14ac:dyDescent="0.25">
      <c r="A28" s="92"/>
      <c r="B28" s="118" t="s">
        <v>93</v>
      </c>
      <c r="C28" s="129"/>
      <c r="D28" s="120"/>
      <c r="E28" s="120"/>
      <c r="F28" s="121">
        <f>QUARTILE(F22:F23,1)</f>
        <v>1255.5975000000001</v>
      </c>
      <c r="G28" s="121"/>
      <c r="H28" s="121"/>
      <c r="I28" s="121"/>
      <c r="J28" s="121"/>
      <c r="K28" s="121">
        <f t="shared" ref="K28:Q28" si="20">QUARTILE(K22:K23,1)</f>
        <v>3253.4724999999999</v>
      </c>
      <c r="L28" s="139">
        <f t="shared" si="20"/>
        <v>5.8186738683690322</v>
      </c>
      <c r="M28" s="139">
        <f t="shared" si="20"/>
        <v>4.8665890731004389</v>
      </c>
      <c r="N28" s="139">
        <f t="shared" si="20"/>
        <v>4.2586036964799678</v>
      </c>
      <c r="O28" s="139" t="e">
        <f t="shared" si="20"/>
        <v>#NUM!</v>
      </c>
      <c r="P28" s="139">
        <f t="shared" si="20"/>
        <v>54.287928496319665</v>
      </c>
      <c r="Q28" s="142">
        <f t="shared" si="20"/>
        <v>33.50280337443219</v>
      </c>
      <c r="R28" s="92"/>
      <c r="S28" s="92"/>
      <c r="T28" s="92"/>
      <c r="U28" s="92"/>
      <c r="V28" s="92"/>
    </row>
    <row r="29" spans="1:25" x14ac:dyDescent="0.25">
      <c r="A29" s="92"/>
      <c r="B29" s="130" t="s">
        <v>94</v>
      </c>
      <c r="C29" s="131"/>
      <c r="D29" s="132"/>
      <c r="E29" s="132"/>
      <c r="F29" s="133">
        <f>MIN(F22:F23)</f>
        <v>996.33600000000001</v>
      </c>
      <c r="G29" s="133"/>
      <c r="H29" s="133"/>
      <c r="I29" s="133"/>
      <c r="J29" s="133"/>
      <c r="K29" s="133">
        <f t="shared" ref="K29:Q29" si="21">MIN(K22:K23)</f>
        <v>2617.0360000000001</v>
      </c>
      <c r="L29" s="145">
        <f t="shared" si="21"/>
        <v>5.7116738577276251</v>
      </c>
      <c r="M29" s="145">
        <f t="shared" si="21"/>
        <v>4.8043755816117635</v>
      </c>
      <c r="N29" s="145">
        <f t="shared" si="21"/>
        <v>4.2499827986261263</v>
      </c>
      <c r="O29" s="145">
        <f t="shared" si="21"/>
        <v>0</v>
      </c>
      <c r="P29" s="145">
        <f t="shared" si="21"/>
        <v>54.287928496319665</v>
      </c>
      <c r="Q29" s="146">
        <f t="shared" si="21"/>
        <v>33.50280337443219</v>
      </c>
      <c r="R29" s="92"/>
      <c r="S29" s="92"/>
      <c r="T29" s="92"/>
      <c r="U29" s="92"/>
      <c r="V29" s="92"/>
    </row>
    <row r="30" spans="1:25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5" x14ac:dyDescent="0.25">
      <c r="A31" s="92"/>
      <c r="B31" s="292" t="str">
        <f>Parent_Name</f>
        <v>SunPower Corporation</v>
      </c>
      <c r="C31" s="671" t="str">
        <f>Parent_Ticker</f>
        <v>SPWR</v>
      </c>
      <c r="D31" s="667"/>
      <c r="E31" s="667"/>
      <c r="F31" s="294">
        <f>F17</f>
        <v>794.41068416999985</v>
      </c>
      <c r="G31" s="295"/>
      <c r="H31" s="295"/>
      <c r="I31" s="295"/>
      <c r="J31" s="295"/>
      <c r="K31" s="294">
        <f>K17</f>
        <v>865.79632248546511</v>
      </c>
      <c r="L31" s="674">
        <f t="shared" ref="L31:Q31" si="22">IFERROR(IF(OR(+$K17/L17&lt;0,+$K17/L17&gt;=100),"NM",+$K17/L17),"N/A")</f>
        <v>0.62060699559961996</v>
      </c>
      <c r="M31" s="674">
        <f t="shared" si="22"/>
        <v>0.61940610163601062</v>
      </c>
      <c r="N31" s="674">
        <f t="shared" si="22"/>
        <v>0.52824129825063026</v>
      </c>
      <c r="O31" s="674" t="str">
        <f t="shared" si="22"/>
        <v>NM</v>
      </c>
      <c r="P31" s="674">
        <f t="shared" si="22"/>
        <v>6.1013991537321468</v>
      </c>
      <c r="Q31" s="681">
        <f t="shared" si="22"/>
        <v>4.0033740019826043</v>
      </c>
      <c r="R31" s="675"/>
      <c r="S31" s="675"/>
      <c r="T31" s="675"/>
      <c r="U31" s="92"/>
      <c r="V31" s="92"/>
    </row>
    <row r="32" spans="1:25" x14ac:dyDescent="0.25">
      <c r="L32" s="92"/>
      <c r="M32" s="92"/>
      <c r="N32" s="92"/>
      <c r="O32" s="92"/>
      <c r="P32" s="92"/>
      <c r="Q32" s="92"/>
    </row>
    <row r="34" spans="19:32" x14ac:dyDescent="0.25">
      <c r="S34" s="803"/>
      <c r="T34" s="804"/>
      <c r="U34" s="804"/>
      <c r="V34" s="804"/>
      <c r="W34" s="804"/>
      <c r="X34" s="804"/>
      <c r="Y34" s="804"/>
      <c r="Z34" s="804"/>
      <c r="AA34" s="804"/>
      <c r="AB34" s="804"/>
      <c r="AC34" s="804"/>
      <c r="AD34" s="804"/>
    </row>
    <row r="35" spans="19:32" x14ac:dyDescent="0.25">
      <c r="S35" s="804"/>
      <c r="T35" s="805"/>
      <c r="U35" s="806"/>
      <c r="V35" s="804"/>
      <c r="X35" s="805"/>
      <c r="Y35" s="806"/>
      <c r="Z35" s="804"/>
      <c r="AA35" s="805"/>
      <c r="AB35" s="806"/>
      <c r="AC35" s="804"/>
      <c r="AD35" s="805"/>
      <c r="AE35" s="805"/>
    </row>
    <row r="36" spans="19:32" x14ac:dyDescent="0.25">
      <c r="S36" s="804"/>
      <c r="T36" s="814"/>
      <c r="U36" s="814"/>
      <c r="V36" s="815"/>
      <c r="W36" s="816"/>
      <c r="X36" s="817"/>
      <c r="Y36" s="817"/>
      <c r="Z36" s="815"/>
      <c r="AA36" s="817"/>
      <c r="AB36" s="817"/>
      <c r="AC36" s="815"/>
      <c r="AD36" s="817"/>
      <c r="AE36" s="817"/>
    </row>
    <row r="37" spans="19:32" x14ac:dyDescent="0.25">
      <c r="S37" s="804"/>
      <c r="T37" s="807"/>
      <c r="U37" s="807"/>
      <c r="V37" s="804"/>
      <c r="X37" s="807"/>
      <c r="Y37" s="807"/>
      <c r="Z37" s="808"/>
      <c r="AA37" s="809"/>
      <c r="AB37" s="809"/>
      <c r="AC37" s="804"/>
      <c r="AD37" s="809"/>
      <c r="AE37" s="809"/>
    </row>
    <row r="38" spans="19:32" x14ac:dyDescent="0.25">
      <c r="S38" s="804"/>
      <c r="T38" s="810"/>
      <c r="U38" s="810"/>
      <c r="V38" s="804"/>
      <c r="X38" s="810"/>
      <c r="Y38" s="810"/>
      <c r="Z38" s="808"/>
      <c r="AA38" s="809"/>
      <c r="AB38" s="809"/>
      <c r="AC38" s="804"/>
      <c r="AD38" s="809"/>
      <c r="AE38" s="809"/>
    </row>
    <row r="39" spans="19:32" x14ac:dyDescent="0.25">
      <c r="S39" s="804"/>
      <c r="T39" s="810"/>
      <c r="U39" s="810"/>
      <c r="V39" s="804"/>
      <c r="X39" s="810"/>
      <c r="Y39" s="810"/>
      <c r="Z39" s="808"/>
      <c r="AA39" s="809"/>
      <c r="AB39" s="809"/>
      <c r="AC39" s="804"/>
      <c r="AD39" s="809"/>
      <c r="AE39" s="809"/>
    </row>
    <row r="40" spans="19:32" x14ac:dyDescent="0.25">
      <c r="S40" s="804"/>
      <c r="T40" s="810"/>
      <c r="U40" s="810"/>
      <c r="V40" s="804"/>
      <c r="X40" s="810"/>
      <c r="Y40" s="810"/>
      <c r="Z40" s="808"/>
      <c r="AA40" s="809"/>
      <c r="AB40" s="809"/>
      <c r="AC40" s="804"/>
      <c r="AD40" s="809"/>
      <c r="AE40" s="809"/>
    </row>
    <row r="41" spans="19:32" x14ac:dyDescent="0.25">
      <c r="S41" s="804"/>
      <c r="T41" s="810"/>
      <c r="U41" s="810"/>
      <c r="V41" s="804"/>
      <c r="X41" s="810"/>
      <c r="Y41" s="810"/>
      <c r="Z41" s="808"/>
      <c r="AA41" s="809"/>
      <c r="AB41" s="809"/>
      <c r="AC41" s="804"/>
      <c r="AD41" s="809"/>
      <c r="AE41" s="809"/>
    </row>
    <row r="42" spans="19:32" x14ac:dyDescent="0.25">
      <c r="S42" s="804"/>
      <c r="T42" s="810"/>
      <c r="U42" s="810"/>
      <c r="V42" s="804"/>
      <c r="X42" s="810"/>
      <c r="Y42" s="810"/>
      <c r="Z42" s="808"/>
      <c r="AA42" s="809"/>
      <c r="AB42" s="809"/>
      <c r="AC42" s="804"/>
      <c r="AD42" s="809"/>
      <c r="AE42" s="809"/>
    </row>
    <row r="43" spans="19:32" x14ac:dyDescent="0.25">
      <c r="S43" s="804"/>
      <c r="T43" s="804"/>
      <c r="U43" s="804"/>
      <c r="V43" s="804"/>
      <c r="X43" s="804"/>
      <c r="Y43" s="804"/>
      <c r="Z43" s="804"/>
      <c r="AA43" s="804"/>
      <c r="AB43" s="804"/>
      <c r="AC43" s="804"/>
      <c r="AD43" s="804"/>
      <c r="AE43" s="804"/>
    </row>
    <row r="44" spans="19:32" x14ac:dyDescent="0.25">
      <c r="S44" s="803" t="s">
        <v>592</v>
      </c>
      <c r="T44" s="804"/>
      <c r="U44" s="804"/>
      <c r="V44" s="804"/>
      <c r="X44" s="804"/>
      <c r="Y44" s="804"/>
      <c r="Z44" s="804"/>
      <c r="AA44" s="804"/>
      <c r="AB44" s="804"/>
      <c r="AC44" s="804"/>
      <c r="AD44" s="804"/>
      <c r="AE44" s="804"/>
    </row>
    <row r="45" spans="19:32" x14ac:dyDescent="0.25">
      <c r="S45" s="804"/>
      <c r="T45" s="805" t="s">
        <v>15</v>
      </c>
      <c r="U45" s="806"/>
      <c r="V45" s="804"/>
      <c r="X45" s="805" t="s">
        <v>593</v>
      </c>
      <c r="Y45" s="806"/>
      <c r="Z45" s="804"/>
      <c r="AC45" s="815"/>
      <c r="AD45" s="819"/>
      <c r="AE45" s="819"/>
      <c r="AF45" s="816"/>
    </row>
    <row r="46" spans="19:32" x14ac:dyDescent="0.25">
      <c r="S46" s="804"/>
      <c r="T46" s="207" t="s">
        <v>597</v>
      </c>
      <c r="U46" s="811" t="s">
        <v>594</v>
      </c>
      <c r="V46" s="804"/>
      <c r="X46" s="822">
        <f>N21</f>
        <v>44926</v>
      </c>
      <c r="Y46" s="811" t="s">
        <v>594</v>
      </c>
      <c r="Z46" s="804"/>
      <c r="AC46" s="815"/>
      <c r="AD46" s="817"/>
      <c r="AE46" s="818"/>
      <c r="AF46" s="816"/>
    </row>
    <row r="47" spans="19:32" x14ac:dyDescent="0.25">
      <c r="S47" s="804" t="s">
        <v>595</v>
      </c>
      <c r="T47" s="812">
        <f>R8</f>
        <v>0.1213474781313979</v>
      </c>
      <c r="U47" s="812" t="e">
        <f>IF($S47=Parent_Ticker,T47,NA())</f>
        <v>#N/A</v>
      </c>
      <c r="V47" s="804"/>
      <c r="X47" s="813">
        <f>N22</f>
        <v>4.2844663900414943</v>
      </c>
      <c r="Y47" s="813" t="e">
        <f>IF($S47=Parent_Ticker,X47,NA())</f>
        <v>#N/A</v>
      </c>
      <c r="Z47" s="804"/>
      <c r="AC47" s="815"/>
      <c r="AD47" s="820"/>
      <c r="AE47" s="821"/>
      <c r="AF47" s="816"/>
    </row>
    <row r="48" spans="19:32" x14ac:dyDescent="0.25">
      <c r="S48" s="804" t="s">
        <v>596</v>
      </c>
      <c r="T48" s="812">
        <f t="shared" ref="T48" si="23">R9</f>
        <v>0.18900000000000006</v>
      </c>
      <c r="U48" s="812" t="e">
        <f>IF($S48=Parent_Ticker,T48,NA())</f>
        <v>#N/A</v>
      </c>
      <c r="V48" s="804"/>
      <c r="X48" s="813">
        <f t="shared" ref="X48" si="24">N23</f>
        <v>4.2499827986261263</v>
      </c>
      <c r="Y48" s="813" t="e">
        <f>IF($S48=Parent_Ticker,X48,NA())</f>
        <v>#N/A</v>
      </c>
      <c r="Z48" s="804"/>
      <c r="AC48" s="815"/>
      <c r="AD48" s="820"/>
      <c r="AE48" s="821"/>
      <c r="AF48" s="816"/>
    </row>
    <row r="49" spans="19:32" x14ac:dyDescent="0.25">
      <c r="S49" s="804" t="s">
        <v>265</v>
      </c>
      <c r="T49" s="812">
        <f>R17</f>
        <v>0.17258174188063236</v>
      </c>
      <c r="U49" s="812">
        <f>IF($S49=Parent_Ticker,T49,NA())</f>
        <v>0.17258174188063236</v>
      </c>
      <c r="V49" s="804"/>
      <c r="X49" s="813">
        <f>N31</f>
        <v>0.52824129825063026</v>
      </c>
      <c r="Y49" s="813">
        <f>IF($S49=Parent_Ticker,X49,NA())</f>
        <v>0.52824129825063026</v>
      </c>
      <c r="Z49" s="804"/>
      <c r="AC49" s="815"/>
      <c r="AD49" s="820"/>
      <c r="AE49" s="821"/>
      <c r="AF49" s="816"/>
    </row>
    <row r="50" spans="19:32" x14ac:dyDescent="0.25">
      <c r="S50" s="804"/>
      <c r="T50" s="812"/>
      <c r="U50" s="812"/>
      <c r="V50" s="804"/>
      <c r="X50" s="812"/>
      <c r="Y50" s="812"/>
      <c r="Z50" s="804"/>
      <c r="AA50" s="813"/>
      <c r="AB50" s="813"/>
      <c r="AC50" s="815"/>
      <c r="AD50" s="820"/>
      <c r="AE50" s="821"/>
      <c r="AF50" s="816"/>
    </row>
    <row r="51" spans="19:32" x14ac:dyDescent="0.25">
      <c r="S51" s="804"/>
      <c r="T51" s="812"/>
      <c r="U51" s="812"/>
      <c r="V51" s="804"/>
      <c r="X51" s="812"/>
      <c r="Y51" s="812"/>
      <c r="Z51" s="804"/>
      <c r="AA51" s="813"/>
      <c r="AB51" s="813"/>
      <c r="AC51" s="804"/>
      <c r="AD51" s="809"/>
      <c r="AE51" s="813"/>
    </row>
    <row r="52" spans="19:32" x14ac:dyDescent="0.25">
      <c r="S52" s="804"/>
      <c r="T52" s="812"/>
      <c r="U52" s="812"/>
      <c r="V52" s="804"/>
      <c r="X52" s="812"/>
      <c r="Y52" s="812"/>
      <c r="Z52" s="804"/>
      <c r="AA52" s="813"/>
      <c r="AB52" s="813"/>
      <c r="AC52" s="804"/>
      <c r="AD52" s="809"/>
      <c r="AE52" s="813"/>
    </row>
  </sheetData>
  <pageMargins left="0.7" right="0.7" top="0.75" bottom="0.75" header="0.3" footer="0.3"/>
  <pageSetup scale="38" orientation="portrait" horizontalDpi="1200" verticalDpi="1200" r:id="rId1"/>
  <ignoredErrors>
    <ignoredError sqref="O26:Q29" evalErro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2A8C-1A5E-480B-89BE-017037C686E3}">
  <sheetPr>
    <pageSetUpPr autoPageBreaks="0"/>
  </sheetPr>
  <dimension ref="B1:AA47"/>
  <sheetViews>
    <sheetView showGridLines="0" zoomScaleNormal="100" workbookViewId="0">
      <selection activeCell="B2" sqref="B2"/>
    </sheetView>
  </sheetViews>
  <sheetFormatPr defaultColWidth="9.140625" defaultRowHeight="15.75" outlineLevelCol="1" x14ac:dyDescent="0.25"/>
  <cols>
    <col min="1" max="1" width="2.7109375" style="177" customWidth="1"/>
    <col min="2" max="2" width="43.140625" style="177" customWidth="1"/>
    <col min="3" max="3" width="15.5703125" style="177" hidden="1" customWidth="1" outlineLevel="1"/>
    <col min="4" max="4" width="12.7109375" style="177" customWidth="1" collapsed="1"/>
    <col min="5" max="12" width="12.7109375" style="177" customWidth="1"/>
    <col min="13" max="14" width="2.7109375" style="177" customWidth="1"/>
    <col min="15" max="23" width="10.7109375" style="177" customWidth="1"/>
    <col min="24" max="16384" width="9.140625" style="177"/>
  </cols>
  <sheetData>
    <row r="1" spans="2:27" ht="15.75" customHeight="1" x14ac:dyDescent="0.25"/>
    <row r="2" spans="2:27" ht="15.75" customHeight="1" x14ac:dyDescent="0.3">
      <c r="B2" s="276" t="str">
        <f>"WACC Analysis - "&amp;TEXT(Parent_Name,"")</f>
        <v>WACC Analysis - SunPower Corporation</v>
      </c>
      <c r="C2" s="249"/>
    </row>
    <row r="3" spans="2:27" ht="15.75" customHeight="1" x14ac:dyDescent="0.25">
      <c r="B3" s="391" t="str">
        <f>SPWR!$B$3</f>
        <v>($ USD in Millions Except for Per-Share Figures and Other Per-Unit Data)</v>
      </c>
    </row>
    <row r="4" spans="2:27" ht="15.75" customHeight="1" x14ac:dyDescent="0.25">
      <c r="AA4" s="92"/>
    </row>
    <row r="5" spans="2:27" ht="15.75" customHeight="1" x14ac:dyDescent="0.25">
      <c r="B5" s="277" t="s">
        <v>182</v>
      </c>
      <c r="C5" s="277"/>
      <c r="D5" s="278"/>
      <c r="E5" s="278"/>
      <c r="F5" s="278"/>
      <c r="G5" s="279"/>
      <c r="H5" s="279"/>
      <c r="AA5" s="92"/>
    </row>
    <row r="6" spans="2:27" ht="15.75" customHeight="1" x14ac:dyDescent="0.25">
      <c r="B6" s="190" t="s">
        <v>146</v>
      </c>
      <c r="C6" s="92"/>
      <c r="F6" s="700">
        <f>Risk_Free_Rate</f>
        <v>1.5100000000000001E-2</v>
      </c>
      <c r="G6" s="281"/>
      <c r="H6" s="281"/>
      <c r="AA6" s="92"/>
    </row>
    <row r="7" spans="2:27" ht="15.75" customHeight="1" x14ac:dyDescent="0.25">
      <c r="B7" s="190" t="s">
        <v>147</v>
      </c>
      <c r="C7" s="92"/>
      <c r="F7" s="700">
        <f>Equity_Risk_Premium</f>
        <v>0.05</v>
      </c>
      <c r="G7" s="281"/>
      <c r="H7" s="281"/>
      <c r="AA7" s="92"/>
    </row>
    <row r="8" spans="2:27" ht="15.75" customHeight="1" x14ac:dyDescent="0.25">
      <c r="B8" s="190" t="s">
        <v>183</v>
      </c>
      <c r="C8" s="92"/>
      <c r="F8" s="280">
        <v>7.4999999999999997E-2</v>
      </c>
      <c r="G8" s="281"/>
      <c r="H8" s="282"/>
      <c r="I8" s="283"/>
      <c r="J8" s="283"/>
      <c r="AA8" s="92"/>
    </row>
    <row r="9" spans="2:27" ht="15.75" customHeight="1" x14ac:dyDescent="0.25">
      <c r="B9" s="190" t="s">
        <v>184</v>
      </c>
      <c r="C9" s="92"/>
      <c r="F9" s="280">
        <v>0</v>
      </c>
      <c r="G9" s="281"/>
      <c r="H9" s="281"/>
      <c r="I9" s="283"/>
      <c r="J9" s="283"/>
      <c r="AA9" s="92"/>
    </row>
    <row r="10" spans="2:27" ht="15.75" customHeight="1" x14ac:dyDescent="0.25">
      <c r="AA10" s="92"/>
    </row>
    <row r="11" spans="2:27" ht="15.75" customHeight="1" x14ac:dyDescent="0.25">
      <c r="B11" s="284" t="s">
        <v>185</v>
      </c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AA11" s="92"/>
    </row>
    <row r="12" spans="2:27" ht="15.75" customHeight="1" x14ac:dyDescent="0.25">
      <c r="B12" s="284"/>
      <c r="C12" s="284"/>
      <c r="D12" s="285" t="s">
        <v>186</v>
      </c>
      <c r="E12" s="285"/>
      <c r="F12" s="285"/>
      <c r="G12" s="285" t="s">
        <v>76</v>
      </c>
      <c r="H12" s="285"/>
      <c r="I12" s="285" t="s">
        <v>75</v>
      </c>
      <c r="J12" s="285"/>
      <c r="K12" s="285"/>
      <c r="L12" s="285" t="s">
        <v>187</v>
      </c>
      <c r="AA12" s="92"/>
    </row>
    <row r="13" spans="2:27" ht="15.75" customHeight="1" x14ac:dyDescent="0.25">
      <c r="B13" s="102" t="s">
        <v>128</v>
      </c>
      <c r="C13" s="102" t="s">
        <v>83</v>
      </c>
      <c r="D13" s="103" t="s">
        <v>188</v>
      </c>
      <c r="E13" s="103" t="s">
        <v>189</v>
      </c>
      <c r="F13" s="103" t="s">
        <v>190</v>
      </c>
      <c r="G13" s="103" t="s">
        <v>87</v>
      </c>
      <c r="H13" s="103" t="s">
        <v>191</v>
      </c>
      <c r="I13" s="103" t="s">
        <v>86</v>
      </c>
      <c r="J13" s="103" t="s">
        <v>192</v>
      </c>
      <c r="K13" s="103" t="s">
        <v>193</v>
      </c>
      <c r="L13" s="103" t="s">
        <v>188</v>
      </c>
      <c r="AA13" s="92"/>
    </row>
    <row r="14" spans="2:27" ht="15.75" customHeight="1" x14ac:dyDescent="0.25">
      <c r="B14" s="190" t="str">
        <f>SPWR_Comps!B8</f>
        <v>Sunrun Inc.</v>
      </c>
      <c r="C14" s="190" t="str">
        <f>SPWR_Comps!C8</f>
        <v>NasdaqGS:RUN</v>
      </c>
      <c r="D14" s="318">
        <v>2.15</v>
      </c>
      <c r="E14" s="677">
        <f>SPWR_Comps!G8</f>
        <v>2725.7</v>
      </c>
      <c r="F14" s="286">
        <f t="shared" ref="F14:F15" si="0">+E14/($E14+$G14+$I14)</f>
        <v>0.57273650674646914</v>
      </c>
      <c r="G14" s="677">
        <f>SPWR_Comps!H8</f>
        <v>0</v>
      </c>
      <c r="H14" s="286">
        <f t="shared" ref="H14:H15" si="1">+G14/($E14+$G14+$I14)</f>
        <v>0</v>
      </c>
      <c r="I14" s="677">
        <f>SPWR_Comps!F8</f>
        <v>2033.3820000000003</v>
      </c>
      <c r="J14" s="286">
        <f>+I14/($E14+$G14+$I14)</f>
        <v>0.42726349325353086</v>
      </c>
      <c r="K14" s="282">
        <f>8.2/399.2</f>
        <v>2.0541082164328657E-2</v>
      </c>
      <c r="L14" s="287">
        <f t="shared" ref="L14:L15" si="2">IFERROR(D14/(1+(E14/I14)*(1-K14)+G14/I14),"N/A")</f>
        <v>0.92955234774149476</v>
      </c>
      <c r="AA14" s="92"/>
    </row>
    <row r="15" spans="2:27" ht="15.75" customHeight="1" x14ac:dyDescent="0.25">
      <c r="B15" s="689" t="str">
        <f>SPWR_Comps!B9</f>
        <v>Vivint Solar, Inc.</v>
      </c>
      <c r="C15" s="689" t="str">
        <f>SPWR_Comps!C9</f>
        <v>NYSE:VLSR</v>
      </c>
      <c r="D15" s="690">
        <v>1.95</v>
      </c>
      <c r="E15" s="691">
        <f>SPWR_Comps!G9</f>
        <v>1584.6</v>
      </c>
      <c r="F15" s="692">
        <f t="shared" si="0"/>
        <v>0.61396330633537599</v>
      </c>
      <c r="G15" s="691">
        <f>SPWR_Comps!H9</f>
        <v>0</v>
      </c>
      <c r="H15" s="692">
        <f t="shared" si="1"/>
        <v>0</v>
      </c>
      <c r="I15" s="691">
        <f>SPWR_Comps!F9</f>
        <v>996.33600000000001</v>
      </c>
      <c r="J15" s="692">
        <f>+I15/($E15+$G15+$I15)</f>
        <v>0.38603669366462406</v>
      </c>
      <c r="K15" s="693">
        <f>151/272.3</f>
        <v>0.55453543885420487</v>
      </c>
      <c r="L15" s="694">
        <f t="shared" si="2"/>
        <v>1.14136608515672</v>
      </c>
      <c r="AA15" s="92"/>
    </row>
    <row r="16" spans="2:27" ht="15.75" customHeight="1" x14ac:dyDescent="0.25">
      <c r="AA16" s="92"/>
    </row>
    <row r="17" spans="2:27" ht="15.75" customHeight="1" x14ac:dyDescent="0.25">
      <c r="B17" s="288" t="s">
        <v>194</v>
      </c>
      <c r="C17" s="124"/>
      <c r="D17" s="289">
        <f t="shared" ref="D17:L17" si="3">MEDIAN(D14:D15)</f>
        <v>2.0499999999999998</v>
      </c>
      <c r="E17" s="680">
        <f t="shared" si="3"/>
        <v>2155.1499999999996</v>
      </c>
      <c r="F17" s="290">
        <f t="shared" si="3"/>
        <v>0.59334990654092257</v>
      </c>
      <c r="G17" s="680">
        <f t="shared" si="3"/>
        <v>0</v>
      </c>
      <c r="H17" s="290">
        <f t="shared" si="3"/>
        <v>0</v>
      </c>
      <c r="I17" s="680">
        <f t="shared" si="3"/>
        <v>1514.8590000000002</v>
      </c>
      <c r="J17" s="290">
        <f t="shared" si="3"/>
        <v>0.40665009345907743</v>
      </c>
      <c r="K17" s="290">
        <f t="shared" si="3"/>
        <v>0.28753826050926673</v>
      </c>
      <c r="L17" s="291">
        <f t="shared" si="3"/>
        <v>1.0354592164491074</v>
      </c>
      <c r="AA17" s="92"/>
    </row>
    <row r="18" spans="2:27" ht="15.75" customHeight="1" x14ac:dyDescent="0.25">
      <c r="AA18" s="92"/>
    </row>
    <row r="19" spans="2:27" ht="15.75" customHeight="1" x14ac:dyDescent="0.25">
      <c r="B19" s="292" t="str">
        <f>Parent_Name</f>
        <v>SunPower Corporation</v>
      </c>
      <c r="C19" s="293" t="str">
        <f>Parent_Ticker</f>
        <v>SPWR</v>
      </c>
      <c r="D19" s="709">
        <v>2.12</v>
      </c>
      <c r="E19" s="295"/>
      <c r="F19" s="295"/>
      <c r="G19" s="295"/>
      <c r="H19" s="295"/>
      <c r="I19" s="295"/>
      <c r="J19" s="295"/>
      <c r="K19" s="710"/>
      <c r="L19" s="711"/>
      <c r="AA19" s="92"/>
    </row>
    <row r="20" spans="2:27" ht="15.75" customHeight="1" x14ac:dyDescent="0.25">
      <c r="AA20" s="92"/>
    </row>
    <row r="21" spans="2:27" ht="15.75" customHeight="1" x14ac:dyDescent="0.25">
      <c r="B21" s="284" t="str">
        <f>TEXT(Parent_Name,"")&amp; " - Levered Beta &amp; WACC Calculation:"</f>
        <v>SunPower Corporation - Levered Beta &amp; WACC Calculation:</v>
      </c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AA21" s="92"/>
    </row>
    <row r="22" spans="2:27" ht="15.75" customHeight="1" x14ac:dyDescent="0.25">
      <c r="B22" s="284"/>
      <c r="C22" s="284"/>
      <c r="D22" s="285" t="s">
        <v>187</v>
      </c>
      <c r="E22" s="285"/>
      <c r="F22" s="285"/>
      <c r="G22" s="285" t="s">
        <v>76</v>
      </c>
      <c r="H22" s="285"/>
      <c r="I22" s="285" t="s">
        <v>75</v>
      </c>
      <c r="J22" s="285"/>
      <c r="K22" s="285"/>
      <c r="L22" s="285" t="s">
        <v>186</v>
      </c>
      <c r="AA22" s="92"/>
    </row>
    <row r="23" spans="2:27" ht="15.75" customHeight="1" x14ac:dyDescent="0.25">
      <c r="B23" s="102"/>
      <c r="C23" s="102" t="s">
        <v>83</v>
      </c>
      <c r="D23" s="103" t="s">
        <v>188</v>
      </c>
      <c r="E23" s="103" t="s">
        <v>189</v>
      </c>
      <c r="F23" s="103" t="s">
        <v>190</v>
      </c>
      <c r="G23" s="103" t="s">
        <v>87</v>
      </c>
      <c r="H23" s="103" t="s">
        <v>191</v>
      </c>
      <c r="I23" s="103" t="s">
        <v>86</v>
      </c>
      <c r="J23" s="103" t="s">
        <v>192</v>
      </c>
      <c r="K23" s="103" t="s">
        <v>193</v>
      </c>
      <c r="L23" s="103" t="s">
        <v>188</v>
      </c>
      <c r="AA23" s="92"/>
    </row>
    <row r="24" spans="2:27" ht="15.75" customHeight="1" x14ac:dyDescent="0.25">
      <c r="B24" s="296" t="s">
        <v>195</v>
      </c>
      <c r="C24" s="296" t="str">
        <f>Sub_Ticker</f>
        <v>MAXN</v>
      </c>
      <c r="D24" s="297">
        <f>+L17</f>
        <v>1.0354592164491074</v>
      </c>
      <c r="E24" s="678">
        <f>SPWR_Comps!G17</f>
        <v>864.15914876300099</v>
      </c>
      <c r="F24" s="298">
        <f>+E24/($E24+$G24+$I24)</f>
        <v>0.5210266891414691</v>
      </c>
      <c r="G24" s="319">
        <f>SPWR_Comps!H17</f>
        <v>0</v>
      </c>
      <c r="H24" s="298">
        <f>+G24/($E24+$G24+$I24)</f>
        <v>0</v>
      </c>
      <c r="I24" s="678">
        <f>SPWR_Comps!F17</f>
        <v>794.41068416999985</v>
      </c>
      <c r="J24" s="298">
        <f>+I24/($E24+$G24+$I24)</f>
        <v>0.4789733108585309</v>
      </c>
      <c r="K24" s="299">
        <f>Parent_Tax_Rate</f>
        <v>0.22</v>
      </c>
      <c r="L24" s="300">
        <f>D24*(1+(E24/I24)*(1-K24)+(G24/I24))</f>
        <v>1.9140289875496503</v>
      </c>
      <c r="AA24" s="92"/>
    </row>
    <row r="25" spans="2:27" ht="15.75" customHeight="1" x14ac:dyDescent="0.25">
      <c r="B25" s="190" t="s">
        <v>196</v>
      </c>
      <c r="C25" s="190" t="str">
        <f>Sub_Ticker</f>
        <v>MAXN</v>
      </c>
      <c r="D25" s="301">
        <f>+L17</f>
        <v>1.0354592164491074</v>
      </c>
      <c r="E25" s="679">
        <f>+F25*($E24+$G24+$I24)</f>
        <v>984.11225536238953</v>
      </c>
      <c r="F25" s="303">
        <f>+F17</f>
        <v>0.59334990654092257</v>
      </c>
      <c r="G25" s="302">
        <f>+H25*($E24+$G24+$I24)</f>
        <v>0</v>
      </c>
      <c r="H25" s="303">
        <f>+H17</f>
        <v>0</v>
      </c>
      <c r="I25" s="679">
        <f>+J25*($E24+$G24+$I24)</f>
        <v>674.45757757061119</v>
      </c>
      <c r="J25" s="303">
        <f>+J17</f>
        <v>0.40665009345907743</v>
      </c>
      <c r="K25" s="304">
        <f>Parent_Tax_Rate</f>
        <v>0.22</v>
      </c>
      <c r="L25" s="305">
        <f>D25*(1+(E25/I25)*(1-K25)+(G25/I25))</f>
        <v>2.2139266963974364</v>
      </c>
      <c r="AA25" s="92"/>
    </row>
    <row r="26" spans="2:27" ht="15.75" customHeight="1" x14ac:dyDescent="0.25">
      <c r="AA26" s="92"/>
    </row>
    <row r="27" spans="2:27" ht="15.75" customHeight="1" x14ac:dyDescent="0.25">
      <c r="B27" s="306" t="s">
        <v>197</v>
      </c>
      <c r="C27" s="307"/>
      <c r="D27" s="307"/>
      <c r="E27" s="307"/>
      <c r="F27" s="307"/>
      <c r="G27" s="307"/>
      <c r="H27" s="307"/>
      <c r="I27" s="307"/>
      <c r="J27" s="307"/>
      <c r="K27" s="307"/>
      <c r="L27" s="308">
        <f>+Risk_Free_Rate+Equity_Risk_Premium*L24</f>
        <v>0.11080144937748253</v>
      </c>
      <c r="AA27" s="92"/>
    </row>
    <row r="28" spans="2:27" ht="15.75" customHeight="1" x14ac:dyDescent="0.25">
      <c r="B28" s="309" t="s">
        <v>198</v>
      </c>
      <c r="C28" s="310"/>
      <c r="D28" s="310"/>
      <c r="E28" s="310"/>
      <c r="F28" s="310"/>
      <c r="G28" s="310"/>
      <c r="H28" s="310"/>
      <c r="I28" s="310"/>
      <c r="J28" s="310"/>
      <c r="K28" s="310"/>
      <c r="L28" s="311">
        <f>+Risk_Free_Rate+Equity_Risk_Premium*L25</f>
        <v>0.12579633481987182</v>
      </c>
      <c r="AA28" s="92"/>
    </row>
    <row r="29" spans="2:27" ht="15.75" customHeight="1" x14ac:dyDescent="0.25">
      <c r="B29" s="312" t="s">
        <v>486</v>
      </c>
      <c r="C29" s="313"/>
      <c r="D29" s="313"/>
      <c r="E29" s="313"/>
      <c r="F29" s="313"/>
      <c r="G29" s="313"/>
      <c r="H29" s="313"/>
      <c r="I29" s="313"/>
      <c r="J29" s="313"/>
      <c r="K29" s="313"/>
      <c r="L29" s="713">
        <f>+Risk_Free_Rate+Equity_Risk_Premium*D19</f>
        <v>0.12110000000000001</v>
      </c>
      <c r="AA29" s="92"/>
    </row>
    <row r="30" spans="2:27" ht="15.75" customHeight="1" x14ac:dyDescent="0.25">
      <c r="B30" s="698"/>
      <c r="C30" s="698"/>
      <c r="D30" s="698"/>
      <c r="E30" s="698"/>
      <c r="F30" s="698"/>
      <c r="G30" s="698"/>
      <c r="H30" s="698"/>
      <c r="I30" s="698"/>
      <c r="J30" s="698"/>
      <c r="K30" s="698"/>
      <c r="L30" s="712"/>
      <c r="AA30" s="92"/>
    </row>
    <row r="31" spans="2:27" ht="15.75" customHeight="1" x14ac:dyDescent="0.25">
      <c r="B31" s="190" t="s">
        <v>199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AA31" s="92"/>
    </row>
    <row r="32" spans="2:27" ht="15.75" customHeight="1" x14ac:dyDescent="0.25"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AA32" s="92"/>
    </row>
    <row r="33" spans="2:27" ht="15.75" customHeight="1" x14ac:dyDescent="0.25">
      <c r="B33" s="306" t="s">
        <v>200</v>
      </c>
      <c r="C33" s="307"/>
      <c r="D33" s="307"/>
      <c r="E33" s="307"/>
      <c r="F33" s="307"/>
      <c r="G33" s="307"/>
      <c r="H33" s="307"/>
      <c r="I33" s="307"/>
      <c r="J33" s="307"/>
      <c r="K33" s="307"/>
      <c r="L33" s="315">
        <f>+L27*J24+Parent_Cost_of_Debt*(1-Parent_Tax_Rate)*F24+Parent_Cost_of_Preferred*H24</f>
        <v>8.355099837103265E-2</v>
      </c>
      <c r="AA33" s="92"/>
    </row>
    <row r="34" spans="2:27" ht="15.75" customHeight="1" x14ac:dyDescent="0.25">
      <c r="B34" s="309" t="s">
        <v>201</v>
      </c>
      <c r="C34" s="714"/>
      <c r="D34" s="714"/>
      <c r="E34" s="714"/>
      <c r="F34" s="714"/>
      <c r="G34" s="714"/>
      <c r="H34" s="714"/>
      <c r="I34" s="714"/>
      <c r="J34" s="714"/>
      <c r="K34" s="714"/>
      <c r="L34" s="715">
        <f>+L28*J25+Parent_Cost_of_Debt*(1-Parent_Tax_Rate)*F25+Parent_Cost_of_Preferred*H25</f>
        <v>8.5866060843954234E-2</v>
      </c>
      <c r="AA34" s="92"/>
    </row>
    <row r="35" spans="2:27" ht="15.75" customHeight="1" x14ac:dyDescent="0.25">
      <c r="B35" s="312" t="s">
        <v>487</v>
      </c>
      <c r="C35" s="313"/>
      <c r="D35" s="313"/>
      <c r="E35" s="313"/>
      <c r="F35" s="313"/>
      <c r="G35" s="313"/>
      <c r="H35" s="313"/>
      <c r="I35" s="313"/>
      <c r="J35" s="313"/>
      <c r="K35" s="313"/>
      <c r="L35" s="316">
        <f>+L29*J24+Parent_Cost_of_Debt*(1-Parent_Tax_Rate)*F24+Parent_Cost_of_Preferred*H24</f>
        <v>8.8483729259744043E-2</v>
      </c>
      <c r="AA35" s="92"/>
    </row>
    <row r="36" spans="2:27" ht="15.75" customHeight="1" x14ac:dyDescent="0.25">
      <c r="AA36" s="92"/>
    </row>
    <row r="37" spans="2:27" ht="15.75" customHeight="1" x14ac:dyDescent="0.25">
      <c r="B37" s="292" t="s">
        <v>488</v>
      </c>
      <c r="C37" s="293"/>
      <c r="D37" s="293"/>
      <c r="E37" s="293"/>
      <c r="F37" s="293"/>
      <c r="G37" s="293"/>
      <c r="H37" s="293"/>
      <c r="I37" s="293"/>
      <c r="J37" s="293"/>
      <c r="K37" s="293"/>
      <c r="L37" s="317">
        <f>AVERAGE(L33:L35)</f>
        <v>8.5966929491576985E-2</v>
      </c>
      <c r="AA37" s="92"/>
    </row>
    <row r="38" spans="2:27" x14ac:dyDescent="0.25">
      <c r="AA38" s="92"/>
    </row>
    <row r="39" spans="2:27" x14ac:dyDescent="0.25">
      <c r="AA39" s="92"/>
    </row>
    <row r="40" spans="2:27" x14ac:dyDescent="0.25">
      <c r="AA40" s="92"/>
    </row>
    <row r="41" spans="2:27" x14ac:dyDescent="0.25">
      <c r="AA41" s="92"/>
    </row>
    <row r="42" spans="2:27" x14ac:dyDescent="0.25">
      <c r="AA42" s="92"/>
    </row>
    <row r="43" spans="2:27" x14ac:dyDescent="0.25">
      <c r="AA43" s="92"/>
    </row>
    <row r="44" spans="2:27" x14ac:dyDescent="0.25">
      <c r="AA44" s="92"/>
    </row>
    <row r="45" spans="2:27" x14ac:dyDescent="0.25">
      <c r="AA45" s="92"/>
    </row>
    <row r="46" spans="2:27" x14ac:dyDescent="0.25">
      <c r="AA46" s="92"/>
    </row>
    <row r="47" spans="2:27" x14ac:dyDescent="0.25">
      <c r="AA47" s="92"/>
    </row>
  </sheetData>
  <pageMargins left="0.7" right="0.7" top="0.75" bottom="0.75" header="0.3" footer="0.3"/>
  <pageSetup scale="51" orientation="portrait" r:id="rId1"/>
  <ignoredErrors>
    <ignoredError sqref="G14:G15 I14:I15 F25 I24:I25 G24:G25 H25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Y40"/>
  <sheetViews>
    <sheetView showGridLines="0" zoomScaleNormal="100" workbookViewId="0">
      <selection activeCell="B2" sqref="B2"/>
    </sheetView>
  </sheetViews>
  <sheetFormatPr defaultRowHeight="15" outlineLevelCol="1" x14ac:dyDescent="0.25"/>
  <cols>
    <col min="1" max="1" width="2.5703125" customWidth="1"/>
    <col min="2" max="2" width="43" bestFit="1" customWidth="1"/>
    <col min="3" max="3" width="15.42578125" hidden="1" customWidth="1" outlineLevel="1"/>
    <col min="4" max="5" width="12.7109375" hidden="1" customWidth="1" outlineLevel="1"/>
    <col min="6" max="6" width="12.7109375" customWidth="1" collapsed="1"/>
    <col min="7" max="10" width="12.7109375" hidden="1" customWidth="1" outlineLevel="1"/>
    <col min="11" max="11" width="12.7109375" customWidth="1" collapsed="1"/>
    <col min="12" max="22" width="12.7109375" customWidth="1"/>
    <col min="23" max="23" width="2.5703125" customWidth="1"/>
  </cols>
  <sheetData>
    <row r="1" spans="1:22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7.850000000000001" customHeight="1" x14ac:dyDescent="0.3">
      <c r="A2" s="87"/>
      <c r="B2" s="88" t="str">
        <f>"Comparable Companies for "&amp;Sub_Name&amp;" - Global Solar Panel Manufacturers with FY20 Projected Revenue Above $500 Million"</f>
        <v>Comparable Companies for Maxeon Solar Technologies, Ltd. - Global Solar Panel Manufacturers with FY20 Projected Revenue Above $500 Million</v>
      </c>
      <c r="C2" s="89"/>
      <c r="D2" s="89"/>
      <c r="E2" s="89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1"/>
      <c r="S2" s="87"/>
      <c r="T2" s="87"/>
      <c r="U2" s="87"/>
      <c r="V2" s="87"/>
    </row>
    <row r="3" spans="1:22" ht="15.75" x14ac:dyDescent="0.25">
      <c r="A3" s="87"/>
      <c r="B3" s="391" t="str">
        <f>SPWR!$B$3</f>
        <v>($ USD in Millions Except for Per-Share Figures and Other Per-Unit Data)</v>
      </c>
      <c r="C3" s="92"/>
      <c r="D3" s="93"/>
      <c r="E3" s="93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ht="15.75" x14ac:dyDescent="0.25">
      <c r="A4" s="87"/>
      <c r="B4" s="94"/>
      <c r="C4" s="9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2"/>
      <c r="S4" s="92"/>
      <c r="T4" s="92"/>
      <c r="U4" s="92"/>
      <c r="V4" s="92"/>
    </row>
    <row r="5" spans="1:22" ht="15.75" x14ac:dyDescent="0.25">
      <c r="A5" s="87"/>
      <c r="B5" s="95" t="s">
        <v>71</v>
      </c>
      <c r="C5" s="96"/>
      <c r="D5" s="96"/>
      <c r="E5" s="96"/>
      <c r="F5" s="97" t="s">
        <v>72</v>
      </c>
      <c r="G5" s="97"/>
      <c r="H5" s="97"/>
      <c r="I5" s="97"/>
      <c r="J5" s="97"/>
      <c r="K5" s="98"/>
      <c r="L5" s="99"/>
      <c r="M5" s="99"/>
      <c r="N5" s="99"/>
      <c r="O5" s="99"/>
      <c r="P5" s="99"/>
      <c r="Q5" s="99"/>
      <c r="R5" s="100" t="s">
        <v>14</v>
      </c>
      <c r="S5" s="100" t="s">
        <v>14</v>
      </c>
      <c r="T5" s="97"/>
      <c r="U5" s="97"/>
      <c r="V5" s="97"/>
    </row>
    <row r="6" spans="1:22" ht="15.75" x14ac:dyDescent="0.25">
      <c r="A6" s="87"/>
      <c r="B6" s="99"/>
      <c r="C6" s="99"/>
      <c r="D6" s="100" t="s">
        <v>73</v>
      </c>
      <c r="E6" s="100" t="s">
        <v>74</v>
      </c>
      <c r="F6" s="100" t="s">
        <v>75</v>
      </c>
      <c r="G6" s="100"/>
      <c r="H6" s="100" t="s">
        <v>76</v>
      </c>
      <c r="I6" s="100" t="s">
        <v>77</v>
      </c>
      <c r="J6" s="100"/>
      <c r="K6" s="100" t="s">
        <v>78</v>
      </c>
      <c r="L6" s="97" t="s">
        <v>471</v>
      </c>
      <c r="M6" s="97"/>
      <c r="N6" s="97"/>
      <c r="O6" s="97" t="s">
        <v>80</v>
      </c>
      <c r="P6" s="97"/>
      <c r="Q6" s="97"/>
      <c r="R6" s="100" t="s">
        <v>79</v>
      </c>
      <c r="S6" s="100" t="s">
        <v>80</v>
      </c>
      <c r="T6" s="97" t="s">
        <v>81</v>
      </c>
      <c r="U6" s="97"/>
      <c r="V6" s="97"/>
    </row>
    <row r="7" spans="1:22" ht="15.75" x14ac:dyDescent="0.25">
      <c r="A7" s="87"/>
      <c r="B7" s="102" t="s">
        <v>82</v>
      </c>
      <c r="C7" s="102" t="s">
        <v>83</v>
      </c>
      <c r="D7" s="103" t="s">
        <v>84</v>
      </c>
      <c r="E7" s="103" t="s">
        <v>85</v>
      </c>
      <c r="F7" s="103" t="s">
        <v>86</v>
      </c>
      <c r="G7" s="103" t="s">
        <v>203</v>
      </c>
      <c r="H7" s="103" t="s">
        <v>87</v>
      </c>
      <c r="I7" s="103" t="s">
        <v>88</v>
      </c>
      <c r="J7" s="103" t="s">
        <v>202</v>
      </c>
      <c r="K7" s="103" t="s">
        <v>86</v>
      </c>
      <c r="L7" s="104">
        <f>MAXN!G13</f>
        <v>44196</v>
      </c>
      <c r="M7" s="104">
        <f>MAXN!H13</f>
        <v>44561</v>
      </c>
      <c r="N7" s="104">
        <f>MAXN!I13</f>
        <v>44926</v>
      </c>
      <c r="O7" s="104">
        <f>$L$7</f>
        <v>44196</v>
      </c>
      <c r="P7" s="104">
        <f>$M$7</f>
        <v>44561</v>
      </c>
      <c r="Q7" s="104">
        <f>$N$7</f>
        <v>44926</v>
      </c>
      <c r="R7" s="103" t="s">
        <v>89</v>
      </c>
      <c r="S7" s="103" t="s">
        <v>89</v>
      </c>
      <c r="T7" s="104">
        <f>$L$7</f>
        <v>44196</v>
      </c>
      <c r="U7" s="104">
        <f>$M$7</f>
        <v>44561</v>
      </c>
      <c r="V7" s="104">
        <f>$N$7</f>
        <v>44926</v>
      </c>
    </row>
    <row r="8" spans="1:22" ht="15.75" x14ac:dyDescent="0.25">
      <c r="A8" s="87"/>
      <c r="B8" s="92" t="s">
        <v>459</v>
      </c>
      <c r="C8" s="92" t="s">
        <v>460</v>
      </c>
      <c r="D8" s="105">
        <v>4.1878000000000002</v>
      </c>
      <c r="E8" s="106">
        <v>3772</v>
      </c>
      <c r="F8" s="107">
        <f t="shared" ref="F8:F13" si="0">D8*E8</f>
        <v>15796.381600000001</v>
      </c>
      <c r="G8" s="108">
        <v>1123.7</v>
      </c>
      <c r="H8" s="108">
        <v>0</v>
      </c>
      <c r="I8" s="108">
        <v>108.6</v>
      </c>
      <c r="J8" s="108">
        <v>-2558.9</v>
      </c>
      <c r="K8" s="107">
        <f t="shared" ref="K8:K13" si="1">+F8+SUM(G8:J8)</f>
        <v>14469.7816</v>
      </c>
      <c r="L8" s="108">
        <v>8220.7000000000007</v>
      </c>
      <c r="M8" s="108">
        <v>11802.68</v>
      </c>
      <c r="N8" s="108">
        <v>14191.68</v>
      </c>
      <c r="O8" s="108">
        <v>1747.34</v>
      </c>
      <c r="P8" s="108">
        <v>2267.29</v>
      </c>
      <c r="Q8" s="108">
        <v>2767.07</v>
      </c>
      <c r="R8" s="109">
        <f t="shared" ref="R8:R13" si="2">IFERROR(N8/M8-1,"N/A")</f>
        <v>0.20241165565786745</v>
      </c>
      <c r="S8" s="109">
        <f t="shared" ref="S8:S13" si="3">IFERROR(Q8/P8-1,"N/A")</f>
        <v>0.22043055806711997</v>
      </c>
      <c r="T8" s="109">
        <f t="shared" ref="T8:V13" si="4">O8/L8</f>
        <v>0.21255367547775733</v>
      </c>
      <c r="U8" s="109">
        <f t="shared" si="4"/>
        <v>0.19209959094036269</v>
      </c>
      <c r="V8" s="109">
        <f t="shared" si="4"/>
        <v>0.19497832532864326</v>
      </c>
    </row>
    <row r="9" spans="1:22" ht="15.75" x14ac:dyDescent="0.25">
      <c r="A9" s="87"/>
      <c r="B9" s="92" t="s">
        <v>461</v>
      </c>
      <c r="C9" s="92" t="s">
        <v>462</v>
      </c>
      <c r="D9" s="110">
        <v>19.36</v>
      </c>
      <c r="E9" s="106">
        <v>44.5</v>
      </c>
      <c r="F9" s="111">
        <f t="shared" si="0"/>
        <v>861.52</v>
      </c>
      <c r="G9" s="106">
        <v>2875.5</v>
      </c>
      <c r="H9" s="106">
        <v>0</v>
      </c>
      <c r="I9" s="106">
        <v>450.6</v>
      </c>
      <c r="J9" s="106">
        <v>-812</v>
      </c>
      <c r="K9" s="111">
        <f t="shared" si="1"/>
        <v>3375.62</v>
      </c>
      <c r="L9" s="106">
        <v>5154.1000000000004</v>
      </c>
      <c r="M9" s="106">
        <v>6368.12</v>
      </c>
      <c r="N9" s="106">
        <v>7110.91</v>
      </c>
      <c r="O9" s="106">
        <v>443.37</v>
      </c>
      <c r="P9" s="106">
        <v>508.27</v>
      </c>
      <c r="Q9" s="106">
        <v>553.53</v>
      </c>
      <c r="R9" s="109">
        <f t="shared" si="2"/>
        <v>0.11664196026456786</v>
      </c>
      <c r="S9" s="109">
        <f t="shared" si="3"/>
        <v>8.9047159974029455E-2</v>
      </c>
      <c r="T9" s="109">
        <f t="shared" si="4"/>
        <v>8.6022777982576973E-2</v>
      </c>
      <c r="U9" s="109">
        <f t="shared" si="4"/>
        <v>7.9814764797145776E-2</v>
      </c>
      <c r="V9" s="109">
        <f t="shared" si="4"/>
        <v>7.7842357729179523E-2</v>
      </c>
    </row>
    <row r="10" spans="1:22" ht="15.75" x14ac:dyDescent="0.25">
      <c r="A10" s="87"/>
      <c r="B10" s="92" t="s">
        <v>463</v>
      </c>
      <c r="C10" s="92" t="s">
        <v>464</v>
      </c>
      <c r="D10" s="110">
        <v>2.024</v>
      </c>
      <c r="E10" s="106">
        <v>1341.7</v>
      </c>
      <c r="F10" s="111">
        <f t="shared" si="0"/>
        <v>2715.6008000000002</v>
      </c>
      <c r="G10" s="106">
        <v>1611.2</v>
      </c>
      <c r="H10" s="106">
        <v>0</v>
      </c>
      <c r="I10" s="106">
        <v>46.7</v>
      </c>
      <c r="J10" s="106">
        <v>-874.8</v>
      </c>
      <c r="K10" s="111">
        <f t="shared" si="1"/>
        <v>3498.7008000000005</v>
      </c>
      <c r="L10" s="106">
        <v>3867.54</v>
      </c>
      <c r="M10" s="106">
        <v>6210.25</v>
      </c>
      <c r="N10" s="106">
        <v>7314.77</v>
      </c>
      <c r="O10" s="106">
        <v>509.75</v>
      </c>
      <c r="P10" s="106">
        <v>661.89</v>
      </c>
      <c r="Q10" s="106">
        <v>809.74</v>
      </c>
      <c r="R10" s="109">
        <f t="shared" si="2"/>
        <v>0.17785435368946501</v>
      </c>
      <c r="S10" s="109">
        <f t="shared" si="3"/>
        <v>0.22337548535255114</v>
      </c>
      <c r="T10" s="109">
        <f t="shared" si="4"/>
        <v>0.13180212745052411</v>
      </c>
      <c r="U10" s="109">
        <f t="shared" si="4"/>
        <v>0.10658025039249627</v>
      </c>
      <c r="V10" s="109">
        <f t="shared" si="4"/>
        <v>0.11069931111983014</v>
      </c>
    </row>
    <row r="11" spans="1:22" ht="15.75" x14ac:dyDescent="0.25">
      <c r="A11" s="87"/>
      <c r="B11" s="666" t="s">
        <v>467</v>
      </c>
      <c r="C11" s="92" t="s">
        <v>468</v>
      </c>
      <c r="D11" s="110">
        <v>20.05</v>
      </c>
      <c r="E11" s="106">
        <v>59</v>
      </c>
      <c r="F11" s="111">
        <f t="shared" si="0"/>
        <v>1182.95</v>
      </c>
      <c r="G11" s="106">
        <v>1919.5</v>
      </c>
      <c r="H11" s="106">
        <v>0</v>
      </c>
      <c r="I11" s="106">
        <v>31.9</v>
      </c>
      <c r="J11" s="106">
        <v>-668.8</v>
      </c>
      <c r="K11" s="111">
        <f t="shared" si="1"/>
        <v>2465.5500000000002</v>
      </c>
      <c r="L11" s="106">
        <v>3433.68</v>
      </c>
      <c r="M11" s="106">
        <v>4912.72</v>
      </c>
      <c r="N11" s="106">
        <v>5324.13</v>
      </c>
      <c r="O11" s="106">
        <v>329.78</v>
      </c>
      <c r="P11" s="106">
        <v>449.39</v>
      </c>
      <c r="Q11" s="106">
        <v>547.14</v>
      </c>
      <c r="R11" s="109">
        <f t="shared" si="2"/>
        <v>8.3743832337279445E-2</v>
      </c>
      <c r="S11" s="109">
        <f t="shared" si="3"/>
        <v>0.21751707870669135</v>
      </c>
      <c r="T11" s="109">
        <f t="shared" si="4"/>
        <v>9.6042729666130797E-2</v>
      </c>
      <c r="U11" s="109">
        <f t="shared" si="4"/>
        <v>9.1474783826474934E-2</v>
      </c>
      <c r="V11" s="109">
        <f t="shared" si="4"/>
        <v>0.1027660857266821</v>
      </c>
    </row>
    <row r="12" spans="1:22" ht="15.75" x14ac:dyDescent="0.25">
      <c r="A12" s="87"/>
      <c r="B12" s="92" t="s">
        <v>465</v>
      </c>
      <c r="C12" s="92" t="s">
        <v>466</v>
      </c>
      <c r="D12" s="110">
        <v>49.58</v>
      </c>
      <c r="E12" s="106">
        <v>105.4</v>
      </c>
      <c r="F12" s="111">
        <f t="shared" si="0"/>
        <v>5225.732</v>
      </c>
      <c r="G12" s="106">
        <v>602.9</v>
      </c>
      <c r="H12" s="106">
        <v>0</v>
      </c>
      <c r="I12" s="106">
        <v>0</v>
      </c>
      <c r="J12" s="106">
        <v>-2164.1999999999998</v>
      </c>
      <c r="K12" s="111">
        <f t="shared" si="1"/>
        <v>3664.4320000000002</v>
      </c>
      <c r="L12" s="106">
        <v>2850.44</v>
      </c>
      <c r="M12" s="106">
        <v>3019.43</v>
      </c>
      <c r="N12" s="106">
        <v>3164.19</v>
      </c>
      <c r="O12" s="106">
        <v>589.09</v>
      </c>
      <c r="P12" s="106">
        <v>693.26</v>
      </c>
      <c r="Q12" s="106">
        <v>694.49</v>
      </c>
      <c r="R12" s="109">
        <f t="shared" si="2"/>
        <v>4.7942823645522603E-2</v>
      </c>
      <c r="S12" s="109">
        <f t="shared" si="3"/>
        <v>1.7742261200703879E-3</v>
      </c>
      <c r="T12" s="109">
        <f t="shared" si="4"/>
        <v>0.20666633923183789</v>
      </c>
      <c r="U12" s="109">
        <f t="shared" si="4"/>
        <v>0.22959962641955603</v>
      </c>
      <c r="V12" s="109">
        <f t="shared" si="4"/>
        <v>0.21948429139843056</v>
      </c>
    </row>
    <row r="13" spans="1:22" ht="15.75" x14ac:dyDescent="0.25">
      <c r="A13" s="87"/>
      <c r="B13" s="92" t="s">
        <v>469</v>
      </c>
      <c r="C13" s="92" t="s">
        <v>470</v>
      </c>
      <c r="D13" s="110">
        <v>2.246</v>
      </c>
      <c r="E13" s="106">
        <v>868.6</v>
      </c>
      <c r="F13" s="111">
        <f t="shared" si="0"/>
        <v>1950.8756000000001</v>
      </c>
      <c r="G13" s="106">
        <v>1004.3</v>
      </c>
      <c r="H13" s="106">
        <v>0</v>
      </c>
      <c r="I13" s="106">
        <v>171.2</v>
      </c>
      <c r="J13" s="106">
        <v>-645.4</v>
      </c>
      <c r="K13" s="111">
        <f t="shared" si="1"/>
        <v>2480.9756000000002</v>
      </c>
      <c r="L13" s="106">
        <v>2798.87</v>
      </c>
      <c r="M13" s="106">
        <v>3529.14</v>
      </c>
      <c r="N13" s="106">
        <v>4046.04</v>
      </c>
      <c r="O13" s="106">
        <v>256.57</v>
      </c>
      <c r="P13" s="106">
        <v>299.69</v>
      </c>
      <c r="Q13" s="106">
        <v>362.25</v>
      </c>
      <c r="R13" s="109">
        <f t="shared" si="2"/>
        <v>0.1464662779033985</v>
      </c>
      <c r="S13" s="109">
        <f t="shared" si="3"/>
        <v>0.20874904067536448</v>
      </c>
      <c r="T13" s="109">
        <f t="shared" si="4"/>
        <v>9.1669137902081907E-2</v>
      </c>
      <c r="U13" s="109">
        <f t="shared" si="4"/>
        <v>8.4918705406983E-2</v>
      </c>
      <c r="V13" s="109">
        <f t="shared" si="4"/>
        <v>8.9531986831568641E-2</v>
      </c>
    </row>
    <row r="14" spans="1:22" ht="15.75" x14ac:dyDescent="0.25">
      <c r="A14" s="87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</row>
    <row r="15" spans="1:22" ht="15.75" x14ac:dyDescent="0.25">
      <c r="A15" s="87"/>
      <c r="B15" s="112" t="s">
        <v>90</v>
      </c>
      <c r="C15" s="113"/>
      <c r="D15" s="114">
        <f>MAX(D8:D13)</f>
        <v>49.58</v>
      </c>
      <c r="E15" s="114"/>
      <c r="F15" s="115">
        <f>MAX(F8:F13)</f>
        <v>15796.381600000001</v>
      </c>
      <c r="G15" s="115"/>
      <c r="H15" s="115"/>
      <c r="I15" s="115"/>
      <c r="J15" s="115"/>
      <c r="K15" s="115">
        <f t="shared" ref="K15:V15" si="5">MAX(K8:K13)</f>
        <v>14469.7816</v>
      </c>
      <c r="L15" s="115">
        <f t="shared" si="5"/>
        <v>8220.7000000000007</v>
      </c>
      <c r="M15" s="115">
        <f t="shared" si="5"/>
        <v>11802.68</v>
      </c>
      <c r="N15" s="115">
        <f t="shared" si="5"/>
        <v>14191.68</v>
      </c>
      <c r="O15" s="115">
        <f t="shared" si="5"/>
        <v>1747.34</v>
      </c>
      <c r="P15" s="115">
        <f t="shared" si="5"/>
        <v>2267.29</v>
      </c>
      <c r="Q15" s="115">
        <f t="shared" si="5"/>
        <v>2767.07</v>
      </c>
      <c r="R15" s="116">
        <f t="shared" si="5"/>
        <v>0.20241165565786745</v>
      </c>
      <c r="S15" s="116">
        <f t="shared" si="5"/>
        <v>0.22337548535255114</v>
      </c>
      <c r="T15" s="116">
        <f t="shared" si="5"/>
        <v>0.21255367547775733</v>
      </c>
      <c r="U15" s="116">
        <f t="shared" si="5"/>
        <v>0.22959962641955603</v>
      </c>
      <c r="V15" s="117">
        <f t="shared" si="5"/>
        <v>0.21948429139843056</v>
      </c>
    </row>
    <row r="16" spans="1:22" ht="15.75" x14ac:dyDescent="0.25">
      <c r="A16" s="87"/>
      <c r="B16" s="118" t="s">
        <v>91</v>
      </c>
      <c r="C16" s="119"/>
      <c r="D16" s="120">
        <f>QUARTILE(D8:D13,3)</f>
        <v>19.877500000000001</v>
      </c>
      <c r="E16" s="120"/>
      <c r="F16" s="121">
        <f>QUARTILE(F8:F13,3)</f>
        <v>4598.1992</v>
      </c>
      <c r="G16" s="121"/>
      <c r="H16" s="121"/>
      <c r="I16" s="121"/>
      <c r="J16" s="121"/>
      <c r="K16" s="121">
        <f t="shared" ref="K16:V16" si="6">QUARTILE(K8:K13,3)</f>
        <v>3622.9992000000002</v>
      </c>
      <c r="L16" s="121">
        <f t="shared" si="6"/>
        <v>4832.46</v>
      </c>
      <c r="M16" s="121">
        <f t="shared" si="6"/>
        <v>6328.6525000000001</v>
      </c>
      <c r="N16" s="121">
        <f t="shared" si="6"/>
        <v>7263.8050000000003</v>
      </c>
      <c r="O16" s="121">
        <f t="shared" si="6"/>
        <v>569.255</v>
      </c>
      <c r="P16" s="121">
        <f t="shared" si="6"/>
        <v>685.41750000000002</v>
      </c>
      <c r="Q16" s="121">
        <f t="shared" si="6"/>
        <v>780.92750000000001</v>
      </c>
      <c r="R16" s="109">
        <f t="shared" si="6"/>
        <v>0.17000733474294838</v>
      </c>
      <c r="S16" s="109">
        <f t="shared" si="6"/>
        <v>0.21970218822701282</v>
      </c>
      <c r="T16" s="109">
        <f t="shared" si="6"/>
        <v>0.18795028628650945</v>
      </c>
      <c r="U16" s="109">
        <f t="shared" si="6"/>
        <v>0.1707197558033961</v>
      </c>
      <c r="V16" s="122">
        <f t="shared" si="6"/>
        <v>0.17390857177643998</v>
      </c>
    </row>
    <row r="17" spans="1:25" ht="15.75" x14ac:dyDescent="0.25">
      <c r="A17" s="87"/>
      <c r="B17" s="123" t="s">
        <v>92</v>
      </c>
      <c r="C17" s="124"/>
      <c r="D17" s="181">
        <f>MEDIAN(D8:D13)</f>
        <v>11.773900000000001</v>
      </c>
      <c r="E17" s="125"/>
      <c r="F17" s="182">
        <f>MEDIAN(F8:F13)</f>
        <v>2333.2382000000002</v>
      </c>
      <c r="G17" s="126"/>
      <c r="H17" s="126"/>
      <c r="I17" s="126"/>
      <c r="J17" s="126"/>
      <c r="K17" s="182">
        <f t="shared" ref="K17:V17" si="7">MEDIAN(K8:K13)</f>
        <v>3437.1604000000002</v>
      </c>
      <c r="L17" s="182">
        <f t="shared" si="7"/>
        <v>3650.6099999999997</v>
      </c>
      <c r="M17" s="182">
        <f t="shared" si="7"/>
        <v>5561.4850000000006</v>
      </c>
      <c r="N17" s="182">
        <f t="shared" si="7"/>
        <v>6217.52</v>
      </c>
      <c r="O17" s="182">
        <f t="shared" si="7"/>
        <v>476.56</v>
      </c>
      <c r="P17" s="182">
        <f t="shared" si="7"/>
        <v>585.07999999999993</v>
      </c>
      <c r="Q17" s="182">
        <f t="shared" si="7"/>
        <v>624.01</v>
      </c>
      <c r="R17" s="127">
        <f t="shared" si="7"/>
        <v>0.13155411908398318</v>
      </c>
      <c r="S17" s="127">
        <f t="shared" si="7"/>
        <v>0.21313305969102792</v>
      </c>
      <c r="T17" s="127">
        <f t="shared" si="7"/>
        <v>0.11392242855832746</v>
      </c>
      <c r="U17" s="127">
        <f t="shared" si="7"/>
        <v>9.9027517109485597E-2</v>
      </c>
      <c r="V17" s="128">
        <f t="shared" si="7"/>
        <v>0.10673269842325611</v>
      </c>
    </row>
    <row r="18" spans="1:25" ht="15.75" x14ac:dyDescent="0.25">
      <c r="A18" s="87"/>
      <c r="B18" s="118" t="s">
        <v>93</v>
      </c>
      <c r="C18" s="129"/>
      <c r="D18" s="120">
        <f>QUARTILE(D8:D13,1)</f>
        <v>2.7314500000000002</v>
      </c>
      <c r="E18" s="120"/>
      <c r="F18" s="121">
        <f>QUARTILE(F8:F13,1)</f>
        <v>1374.9313999999999</v>
      </c>
      <c r="G18" s="121"/>
      <c r="H18" s="121"/>
      <c r="I18" s="121"/>
      <c r="J18" s="121"/>
      <c r="K18" s="121">
        <f t="shared" ref="K18:V18" si="8">QUARTILE(K8:K13,1)</f>
        <v>2704.6367</v>
      </c>
      <c r="L18" s="121">
        <f t="shared" si="8"/>
        <v>2996.25</v>
      </c>
      <c r="M18" s="121">
        <f t="shared" si="8"/>
        <v>3875.0349999999999</v>
      </c>
      <c r="N18" s="121">
        <f t="shared" si="8"/>
        <v>4365.5625</v>
      </c>
      <c r="O18" s="121">
        <f t="shared" si="8"/>
        <v>358.17750000000001</v>
      </c>
      <c r="P18" s="121">
        <f t="shared" si="8"/>
        <v>464.11</v>
      </c>
      <c r="Q18" s="121">
        <f t="shared" si="8"/>
        <v>548.73749999999995</v>
      </c>
      <c r="R18" s="109">
        <f t="shared" si="8"/>
        <v>9.1968364319101548E-2</v>
      </c>
      <c r="S18" s="109">
        <f t="shared" si="8"/>
        <v>0.11897263014936321</v>
      </c>
      <c r="T18" s="109">
        <f t="shared" si="8"/>
        <v>9.2762535843094129E-2</v>
      </c>
      <c r="U18" s="109">
        <f t="shared" si="8"/>
        <v>8.655772501185599E-2</v>
      </c>
      <c r="V18" s="122">
        <f t="shared" si="8"/>
        <v>9.2840511555347005E-2</v>
      </c>
    </row>
    <row r="19" spans="1:25" ht="15.75" x14ac:dyDescent="0.25">
      <c r="A19" s="87"/>
      <c r="B19" s="130" t="s">
        <v>94</v>
      </c>
      <c r="C19" s="131"/>
      <c r="D19" s="132">
        <f>MIN(D8:D13)</f>
        <v>2.024</v>
      </c>
      <c r="E19" s="132"/>
      <c r="F19" s="133">
        <f>MIN(F8:F13)</f>
        <v>861.52</v>
      </c>
      <c r="G19" s="133"/>
      <c r="H19" s="133"/>
      <c r="I19" s="133"/>
      <c r="J19" s="133"/>
      <c r="K19" s="133">
        <f t="shared" ref="K19:V19" si="9">MIN(K8:K13)</f>
        <v>2465.5500000000002</v>
      </c>
      <c r="L19" s="133">
        <f t="shared" si="9"/>
        <v>2798.87</v>
      </c>
      <c r="M19" s="133">
        <f t="shared" si="9"/>
        <v>3019.43</v>
      </c>
      <c r="N19" s="133">
        <f t="shared" si="9"/>
        <v>3164.19</v>
      </c>
      <c r="O19" s="133">
        <f t="shared" si="9"/>
        <v>256.57</v>
      </c>
      <c r="P19" s="133">
        <f t="shared" si="9"/>
        <v>299.69</v>
      </c>
      <c r="Q19" s="133">
        <f t="shared" si="9"/>
        <v>362.25</v>
      </c>
      <c r="R19" s="134">
        <f t="shared" si="9"/>
        <v>4.7942823645522603E-2</v>
      </c>
      <c r="S19" s="134">
        <f t="shared" si="9"/>
        <v>1.7742261200703879E-3</v>
      </c>
      <c r="T19" s="134">
        <f t="shared" si="9"/>
        <v>8.6022777982576973E-2</v>
      </c>
      <c r="U19" s="134">
        <f t="shared" si="9"/>
        <v>7.9814764797145776E-2</v>
      </c>
      <c r="V19" s="135">
        <f t="shared" si="9"/>
        <v>7.7842357729179523E-2</v>
      </c>
    </row>
    <row r="20" spans="1:25" ht="15.75" x14ac:dyDescent="0.25">
      <c r="A20" s="87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</row>
    <row r="21" spans="1:25" ht="15.75" x14ac:dyDescent="0.25">
      <c r="A21" s="87"/>
      <c r="B21" s="292" t="str">
        <f>Sub_Name</f>
        <v>Maxeon Solar Technologies, Ltd.</v>
      </c>
      <c r="C21" s="671" t="str">
        <f>Sub_Ticker</f>
        <v>MAXN</v>
      </c>
      <c r="D21" s="667">
        <f>Sub_New_Share_Price</f>
        <v>32.4</v>
      </c>
      <c r="E21" s="668">
        <f>Sub_Total_Shares</f>
        <v>31.41259473919753</v>
      </c>
      <c r="F21" s="669">
        <f>D21*E21</f>
        <v>1017.76806955</v>
      </c>
      <c r="G21" s="669">
        <f>MAXN_Adj!K36</f>
        <v>271.18700000000001</v>
      </c>
      <c r="H21" s="669">
        <f>MAXN_Adj!K37</f>
        <v>0</v>
      </c>
      <c r="I21" s="669">
        <f>SUM(MAXN_Adj!K38:K40)+SUM(MAXN_Adj!K32:K35)</f>
        <v>-41.189595021499819</v>
      </c>
      <c r="J21" s="669">
        <f>MAXN_Adj!K31</f>
        <v>-355.19641256240106</v>
      </c>
      <c r="K21" s="669">
        <f t="shared" ref="K21" si="10">+F21+SUM(G21:J21)</f>
        <v>892.56906196609907</v>
      </c>
      <c r="L21" s="669">
        <f>MAXN_Adj!G50</f>
        <v>839.29960680800002</v>
      </c>
      <c r="M21" s="669">
        <f>MAXN_Adj!K50</f>
        <v>1061.0386718036661</v>
      </c>
      <c r="N21" s="669">
        <f>MAXN_Adj!L50</f>
        <v>1308.8563542365775</v>
      </c>
      <c r="O21" s="669">
        <f>MAXN_Adj!G228</f>
        <v>-83.929960680799951</v>
      </c>
      <c r="P21" s="669">
        <f>MAXN_Adj!K228</f>
        <v>-39.413386718036676</v>
      </c>
      <c r="Q21" s="669">
        <f>MAXN_Adj!L228</f>
        <v>17.006972398280194</v>
      </c>
      <c r="R21" s="670">
        <f t="shared" ref="R21" si="11">IFERROR(N21/M21-1,"N/A")</f>
        <v>0.23356140451661833</v>
      </c>
      <c r="S21" s="670">
        <f t="shared" ref="S21" si="12">IFERROR(Q21/P21-1,"N/A")</f>
        <v>-1.4315024364677935</v>
      </c>
      <c r="T21" s="670">
        <f t="shared" ref="T21" si="13">O21/L21</f>
        <v>-9.9999999999999936E-2</v>
      </c>
      <c r="U21" s="670">
        <f t="shared" ref="U21" si="14">P21/M21</f>
        <v>-3.7146041671636355E-2</v>
      </c>
      <c r="V21" s="673">
        <f t="shared" ref="V21" si="15">Q21/N21</f>
        <v>1.2993765391619255E-2</v>
      </c>
      <c r="W21" s="672"/>
      <c r="X21" s="672"/>
      <c r="Y21" s="672"/>
    </row>
    <row r="22" spans="1:25" ht="15.75" x14ac:dyDescent="0.25">
      <c r="A22" s="87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</row>
    <row r="23" spans="1:25" ht="15.75" x14ac:dyDescent="0.25">
      <c r="A23" s="87"/>
      <c r="B23" s="96" t="s">
        <v>95</v>
      </c>
      <c r="C23" s="96"/>
      <c r="D23" s="136"/>
      <c r="E23" s="136"/>
      <c r="F23" s="97" t="s">
        <v>72</v>
      </c>
      <c r="G23" s="97"/>
      <c r="H23" s="97"/>
      <c r="I23" s="97"/>
      <c r="J23" s="97"/>
      <c r="K23" s="98"/>
      <c r="L23" s="97" t="s">
        <v>96</v>
      </c>
      <c r="M23" s="98"/>
      <c r="N23" s="98"/>
      <c r="O23" s="97" t="s">
        <v>96</v>
      </c>
      <c r="P23" s="98"/>
      <c r="Q23" s="98"/>
      <c r="R23" s="92"/>
      <c r="S23" s="92"/>
      <c r="T23" s="92"/>
      <c r="U23" s="92"/>
      <c r="V23" s="92"/>
    </row>
    <row r="24" spans="1:25" ht="15.75" x14ac:dyDescent="0.25">
      <c r="A24" s="87"/>
      <c r="B24" s="99"/>
      <c r="C24" s="99"/>
      <c r="D24" s="100"/>
      <c r="E24" s="100"/>
      <c r="F24" s="100" t="s">
        <v>75</v>
      </c>
      <c r="G24" s="100"/>
      <c r="H24" s="100"/>
      <c r="I24" s="100"/>
      <c r="J24" s="100"/>
      <c r="K24" s="100" t="s">
        <v>78</v>
      </c>
      <c r="L24" s="97" t="s">
        <v>79</v>
      </c>
      <c r="M24" s="98"/>
      <c r="N24" s="98"/>
      <c r="O24" s="97" t="s">
        <v>80</v>
      </c>
      <c r="P24" s="101"/>
      <c r="Q24" s="101"/>
      <c r="R24" s="137"/>
      <c r="S24" s="137"/>
      <c r="T24" s="137"/>
      <c r="U24" s="137"/>
      <c r="V24" s="137"/>
    </row>
    <row r="25" spans="1:25" ht="15.75" x14ac:dyDescent="0.25">
      <c r="A25" s="87"/>
      <c r="B25" s="102" t="s">
        <v>82</v>
      </c>
      <c r="C25" s="102"/>
      <c r="D25" s="103"/>
      <c r="E25" s="103"/>
      <c r="F25" s="103" t="s">
        <v>86</v>
      </c>
      <c r="G25" s="103"/>
      <c r="H25" s="103"/>
      <c r="I25" s="103"/>
      <c r="J25" s="103"/>
      <c r="K25" s="103" t="s">
        <v>86</v>
      </c>
      <c r="L25" s="104">
        <f>$L$7</f>
        <v>44196</v>
      </c>
      <c r="M25" s="104">
        <f>+$M$7</f>
        <v>44561</v>
      </c>
      <c r="N25" s="104">
        <f>+$N$7</f>
        <v>44926</v>
      </c>
      <c r="O25" s="104">
        <f>$L$7</f>
        <v>44196</v>
      </c>
      <c r="P25" s="104">
        <f>+M7</f>
        <v>44561</v>
      </c>
      <c r="Q25" s="104">
        <f>+$N$7</f>
        <v>44926</v>
      </c>
      <c r="R25" s="138"/>
      <c r="S25" s="138"/>
      <c r="T25" s="138"/>
      <c r="U25" s="138"/>
      <c r="V25" s="138"/>
    </row>
    <row r="26" spans="1:25" ht="15.75" x14ac:dyDescent="0.25">
      <c r="A26" s="87"/>
      <c r="B26" s="92" t="str">
        <f t="shared" ref="B26:C31" si="16">+B8</f>
        <v>LONGi Green Energy Technology Co., Ltd.</v>
      </c>
      <c r="C26" s="92" t="str">
        <f t="shared" si="16"/>
        <v>SHSE:601012</v>
      </c>
      <c r="D26" s="105"/>
      <c r="E26" s="106"/>
      <c r="F26" s="107">
        <f t="shared" ref="F26:F31" si="17">+F8</f>
        <v>15796.381600000001</v>
      </c>
      <c r="G26" s="108"/>
      <c r="H26" s="108"/>
      <c r="I26" s="108"/>
      <c r="J26" s="108"/>
      <c r="K26" s="107">
        <f t="shared" ref="K26:K31" si="18">+K8</f>
        <v>14469.7816</v>
      </c>
      <c r="L26" s="139">
        <f t="shared" ref="L26:Q31" si="19">IFERROR(IF(OR(+$K8/L8&lt;0,+$K8/L8&gt;=100),"NM",+$K8/L8),"N/A")</f>
        <v>1.7601641709343485</v>
      </c>
      <c r="M26" s="139">
        <f t="shared" si="19"/>
        <v>1.2259742363598776</v>
      </c>
      <c r="N26" s="139">
        <f t="shared" si="19"/>
        <v>1.0195961013777086</v>
      </c>
      <c r="O26" s="139">
        <f t="shared" si="19"/>
        <v>8.2810337999473482</v>
      </c>
      <c r="P26" s="139">
        <f t="shared" si="19"/>
        <v>6.3819721341337017</v>
      </c>
      <c r="Q26" s="139">
        <f t="shared" si="19"/>
        <v>5.2292792014658103</v>
      </c>
      <c r="R26" s="92"/>
      <c r="S26" s="92"/>
      <c r="T26" s="92"/>
      <c r="U26" s="92"/>
      <c r="V26" s="92"/>
    </row>
    <row r="27" spans="1:25" ht="15.75" x14ac:dyDescent="0.25">
      <c r="A27" s="87"/>
      <c r="B27" s="92" t="str">
        <f t="shared" si="16"/>
        <v>JinkoSolar Holding Co., Ltd.</v>
      </c>
      <c r="C27" s="92" t="str">
        <f t="shared" si="16"/>
        <v>NYSE:JKS</v>
      </c>
      <c r="D27" s="110"/>
      <c r="E27" s="106"/>
      <c r="F27" s="111">
        <f t="shared" si="17"/>
        <v>861.52</v>
      </c>
      <c r="G27" s="106"/>
      <c r="H27" s="106"/>
      <c r="I27" s="106"/>
      <c r="J27" s="106"/>
      <c r="K27" s="111">
        <f t="shared" si="18"/>
        <v>3375.62</v>
      </c>
      <c r="L27" s="139">
        <f t="shared" si="19"/>
        <v>0.65493878659707794</v>
      </c>
      <c r="M27" s="139">
        <f t="shared" si="19"/>
        <v>0.53008109143671911</v>
      </c>
      <c r="N27" s="139">
        <f t="shared" si="19"/>
        <v>0.47470998789184504</v>
      </c>
      <c r="O27" s="139">
        <f t="shared" si="19"/>
        <v>7.6135507589597848</v>
      </c>
      <c r="P27" s="139">
        <f t="shared" si="19"/>
        <v>6.6413913864678227</v>
      </c>
      <c r="Q27" s="139">
        <f t="shared" si="19"/>
        <v>6.0983505862374221</v>
      </c>
      <c r="R27" s="92"/>
      <c r="S27" s="92"/>
      <c r="T27" s="92"/>
      <c r="U27" s="92"/>
      <c r="V27" s="92"/>
    </row>
    <row r="28" spans="1:25" ht="15.75" x14ac:dyDescent="0.25">
      <c r="A28" s="87"/>
      <c r="B28" s="92" t="str">
        <f t="shared" si="16"/>
        <v>JA Solar Technology Co., Ltd.</v>
      </c>
      <c r="C28" s="92" t="str">
        <f t="shared" si="16"/>
        <v>SZSE:002459</v>
      </c>
      <c r="D28" s="110"/>
      <c r="E28" s="106"/>
      <c r="F28" s="111">
        <f t="shared" si="17"/>
        <v>2715.6008000000002</v>
      </c>
      <c r="G28" s="106"/>
      <c r="H28" s="106"/>
      <c r="I28" s="106"/>
      <c r="J28" s="106"/>
      <c r="K28" s="111">
        <f t="shared" si="18"/>
        <v>3498.7008000000005</v>
      </c>
      <c r="L28" s="139">
        <f t="shared" si="19"/>
        <v>0.9046320917172157</v>
      </c>
      <c r="M28" s="139">
        <f t="shared" si="19"/>
        <v>0.56337519423533677</v>
      </c>
      <c r="N28" s="139">
        <f t="shared" si="19"/>
        <v>0.47830633088941965</v>
      </c>
      <c r="O28" s="139">
        <f t="shared" si="19"/>
        <v>6.8635621383030907</v>
      </c>
      <c r="P28" s="139">
        <f t="shared" si="19"/>
        <v>5.2859248515614388</v>
      </c>
      <c r="Q28" s="139">
        <f t="shared" si="19"/>
        <v>4.3207706177291483</v>
      </c>
      <c r="R28" s="92"/>
      <c r="S28" s="92"/>
      <c r="T28" s="92"/>
      <c r="U28" s="92"/>
      <c r="V28" s="92"/>
    </row>
    <row r="29" spans="1:25" ht="15.75" x14ac:dyDescent="0.25">
      <c r="A29" s="87"/>
      <c r="B29" s="92" t="str">
        <f t="shared" si="16"/>
        <v>Canadian Solar Inc.</v>
      </c>
      <c r="C29" s="92" t="str">
        <f t="shared" si="16"/>
        <v>NasdaqGS:CSIQ</v>
      </c>
      <c r="D29" s="110"/>
      <c r="E29" s="106"/>
      <c r="F29" s="111">
        <f t="shared" si="17"/>
        <v>1182.95</v>
      </c>
      <c r="G29" s="106"/>
      <c r="H29" s="106"/>
      <c r="I29" s="106"/>
      <c r="J29" s="106"/>
      <c r="K29" s="111">
        <f t="shared" si="18"/>
        <v>2465.5500000000002</v>
      </c>
      <c r="L29" s="139">
        <f t="shared" si="19"/>
        <v>0.71804885720276801</v>
      </c>
      <c r="M29" s="139">
        <f t="shared" si="19"/>
        <v>0.50187065413864418</v>
      </c>
      <c r="N29" s="139">
        <f t="shared" si="19"/>
        <v>0.46308974423990401</v>
      </c>
      <c r="O29" s="139">
        <f t="shared" si="19"/>
        <v>7.4763478682758215</v>
      </c>
      <c r="P29" s="139">
        <f t="shared" si="19"/>
        <v>5.4864371703865249</v>
      </c>
      <c r="Q29" s="139">
        <f t="shared" si="19"/>
        <v>4.5062506853821693</v>
      </c>
      <c r="R29" s="92"/>
      <c r="S29" s="92"/>
      <c r="T29" s="92"/>
      <c r="U29" s="92"/>
      <c r="V29" s="92"/>
    </row>
    <row r="30" spans="1:25" ht="15.75" x14ac:dyDescent="0.25">
      <c r="A30" s="87"/>
      <c r="B30" s="92" t="str">
        <f t="shared" si="16"/>
        <v>First Solar, Inc.</v>
      </c>
      <c r="C30" s="92" t="str">
        <f t="shared" si="16"/>
        <v>NasdaqGS:FSLR</v>
      </c>
      <c r="D30" s="110"/>
      <c r="E30" s="106"/>
      <c r="F30" s="111">
        <f t="shared" si="17"/>
        <v>5225.732</v>
      </c>
      <c r="G30" s="106"/>
      <c r="H30" s="106"/>
      <c r="I30" s="106"/>
      <c r="J30" s="106"/>
      <c r="K30" s="111">
        <f t="shared" si="18"/>
        <v>3664.4320000000002</v>
      </c>
      <c r="L30" s="139">
        <f t="shared" si="19"/>
        <v>1.2855671405116404</v>
      </c>
      <c r="M30" s="139">
        <f t="shared" si="19"/>
        <v>1.21361713965881</v>
      </c>
      <c r="N30" s="139">
        <f t="shared" si="19"/>
        <v>1.15809480467355</v>
      </c>
      <c r="O30" s="139">
        <f t="shared" si="19"/>
        <v>6.2204960192839804</v>
      </c>
      <c r="P30" s="139">
        <f t="shared" si="19"/>
        <v>5.285797536277876</v>
      </c>
      <c r="Q30" s="139">
        <f t="shared" si="19"/>
        <v>5.2764359458019561</v>
      </c>
      <c r="R30" s="92"/>
      <c r="S30" s="92"/>
      <c r="T30" s="92"/>
      <c r="U30" s="92"/>
      <c r="V30" s="92"/>
    </row>
    <row r="31" spans="1:25" ht="15.75" x14ac:dyDescent="0.25">
      <c r="A31" s="87"/>
      <c r="B31" s="92" t="str">
        <f t="shared" si="16"/>
        <v>Risen Energy Co.,Ltd.</v>
      </c>
      <c r="C31" s="92" t="str">
        <f t="shared" si="16"/>
        <v>SZSE:300118</v>
      </c>
      <c r="D31" s="110"/>
      <c r="E31" s="106"/>
      <c r="F31" s="111">
        <f t="shared" si="17"/>
        <v>1950.8756000000001</v>
      </c>
      <c r="G31" s="106"/>
      <c r="H31" s="106"/>
      <c r="I31" s="106"/>
      <c r="J31" s="106"/>
      <c r="K31" s="111">
        <f t="shared" si="18"/>
        <v>2480.9756000000002</v>
      </c>
      <c r="L31" s="139">
        <f t="shared" si="19"/>
        <v>0.88642044825233046</v>
      </c>
      <c r="M31" s="139">
        <f t="shared" si="19"/>
        <v>0.70299721745241062</v>
      </c>
      <c r="N31" s="139">
        <f t="shared" si="19"/>
        <v>0.6131861276705125</v>
      </c>
      <c r="O31" s="139">
        <f t="shared" si="19"/>
        <v>9.6697805667069421</v>
      </c>
      <c r="P31" s="139">
        <f t="shared" si="19"/>
        <v>8.2784730888584885</v>
      </c>
      <c r="Q31" s="139">
        <f t="shared" si="19"/>
        <v>6.8487939268461018</v>
      </c>
      <c r="R31" s="92"/>
      <c r="S31" s="92"/>
      <c r="T31" s="92"/>
      <c r="U31" s="92"/>
      <c r="V31" s="92"/>
    </row>
    <row r="32" spans="1:25" ht="15.75" x14ac:dyDescent="0.25">
      <c r="A32" s="87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1:22" ht="15.75" x14ac:dyDescent="0.25">
      <c r="A33" s="87"/>
      <c r="B33" s="112" t="s">
        <v>90</v>
      </c>
      <c r="C33" s="113"/>
      <c r="D33" s="114"/>
      <c r="E33" s="114"/>
      <c r="F33" s="115">
        <f>MAX(F26:F31)</f>
        <v>15796.381600000001</v>
      </c>
      <c r="G33" s="115"/>
      <c r="H33" s="115"/>
      <c r="I33" s="115"/>
      <c r="J33" s="115"/>
      <c r="K33" s="115">
        <f t="shared" ref="K33:Q33" si="20">MAX(K26:K31)</f>
        <v>14469.7816</v>
      </c>
      <c r="L33" s="140">
        <f t="shared" si="20"/>
        <v>1.7601641709343485</v>
      </c>
      <c r="M33" s="140">
        <f t="shared" si="20"/>
        <v>1.2259742363598776</v>
      </c>
      <c r="N33" s="140">
        <f t="shared" si="20"/>
        <v>1.15809480467355</v>
      </c>
      <c r="O33" s="140">
        <f t="shared" si="20"/>
        <v>9.6697805667069421</v>
      </c>
      <c r="P33" s="140">
        <f t="shared" si="20"/>
        <v>8.2784730888584885</v>
      </c>
      <c r="Q33" s="141">
        <f t="shared" si="20"/>
        <v>6.8487939268461018</v>
      </c>
      <c r="R33" s="92"/>
      <c r="S33" s="92"/>
      <c r="T33" s="92"/>
      <c r="U33" s="92"/>
      <c r="V33" s="92"/>
    </row>
    <row r="34" spans="1:22" ht="15.75" x14ac:dyDescent="0.25">
      <c r="A34" s="87"/>
      <c r="B34" s="118" t="s">
        <v>91</v>
      </c>
      <c r="C34" s="119"/>
      <c r="D34" s="120"/>
      <c r="E34" s="120"/>
      <c r="F34" s="121">
        <f>QUARTILE(F26:F31,3)</f>
        <v>4598.1992</v>
      </c>
      <c r="G34" s="121"/>
      <c r="H34" s="121"/>
      <c r="I34" s="121"/>
      <c r="J34" s="121"/>
      <c r="K34" s="121">
        <f t="shared" ref="K34:Q34" si="21">QUARTILE(K26:K31,3)</f>
        <v>3622.9992000000002</v>
      </c>
      <c r="L34" s="139">
        <f t="shared" si="21"/>
        <v>1.1903333783130343</v>
      </c>
      <c r="M34" s="139">
        <f t="shared" si="21"/>
        <v>1.0859621591072102</v>
      </c>
      <c r="N34" s="139">
        <f t="shared" si="21"/>
        <v>0.91799360795090956</v>
      </c>
      <c r="O34" s="139">
        <f t="shared" si="21"/>
        <v>8.1141630397004576</v>
      </c>
      <c r="P34" s="139">
        <f t="shared" si="21"/>
        <v>6.576536573384292</v>
      </c>
      <c r="Q34" s="142">
        <f t="shared" si="21"/>
        <v>5.8928719261285556</v>
      </c>
      <c r="R34" s="92"/>
      <c r="S34" s="92"/>
      <c r="T34" s="92"/>
      <c r="U34" s="92"/>
      <c r="V34" s="92"/>
    </row>
    <row r="35" spans="1:22" ht="15.75" x14ac:dyDescent="0.25">
      <c r="A35" s="87"/>
      <c r="B35" s="123" t="s">
        <v>92</v>
      </c>
      <c r="C35" s="124"/>
      <c r="D35" s="125"/>
      <c r="E35" s="125"/>
      <c r="F35" s="182">
        <f>MEDIAN(F26:F31)</f>
        <v>2333.2382000000002</v>
      </c>
      <c r="G35" s="126"/>
      <c r="H35" s="126"/>
      <c r="I35" s="126"/>
      <c r="J35" s="126"/>
      <c r="K35" s="182">
        <f t="shared" ref="K35:Q35" si="22">MEDIAN(K26:K31)</f>
        <v>3437.1604000000002</v>
      </c>
      <c r="L35" s="143">
        <f t="shared" si="22"/>
        <v>0.89552626998477303</v>
      </c>
      <c r="M35" s="143">
        <f t="shared" si="22"/>
        <v>0.63318620584387375</v>
      </c>
      <c r="N35" s="143">
        <f t="shared" si="22"/>
        <v>0.54574622927996608</v>
      </c>
      <c r="O35" s="143">
        <f t="shared" si="22"/>
        <v>7.5449493136178027</v>
      </c>
      <c r="P35" s="143">
        <f t="shared" si="22"/>
        <v>5.9342046522601137</v>
      </c>
      <c r="Q35" s="144">
        <f t="shared" si="22"/>
        <v>5.2528575736338832</v>
      </c>
      <c r="R35" s="92"/>
      <c r="S35" s="92"/>
      <c r="T35" s="92"/>
      <c r="U35" s="92"/>
      <c r="V35" s="92"/>
    </row>
    <row r="36" spans="1:22" ht="15.75" x14ac:dyDescent="0.25">
      <c r="A36" s="87"/>
      <c r="B36" s="118" t="s">
        <v>93</v>
      </c>
      <c r="C36" s="129"/>
      <c r="D36" s="120"/>
      <c r="E36" s="120"/>
      <c r="F36" s="121">
        <f>QUARTILE(F26:F31,1)</f>
        <v>1374.9313999999999</v>
      </c>
      <c r="G36" s="121"/>
      <c r="H36" s="121"/>
      <c r="I36" s="121"/>
      <c r="J36" s="121"/>
      <c r="K36" s="121">
        <f t="shared" ref="K36:Q36" si="23">QUARTILE(K26:K31,1)</f>
        <v>2704.6367</v>
      </c>
      <c r="L36" s="139">
        <f t="shared" si="23"/>
        <v>0.76014175496515857</v>
      </c>
      <c r="M36" s="139">
        <f t="shared" si="23"/>
        <v>0.53840461713637355</v>
      </c>
      <c r="N36" s="139">
        <f t="shared" si="23"/>
        <v>0.47560907364123872</v>
      </c>
      <c r="O36" s="139">
        <f t="shared" si="23"/>
        <v>7.0167585707962736</v>
      </c>
      <c r="P36" s="139">
        <f t="shared" si="23"/>
        <v>5.3360529312677105</v>
      </c>
      <c r="Q36" s="142">
        <f t="shared" si="23"/>
        <v>4.6870078144030796</v>
      </c>
      <c r="R36" s="92"/>
      <c r="S36" s="92"/>
      <c r="T36" s="92"/>
      <c r="U36" s="92"/>
      <c r="V36" s="92"/>
    </row>
    <row r="37" spans="1:22" ht="15.75" x14ac:dyDescent="0.25">
      <c r="A37" s="87"/>
      <c r="B37" s="130" t="s">
        <v>94</v>
      </c>
      <c r="C37" s="131"/>
      <c r="D37" s="132"/>
      <c r="E37" s="132"/>
      <c r="F37" s="133">
        <f>MIN(F26:F31)</f>
        <v>861.52</v>
      </c>
      <c r="G37" s="133"/>
      <c r="H37" s="133"/>
      <c r="I37" s="133"/>
      <c r="J37" s="133"/>
      <c r="K37" s="133">
        <f t="shared" ref="K37:Q37" si="24">MIN(K26:K31)</f>
        <v>2465.5500000000002</v>
      </c>
      <c r="L37" s="145">
        <f t="shared" si="24"/>
        <v>0.65493878659707794</v>
      </c>
      <c r="M37" s="145">
        <f t="shared" si="24"/>
        <v>0.50187065413864418</v>
      </c>
      <c r="N37" s="145">
        <f t="shared" si="24"/>
        <v>0.46308974423990401</v>
      </c>
      <c r="O37" s="145">
        <f t="shared" si="24"/>
        <v>6.2204960192839804</v>
      </c>
      <c r="P37" s="145">
        <f t="shared" si="24"/>
        <v>5.285797536277876</v>
      </c>
      <c r="Q37" s="146">
        <f t="shared" si="24"/>
        <v>4.3207706177291483</v>
      </c>
      <c r="R37" s="92"/>
      <c r="S37" s="92"/>
      <c r="T37" s="92"/>
      <c r="U37" s="92"/>
      <c r="V37" s="92"/>
    </row>
    <row r="38" spans="1:22" ht="15.75" x14ac:dyDescent="0.25">
      <c r="A38" s="87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1:22" ht="15.75" x14ac:dyDescent="0.25">
      <c r="A39" s="87"/>
      <c r="B39" s="292" t="str">
        <f>Sub_Name</f>
        <v>Maxeon Solar Technologies, Ltd.</v>
      </c>
      <c r="C39" s="671" t="str">
        <f>Sub_Ticker</f>
        <v>MAXN</v>
      </c>
      <c r="D39" s="667"/>
      <c r="E39" s="667"/>
      <c r="F39" s="294">
        <f>F21</f>
        <v>1017.76806955</v>
      </c>
      <c r="G39" s="295"/>
      <c r="H39" s="295"/>
      <c r="I39" s="295"/>
      <c r="J39" s="295"/>
      <c r="K39" s="294">
        <f>K21</f>
        <v>892.56906196609907</v>
      </c>
      <c r="L39" s="674">
        <f t="shared" ref="L39:Q39" si="25">IFERROR(IF(OR(+$K21/L21&lt;0,+$K21/L21&gt;=100),"NM",+$K21/L21),"N/A")</f>
        <v>1.0634689385363731</v>
      </c>
      <c r="M39" s="674">
        <f t="shared" si="25"/>
        <v>0.84122198906173273</v>
      </c>
      <c r="N39" s="674">
        <f t="shared" si="25"/>
        <v>0.6819457758500258</v>
      </c>
      <c r="O39" s="674" t="str">
        <f t="shared" si="25"/>
        <v>NM</v>
      </c>
      <c r="P39" s="674" t="str">
        <f t="shared" si="25"/>
        <v>NM</v>
      </c>
      <c r="Q39" s="681">
        <f t="shared" si="25"/>
        <v>52.48253722434211</v>
      </c>
      <c r="R39" s="675"/>
      <c r="S39" s="675"/>
      <c r="T39" s="675"/>
      <c r="U39" s="87"/>
      <c r="V39" s="87"/>
    </row>
    <row r="40" spans="1:22" x14ac:dyDescent="0.25">
      <c r="L40" s="87"/>
      <c r="M40" s="87"/>
      <c r="N40" s="87"/>
      <c r="O40" s="87"/>
      <c r="P40" s="87"/>
      <c r="Q40" s="87"/>
    </row>
  </sheetData>
  <sortState xmlns:xlrd2="http://schemas.microsoft.com/office/spreadsheetml/2017/richdata2" ref="A8:Y13">
    <sortCondition descending="1" ref="L8:L13"/>
  </sortState>
  <pageMargins left="0.7" right="0.7" top="0.75" bottom="0.75" header="0.3" footer="0.3"/>
  <pageSetup scale="38" orientation="portrait" horizontalDpi="1200" verticalDpi="1200" r:id="rId1"/>
  <ignoredErrors>
    <ignoredError sqref="O25 M2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DD32-4325-41A9-B921-57153B5B3173}">
  <sheetPr>
    <pageSetUpPr autoPageBreaks="0"/>
  </sheetPr>
  <dimension ref="B1:AA47"/>
  <sheetViews>
    <sheetView showGridLines="0" topLeftCell="A26" zoomScaleNormal="100" workbookViewId="0">
      <selection activeCell="B2" sqref="B2"/>
    </sheetView>
  </sheetViews>
  <sheetFormatPr defaultColWidth="9.140625" defaultRowHeight="15.75" outlineLevelCol="1" x14ac:dyDescent="0.25"/>
  <cols>
    <col min="1" max="1" width="2.7109375" style="177" customWidth="1"/>
    <col min="2" max="2" width="43" style="177" bestFit="1" customWidth="1"/>
    <col min="3" max="3" width="15.5703125" style="177" hidden="1" customWidth="1" outlineLevel="1"/>
    <col min="4" max="4" width="12.7109375" style="177" customWidth="1" collapsed="1"/>
    <col min="5" max="12" width="12.7109375" style="177" customWidth="1"/>
    <col min="13" max="14" width="2.7109375" style="177" customWidth="1"/>
    <col min="15" max="23" width="10.7109375" style="177" customWidth="1"/>
    <col min="24" max="16384" width="9.140625" style="177"/>
  </cols>
  <sheetData>
    <row r="1" spans="2:27" ht="15.75" customHeight="1" x14ac:dyDescent="0.25"/>
    <row r="2" spans="2:27" ht="15.75" customHeight="1" x14ac:dyDescent="0.3">
      <c r="B2" s="276" t="str">
        <f>"WACC Analysis - "&amp;TEXT(Sub_Name,"")</f>
        <v>WACC Analysis - Maxeon Solar Technologies, Ltd.</v>
      </c>
      <c r="C2" s="249"/>
    </row>
    <row r="3" spans="2:27" ht="15.75" customHeight="1" x14ac:dyDescent="0.25">
      <c r="B3" s="391" t="str">
        <f>SPWR!$B$3</f>
        <v>($ USD in Millions Except for Per-Share Figures and Other Per-Unit Data)</v>
      </c>
    </row>
    <row r="4" spans="2:27" ht="15.75" customHeight="1" x14ac:dyDescent="0.25">
      <c r="AA4" s="92"/>
    </row>
    <row r="5" spans="2:27" ht="15.75" customHeight="1" x14ac:dyDescent="0.25">
      <c r="B5" s="277" t="s">
        <v>182</v>
      </c>
      <c r="C5" s="277"/>
      <c r="D5" s="278"/>
      <c r="E5" s="278"/>
      <c r="F5" s="278"/>
      <c r="G5" s="279"/>
      <c r="H5" s="279"/>
      <c r="AA5" s="92"/>
    </row>
    <row r="6" spans="2:27" ht="15.75" customHeight="1" x14ac:dyDescent="0.25">
      <c r="B6" s="190" t="s">
        <v>146</v>
      </c>
      <c r="C6" s="92"/>
      <c r="F6" s="280">
        <v>1.5100000000000001E-2</v>
      </c>
      <c r="G6" s="281"/>
      <c r="H6" s="281"/>
      <c r="AA6" s="92"/>
    </row>
    <row r="7" spans="2:27" ht="15.75" customHeight="1" x14ac:dyDescent="0.25">
      <c r="B7" s="190" t="s">
        <v>147</v>
      </c>
      <c r="C7" s="92"/>
      <c r="F7" s="280">
        <v>0.05</v>
      </c>
      <c r="G7" s="281"/>
      <c r="H7" s="281"/>
      <c r="AA7" s="92"/>
    </row>
    <row r="8" spans="2:27" ht="15.75" customHeight="1" x14ac:dyDescent="0.25">
      <c r="B8" s="190" t="s">
        <v>183</v>
      </c>
      <c r="C8" s="92"/>
      <c r="F8" s="280">
        <v>0.1</v>
      </c>
      <c r="G8" s="281"/>
      <c r="H8" s="282"/>
      <c r="I8" s="283"/>
      <c r="J8" s="283"/>
      <c r="AA8" s="92"/>
    </row>
    <row r="9" spans="2:27" ht="15.75" customHeight="1" x14ac:dyDescent="0.25">
      <c r="B9" s="190" t="s">
        <v>184</v>
      </c>
      <c r="C9" s="92"/>
      <c r="F9" s="280">
        <v>0</v>
      </c>
      <c r="G9" s="281"/>
      <c r="H9" s="281"/>
      <c r="I9" s="283"/>
      <c r="J9" s="283"/>
      <c r="AA9" s="92"/>
    </row>
    <row r="10" spans="2:27" ht="15.75" customHeight="1" x14ac:dyDescent="0.25">
      <c r="AA10" s="92"/>
    </row>
    <row r="11" spans="2:27" ht="15.75" customHeight="1" x14ac:dyDescent="0.25">
      <c r="B11" s="284" t="s">
        <v>185</v>
      </c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AA11" s="92"/>
    </row>
    <row r="12" spans="2:27" ht="15.75" customHeight="1" x14ac:dyDescent="0.25">
      <c r="B12" s="284"/>
      <c r="C12" s="284"/>
      <c r="D12" s="285" t="s">
        <v>186</v>
      </c>
      <c r="E12" s="285"/>
      <c r="F12" s="285"/>
      <c r="G12" s="285" t="s">
        <v>76</v>
      </c>
      <c r="H12" s="285"/>
      <c r="I12" s="285" t="s">
        <v>75</v>
      </c>
      <c r="J12" s="285"/>
      <c r="K12" s="285"/>
      <c r="L12" s="285" t="s">
        <v>187</v>
      </c>
      <c r="AA12" s="92"/>
    </row>
    <row r="13" spans="2:27" ht="15.75" customHeight="1" x14ac:dyDescent="0.25">
      <c r="B13" s="102" t="s">
        <v>128</v>
      </c>
      <c r="C13" s="102" t="s">
        <v>83</v>
      </c>
      <c r="D13" s="103" t="s">
        <v>188</v>
      </c>
      <c r="E13" s="103" t="s">
        <v>189</v>
      </c>
      <c r="F13" s="103" t="s">
        <v>190</v>
      </c>
      <c r="G13" s="103" t="s">
        <v>87</v>
      </c>
      <c r="H13" s="103" t="s">
        <v>191</v>
      </c>
      <c r="I13" s="103" t="s">
        <v>86</v>
      </c>
      <c r="J13" s="103" t="s">
        <v>192</v>
      </c>
      <c r="K13" s="103" t="s">
        <v>193</v>
      </c>
      <c r="L13" s="103" t="s">
        <v>188</v>
      </c>
      <c r="AA13" s="92"/>
    </row>
    <row r="14" spans="2:27" ht="15.75" customHeight="1" x14ac:dyDescent="0.25">
      <c r="B14" s="190" t="str">
        <f>MAXN_Comps!B8</f>
        <v>LONGi Green Energy Technology Co., Ltd.</v>
      </c>
      <c r="C14" s="190" t="str">
        <f>MAXN_Comps!C8</f>
        <v>SHSE:601012</v>
      </c>
      <c r="D14" s="318">
        <v>2.21</v>
      </c>
      <c r="E14" s="677">
        <f>MAXN_Comps!G8</f>
        <v>1123.7</v>
      </c>
      <c r="F14" s="286">
        <f t="shared" ref="F14:F19" si="0">+E14/($E14+$G14+$I14)</f>
        <v>6.6412209264995498E-2</v>
      </c>
      <c r="G14" s="677">
        <f>MAXN_Comps!H8</f>
        <v>0</v>
      </c>
      <c r="H14" s="286">
        <f t="shared" ref="H14:H19" si="1">+G14/($E14+$G14+$I14)</f>
        <v>0</v>
      </c>
      <c r="I14" s="677">
        <f>MAXN_Comps!F8</f>
        <v>15796.381600000001</v>
      </c>
      <c r="J14" s="286">
        <f>+I14/($E14+$G14+$I14)</f>
        <v>0.93358779073500442</v>
      </c>
      <c r="K14" s="282">
        <f>105.5/955.1</f>
        <v>0.11045963773426866</v>
      </c>
      <c r="L14" s="287">
        <f t="shared" ref="L14:L19" si="2">IFERROR(D14/(1+(E14/I14)*(1-K14)+G14/I14),"N/A")</f>
        <v>2.0784764475832729</v>
      </c>
      <c r="AA14" s="92"/>
    </row>
    <row r="15" spans="2:27" ht="15.75" customHeight="1" x14ac:dyDescent="0.25">
      <c r="B15" s="689" t="str">
        <f>MAXN_Comps!B9</f>
        <v>JinkoSolar Holding Co., Ltd.</v>
      </c>
      <c r="C15" s="689" t="str">
        <f>MAXN_Comps!C9</f>
        <v>NYSE:JKS</v>
      </c>
      <c r="D15" s="690">
        <v>2.0169999999999999</v>
      </c>
      <c r="E15" s="691">
        <f>MAXN_Comps!G9</f>
        <v>2875.5</v>
      </c>
      <c r="F15" s="692">
        <f t="shared" si="0"/>
        <v>0.7694633692086208</v>
      </c>
      <c r="G15" s="691">
        <f>MAXN_Comps!H9</f>
        <v>0</v>
      </c>
      <c r="H15" s="692">
        <f t="shared" si="1"/>
        <v>0</v>
      </c>
      <c r="I15" s="691">
        <f>MAXN_Comps!F9</f>
        <v>861.52</v>
      </c>
      <c r="J15" s="692">
        <f>+I15/($E15+$G15+$I15)</f>
        <v>0.23053663079137923</v>
      </c>
      <c r="K15" s="693">
        <f>42.5/183.8</f>
        <v>0.23122959738846571</v>
      </c>
      <c r="L15" s="694">
        <f t="shared" si="2"/>
        <v>0.56563097797789019</v>
      </c>
      <c r="AA15" s="92"/>
    </row>
    <row r="16" spans="2:27" ht="15.75" customHeight="1" x14ac:dyDescent="0.25">
      <c r="B16" s="689" t="str">
        <f>MAXN_Comps!B10</f>
        <v>JA Solar Technology Co., Ltd.</v>
      </c>
      <c r="C16" s="689" t="str">
        <f>MAXN_Comps!C10</f>
        <v>SZSE:002459</v>
      </c>
      <c r="D16" s="690">
        <v>1.96</v>
      </c>
      <c r="E16" s="691">
        <f>MAXN_Comps!G10</f>
        <v>1611.2</v>
      </c>
      <c r="F16" s="692">
        <f t="shared" si="0"/>
        <v>0.37237674542354715</v>
      </c>
      <c r="G16" s="691">
        <f>MAXN_Comps!H10</f>
        <v>0</v>
      </c>
      <c r="H16" s="692">
        <f t="shared" si="1"/>
        <v>0</v>
      </c>
      <c r="I16" s="691">
        <f>MAXN_Comps!F10</f>
        <v>2715.6008000000002</v>
      </c>
      <c r="J16" s="692">
        <f t="shared" ref="J16:J17" si="3">+I16/($E16+$G16+$I16)</f>
        <v>0.62762325457645296</v>
      </c>
      <c r="K16" s="693">
        <f>47/231.4</f>
        <v>0.20311149524632671</v>
      </c>
      <c r="L16" s="694">
        <f t="shared" si="2"/>
        <v>1.3307949185928118</v>
      </c>
      <c r="AA16" s="92"/>
    </row>
    <row r="17" spans="2:27" ht="15.75" customHeight="1" x14ac:dyDescent="0.25">
      <c r="B17" s="689" t="str">
        <f>MAXN_Comps!B11</f>
        <v>Canadian Solar Inc.</v>
      </c>
      <c r="C17" s="689" t="str">
        <f>MAXN_Comps!C11</f>
        <v>NasdaqGS:CSIQ</v>
      </c>
      <c r="D17" s="690">
        <v>1.3129999999999999</v>
      </c>
      <c r="E17" s="691">
        <f>MAXN_Comps!G11</f>
        <v>1919.5</v>
      </c>
      <c r="F17" s="692">
        <f t="shared" si="0"/>
        <v>0.61870457219294428</v>
      </c>
      <c r="G17" s="691">
        <f>MAXN_Comps!H11</f>
        <v>0</v>
      </c>
      <c r="H17" s="692">
        <f t="shared" si="1"/>
        <v>0</v>
      </c>
      <c r="I17" s="691">
        <f>MAXN_Comps!F11</f>
        <v>1182.95</v>
      </c>
      <c r="J17" s="692">
        <f t="shared" si="3"/>
        <v>0.38129542780705578</v>
      </c>
      <c r="K17" s="692">
        <f>5.5/120.4</f>
        <v>4.5681063122923589E-2</v>
      </c>
      <c r="L17" s="694">
        <f>IFERROR(D17/(1+(E17/I17)*(1-K17)+G17/I17),"N/A")</f>
        <v>0.51520209611757728</v>
      </c>
      <c r="AA17" s="92"/>
    </row>
    <row r="18" spans="2:27" ht="15.75" customHeight="1" x14ac:dyDescent="0.25">
      <c r="B18" s="689" t="str">
        <f>MAXN_Comps!B12</f>
        <v>First Solar, Inc.</v>
      </c>
      <c r="C18" s="689" t="str">
        <f>MAXN_Comps!C12</f>
        <v>NasdaqGS:FSLR</v>
      </c>
      <c r="D18" s="690">
        <v>2.1030000000000002</v>
      </c>
      <c r="E18" s="691">
        <f>MAXN_Comps!G12</f>
        <v>602.9</v>
      </c>
      <c r="F18" s="692">
        <f t="shared" si="0"/>
        <v>0.10343765054990606</v>
      </c>
      <c r="G18" s="691">
        <f>MAXN_Comps!H12</f>
        <v>0</v>
      </c>
      <c r="H18" s="692">
        <f t="shared" si="1"/>
        <v>0</v>
      </c>
      <c r="I18" s="691">
        <f>MAXN_Comps!F12</f>
        <v>5225.732</v>
      </c>
      <c r="J18" s="692">
        <f t="shared" ref="J18" si="4">+I18/($E18+$G18+$I18)</f>
        <v>0.89656234945009405</v>
      </c>
      <c r="K18" s="692">
        <f>42.1/208.6</f>
        <v>0.20182166826462131</v>
      </c>
      <c r="L18" s="694">
        <f t="shared" si="2"/>
        <v>1.9256708469174817</v>
      </c>
      <c r="AA18" s="92"/>
    </row>
    <row r="19" spans="2:27" ht="15.75" customHeight="1" x14ac:dyDescent="0.25">
      <c r="B19" s="190" t="str">
        <f>MAXN_Comps!B13</f>
        <v>Risen Energy Co.,Ltd.</v>
      </c>
      <c r="C19" s="190" t="str">
        <f>MAXN_Comps!C13</f>
        <v>SZSE:300118</v>
      </c>
      <c r="D19" s="318">
        <v>2.15</v>
      </c>
      <c r="E19" s="676">
        <f>MAXN_Comps!G13</f>
        <v>1004.3</v>
      </c>
      <c r="F19" s="286">
        <f t="shared" si="0"/>
        <v>0.33984444105453493</v>
      </c>
      <c r="G19" s="676">
        <f>MAXN_Comps!H13</f>
        <v>0</v>
      </c>
      <c r="H19" s="286">
        <f t="shared" si="1"/>
        <v>0</v>
      </c>
      <c r="I19" s="676">
        <f>MAXN_Comps!F13</f>
        <v>1950.8756000000001</v>
      </c>
      <c r="J19" s="286">
        <f t="shared" ref="J19" si="5">+I19/($E19+$G19+$I19)</f>
        <v>0.66015555894546507</v>
      </c>
      <c r="K19" s="286">
        <f>21.7/162.1</f>
        <v>0.13386798272671191</v>
      </c>
      <c r="L19" s="287">
        <f t="shared" si="2"/>
        <v>1.4869837199644378</v>
      </c>
      <c r="AA19" s="92"/>
    </row>
    <row r="20" spans="2:27" ht="15.75" customHeight="1" x14ac:dyDescent="0.25">
      <c r="AA20" s="92"/>
    </row>
    <row r="21" spans="2:27" ht="15.75" customHeight="1" x14ac:dyDescent="0.25">
      <c r="B21" s="288" t="s">
        <v>194</v>
      </c>
      <c r="C21" s="124"/>
      <c r="D21" s="289">
        <f t="shared" ref="D21:L21" si="6">MEDIAN(D14:D19)</f>
        <v>2.06</v>
      </c>
      <c r="E21" s="680">
        <f t="shared" si="6"/>
        <v>1367.45</v>
      </c>
      <c r="F21" s="290">
        <f t="shared" si="6"/>
        <v>0.35611059323904104</v>
      </c>
      <c r="G21" s="680">
        <f t="shared" si="6"/>
        <v>0</v>
      </c>
      <c r="H21" s="290">
        <f t="shared" si="6"/>
        <v>0</v>
      </c>
      <c r="I21" s="680">
        <f t="shared" si="6"/>
        <v>2333.2382000000002</v>
      </c>
      <c r="J21" s="290">
        <f t="shared" si="6"/>
        <v>0.64388940676095907</v>
      </c>
      <c r="K21" s="290">
        <f t="shared" si="6"/>
        <v>0.16784482549566659</v>
      </c>
      <c r="L21" s="291">
        <f t="shared" si="6"/>
        <v>1.4088893192786247</v>
      </c>
      <c r="AA21" s="92"/>
    </row>
    <row r="22" spans="2:27" ht="15.75" customHeight="1" x14ac:dyDescent="0.25">
      <c r="AA22" s="92"/>
    </row>
    <row r="23" spans="2:27" ht="15.75" customHeight="1" x14ac:dyDescent="0.25">
      <c r="B23" s="284" t="str">
        <f>TEXT(Sub_Name,"")&amp; " - Levered Beta &amp; WACC Calculation:"</f>
        <v>Maxeon Solar Technologies, Ltd. - Levered Beta &amp; WACC Calculation:</v>
      </c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AA23" s="92"/>
    </row>
    <row r="24" spans="2:27" ht="15.75" customHeight="1" x14ac:dyDescent="0.25">
      <c r="B24" s="284"/>
      <c r="C24" s="284"/>
      <c r="D24" s="285" t="s">
        <v>187</v>
      </c>
      <c r="E24" s="285"/>
      <c r="F24" s="285"/>
      <c r="G24" s="285" t="s">
        <v>76</v>
      </c>
      <c r="H24" s="285"/>
      <c r="I24" s="285" t="s">
        <v>75</v>
      </c>
      <c r="J24" s="285"/>
      <c r="K24" s="285"/>
      <c r="L24" s="285" t="s">
        <v>186</v>
      </c>
      <c r="AA24" s="92"/>
    </row>
    <row r="25" spans="2:27" ht="15.75" customHeight="1" x14ac:dyDescent="0.25">
      <c r="B25" s="102"/>
      <c r="C25" s="102" t="s">
        <v>83</v>
      </c>
      <c r="D25" s="103" t="s">
        <v>188</v>
      </c>
      <c r="E25" s="103" t="s">
        <v>189</v>
      </c>
      <c r="F25" s="103" t="s">
        <v>190</v>
      </c>
      <c r="G25" s="103" t="s">
        <v>87</v>
      </c>
      <c r="H25" s="103" t="s">
        <v>191</v>
      </c>
      <c r="I25" s="103" t="s">
        <v>86</v>
      </c>
      <c r="J25" s="103" t="s">
        <v>192</v>
      </c>
      <c r="K25" s="103" t="s">
        <v>193</v>
      </c>
      <c r="L25" s="103" t="s">
        <v>188</v>
      </c>
      <c r="AA25" s="92"/>
    </row>
    <row r="26" spans="2:27" ht="15.75" customHeight="1" x14ac:dyDescent="0.25">
      <c r="B26" s="296" t="s">
        <v>195</v>
      </c>
      <c r="C26" s="296" t="str">
        <f>Sub_Ticker</f>
        <v>MAXN</v>
      </c>
      <c r="D26" s="297">
        <f>+L21</f>
        <v>1.4088893192786247</v>
      </c>
      <c r="E26" s="678">
        <f>MAXN_Comps!G21</f>
        <v>271.18700000000001</v>
      </c>
      <c r="F26" s="298">
        <f>+E26/($E26+$G26+$I26)</f>
        <v>0.21039290383851536</v>
      </c>
      <c r="G26" s="319">
        <f>MAXN_Comps!H21</f>
        <v>0</v>
      </c>
      <c r="H26" s="298">
        <f>+G26/($E26+$G26+$I26)</f>
        <v>0</v>
      </c>
      <c r="I26" s="678">
        <f>MAXN_Comps!F21</f>
        <v>1017.76806955</v>
      </c>
      <c r="J26" s="298">
        <f>+I26/($E26+$G26+$I26)</f>
        <v>0.78960709616148461</v>
      </c>
      <c r="K26" s="299">
        <f>MAXN!$H$34</f>
        <v>0.22</v>
      </c>
      <c r="L26" s="300">
        <f>D26*(1+(E26/I26)*(1-K26)+(G26/I26))</f>
        <v>1.7017031084133063</v>
      </c>
      <c r="AA26" s="92"/>
    </row>
    <row r="27" spans="2:27" ht="15.75" customHeight="1" x14ac:dyDescent="0.25">
      <c r="B27" s="190" t="s">
        <v>196</v>
      </c>
      <c r="C27" s="190" t="str">
        <f>Sub_Ticker</f>
        <v>MAXN</v>
      </c>
      <c r="D27" s="301">
        <f>+L21</f>
        <v>1.4088893192786247</v>
      </c>
      <c r="E27" s="679">
        <f>+F27*($E26+$G26+$I26)</f>
        <v>459.01055447591989</v>
      </c>
      <c r="F27" s="303">
        <f>+F21</f>
        <v>0.35611059323904104</v>
      </c>
      <c r="G27" s="302">
        <f>+H27*($E26+$G26+$I26)</f>
        <v>0</v>
      </c>
      <c r="H27" s="303">
        <f>+H21</f>
        <v>0</v>
      </c>
      <c r="I27" s="679">
        <f>+J27*($E26+$G26+$I26)</f>
        <v>829.94451507408019</v>
      </c>
      <c r="J27" s="303">
        <f>+J21</f>
        <v>0.64388940676095907</v>
      </c>
      <c r="K27" s="304">
        <f>MAXN!$H$34</f>
        <v>0.22</v>
      </c>
      <c r="L27" s="305">
        <f>D27*(1+(E27/I27)*(1-K27)+(G27/I27))</f>
        <v>2.0166674822707091</v>
      </c>
      <c r="AA27" s="92"/>
    </row>
    <row r="28" spans="2:27" ht="15.75" customHeight="1" x14ac:dyDescent="0.25">
      <c r="AA28" s="92"/>
    </row>
    <row r="29" spans="2:27" ht="15.75" customHeight="1" x14ac:dyDescent="0.25">
      <c r="B29" s="306" t="s">
        <v>197</v>
      </c>
      <c r="C29" s="307"/>
      <c r="D29" s="307"/>
      <c r="E29" s="307"/>
      <c r="F29" s="307"/>
      <c r="G29" s="307"/>
      <c r="H29" s="307"/>
      <c r="I29" s="307"/>
      <c r="J29" s="307"/>
      <c r="K29" s="307"/>
      <c r="L29" s="308">
        <f>+Risk_Free_Rate+Equity_Risk_Premium*L26</f>
        <v>0.10018515542066532</v>
      </c>
      <c r="AA29" s="92"/>
    </row>
    <row r="30" spans="2:27" ht="15.75" customHeight="1" x14ac:dyDescent="0.25">
      <c r="B30" s="309" t="s">
        <v>198</v>
      </c>
      <c r="C30" s="310"/>
      <c r="D30" s="310"/>
      <c r="E30" s="310"/>
      <c r="F30" s="310"/>
      <c r="G30" s="310"/>
      <c r="H30" s="310"/>
      <c r="I30" s="310"/>
      <c r="J30" s="310"/>
      <c r="K30" s="310"/>
      <c r="L30" s="311">
        <f>+Risk_Free_Rate+Equity_Risk_Premium*L27</f>
        <v>0.11593337411353546</v>
      </c>
      <c r="AA30" s="92"/>
    </row>
    <row r="31" spans="2:27" ht="15.75" customHeight="1" x14ac:dyDescent="0.25">
      <c r="B31" s="314"/>
      <c r="C31" s="314"/>
      <c r="D31" s="314"/>
      <c r="E31" s="314"/>
      <c r="F31" s="314"/>
      <c r="G31" s="314"/>
      <c r="H31" s="314"/>
      <c r="I31" s="314"/>
      <c r="J31" s="314"/>
      <c r="K31" s="314"/>
      <c r="L31" s="348"/>
      <c r="AA31" s="92"/>
    </row>
    <row r="32" spans="2:27" ht="15.75" customHeight="1" x14ac:dyDescent="0.25">
      <c r="B32" s="190" t="s">
        <v>199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AA32" s="92"/>
    </row>
    <row r="33" spans="2:27" ht="15.75" customHeight="1" x14ac:dyDescent="0.25"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AA33" s="92"/>
    </row>
    <row r="34" spans="2:27" ht="15.75" customHeight="1" x14ac:dyDescent="0.25">
      <c r="B34" s="306" t="s">
        <v>200</v>
      </c>
      <c r="C34" s="307"/>
      <c r="D34" s="307"/>
      <c r="E34" s="307"/>
      <c r="F34" s="307"/>
      <c r="G34" s="307"/>
      <c r="H34" s="307"/>
      <c r="I34" s="307"/>
      <c r="J34" s="307"/>
      <c r="K34" s="307"/>
      <c r="L34" s="315">
        <f>+L29*J26+Sub_Cost_of_Debt*(1-K26)*F26+Sub_Cost_of_Preferred*H26</f>
        <v>9.5517556149602764E-2</v>
      </c>
      <c r="AA34" s="92"/>
    </row>
    <row r="35" spans="2:27" ht="15.75" customHeight="1" x14ac:dyDescent="0.25">
      <c r="B35" s="312" t="s">
        <v>201</v>
      </c>
      <c r="C35" s="313"/>
      <c r="D35" s="313"/>
      <c r="E35" s="313"/>
      <c r="F35" s="313"/>
      <c r="G35" s="313"/>
      <c r="H35" s="313"/>
      <c r="I35" s="313"/>
      <c r="J35" s="313"/>
      <c r="K35" s="313"/>
      <c r="L35" s="316">
        <f>+L30*J27+Sub_Cost_of_Debt*(1-K27)*F27+Sub_Cost_of_Preferred*H27</f>
        <v>0.10242489775440589</v>
      </c>
      <c r="AA35" s="92"/>
    </row>
    <row r="36" spans="2:27" ht="15.75" customHeight="1" x14ac:dyDescent="0.25">
      <c r="AA36" s="92"/>
    </row>
    <row r="37" spans="2:27" ht="15.75" customHeight="1" x14ac:dyDescent="0.25">
      <c r="B37" s="292" t="s">
        <v>472</v>
      </c>
      <c r="C37" s="293"/>
      <c r="D37" s="293"/>
      <c r="E37" s="293"/>
      <c r="F37" s="293"/>
      <c r="G37" s="293"/>
      <c r="H37" s="293"/>
      <c r="I37" s="293"/>
      <c r="J37" s="293"/>
      <c r="K37" s="293"/>
      <c r="L37" s="317">
        <f>AVERAGE(L34:L35)</f>
        <v>9.8971226952004332E-2</v>
      </c>
      <c r="AA37" s="92"/>
    </row>
    <row r="38" spans="2:27" x14ac:dyDescent="0.25">
      <c r="AA38" s="92"/>
    </row>
    <row r="39" spans="2:27" x14ac:dyDescent="0.25">
      <c r="AA39" s="92"/>
    </row>
    <row r="40" spans="2:27" x14ac:dyDescent="0.25">
      <c r="AA40" s="92"/>
    </row>
    <row r="41" spans="2:27" x14ac:dyDescent="0.25">
      <c r="AA41" s="92"/>
    </row>
    <row r="42" spans="2:27" x14ac:dyDescent="0.25">
      <c r="AA42" s="92"/>
    </row>
    <row r="43" spans="2:27" x14ac:dyDescent="0.25">
      <c r="AA43" s="92"/>
    </row>
    <row r="44" spans="2:27" x14ac:dyDescent="0.25">
      <c r="AA44" s="92"/>
    </row>
    <row r="45" spans="2:27" x14ac:dyDescent="0.25">
      <c r="AA45" s="92"/>
    </row>
    <row r="46" spans="2:27" x14ac:dyDescent="0.25">
      <c r="AA46" s="92"/>
    </row>
    <row r="47" spans="2:27" x14ac:dyDescent="0.25">
      <c r="AA47" s="92"/>
    </row>
  </sheetData>
  <pageMargins left="0.7" right="0.7" top="0.75" bottom="0.75" header="0.3" footer="0.3"/>
  <pageSetup scale="51" orientation="portrait" r:id="rId1"/>
  <ignoredErrors>
    <ignoredError sqref="H18 H19 F27 H27 G26:I26 G27 I27 G14:G18 I15:I18 I14 G19 I19" formula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B4C9-67A9-4A62-9282-B353F9CFC4E9}">
  <sheetPr>
    <pageSetUpPr autoPageBreaks="0"/>
  </sheetPr>
  <dimension ref="B2:AA232"/>
  <sheetViews>
    <sheetView showGridLines="0" topLeftCell="A10" zoomScaleNormal="100" zoomScaleSheetLayoutView="55" workbookViewId="0">
      <selection activeCell="G17" sqref="A17:XFD17"/>
    </sheetView>
  </sheetViews>
  <sheetFormatPr defaultRowHeight="15.75" outlineLevelRow="1" outlineLevelCol="1" x14ac:dyDescent="0.25"/>
  <cols>
    <col min="1" max="2" width="2.5703125" style="380" customWidth="1"/>
    <col min="3" max="3" width="54" style="380" bestFit="1" customWidth="1"/>
    <col min="4" max="6" width="12.7109375" style="380" customWidth="1" outlineLevel="1"/>
    <col min="7" max="14" width="12.7109375" style="380" customWidth="1"/>
    <col min="15" max="15" width="2.5703125" style="380" customWidth="1"/>
    <col min="16" max="16" width="2.7109375" style="380" customWidth="1"/>
    <col min="17" max="25" width="12.7109375" style="380" customWidth="1"/>
    <col min="26" max="16384" width="9.140625" style="380"/>
  </cols>
  <sheetData>
    <row r="2" spans="2:15" ht="18.75" x14ac:dyDescent="0.3">
      <c r="B2" s="147" t="str">
        <f>Parent_Name&amp;"'s Spinoff of "&amp;Sub_Name&amp;" - Adjusted Statements of "&amp;Parent_Name</f>
        <v>SunPower Corporation's Spinoff of Maxeon Solar Technologies, Ltd. - Adjusted Statements of SunPower Corporation</v>
      </c>
    </row>
    <row r="3" spans="2:15" x14ac:dyDescent="0.25">
      <c r="B3" s="391" t="str">
        <f>SPWR!$B$3</f>
        <v>($ USD in Millions Except for Per-Share Figures and Other Per-Unit Data)</v>
      </c>
    </row>
    <row r="5" spans="2:15" x14ac:dyDescent="0.25">
      <c r="B5" s="1" t="s">
        <v>53</v>
      </c>
      <c r="C5" s="1"/>
      <c r="D5" s="36" t="str">
        <f>SPWR!$D$5</f>
        <v>Units:</v>
      </c>
      <c r="E5" s="1"/>
      <c r="F5" s="1"/>
      <c r="G5" s="1"/>
      <c r="H5" s="1"/>
      <c r="I5" s="1"/>
      <c r="J5" s="1"/>
      <c r="K5" s="1"/>
      <c r="L5" s="1"/>
      <c r="M5" s="1"/>
      <c r="N5" s="1"/>
      <c r="O5" s="379"/>
    </row>
    <row r="6" spans="2:15" outlineLevel="1" x14ac:dyDescent="0.25">
      <c r="C6" s="379"/>
      <c r="D6" s="379"/>
      <c r="E6" s="60"/>
      <c r="F6" s="379"/>
      <c r="G6" s="379"/>
      <c r="H6" s="379"/>
      <c r="I6" s="379"/>
      <c r="J6" s="379"/>
      <c r="K6" s="379"/>
      <c r="L6" s="379"/>
      <c r="M6" s="379"/>
      <c r="N6" s="379"/>
    </row>
    <row r="7" spans="2:15" outlineLevel="1" x14ac:dyDescent="0.25">
      <c r="C7" s="513" t="s">
        <v>368</v>
      </c>
      <c r="D7" s="512"/>
      <c r="E7" s="512"/>
      <c r="G7" s="513" t="s">
        <v>382</v>
      </c>
      <c r="H7" s="512"/>
      <c r="I7" s="512"/>
      <c r="J7" s="512"/>
      <c r="K7" s="512"/>
    </row>
    <row r="8" spans="2:15" outlineLevel="1" x14ac:dyDescent="0.25">
      <c r="C8" s="379"/>
      <c r="D8" s="379"/>
      <c r="E8" s="379"/>
      <c r="G8" s="379"/>
      <c r="H8" s="379"/>
      <c r="I8" s="379"/>
      <c r="K8" s="379"/>
    </row>
    <row r="9" spans="2:15" outlineLevel="1" x14ac:dyDescent="0.25">
      <c r="C9" s="511" t="s">
        <v>369</v>
      </c>
      <c r="D9" s="37" t="s">
        <v>46</v>
      </c>
      <c r="E9" s="514">
        <v>50</v>
      </c>
      <c r="G9" s="516" t="s">
        <v>383</v>
      </c>
      <c r="H9" s="379"/>
      <c r="I9" s="379"/>
      <c r="J9" s="37" t="s">
        <v>46</v>
      </c>
      <c r="K9" s="514">
        <v>7.12</v>
      </c>
    </row>
    <row r="10" spans="2:15" outlineLevel="1" x14ac:dyDescent="0.25">
      <c r="C10" s="515" t="s">
        <v>380</v>
      </c>
      <c r="D10" s="37" t="s">
        <v>46</v>
      </c>
      <c r="E10" s="466">
        <f>MAXN_Adj!E41</f>
        <v>101.10658743759888</v>
      </c>
      <c r="G10" s="516" t="s">
        <v>384</v>
      </c>
      <c r="H10" s="379"/>
      <c r="I10" s="379"/>
      <c r="J10" s="37" t="s">
        <v>46</v>
      </c>
      <c r="K10" s="156">
        <f>2.082+0.572</f>
        <v>2.6539999999999999</v>
      </c>
    </row>
    <row r="11" spans="2:15" outlineLevel="1" x14ac:dyDescent="0.25">
      <c r="G11" s="379"/>
      <c r="H11" s="379"/>
      <c r="I11" s="379"/>
      <c r="K11" s="379"/>
    </row>
    <row r="12" spans="2:15" outlineLevel="1" x14ac:dyDescent="0.25">
      <c r="C12" s="511" t="s">
        <v>370</v>
      </c>
      <c r="D12" s="37" t="s">
        <v>46</v>
      </c>
      <c r="E12" s="154">
        <v>100</v>
      </c>
      <c r="G12" s="516" t="s">
        <v>386</v>
      </c>
      <c r="H12" s="379"/>
      <c r="I12" s="379"/>
      <c r="J12" s="37" t="s">
        <v>46</v>
      </c>
      <c r="K12" s="154">
        <v>18.803000000000001</v>
      </c>
    </row>
    <row r="13" spans="2:15" outlineLevel="1" x14ac:dyDescent="0.25">
      <c r="C13" s="511" t="s">
        <v>371</v>
      </c>
      <c r="D13" s="37" t="s">
        <v>46</v>
      </c>
      <c r="E13" s="154">
        <v>25</v>
      </c>
      <c r="G13" s="516" t="s">
        <v>385</v>
      </c>
      <c r="H13" s="379"/>
      <c r="I13" s="379"/>
      <c r="J13" s="37" t="s">
        <v>46</v>
      </c>
      <c r="K13" s="154">
        <v>-23.567</v>
      </c>
    </row>
    <row r="14" spans="2:15" outlineLevel="1" x14ac:dyDescent="0.25">
      <c r="C14" s="379"/>
      <c r="D14" s="379"/>
      <c r="E14" s="379"/>
      <c r="G14" s="379"/>
      <c r="H14" s="379"/>
      <c r="I14" s="379"/>
      <c r="K14" s="379"/>
    </row>
    <row r="15" spans="2:15" outlineLevel="1" x14ac:dyDescent="0.25">
      <c r="C15" s="511" t="s">
        <v>372</v>
      </c>
      <c r="D15" s="37" t="s">
        <v>46</v>
      </c>
      <c r="E15" s="154">
        <v>6.7480000000000002</v>
      </c>
      <c r="G15" s="516" t="s">
        <v>387</v>
      </c>
      <c r="H15" s="379"/>
      <c r="I15" s="379"/>
      <c r="J15" s="37" t="s">
        <v>46</v>
      </c>
      <c r="K15" s="154">
        <v>-1.9550000000000001</v>
      </c>
    </row>
    <row r="16" spans="2:15" outlineLevel="1" x14ac:dyDescent="0.25">
      <c r="K16" s="379"/>
      <c r="L16" s="379"/>
      <c r="M16" s="379"/>
      <c r="N16" s="379"/>
    </row>
    <row r="17" spans="3:14" outlineLevel="1" x14ac:dyDescent="0.25">
      <c r="C17" s="511" t="s">
        <v>374</v>
      </c>
      <c r="D17" s="37" t="s">
        <v>46</v>
      </c>
      <c r="E17" s="154">
        <v>1.327</v>
      </c>
      <c r="G17" s="68" t="s">
        <v>548</v>
      </c>
      <c r="H17" s="68"/>
      <c r="I17" s="68"/>
      <c r="J17" s="162" t="s">
        <v>46</v>
      </c>
      <c r="K17" s="69">
        <f>SPWR!E17-MAXN_Adj!E14</f>
        <v>794.41068416999985</v>
      </c>
      <c r="L17" s="379"/>
      <c r="M17" s="379"/>
      <c r="N17" s="379"/>
    </row>
    <row r="18" spans="3:14" outlineLevel="1" x14ac:dyDescent="0.25">
      <c r="C18" s="511" t="s">
        <v>375</v>
      </c>
      <c r="D18" s="37" t="s">
        <v>46</v>
      </c>
      <c r="E18" s="154">
        <v>7.8040000000000003</v>
      </c>
      <c r="G18" s="389" t="s">
        <v>37</v>
      </c>
      <c r="J18" s="37" t="s">
        <v>46</v>
      </c>
      <c r="K18" s="156">
        <f>SPWR!E18-SUM(H91:I91)</f>
        <v>-574.34399999999994</v>
      </c>
      <c r="L18" s="379"/>
      <c r="M18" s="379"/>
      <c r="N18" s="379"/>
    </row>
    <row r="19" spans="3:14" outlineLevel="1" x14ac:dyDescent="0.25">
      <c r="C19" s="511" t="s">
        <v>377</v>
      </c>
      <c r="D19" s="37" t="s">
        <v>46</v>
      </c>
      <c r="E19" s="154">
        <v>1.1870000000000001</v>
      </c>
      <c r="G19" s="381" t="s">
        <v>137</v>
      </c>
      <c r="J19" s="37" t="s">
        <v>46</v>
      </c>
      <c r="K19" s="760">
        <f>SPWR!E19</f>
        <v>0</v>
      </c>
      <c r="L19" s="379"/>
      <c r="M19" s="379"/>
      <c r="N19" s="379"/>
    </row>
    <row r="20" spans="3:14" outlineLevel="1" x14ac:dyDescent="0.25">
      <c r="G20" s="389" t="s">
        <v>38</v>
      </c>
      <c r="J20" s="37" t="s">
        <v>46</v>
      </c>
      <c r="K20" s="156">
        <f>SPWR!E20-SUM(H101:I101)</f>
        <v>-191.20900000000003</v>
      </c>
      <c r="L20" s="379"/>
      <c r="M20" s="379"/>
      <c r="N20" s="379"/>
    </row>
    <row r="21" spans="3:14" outlineLevel="1" x14ac:dyDescent="0.25">
      <c r="C21" s="511" t="s">
        <v>373</v>
      </c>
      <c r="D21" s="37" t="s">
        <v>46</v>
      </c>
      <c r="E21" s="154">
        <v>4.7519999999999998</v>
      </c>
      <c r="G21" s="389" t="s">
        <v>39</v>
      </c>
      <c r="J21" s="37" t="s">
        <v>46</v>
      </c>
      <c r="K21" s="760">
        <f>SPWR!E21</f>
        <v>0</v>
      </c>
      <c r="L21" s="379"/>
      <c r="M21" s="379"/>
      <c r="N21" s="379"/>
    </row>
    <row r="22" spans="3:14" outlineLevel="1" x14ac:dyDescent="0.25">
      <c r="C22" s="511" t="s">
        <v>376</v>
      </c>
      <c r="D22" s="37" t="s">
        <v>46</v>
      </c>
      <c r="E22" s="156">
        <f>8.609+0.553</f>
        <v>9.1620000000000008</v>
      </c>
      <c r="G22" s="389" t="s">
        <v>40</v>
      </c>
      <c r="J22" s="37" t="s">
        <v>46</v>
      </c>
      <c r="K22" s="156">
        <f>-E31*Parent_Tax_Rate*(1-E32/E33)</f>
        <v>-32.252510447535748</v>
      </c>
      <c r="L22" s="379"/>
      <c r="M22" s="379"/>
      <c r="N22" s="379"/>
    </row>
    <row r="23" spans="3:14" outlineLevel="1" x14ac:dyDescent="0.25">
      <c r="G23" s="389" t="s">
        <v>140</v>
      </c>
      <c r="J23" s="37" t="s">
        <v>46</v>
      </c>
      <c r="K23" s="156">
        <f>SPWR!E23+SUM(H114:I114)</f>
        <v>864.15914876300099</v>
      </c>
      <c r="L23" s="379"/>
      <c r="M23" s="379"/>
      <c r="N23" s="379"/>
    </row>
    <row r="24" spans="3:14" outlineLevel="1" x14ac:dyDescent="0.25">
      <c r="C24" s="511" t="s">
        <v>378</v>
      </c>
      <c r="D24" s="37" t="s">
        <v>46</v>
      </c>
      <c r="E24" s="154">
        <v>1.389</v>
      </c>
      <c r="G24" s="389" t="s">
        <v>41</v>
      </c>
      <c r="J24" s="37" t="s">
        <v>46</v>
      </c>
      <c r="K24" s="760">
        <f>SPWR!E24</f>
        <v>0</v>
      </c>
      <c r="L24" s="379"/>
      <c r="M24" s="379"/>
      <c r="N24" s="379"/>
    </row>
    <row r="25" spans="3:14" outlineLevel="1" x14ac:dyDescent="0.25">
      <c r="C25" s="511" t="s">
        <v>379</v>
      </c>
      <c r="D25" s="37" t="s">
        <v>46</v>
      </c>
      <c r="E25" s="154">
        <v>18</v>
      </c>
      <c r="G25" s="381" t="s">
        <v>138</v>
      </c>
      <c r="J25" s="37" t="s">
        <v>46</v>
      </c>
      <c r="K25" s="760">
        <f>SPWR!E25</f>
        <v>0</v>
      </c>
      <c r="L25" s="379"/>
      <c r="M25" s="379"/>
      <c r="N25" s="379"/>
    </row>
    <row r="26" spans="3:14" outlineLevel="1" x14ac:dyDescent="0.25">
      <c r="C26" s="379"/>
      <c r="D26" s="379"/>
      <c r="E26" s="379"/>
      <c r="G26" s="389" t="s">
        <v>42</v>
      </c>
      <c r="J26" s="37" t="s">
        <v>46</v>
      </c>
      <c r="K26" s="156">
        <f>SPWR!E26+SUM(SPWR_Adj!H122:I122)</f>
        <v>5.032</v>
      </c>
      <c r="L26" s="379"/>
      <c r="M26" s="379"/>
      <c r="N26" s="379"/>
    </row>
    <row r="27" spans="3:14" outlineLevel="1" x14ac:dyDescent="0.25">
      <c r="C27" s="615" t="s">
        <v>440</v>
      </c>
      <c r="D27" s="37" t="s">
        <v>46</v>
      </c>
      <c r="E27" s="401">
        <f>SUM(H91:H94)+SUM(H98:H102)</f>
        <v>243.17258743759888</v>
      </c>
      <c r="G27" s="389" t="s">
        <v>139</v>
      </c>
      <c r="J27" s="37" t="s">
        <v>46</v>
      </c>
      <c r="K27" s="761">
        <f>SPWR!E27</f>
        <v>0</v>
      </c>
      <c r="L27" s="379"/>
      <c r="M27" s="379"/>
      <c r="N27" s="379"/>
    </row>
    <row r="28" spans="3:14" outlineLevel="1" x14ac:dyDescent="0.25">
      <c r="C28" s="615" t="s">
        <v>439</v>
      </c>
      <c r="D28" s="38" t="s">
        <v>46</v>
      </c>
      <c r="E28" s="401">
        <f>-SUM(I109:I110)-SUM(I114:I116)-I122</f>
        <v>-33.302999999999997</v>
      </c>
      <c r="G28" s="70" t="s">
        <v>485</v>
      </c>
      <c r="H28" s="70"/>
      <c r="I28" s="70"/>
      <c r="J28" s="163" t="s">
        <v>46</v>
      </c>
      <c r="K28" s="337">
        <f>SUM(K17:K27)</f>
        <v>865.79632248546511</v>
      </c>
      <c r="L28" s="379"/>
      <c r="M28" s="379"/>
      <c r="N28" s="379"/>
    </row>
    <row r="29" spans="3:14" outlineLevel="1" x14ac:dyDescent="0.25">
      <c r="C29" s="24" t="s">
        <v>381</v>
      </c>
      <c r="D29" s="37" t="s">
        <v>46</v>
      </c>
      <c r="E29" s="25">
        <f>SUM(E27:E28)</f>
        <v>209.86958743759888</v>
      </c>
      <c r="K29" s="379"/>
      <c r="L29" s="379"/>
      <c r="M29" s="379"/>
      <c r="N29" s="379"/>
    </row>
    <row r="30" spans="3:14" outlineLevel="1" x14ac:dyDescent="0.25">
      <c r="C30" s="379"/>
      <c r="D30" s="379"/>
      <c r="E30" s="55"/>
      <c r="F30" s="379"/>
      <c r="G30" s="379"/>
      <c r="H30" s="379"/>
      <c r="I30" s="379"/>
      <c r="J30" s="379"/>
      <c r="K30" s="379"/>
      <c r="L30" s="379"/>
      <c r="M30" s="379"/>
      <c r="N30" s="379"/>
    </row>
    <row r="31" spans="3:14" outlineLevel="1" x14ac:dyDescent="0.25">
      <c r="C31" s="754" t="s">
        <v>536</v>
      </c>
      <c r="D31" s="37" t="s">
        <v>46</v>
      </c>
      <c r="E31" s="155">
        <f>SPWR!G117-MAXN!G86</f>
        <v>470.75000000000011</v>
      </c>
      <c r="F31" s="379"/>
      <c r="G31" s="379"/>
      <c r="H31" s="379"/>
      <c r="I31" s="379"/>
      <c r="J31" s="379"/>
      <c r="K31" s="379"/>
      <c r="L31" s="379"/>
      <c r="M31" s="379"/>
      <c r="N31" s="379"/>
    </row>
    <row r="32" spans="3:14" outlineLevel="1" x14ac:dyDescent="0.25">
      <c r="C32" s="754" t="s">
        <v>537</v>
      </c>
      <c r="D32" s="37" t="s">
        <v>46</v>
      </c>
      <c r="E32" s="155">
        <f>SPWR!K18-MAXN_Adj!E30</f>
        <v>191.46300000000002</v>
      </c>
      <c r="F32" s="155"/>
    </row>
    <row r="33" spans="2:27" outlineLevel="1" x14ac:dyDescent="0.25">
      <c r="C33" s="754" t="s">
        <v>538</v>
      </c>
      <c r="D33" s="37" t="s">
        <v>46</v>
      </c>
      <c r="E33" s="155">
        <f>SPWR!K19-MAXN_Adj!E31</f>
        <v>278.05599999999998</v>
      </c>
      <c r="F33" s="155"/>
    </row>
    <row r="34" spans="2:27" x14ac:dyDescent="0.25">
      <c r="C34" s="379"/>
      <c r="D34" s="379"/>
      <c r="E34" s="55"/>
      <c r="F34" s="379"/>
      <c r="G34" s="379"/>
      <c r="H34" s="379"/>
      <c r="I34" s="379"/>
      <c r="J34" s="379"/>
      <c r="K34" s="379"/>
      <c r="L34" s="379"/>
      <c r="M34" s="379"/>
      <c r="N34" s="379"/>
    </row>
    <row r="35" spans="2:27" x14ac:dyDescent="0.25">
      <c r="B35" s="28"/>
      <c r="C35" s="29"/>
      <c r="D35" s="29"/>
      <c r="E35" s="33" t="str">
        <f>SPWR!E128</f>
        <v>Historical:</v>
      </c>
      <c r="F35" s="34"/>
      <c r="G35" s="33" t="str">
        <f>SPWR!G128</f>
        <v>Projected:</v>
      </c>
      <c r="H35" s="415" t="s">
        <v>330</v>
      </c>
      <c r="I35" s="33"/>
      <c r="J35" s="34"/>
      <c r="K35" s="33" t="s">
        <v>331</v>
      </c>
      <c r="L35" s="33"/>
      <c r="M35" s="33"/>
      <c r="N35" s="33"/>
    </row>
    <row r="36" spans="2:27" x14ac:dyDescent="0.25">
      <c r="B36" s="30" t="s">
        <v>268</v>
      </c>
      <c r="C36" s="31"/>
      <c r="D36" s="36" t="str">
        <f>SPWR!$D$5</f>
        <v>Units:</v>
      </c>
      <c r="E36" s="32">
        <f>SPWR!E129</f>
        <v>43465</v>
      </c>
      <c r="F36" s="35">
        <f>SPWR!F129</f>
        <v>43830</v>
      </c>
      <c r="G36" s="32">
        <f>SPWR!G129</f>
        <v>44196</v>
      </c>
      <c r="H36" s="416" t="s">
        <v>332</v>
      </c>
      <c r="I36" s="32" t="s">
        <v>333</v>
      </c>
      <c r="J36" s="35">
        <f>G36</f>
        <v>44196</v>
      </c>
      <c r="K36" s="32">
        <f>SPWR!H129</f>
        <v>44561</v>
      </c>
      <c r="L36" s="32">
        <f>SPWR!I129</f>
        <v>44926</v>
      </c>
      <c r="M36" s="32">
        <f>SPWR!J129</f>
        <v>45291</v>
      </c>
      <c r="N36" s="32">
        <f>SPWR!K129</f>
        <v>45657</v>
      </c>
      <c r="P36" s="782"/>
      <c r="Q36" s="782"/>
      <c r="R36" s="782"/>
      <c r="S36" s="782"/>
      <c r="T36" s="782"/>
      <c r="U36" s="782"/>
      <c r="V36" s="782"/>
      <c r="W36" s="782"/>
      <c r="X36" s="782"/>
      <c r="Y36" s="782"/>
      <c r="Z36" s="785"/>
      <c r="AA36" s="785"/>
    </row>
    <row r="37" spans="2:27" outlineLevel="1" x14ac:dyDescent="0.25">
      <c r="B37" s="379"/>
      <c r="C37" s="6"/>
      <c r="E37" s="370"/>
      <c r="F37" s="370"/>
      <c r="G37" s="404"/>
      <c r="H37" s="417"/>
      <c r="I37" s="418"/>
      <c r="J37" s="419"/>
      <c r="K37" s="404"/>
      <c r="L37" s="404"/>
      <c r="M37" s="404"/>
      <c r="N37" s="404"/>
      <c r="P37" s="785"/>
      <c r="Q37" s="785"/>
      <c r="R37" s="785"/>
      <c r="S37" s="785"/>
      <c r="T37" s="785"/>
      <c r="U37" s="785"/>
      <c r="V37" s="785"/>
      <c r="W37" s="785"/>
      <c r="X37" s="785"/>
      <c r="Y37" s="785"/>
      <c r="Z37" s="785"/>
      <c r="AA37" s="785"/>
    </row>
    <row r="38" spans="2:27" outlineLevel="1" x14ac:dyDescent="0.25">
      <c r="B38" s="379"/>
      <c r="C38" s="408" t="s">
        <v>334</v>
      </c>
      <c r="D38" s="37" t="s">
        <v>46</v>
      </c>
      <c r="E38" s="9">
        <f>SPWR!E134</f>
        <v>1726.085</v>
      </c>
      <c r="F38" s="9">
        <f>SPWR!F134</f>
        <v>1864.2250000000004</v>
      </c>
      <c r="G38" s="9">
        <f>SPWR!G134</f>
        <v>1395.0798631410003</v>
      </c>
      <c r="H38" s="456"/>
      <c r="I38" s="457"/>
      <c r="J38" s="458"/>
      <c r="K38" s="9">
        <f>SPWR!H134</f>
        <v>2458.8232919400753</v>
      </c>
      <c r="L38" s="9">
        <f>SPWR!I134</f>
        <v>2947.8730788900862</v>
      </c>
      <c r="M38" s="9">
        <f>SPWR!J134</f>
        <v>3489.3767802793964</v>
      </c>
      <c r="N38" s="9">
        <f>SPWR!K134</f>
        <v>4079.2068052623545</v>
      </c>
      <c r="P38" s="785"/>
      <c r="Q38" s="785"/>
      <c r="R38" s="785"/>
      <c r="S38" s="785"/>
      <c r="T38" s="785"/>
      <c r="U38" s="785"/>
      <c r="V38" s="785"/>
      <c r="W38" s="785"/>
      <c r="X38" s="785"/>
      <c r="Y38" s="785"/>
      <c r="Z38" s="785"/>
      <c r="AA38" s="785"/>
    </row>
    <row r="39" spans="2:27" outlineLevel="1" x14ac:dyDescent="0.25">
      <c r="B39" s="379"/>
      <c r="C39" s="459" t="s">
        <v>335</v>
      </c>
      <c r="D39" s="460" t="s">
        <v>46</v>
      </c>
      <c r="E39" s="83"/>
      <c r="F39" s="83"/>
      <c r="G39" s="83"/>
      <c r="H39" s="462"/>
      <c r="I39" s="461"/>
      <c r="J39" s="463"/>
      <c r="K39" s="465">
        <f>-MAXN!H102</f>
        <v>-1061.0386718036661</v>
      </c>
      <c r="L39" s="465">
        <f>-MAXN!I102</f>
        <v>-1308.8563542365775</v>
      </c>
      <c r="M39" s="465">
        <f>-MAXN!J102</f>
        <v>-1586.387761914898</v>
      </c>
      <c r="N39" s="465">
        <f>-MAXN!K102</f>
        <v>-1881.3377050183358</v>
      </c>
      <c r="P39" s="785"/>
      <c r="Q39" s="785"/>
      <c r="R39" s="785"/>
      <c r="S39" s="785"/>
      <c r="T39" s="785"/>
      <c r="U39" s="785"/>
      <c r="V39" s="785"/>
      <c r="W39" s="785"/>
      <c r="X39" s="785"/>
      <c r="Y39" s="785"/>
      <c r="Z39" s="785"/>
      <c r="AA39" s="785"/>
    </row>
    <row r="40" spans="2:27" outlineLevel="1" x14ac:dyDescent="0.25">
      <c r="B40" s="379"/>
      <c r="C40" s="24" t="s">
        <v>336</v>
      </c>
      <c r="D40" s="43" t="s">
        <v>46</v>
      </c>
      <c r="E40" s="464">
        <f>SUM(E38:E39)</f>
        <v>1726.085</v>
      </c>
      <c r="F40" s="464">
        <f t="shared" ref="F40:G40" si="0">SUM(F38:F39)</f>
        <v>1864.2250000000004</v>
      </c>
      <c r="G40" s="464">
        <f t="shared" si="0"/>
        <v>1395.0798631410003</v>
      </c>
      <c r="H40" s="417"/>
      <c r="I40" s="418"/>
      <c r="J40" s="419"/>
      <c r="K40" s="464">
        <f>SUM(K38:K39)</f>
        <v>1397.7846201364091</v>
      </c>
      <c r="L40" s="464">
        <f t="shared" ref="L40:N40" si="1">SUM(L38:L39)</f>
        <v>1639.0167246535086</v>
      </c>
      <c r="M40" s="464">
        <f t="shared" si="1"/>
        <v>1902.9890183644984</v>
      </c>
      <c r="N40" s="464">
        <f t="shared" si="1"/>
        <v>2197.8691002440187</v>
      </c>
      <c r="P40" s="785"/>
      <c r="Q40" s="785"/>
      <c r="R40" s="785"/>
      <c r="S40" s="785"/>
      <c r="T40" s="785"/>
      <c r="U40" s="785"/>
      <c r="V40" s="785"/>
      <c r="W40" s="785"/>
      <c r="X40" s="785"/>
      <c r="Y40" s="785"/>
      <c r="Z40" s="785"/>
      <c r="AA40" s="785"/>
    </row>
    <row r="41" spans="2:27" outlineLevel="1" x14ac:dyDescent="0.25">
      <c r="B41" s="379"/>
      <c r="C41" s="6"/>
      <c r="E41" s="370"/>
      <c r="F41" s="510"/>
      <c r="G41" s="404"/>
      <c r="H41" s="456"/>
      <c r="I41" s="457"/>
      <c r="J41" s="458"/>
      <c r="K41" s="404"/>
      <c r="L41" s="404"/>
      <c r="M41" s="404"/>
      <c r="N41" s="404"/>
      <c r="P41" s="785"/>
      <c r="Q41" s="785"/>
      <c r="R41" s="785"/>
      <c r="S41" s="785"/>
      <c r="T41" s="785"/>
      <c r="U41" s="785"/>
      <c r="V41" s="785"/>
      <c r="W41" s="785"/>
      <c r="X41" s="785"/>
      <c r="Y41" s="785"/>
      <c r="Z41" s="785"/>
      <c r="AA41" s="785"/>
    </row>
    <row r="42" spans="2:27" outlineLevel="1" x14ac:dyDescent="0.25">
      <c r="B42" s="379"/>
      <c r="C42" s="408" t="s">
        <v>337</v>
      </c>
      <c r="D42" s="37" t="s">
        <v>46</v>
      </c>
      <c r="E42" s="84">
        <f>SUM(SPWR!E135:E137)</f>
        <v>-2023.1659999999999</v>
      </c>
      <c r="F42" s="84">
        <f>SUM(SPWR!F135:F137)</f>
        <v>-1738.3200000000002</v>
      </c>
      <c r="G42" s="84">
        <f>SUM(SPWR!G135:G137)</f>
        <v>-1241.32252643571</v>
      </c>
      <c r="H42" s="456"/>
      <c r="I42" s="457"/>
      <c r="J42" s="458"/>
      <c r="K42" s="84">
        <f>SUM(SPWR!H135:H137)</f>
        <v>-2071.9684273415032</v>
      </c>
      <c r="L42" s="84">
        <f>SUM(SPWR!I135:I137)</f>
        <v>-2421.6036313315458</v>
      </c>
      <c r="M42" s="84">
        <f>SUM(SPWR!J135:J137)</f>
        <v>-2830.3962175206671</v>
      </c>
      <c r="N42" s="84">
        <f>SUM(SPWR!K135:K137)</f>
        <v>-3266.8623604532659</v>
      </c>
      <c r="P42" s="785"/>
      <c r="Q42" s="785"/>
      <c r="R42" s="785"/>
      <c r="S42" s="785"/>
      <c r="T42" s="785"/>
      <c r="U42" s="785"/>
      <c r="V42" s="785"/>
      <c r="W42" s="785"/>
      <c r="X42" s="785"/>
      <c r="Y42" s="785"/>
      <c r="Z42" s="785"/>
      <c r="AA42" s="785"/>
    </row>
    <row r="43" spans="2:27" outlineLevel="1" x14ac:dyDescent="0.25">
      <c r="B43" s="379"/>
      <c r="C43" s="459" t="s">
        <v>339</v>
      </c>
      <c r="D43" s="460" t="s">
        <v>46</v>
      </c>
      <c r="E43" s="83"/>
      <c r="F43" s="83"/>
      <c r="G43" s="83"/>
      <c r="H43" s="462"/>
      <c r="I43" s="461"/>
      <c r="J43" s="463"/>
      <c r="K43" s="83">
        <f>-SUM(MAXN!H103:H104)</f>
        <v>929.46987650001154</v>
      </c>
      <c r="L43" s="83">
        <f>-SUM(MAXN!I103:I104)</f>
        <v>1109.9101883926178</v>
      </c>
      <c r="M43" s="83">
        <f>-SUM(MAXN!J103:J104)</f>
        <v>1332.5657200085143</v>
      </c>
      <c r="N43" s="83">
        <f>-SUM(MAXN!K103:K104)</f>
        <v>1561.5102951652186</v>
      </c>
      <c r="P43" s="785"/>
      <c r="Q43" s="785"/>
      <c r="R43" s="785"/>
      <c r="S43" s="785"/>
      <c r="T43" s="785"/>
      <c r="U43" s="785"/>
      <c r="V43" s="785"/>
      <c r="W43" s="785"/>
      <c r="X43" s="785"/>
      <c r="Y43" s="785"/>
      <c r="Z43" s="785"/>
      <c r="AA43" s="785"/>
    </row>
    <row r="44" spans="2:27" outlineLevel="1" x14ac:dyDescent="0.25">
      <c r="B44" s="379"/>
      <c r="C44" s="24" t="s">
        <v>338</v>
      </c>
      <c r="D44" s="43" t="s">
        <v>46</v>
      </c>
      <c r="E44" s="464">
        <f>SUM(E42:E43)</f>
        <v>-2023.1659999999999</v>
      </c>
      <c r="F44" s="464">
        <f t="shared" ref="F44:G44" si="2">SUM(F42:F43)</f>
        <v>-1738.3200000000002</v>
      </c>
      <c r="G44" s="464">
        <f t="shared" si="2"/>
        <v>-1241.32252643571</v>
      </c>
      <c r="H44" s="417"/>
      <c r="I44" s="418"/>
      <c r="J44" s="419"/>
      <c r="K44" s="464">
        <f>SUM(K42:K43)</f>
        <v>-1142.4985508414916</v>
      </c>
      <c r="L44" s="464">
        <f t="shared" ref="L44:N44" si="3">SUM(L42:L43)</f>
        <v>-1311.693442938928</v>
      </c>
      <c r="M44" s="464">
        <f t="shared" si="3"/>
        <v>-1497.8304975121528</v>
      </c>
      <c r="N44" s="464">
        <f t="shared" si="3"/>
        <v>-1705.3520652880472</v>
      </c>
      <c r="P44" s="785"/>
      <c r="Q44" s="785"/>
      <c r="R44" s="785"/>
      <c r="S44" s="785"/>
      <c r="T44" s="785"/>
      <c r="U44" s="785"/>
      <c r="V44" s="785"/>
      <c r="W44" s="785"/>
      <c r="X44" s="785"/>
      <c r="Y44" s="785"/>
      <c r="Z44" s="785"/>
      <c r="AA44" s="785"/>
    </row>
    <row r="45" spans="2:27" outlineLevel="1" x14ac:dyDescent="0.25">
      <c r="B45" s="379"/>
      <c r="C45" s="6"/>
      <c r="E45" s="370"/>
      <c r="F45" s="370"/>
      <c r="G45" s="404"/>
      <c r="H45" s="456"/>
      <c r="I45" s="457"/>
      <c r="J45" s="458"/>
      <c r="K45" s="404"/>
      <c r="L45" s="404"/>
      <c r="M45" s="404"/>
      <c r="N45" s="404"/>
      <c r="P45" s="785"/>
      <c r="Q45" s="785"/>
      <c r="R45" s="785"/>
      <c r="S45" s="785"/>
      <c r="T45" s="785"/>
      <c r="U45" s="785"/>
      <c r="V45" s="785"/>
      <c r="W45" s="785"/>
      <c r="X45" s="785"/>
      <c r="Y45" s="785"/>
      <c r="Z45" s="785"/>
      <c r="AA45" s="785"/>
    </row>
    <row r="46" spans="2:27" outlineLevel="1" x14ac:dyDescent="0.25">
      <c r="B46" s="379"/>
      <c r="C46" s="6" t="s">
        <v>340</v>
      </c>
      <c r="D46" s="37" t="s">
        <v>46</v>
      </c>
      <c r="E46" s="13">
        <f>+E40+E44</f>
        <v>-297.0809999999999</v>
      </c>
      <c r="F46" s="13">
        <f t="shared" ref="F46:G46" si="4">+F40+F44</f>
        <v>125.9050000000002</v>
      </c>
      <c r="G46" s="13">
        <f t="shared" si="4"/>
        <v>153.7573367052903</v>
      </c>
      <c r="H46" s="434"/>
      <c r="I46" s="13"/>
      <c r="J46" s="435"/>
      <c r="K46" s="13">
        <f>+K40+K44</f>
        <v>255.28606929491752</v>
      </c>
      <c r="L46" s="13">
        <f t="shared" ref="L46:N46" si="5">+L40+L44</f>
        <v>327.32328171458062</v>
      </c>
      <c r="M46" s="13">
        <f t="shared" si="5"/>
        <v>405.15852085234565</v>
      </c>
      <c r="N46" s="13">
        <f t="shared" si="5"/>
        <v>492.51703495597144</v>
      </c>
      <c r="P46" s="785"/>
      <c r="Q46" s="785"/>
      <c r="R46" s="785"/>
      <c r="S46" s="785"/>
      <c r="T46" s="785"/>
      <c r="U46" s="785"/>
      <c r="V46" s="785"/>
      <c r="W46" s="785"/>
      <c r="X46" s="785"/>
      <c r="Y46" s="785"/>
      <c r="Z46" s="785"/>
      <c r="AA46" s="785"/>
    </row>
    <row r="47" spans="2:27" outlineLevel="1" x14ac:dyDescent="0.25">
      <c r="B47" s="379"/>
      <c r="C47" s="6"/>
      <c r="D47" s="37"/>
      <c r="E47" s="8"/>
      <c r="F47" s="8"/>
      <c r="G47" s="8"/>
      <c r="H47" s="428"/>
      <c r="I47" s="8"/>
      <c r="J47" s="429"/>
      <c r="K47" s="8"/>
      <c r="L47" s="8"/>
      <c r="M47" s="8"/>
      <c r="N47" s="8"/>
      <c r="P47" s="785"/>
      <c r="Q47" s="785"/>
      <c r="R47" s="785"/>
      <c r="S47" s="785"/>
      <c r="T47" s="785"/>
      <c r="U47" s="785"/>
      <c r="V47" s="785"/>
      <c r="W47" s="785"/>
      <c r="X47" s="785"/>
      <c r="Y47" s="785"/>
      <c r="Z47" s="785"/>
      <c r="AA47" s="785"/>
    </row>
    <row r="48" spans="2:27" outlineLevel="1" x14ac:dyDescent="0.25">
      <c r="B48" s="379"/>
      <c r="C48" s="408" t="s">
        <v>341</v>
      </c>
      <c r="D48" s="37" t="s">
        <v>46</v>
      </c>
      <c r="E48" s="11">
        <f>SPWR!E145</f>
        <v>-551.95000000000005</v>
      </c>
      <c r="F48" s="11">
        <f>SPWR!F145</f>
        <v>-224.01999999999998</v>
      </c>
      <c r="G48" s="11">
        <f>SPWR!G145</f>
        <v>-299.94217057531506</v>
      </c>
      <c r="H48" s="428"/>
      <c r="I48" s="8"/>
      <c r="J48" s="429"/>
      <c r="K48" s="11">
        <f>SPWR!H145</f>
        <v>-366.36467049907122</v>
      </c>
      <c r="L48" s="11">
        <f>SPWR!I145</f>
        <v>-412.70223104461201</v>
      </c>
      <c r="M48" s="11">
        <f>SPWR!J145</f>
        <v>-488.51274923911546</v>
      </c>
      <c r="N48" s="11">
        <f>SPWR!K145</f>
        <v>-558.85133232094256</v>
      </c>
      <c r="P48" s="785"/>
      <c r="Q48" s="785"/>
      <c r="R48" s="785"/>
      <c r="S48" s="785"/>
      <c r="T48" s="785"/>
      <c r="U48" s="785"/>
      <c r="V48" s="785"/>
      <c r="W48" s="785"/>
      <c r="X48" s="785"/>
      <c r="Y48" s="785"/>
      <c r="Z48" s="785"/>
      <c r="AA48" s="785"/>
    </row>
    <row r="49" spans="2:27" outlineLevel="1" x14ac:dyDescent="0.25">
      <c r="B49" s="379"/>
      <c r="C49" s="477" t="s">
        <v>342</v>
      </c>
      <c r="D49" s="478" t="s">
        <v>46</v>
      </c>
      <c r="E49" s="479"/>
      <c r="F49" s="479"/>
      <c r="G49" s="479"/>
      <c r="H49" s="480"/>
      <c r="I49" s="481"/>
      <c r="J49" s="482"/>
      <c r="K49" s="757">
        <f>-MAXN!H111</f>
        <v>212.20773436073324</v>
      </c>
      <c r="L49" s="757">
        <f>-MAXN!I111</f>
        <v>238.2118564710571</v>
      </c>
      <c r="M49" s="757">
        <f>-MAXN!J111</f>
        <v>277.61785833510714</v>
      </c>
      <c r="N49" s="757">
        <f>-MAXN!K111</f>
        <v>282.20065575275038</v>
      </c>
      <c r="P49" s="785"/>
      <c r="Q49" s="785"/>
      <c r="R49" s="785"/>
      <c r="S49" s="785"/>
      <c r="T49" s="785"/>
      <c r="U49" s="785"/>
      <c r="V49" s="785"/>
      <c r="W49" s="785"/>
      <c r="X49" s="785"/>
      <c r="Y49" s="785"/>
      <c r="Z49" s="785"/>
      <c r="AA49" s="785"/>
    </row>
    <row r="50" spans="2:27" outlineLevel="1" x14ac:dyDescent="0.25">
      <c r="B50" s="379"/>
      <c r="C50" s="523" t="s">
        <v>390</v>
      </c>
      <c r="D50" s="518" t="s">
        <v>46</v>
      </c>
      <c r="E50" s="519"/>
      <c r="F50" s="519"/>
      <c r="G50" s="519"/>
      <c r="H50" s="520"/>
      <c r="I50" s="521"/>
      <c r="J50" s="522"/>
      <c r="K50" s="519">
        <f>$K$12</f>
        <v>18.803000000000001</v>
      </c>
      <c r="L50" s="519">
        <f t="shared" ref="L50:N50" si="6">$K$12</f>
        <v>18.803000000000001</v>
      </c>
      <c r="M50" s="519">
        <f t="shared" si="6"/>
        <v>18.803000000000001</v>
      </c>
      <c r="N50" s="519">
        <f t="shared" si="6"/>
        <v>18.803000000000001</v>
      </c>
      <c r="P50" s="785"/>
      <c r="Q50" s="785"/>
      <c r="R50" s="785"/>
      <c r="S50" s="785"/>
      <c r="T50" s="785"/>
      <c r="U50" s="785"/>
      <c r="V50" s="785"/>
      <c r="W50" s="785"/>
      <c r="X50" s="785"/>
      <c r="Y50" s="785"/>
      <c r="Z50" s="785"/>
      <c r="AA50" s="785"/>
    </row>
    <row r="51" spans="2:27" outlineLevel="1" x14ac:dyDescent="0.25">
      <c r="B51" s="379"/>
      <c r="C51" s="523" t="s">
        <v>391</v>
      </c>
      <c r="D51" s="518" t="s">
        <v>46</v>
      </c>
      <c r="E51" s="519"/>
      <c r="F51" s="519"/>
      <c r="G51" s="519"/>
      <c r="H51" s="520"/>
      <c r="I51" s="521"/>
      <c r="J51" s="522"/>
      <c r="K51" s="519">
        <f>K13</f>
        <v>-23.567</v>
      </c>
      <c r="L51" s="524">
        <v>0</v>
      </c>
      <c r="M51" s="519">
        <f>L51</f>
        <v>0</v>
      </c>
      <c r="N51" s="519">
        <f t="shared" ref="N51" si="7">M51</f>
        <v>0</v>
      </c>
      <c r="P51" s="785"/>
      <c r="Q51" s="785"/>
      <c r="R51" s="785"/>
      <c r="S51" s="785"/>
      <c r="T51" s="785"/>
      <c r="U51" s="785"/>
      <c r="V51" s="785"/>
      <c r="W51" s="785"/>
      <c r="X51" s="785"/>
      <c r="Y51" s="785"/>
      <c r="Z51" s="785"/>
      <c r="AA51" s="785"/>
    </row>
    <row r="52" spans="2:27" outlineLevel="1" x14ac:dyDescent="0.25">
      <c r="B52" s="379"/>
      <c r="C52" s="523" t="s">
        <v>388</v>
      </c>
      <c r="D52" s="518" t="s">
        <v>46</v>
      </c>
      <c r="E52" s="519"/>
      <c r="F52" s="519"/>
      <c r="G52" s="519"/>
      <c r="H52" s="520"/>
      <c r="I52" s="521"/>
      <c r="J52" s="522"/>
      <c r="K52" s="519">
        <f>$K$9</f>
        <v>7.12</v>
      </c>
      <c r="L52" s="519">
        <f t="shared" ref="L52:N52" si="8">$K$9</f>
        <v>7.12</v>
      </c>
      <c r="M52" s="519">
        <f t="shared" si="8"/>
        <v>7.12</v>
      </c>
      <c r="N52" s="519">
        <f t="shared" si="8"/>
        <v>7.12</v>
      </c>
      <c r="P52" s="785"/>
      <c r="Q52" s="785"/>
      <c r="R52" s="785"/>
      <c r="S52" s="785"/>
      <c r="T52" s="785"/>
      <c r="U52" s="785"/>
      <c r="V52" s="785"/>
      <c r="W52" s="785"/>
      <c r="X52" s="785"/>
      <c r="Y52" s="785"/>
      <c r="Z52" s="785"/>
      <c r="AA52" s="785"/>
    </row>
    <row r="53" spans="2:27" outlineLevel="1" x14ac:dyDescent="0.25">
      <c r="B53" s="379"/>
      <c r="C53" s="523" t="s">
        <v>389</v>
      </c>
      <c r="D53" s="518" t="s">
        <v>46</v>
      </c>
      <c r="E53" s="519"/>
      <c r="F53" s="519"/>
      <c r="G53" s="519"/>
      <c r="H53" s="520"/>
      <c r="I53" s="521"/>
      <c r="J53" s="522"/>
      <c r="K53" s="519">
        <f>$K$10</f>
        <v>2.6539999999999999</v>
      </c>
      <c r="L53" s="519">
        <f t="shared" ref="L53:N53" si="9">$K$10</f>
        <v>2.6539999999999999</v>
      </c>
      <c r="M53" s="519">
        <f t="shared" si="9"/>
        <v>2.6539999999999999</v>
      </c>
      <c r="N53" s="519">
        <f t="shared" si="9"/>
        <v>2.6539999999999999</v>
      </c>
      <c r="P53" s="785"/>
      <c r="Q53" s="785"/>
      <c r="R53" s="785"/>
      <c r="S53" s="785"/>
      <c r="T53" s="785"/>
      <c r="U53" s="785"/>
      <c r="V53" s="785"/>
      <c r="W53" s="785"/>
      <c r="X53" s="785"/>
      <c r="Y53" s="785"/>
      <c r="Z53" s="785"/>
      <c r="AA53" s="785"/>
    </row>
    <row r="54" spans="2:27" outlineLevel="1" x14ac:dyDescent="0.25">
      <c r="B54" s="379"/>
      <c r="C54" s="24" t="s">
        <v>343</v>
      </c>
      <c r="D54" s="43" t="s">
        <v>46</v>
      </c>
      <c r="E54" s="464">
        <f>SUM(E48:E53)</f>
        <v>-551.95000000000005</v>
      </c>
      <c r="F54" s="464">
        <f t="shared" ref="F54:G54" si="10">SUM(F48:F53)</f>
        <v>-224.01999999999998</v>
      </c>
      <c r="G54" s="464">
        <f t="shared" si="10"/>
        <v>-299.94217057531506</v>
      </c>
      <c r="H54" s="417"/>
      <c r="I54" s="418"/>
      <c r="J54" s="419"/>
      <c r="K54" s="464">
        <f>SUM(K48:K53)</f>
        <v>-149.14693613833799</v>
      </c>
      <c r="L54" s="464">
        <f t="shared" ref="L54:N54" si="11">SUM(L48:L53)</f>
        <v>-145.9133745735549</v>
      </c>
      <c r="M54" s="464">
        <f t="shared" si="11"/>
        <v>-182.31789090400832</v>
      </c>
      <c r="N54" s="464">
        <f t="shared" si="11"/>
        <v>-248.07367656819218</v>
      </c>
      <c r="P54" s="785"/>
      <c r="Q54" s="785"/>
      <c r="R54" s="785"/>
      <c r="S54" s="785"/>
      <c r="T54" s="785"/>
      <c r="U54" s="785"/>
      <c r="V54" s="785"/>
      <c r="W54" s="785"/>
      <c r="X54" s="785"/>
      <c r="Y54" s="785"/>
      <c r="Z54" s="785"/>
      <c r="AA54" s="785"/>
    </row>
    <row r="55" spans="2:27" outlineLevel="1" x14ac:dyDescent="0.25">
      <c r="B55" s="379"/>
      <c r="C55" s="6"/>
      <c r="E55" s="8"/>
      <c r="F55" s="8"/>
      <c r="G55" s="8"/>
      <c r="H55" s="428"/>
      <c r="I55" s="8"/>
      <c r="J55" s="429"/>
      <c r="K55" s="8"/>
      <c r="L55" s="8"/>
      <c r="M55" s="8"/>
      <c r="N55" s="8"/>
      <c r="P55" s="785"/>
      <c r="Q55" s="785"/>
      <c r="R55" s="785"/>
      <c r="S55" s="785"/>
      <c r="T55" s="785"/>
      <c r="U55" s="785"/>
      <c r="V55" s="785"/>
      <c r="W55" s="785"/>
      <c r="X55" s="785"/>
      <c r="Y55" s="785"/>
      <c r="Z55" s="785"/>
      <c r="AA55" s="785"/>
    </row>
    <row r="56" spans="2:27" outlineLevel="1" x14ac:dyDescent="0.25">
      <c r="B56" s="379"/>
      <c r="C56" s="6" t="s">
        <v>344</v>
      </c>
      <c r="D56" s="37" t="s">
        <v>46</v>
      </c>
      <c r="E56" s="13">
        <f>+E46+E54</f>
        <v>-849.03099999999995</v>
      </c>
      <c r="F56" s="13">
        <f t="shared" ref="F56:G56" si="12">+F46+F54</f>
        <v>-98.114999999999782</v>
      </c>
      <c r="G56" s="13">
        <f t="shared" si="12"/>
        <v>-146.18483387002476</v>
      </c>
      <c r="H56" s="434"/>
      <c r="I56" s="13"/>
      <c r="J56" s="435"/>
      <c r="K56" s="13">
        <f>+K46+K54</f>
        <v>106.13913315657953</v>
      </c>
      <c r="L56" s="13">
        <f t="shared" ref="L56:N56" si="13">+L46+L54</f>
        <v>181.40990714102571</v>
      </c>
      <c r="M56" s="13">
        <f t="shared" si="13"/>
        <v>222.84062994833732</v>
      </c>
      <c r="N56" s="13">
        <f t="shared" si="13"/>
        <v>244.44335838777926</v>
      </c>
      <c r="P56" s="785"/>
      <c r="Q56" s="785"/>
      <c r="R56" s="785"/>
      <c r="S56" s="785"/>
      <c r="T56" s="785"/>
      <c r="U56" s="785"/>
      <c r="V56" s="785"/>
      <c r="W56" s="785"/>
      <c r="X56" s="785"/>
      <c r="Y56" s="785"/>
      <c r="Z56" s="785"/>
      <c r="AA56" s="785"/>
    </row>
    <row r="57" spans="2:27" outlineLevel="1" x14ac:dyDescent="0.25">
      <c r="B57" s="379"/>
      <c r="C57" s="488" t="s">
        <v>345</v>
      </c>
      <c r="D57" s="37" t="s">
        <v>46</v>
      </c>
      <c r="E57" s="11">
        <f>SPWR!E148</f>
        <v>-108.011</v>
      </c>
      <c r="F57" s="11">
        <f>SPWR!F148</f>
        <v>-53.353000000000002</v>
      </c>
      <c r="G57" s="11">
        <f>SPWR!G148</f>
        <v>-57.206948269776561</v>
      </c>
      <c r="H57" s="428"/>
      <c r="I57" s="8"/>
      <c r="J57" s="429"/>
      <c r="K57" s="11">
        <f>SPWR!H148</f>
        <v>-58.28486290768565</v>
      </c>
      <c r="L57" s="11">
        <f>SPWR!I148</f>
        <v>-66.186607115717095</v>
      </c>
      <c r="M57" s="11">
        <f>SPWR!J148</f>
        <v>-70.981298180526764</v>
      </c>
      <c r="N57" s="11">
        <f>SPWR!K148</f>
        <v>-76.70321873684739</v>
      </c>
      <c r="P57" s="785"/>
      <c r="Q57" s="785"/>
      <c r="R57" s="785"/>
      <c r="S57" s="785"/>
      <c r="T57" s="785"/>
      <c r="U57" s="785"/>
      <c r="V57" s="785"/>
      <c r="W57" s="785"/>
      <c r="X57" s="785"/>
      <c r="Y57" s="785"/>
      <c r="Z57" s="785"/>
      <c r="AA57" s="785"/>
    </row>
    <row r="58" spans="2:27" outlineLevel="1" x14ac:dyDescent="0.25">
      <c r="B58" s="379"/>
      <c r="C58" s="517" t="s">
        <v>346</v>
      </c>
      <c r="D58" s="478" t="s">
        <v>46</v>
      </c>
      <c r="E58" s="479"/>
      <c r="F58" s="479"/>
      <c r="G58" s="479"/>
      <c r="H58" s="480"/>
      <c r="I58" s="481"/>
      <c r="J58" s="482"/>
      <c r="K58" s="783">
        <f>-MAXN!H114</f>
        <v>8.4157536360698941</v>
      </c>
      <c r="L58" s="757">
        <f>-MAXN!I114</f>
        <v>6.4007180029471318</v>
      </c>
      <c r="M58" s="757">
        <f>-MAXN!J114</f>
        <v>8.162064778904929</v>
      </c>
      <c r="N58" s="757">
        <f>-MAXN!K114</f>
        <v>5.0176056317105013</v>
      </c>
      <c r="P58" s="785"/>
      <c r="Q58" s="785"/>
      <c r="R58" s="785"/>
      <c r="S58" s="785"/>
      <c r="T58" s="785"/>
      <c r="U58" s="785"/>
      <c r="V58" s="785"/>
      <c r="W58" s="785"/>
      <c r="X58" s="785"/>
      <c r="Y58" s="785"/>
      <c r="Z58" s="785"/>
      <c r="AA58" s="785"/>
    </row>
    <row r="59" spans="2:27" outlineLevel="1" x14ac:dyDescent="0.25">
      <c r="B59" s="379"/>
      <c r="C59" s="523" t="s">
        <v>392</v>
      </c>
      <c r="D59" s="518" t="s">
        <v>46</v>
      </c>
      <c r="E59" s="519"/>
      <c r="F59" s="519"/>
      <c r="G59" s="519"/>
      <c r="H59" s="520"/>
      <c r="I59" s="521"/>
      <c r="J59" s="522"/>
      <c r="K59" s="519">
        <f>$K$15</f>
        <v>-1.9550000000000001</v>
      </c>
      <c r="L59" s="519">
        <f t="shared" ref="L59:N59" si="14">$K$15</f>
        <v>-1.9550000000000001</v>
      </c>
      <c r="M59" s="519">
        <f t="shared" si="14"/>
        <v>-1.9550000000000001</v>
      </c>
      <c r="N59" s="519">
        <f t="shared" si="14"/>
        <v>-1.9550000000000001</v>
      </c>
      <c r="P59" s="785"/>
      <c r="Q59" s="785"/>
      <c r="R59" s="785"/>
      <c r="S59" s="785"/>
      <c r="T59" s="785"/>
      <c r="U59" s="785"/>
      <c r="V59" s="785"/>
      <c r="W59" s="785"/>
      <c r="X59" s="785"/>
      <c r="Y59" s="785"/>
      <c r="Z59" s="785"/>
      <c r="AA59" s="785"/>
    </row>
    <row r="60" spans="2:27" outlineLevel="1" x14ac:dyDescent="0.25">
      <c r="B60" s="379"/>
      <c r="C60" s="502" t="s">
        <v>361</v>
      </c>
      <c r="D60" s="483" t="s">
        <v>46</v>
      </c>
      <c r="E60" s="484"/>
      <c r="F60" s="484"/>
      <c r="G60" s="484"/>
      <c r="H60" s="485"/>
      <c r="I60" s="486"/>
      <c r="J60" s="487"/>
      <c r="K60" s="484">
        <f>-SUM($K169:K169)*SPWR!H104</f>
        <v>4.817985964188038</v>
      </c>
      <c r="L60" s="484">
        <f>-SUM($K169:L169)*SPWR!I104</f>
        <v>8.9476882192063574</v>
      </c>
      <c r="M60" s="484">
        <f>-SUM($K169:M169)*SPWR!J104</f>
        <v>11.700823055885236</v>
      </c>
      <c r="N60" s="484">
        <f>-SUM($K169:N169)*SPWR!K104</f>
        <v>13.077390474224675</v>
      </c>
      <c r="P60" s="785"/>
      <c r="Q60" s="785"/>
      <c r="R60" s="785"/>
      <c r="S60" s="785"/>
      <c r="T60" s="785"/>
      <c r="U60" s="785"/>
      <c r="V60" s="785"/>
      <c r="W60" s="785"/>
      <c r="X60" s="785"/>
      <c r="Y60" s="785"/>
      <c r="Z60" s="785"/>
      <c r="AA60" s="785"/>
    </row>
    <row r="61" spans="2:27" outlineLevel="1" x14ac:dyDescent="0.25">
      <c r="B61" s="379"/>
      <c r="C61" s="410" t="s">
        <v>347</v>
      </c>
      <c r="D61" s="37" t="s">
        <v>46</v>
      </c>
      <c r="E61" s="11">
        <f>SPWR!E149</f>
        <v>3.0569999999999999</v>
      </c>
      <c r="F61" s="11">
        <f>SPWR!F149</f>
        <v>2.702</v>
      </c>
      <c r="G61" s="11">
        <f>SPWR!G149</f>
        <v>3.253908</v>
      </c>
      <c r="H61" s="428"/>
      <c r="I61" s="8"/>
      <c r="J61" s="429"/>
      <c r="K61" s="11">
        <f>SPWR!H149</f>
        <v>3.0168810489858924</v>
      </c>
      <c r="L61" s="11">
        <f>SPWR!I149</f>
        <v>3.9872222984769192</v>
      </c>
      <c r="M61" s="11">
        <f>SPWR!J149</f>
        <v>4.7771398832911363</v>
      </c>
      <c r="N61" s="11">
        <f>SPWR!K149</f>
        <v>6.1325923409021419</v>
      </c>
    </row>
    <row r="62" spans="2:27" outlineLevel="1" x14ac:dyDescent="0.25">
      <c r="B62" s="379"/>
      <c r="C62" s="459" t="s">
        <v>348</v>
      </c>
      <c r="D62" s="460" t="s">
        <v>46</v>
      </c>
      <c r="E62" s="83"/>
      <c r="F62" s="83"/>
      <c r="G62" s="83"/>
      <c r="H62" s="462"/>
      <c r="I62" s="461"/>
      <c r="J62" s="463"/>
      <c r="K62" s="465">
        <f>-MAXN!H116</f>
        <v>0</v>
      </c>
      <c r="L62" s="83">
        <f>-MAXN!I116</f>
        <v>0</v>
      </c>
      <c r="M62" s="83">
        <f>-MAXN!J116</f>
        <v>0</v>
      </c>
      <c r="N62" s="83">
        <f>-MAXN!K116</f>
        <v>0</v>
      </c>
    </row>
    <row r="63" spans="2:27" outlineLevel="1" x14ac:dyDescent="0.25">
      <c r="B63" s="379"/>
      <c r="C63" s="410" t="s">
        <v>349</v>
      </c>
      <c r="D63" s="37" t="s">
        <v>46</v>
      </c>
      <c r="E63" s="11">
        <f>SPWR!E150</f>
        <v>55.314</v>
      </c>
      <c r="F63" s="11">
        <f>SPWR!F150</f>
        <v>174.73400000000001</v>
      </c>
      <c r="G63" s="11">
        <f>SPWR!G150</f>
        <v>10</v>
      </c>
      <c r="H63" s="428"/>
      <c r="I63" s="8"/>
      <c r="J63" s="429"/>
      <c r="K63" s="11">
        <f>SPWR!H150</f>
        <v>10</v>
      </c>
      <c r="L63" s="11">
        <f>SPWR!I150</f>
        <v>10</v>
      </c>
      <c r="M63" s="11">
        <f>SPWR!J150</f>
        <v>10</v>
      </c>
      <c r="N63" s="11">
        <f>SPWR!K150</f>
        <v>10</v>
      </c>
    </row>
    <row r="64" spans="2:27" outlineLevel="1" x14ac:dyDescent="0.25">
      <c r="B64" s="379"/>
      <c r="C64" s="459" t="s">
        <v>350</v>
      </c>
      <c r="D64" s="460" t="s">
        <v>46</v>
      </c>
      <c r="E64" s="83"/>
      <c r="F64" s="83"/>
      <c r="G64" s="83"/>
      <c r="H64" s="462"/>
      <c r="I64" s="461"/>
      <c r="J64" s="463"/>
      <c r="K64" s="465">
        <f>-MAXN!H117</f>
        <v>-5.7539999999999996</v>
      </c>
      <c r="L64" s="465">
        <f>-MAXN!I117</f>
        <v>-5.7539999999999996</v>
      </c>
      <c r="M64" s="465">
        <f>-MAXN!J117</f>
        <v>-5.7539999999999996</v>
      </c>
      <c r="N64" s="465">
        <f>-MAXN!K117</f>
        <v>-5.7539999999999996</v>
      </c>
    </row>
    <row r="65" spans="2:26" outlineLevel="1" x14ac:dyDescent="0.25">
      <c r="B65" s="379"/>
      <c r="C65" s="19" t="s">
        <v>351</v>
      </c>
      <c r="D65" s="43" t="s">
        <v>46</v>
      </c>
      <c r="E65" s="12">
        <f>SUM(E56:E64)</f>
        <v>-898.67099999999994</v>
      </c>
      <c r="F65" s="12">
        <f t="shared" ref="F65:G65" si="15">SUM(F56:F64)</f>
        <v>25.968000000000217</v>
      </c>
      <c r="G65" s="12">
        <f t="shared" si="15"/>
        <v>-190.13787413980131</v>
      </c>
      <c r="H65" s="422"/>
      <c r="I65" s="12"/>
      <c r="J65" s="423"/>
      <c r="K65" s="12">
        <f>SUM(K56:K64)</f>
        <v>66.395890898137708</v>
      </c>
      <c r="L65" s="12">
        <f t="shared" ref="L65:N65" si="16">SUM(L56:L64)</f>
        <v>136.84992854593904</v>
      </c>
      <c r="M65" s="12">
        <f t="shared" si="16"/>
        <v>178.79035948589183</v>
      </c>
      <c r="N65" s="12">
        <f t="shared" si="16"/>
        <v>194.25872809776916</v>
      </c>
    </row>
    <row r="66" spans="2:26" outlineLevel="1" x14ac:dyDescent="0.25">
      <c r="B66" s="379"/>
      <c r="C66" s="16"/>
      <c r="D66" s="37"/>
      <c r="E66" s="13"/>
      <c r="F66" s="13"/>
      <c r="G66" s="13"/>
      <c r="H66" s="434"/>
      <c r="I66" s="13"/>
      <c r="J66" s="435"/>
      <c r="K66" s="13"/>
      <c r="L66" s="13"/>
      <c r="M66" s="13"/>
      <c r="N66" s="13"/>
    </row>
    <row r="67" spans="2:26" outlineLevel="1" x14ac:dyDescent="0.25">
      <c r="B67" s="379"/>
      <c r="C67" s="496" t="s">
        <v>226</v>
      </c>
      <c r="D67" s="460" t="s">
        <v>46</v>
      </c>
      <c r="E67" s="497">
        <f>SPWR!E152</f>
        <v>-1.01</v>
      </c>
      <c r="F67" s="497">
        <f>SPWR!F152</f>
        <v>-26.631</v>
      </c>
      <c r="G67" s="497">
        <f>SPWR!G152</f>
        <v>41.83033231075629</v>
      </c>
      <c r="H67" s="498"/>
      <c r="I67" s="499"/>
      <c r="J67" s="500"/>
      <c r="K67" s="499">
        <f>-K65*SPWR!H57</f>
        <v>-14.607095997590296</v>
      </c>
      <c r="L67" s="499">
        <f>-L65*SPWR!I57</f>
        <v>-30.106984280106587</v>
      </c>
      <c r="M67" s="499">
        <f>-M65*SPWR!J57</f>
        <v>-39.333879086896204</v>
      </c>
      <c r="N67" s="499">
        <f>-N65*SPWR!K57</f>
        <v>-42.73692018150922</v>
      </c>
    </row>
    <row r="68" spans="2:26" outlineLevel="1" x14ac:dyDescent="0.25">
      <c r="B68" s="379"/>
      <c r="C68" s="389"/>
      <c r="D68" s="37"/>
      <c r="E68" s="18"/>
      <c r="F68" s="18"/>
      <c r="G68" s="15"/>
      <c r="H68" s="424"/>
      <c r="I68" s="15"/>
      <c r="J68" s="425"/>
      <c r="K68" s="15"/>
      <c r="L68" s="15"/>
      <c r="M68" s="15"/>
      <c r="N68" s="15"/>
    </row>
    <row r="69" spans="2:26" outlineLevel="1" x14ac:dyDescent="0.25">
      <c r="B69" s="379"/>
      <c r="C69" s="16" t="s">
        <v>2</v>
      </c>
      <c r="D69" s="37" t="s">
        <v>46</v>
      </c>
      <c r="E69" s="14">
        <f>+E65+E67</f>
        <v>-899.68099999999993</v>
      </c>
      <c r="F69" s="14">
        <f t="shared" ref="F69:G69" si="17">+F65+F67</f>
        <v>-0.66299999999978354</v>
      </c>
      <c r="G69" s="14">
        <f t="shared" si="17"/>
        <v>-148.30754182904502</v>
      </c>
      <c r="H69" s="432"/>
      <c r="I69" s="14"/>
      <c r="J69" s="433"/>
      <c r="K69" s="14">
        <f>+K65+K67</f>
        <v>51.788794900547416</v>
      </c>
      <c r="L69" s="14">
        <f t="shared" ref="L69:N69" si="18">+L65+L67</f>
        <v>106.74294426583245</v>
      </c>
      <c r="M69" s="14">
        <f t="shared" si="18"/>
        <v>139.45648039899561</v>
      </c>
      <c r="N69" s="14">
        <f t="shared" si="18"/>
        <v>151.52180791625995</v>
      </c>
    </row>
    <row r="70" spans="2:26" outlineLevel="1" x14ac:dyDescent="0.25">
      <c r="B70" s="379"/>
      <c r="C70" s="389" t="s">
        <v>227</v>
      </c>
      <c r="D70" s="37" t="s">
        <v>46</v>
      </c>
      <c r="E70" s="501">
        <f>SPWR!E154</f>
        <v>-17.815000000000001</v>
      </c>
      <c r="F70" s="501">
        <f>SPWR!F154</f>
        <v>-7.0579999999999998</v>
      </c>
      <c r="G70" s="501">
        <f>SPWR!G154</f>
        <v>2</v>
      </c>
      <c r="H70" s="438"/>
      <c r="I70" s="401"/>
      <c r="J70" s="439"/>
      <c r="K70" s="466">
        <f>SPWR!H154</f>
        <v>4</v>
      </c>
      <c r="L70" s="466">
        <f>SPWR!I154</f>
        <v>5</v>
      </c>
      <c r="M70" s="466">
        <f>SPWR!J154</f>
        <v>8</v>
      </c>
      <c r="N70" s="466">
        <f>SPWR!K154</f>
        <v>12</v>
      </c>
    </row>
    <row r="71" spans="2:26" outlineLevel="1" x14ac:dyDescent="0.25">
      <c r="B71" s="379"/>
      <c r="C71" s="752" t="s">
        <v>516</v>
      </c>
      <c r="D71" s="460" t="s">
        <v>46</v>
      </c>
      <c r="E71" s="83"/>
      <c r="F71" s="83"/>
      <c r="G71" s="83"/>
      <c r="H71" s="462"/>
      <c r="I71" s="461"/>
      <c r="J71" s="463"/>
      <c r="K71" s="465">
        <f>-MAXN!H121</f>
        <v>-2</v>
      </c>
      <c r="L71" s="465">
        <f>-MAXN!I121</f>
        <v>-2</v>
      </c>
      <c r="M71" s="465">
        <f>-MAXN!J121</f>
        <v>-3</v>
      </c>
      <c r="N71" s="465">
        <f>-MAXN!K121</f>
        <v>-4</v>
      </c>
    </row>
    <row r="72" spans="2:26" outlineLevel="1" x14ac:dyDescent="0.25">
      <c r="B72" s="379"/>
      <c r="C72" s="389" t="s">
        <v>241</v>
      </c>
      <c r="D72" s="37" t="s">
        <v>46</v>
      </c>
      <c r="E72" s="501">
        <f>SPWR!E155</f>
        <v>106.405</v>
      </c>
      <c r="F72" s="501">
        <f>SPWR!F155</f>
        <v>29.88</v>
      </c>
      <c r="G72" s="501">
        <f>SPWR!G155</f>
        <v>-3</v>
      </c>
      <c r="H72" s="438"/>
      <c r="I72" s="401"/>
      <c r="J72" s="439"/>
      <c r="K72" s="466">
        <f>SPWR!H155</f>
        <v>-3</v>
      </c>
      <c r="L72" s="466">
        <f>SPWR!I155</f>
        <v>-6</v>
      </c>
      <c r="M72" s="466">
        <f>SPWR!J155</f>
        <v>-10</v>
      </c>
      <c r="N72" s="466">
        <f>SPWR!K155</f>
        <v>-15</v>
      </c>
    </row>
    <row r="73" spans="2:26" outlineLevel="1" x14ac:dyDescent="0.25">
      <c r="B73" s="379"/>
      <c r="C73" s="459" t="s">
        <v>359</v>
      </c>
      <c r="D73" s="460" t="s">
        <v>46</v>
      </c>
      <c r="E73" s="83"/>
      <c r="F73" s="83"/>
      <c r="G73" s="83"/>
      <c r="H73" s="462"/>
      <c r="I73" s="461"/>
      <c r="J73" s="463"/>
      <c r="K73" s="465">
        <f>-MAXN!H122</f>
        <v>1</v>
      </c>
      <c r="L73" s="465">
        <f>-MAXN!I122</f>
        <v>2</v>
      </c>
      <c r="M73" s="465">
        <f>-MAXN!J122</f>
        <v>4</v>
      </c>
      <c r="N73" s="465">
        <f>-MAXN!K122</f>
        <v>8</v>
      </c>
    </row>
    <row r="74" spans="2:26" outlineLevel="1" x14ac:dyDescent="0.25">
      <c r="B74" s="379"/>
      <c r="C74" s="24" t="s">
        <v>228</v>
      </c>
      <c r="D74" s="43" t="s">
        <v>46</v>
      </c>
      <c r="E74" s="174">
        <f>SUM(E69:E73)</f>
        <v>-811.09100000000001</v>
      </c>
      <c r="F74" s="174">
        <f t="shared" ref="F74:G74" si="19">SUM(F69:F73)</f>
        <v>22.159000000000216</v>
      </c>
      <c r="G74" s="174">
        <f t="shared" si="19"/>
        <v>-149.30754182904502</v>
      </c>
      <c r="H74" s="440"/>
      <c r="I74" s="174"/>
      <c r="J74" s="441"/>
      <c r="K74" s="174">
        <f>SUM(K69:K73)</f>
        <v>51.788794900547416</v>
      </c>
      <c r="L74" s="174">
        <f t="shared" ref="L74:N74" si="20">SUM(L69:L73)</f>
        <v>105.74294426583245</v>
      </c>
      <c r="M74" s="174">
        <f t="shared" si="20"/>
        <v>138.45648039899561</v>
      </c>
      <c r="N74" s="174">
        <f t="shared" si="20"/>
        <v>152.52180791625995</v>
      </c>
      <c r="P74" s="782"/>
      <c r="Q74" s="782"/>
      <c r="R74" s="782"/>
      <c r="S74" s="782"/>
      <c r="T74" s="782"/>
      <c r="U74" s="782"/>
      <c r="V74" s="782"/>
      <c r="W74" s="782"/>
      <c r="X74" s="782"/>
      <c r="Y74" s="782"/>
      <c r="Z74" s="785"/>
    </row>
    <row r="75" spans="2:26" outlineLevel="1" x14ac:dyDescent="0.25">
      <c r="B75" s="379"/>
      <c r="C75" s="6"/>
      <c r="D75" s="37"/>
      <c r="E75" s="10"/>
      <c r="F75" s="10"/>
      <c r="G75" s="10"/>
      <c r="H75" s="492"/>
      <c r="I75" s="10"/>
      <c r="J75" s="493"/>
      <c r="K75" s="8"/>
      <c r="L75" s="8"/>
      <c r="M75" s="8"/>
      <c r="N75" s="8"/>
      <c r="P75" s="785"/>
      <c r="Q75" s="785"/>
      <c r="R75" s="785"/>
      <c r="S75" s="785"/>
      <c r="T75" s="785"/>
      <c r="U75" s="785"/>
      <c r="V75" s="785"/>
      <c r="W75" s="785"/>
      <c r="X75" s="785"/>
      <c r="Y75" s="785"/>
      <c r="Z75" s="785"/>
    </row>
    <row r="76" spans="2:26" outlineLevel="1" x14ac:dyDescent="0.25">
      <c r="B76" s="379"/>
      <c r="C76" s="490" t="s">
        <v>353</v>
      </c>
      <c r="D76" s="48" t="s">
        <v>34</v>
      </c>
      <c r="E76" s="23">
        <f>SPWR!E158</f>
        <v>140.82499999999999</v>
      </c>
      <c r="F76" s="23">
        <f>SPWR!F158</f>
        <v>147.52500000000001</v>
      </c>
      <c r="G76" s="23">
        <f>SPWR!G158</f>
        <v>170.971</v>
      </c>
      <c r="H76" s="492"/>
      <c r="I76" s="10"/>
      <c r="J76" s="493"/>
      <c r="K76" s="23">
        <f>SPWR!H158</f>
        <v>181.2409530516432</v>
      </c>
      <c r="L76" s="23">
        <f>SPWR!I158</f>
        <v>190.04376995305165</v>
      </c>
      <c r="M76" s="23">
        <f>SPWR!J158</f>
        <v>195.91231455399063</v>
      </c>
      <c r="N76" s="23">
        <f>SPWR!K158</f>
        <v>198.8465868544601</v>
      </c>
      <c r="P76" s="785"/>
      <c r="Q76" s="785"/>
      <c r="R76" s="785"/>
      <c r="S76" s="785"/>
      <c r="T76" s="785"/>
      <c r="U76" s="785"/>
      <c r="V76" s="785"/>
      <c r="W76" s="785"/>
      <c r="X76" s="785"/>
      <c r="Y76" s="785"/>
      <c r="Z76" s="785"/>
    </row>
    <row r="77" spans="2:26" outlineLevel="1" x14ac:dyDescent="0.25">
      <c r="B77" s="379"/>
      <c r="C77" s="459" t="s">
        <v>360</v>
      </c>
      <c r="D77" s="460" t="s">
        <v>34</v>
      </c>
      <c r="E77" s="83"/>
      <c r="F77" s="83"/>
      <c r="G77" s="83"/>
      <c r="H77" s="462"/>
      <c r="I77" s="461"/>
      <c r="J77" s="463"/>
      <c r="K77" s="83">
        <f>SUM($K171:K171)/Parent_Share_Price</f>
        <v>-10.269953051643194</v>
      </c>
      <c r="L77" s="83">
        <f>SUM($K171:L171)/Parent_Share_Price</f>
        <v>-19.072769953051644</v>
      </c>
      <c r="M77" s="83">
        <f>SUM($K171:M171)/Parent_Share_Price</f>
        <v>-24.941314553990612</v>
      </c>
      <c r="N77" s="83">
        <f>SUM($K171:N171)/Parent_Share_Price</f>
        <v>-27.875586854460096</v>
      </c>
      <c r="P77" s="785"/>
      <c r="Q77" s="785"/>
      <c r="R77" s="785"/>
      <c r="S77" s="785"/>
      <c r="T77" s="785"/>
      <c r="U77" s="785"/>
      <c r="V77" s="785"/>
      <c r="W77" s="785"/>
      <c r="X77" s="785"/>
      <c r="Y77" s="785"/>
      <c r="Z77" s="785"/>
    </row>
    <row r="78" spans="2:26" outlineLevel="1" x14ac:dyDescent="0.25">
      <c r="B78" s="379"/>
      <c r="C78" s="6" t="s">
        <v>362</v>
      </c>
      <c r="D78" s="37" t="s">
        <v>34</v>
      </c>
      <c r="E78" s="84">
        <f>SUM(E76:E77)</f>
        <v>140.82499999999999</v>
      </c>
      <c r="F78" s="84">
        <f t="shared" ref="F78:G78" si="21">SUM(F76:F77)</f>
        <v>147.52500000000001</v>
      </c>
      <c r="G78" s="84">
        <f t="shared" si="21"/>
        <v>170.971</v>
      </c>
      <c r="H78" s="492"/>
      <c r="I78" s="10"/>
      <c r="J78" s="493"/>
      <c r="K78" s="377">
        <f>SUM(K76:K77)</f>
        <v>170.971</v>
      </c>
      <c r="L78" s="377">
        <f t="shared" ref="L78:N78" si="22">SUM(L76:L77)</f>
        <v>170.971</v>
      </c>
      <c r="M78" s="377">
        <f t="shared" si="22"/>
        <v>170.971</v>
      </c>
      <c r="N78" s="377">
        <f t="shared" si="22"/>
        <v>170.971</v>
      </c>
      <c r="P78" s="785"/>
      <c r="Q78" s="785"/>
      <c r="R78" s="785"/>
      <c r="S78" s="785"/>
      <c r="T78" s="785"/>
      <c r="U78" s="785"/>
      <c r="V78" s="785"/>
      <c r="W78" s="785"/>
      <c r="X78" s="785"/>
      <c r="Y78" s="785"/>
      <c r="Z78" s="785"/>
    </row>
    <row r="79" spans="2:26" outlineLevel="1" x14ac:dyDescent="0.25">
      <c r="B79" s="379"/>
      <c r="C79" s="490"/>
      <c r="D79" s="37"/>
      <c r="E79" s="10"/>
      <c r="F79" s="10"/>
      <c r="G79" s="10"/>
      <c r="H79" s="492"/>
      <c r="I79" s="10"/>
      <c r="J79" s="493"/>
      <c r="K79" s="8"/>
      <c r="L79" s="8"/>
      <c r="M79" s="8"/>
      <c r="N79" s="8"/>
      <c r="P79" s="785"/>
      <c r="Q79" s="786"/>
      <c r="R79" s="785"/>
      <c r="S79" s="785"/>
      <c r="T79" s="785"/>
      <c r="U79" s="785"/>
      <c r="V79" s="785"/>
      <c r="W79" s="785"/>
      <c r="X79" s="785"/>
      <c r="Y79" s="785"/>
      <c r="Z79" s="785"/>
    </row>
    <row r="80" spans="2:26" outlineLevel="1" x14ac:dyDescent="0.25">
      <c r="B80" s="379"/>
      <c r="C80" s="6" t="s">
        <v>363</v>
      </c>
      <c r="D80" s="48" t="s">
        <v>33</v>
      </c>
      <c r="E80" s="491">
        <f>E74/E78</f>
        <v>-5.7595668382744547</v>
      </c>
      <c r="F80" s="491">
        <f t="shared" ref="F80:G80" si="23">F74/F78</f>
        <v>0.15020504999152831</v>
      </c>
      <c r="G80" s="491">
        <f t="shared" si="23"/>
        <v>-0.87329162155596574</v>
      </c>
      <c r="H80" s="492"/>
      <c r="I80" s="10"/>
      <c r="J80" s="493"/>
      <c r="K80" s="491">
        <f>K74/K78</f>
        <v>0.30290982038209646</v>
      </c>
      <c r="L80" s="491">
        <f t="shared" ref="L80:N80" si="24">L74/L78</f>
        <v>0.61848468024303793</v>
      </c>
      <c r="M80" s="491">
        <f t="shared" si="24"/>
        <v>0.80982435851106682</v>
      </c>
      <c r="N80" s="491">
        <f t="shared" si="24"/>
        <v>0.8920916875742666</v>
      </c>
      <c r="P80" s="785"/>
      <c r="Q80" s="785"/>
      <c r="R80" s="785"/>
      <c r="S80" s="785"/>
      <c r="T80" s="785"/>
      <c r="U80" s="785"/>
      <c r="V80" s="785"/>
      <c r="W80" s="785"/>
      <c r="X80" s="785"/>
      <c r="Y80" s="785"/>
      <c r="Z80" s="785"/>
    </row>
    <row r="81" spans="2:26" outlineLevel="1" x14ac:dyDescent="0.25">
      <c r="B81" s="379"/>
      <c r="C81" s="6"/>
      <c r="D81" s="37"/>
      <c r="E81" s="10"/>
      <c r="F81" s="10"/>
      <c r="G81" s="10"/>
      <c r="H81" s="492"/>
      <c r="I81" s="10"/>
      <c r="J81" s="493"/>
      <c r="K81" s="8"/>
      <c r="L81" s="8"/>
      <c r="M81" s="8"/>
      <c r="N81" s="8"/>
      <c r="P81" s="785"/>
      <c r="Q81" s="785"/>
      <c r="R81" s="785"/>
      <c r="S81" s="785"/>
      <c r="T81" s="785"/>
      <c r="U81" s="785"/>
      <c r="V81" s="785"/>
      <c r="W81" s="785"/>
      <c r="X81" s="785"/>
      <c r="Y81" s="785"/>
      <c r="Z81" s="785"/>
    </row>
    <row r="82" spans="2:26" outlineLevel="1" x14ac:dyDescent="0.25">
      <c r="B82" s="379"/>
      <c r="C82" s="490" t="s">
        <v>364</v>
      </c>
      <c r="D82" s="48" t="s">
        <v>33</v>
      </c>
      <c r="E82" s="10"/>
      <c r="F82" s="10"/>
      <c r="G82" s="10"/>
      <c r="H82" s="492"/>
      <c r="I82" s="10"/>
      <c r="J82" s="493"/>
      <c r="K82" s="506">
        <f>SPWR!H160</f>
        <v>-0.10111773384326388</v>
      </c>
      <c r="L82" s="506">
        <f>SPWR!I160</f>
        <v>0.24661112929403028</v>
      </c>
      <c r="M82" s="506">
        <f>SPWR!J160</f>
        <v>0.44471758333213074</v>
      </c>
      <c r="N82" s="506">
        <f>SPWR!K160</f>
        <v>0.74167498414171973</v>
      </c>
      <c r="P82" s="785"/>
      <c r="Q82" s="785"/>
      <c r="R82" s="785"/>
      <c r="S82" s="785"/>
      <c r="T82" s="785"/>
      <c r="U82" s="785"/>
      <c r="V82" s="785"/>
      <c r="W82" s="785"/>
      <c r="X82" s="785"/>
      <c r="Y82" s="785"/>
      <c r="Z82" s="785"/>
    </row>
    <row r="83" spans="2:26" outlineLevel="1" x14ac:dyDescent="0.25">
      <c r="B83" s="379"/>
      <c r="C83" s="6"/>
      <c r="D83" s="37"/>
      <c r="E83" s="10"/>
      <c r="F83" s="10"/>
      <c r="G83" s="10"/>
      <c r="H83" s="492"/>
      <c r="I83" s="10"/>
      <c r="J83" s="493"/>
      <c r="K83" s="8"/>
      <c r="L83" s="8"/>
      <c r="M83" s="8"/>
      <c r="N83" s="8"/>
      <c r="P83" s="785"/>
      <c r="Q83" s="786"/>
      <c r="R83" s="785"/>
      <c r="S83" s="785"/>
      <c r="T83" s="785"/>
      <c r="U83" s="785"/>
      <c r="V83" s="785"/>
      <c r="W83" s="785"/>
      <c r="X83" s="785"/>
      <c r="Y83" s="785"/>
      <c r="Z83" s="785"/>
    </row>
    <row r="84" spans="2:26" outlineLevel="1" x14ac:dyDescent="0.25">
      <c r="B84" s="379"/>
      <c r="C84" s="490" t="s">
        <v>355</v>
      </c>
      <c r="D84" s="48" t="s">
        <v>33</v>
      </c>
      <c r="E84" s="10"/>
      <c r="F84" s="10"/>
      <c r="G84" s="10"/>
      <c r="H84" s="492"/>
      <c r="I84" s="10"/>
      <c r="J84" s="493"/>
      <c r="K84" s="507">
        <f>K80-K82</f>
        <v>0.40402755422536035</v>
      </c>
      <c r="L84" s="507">
        <f t="shared" ref="L84:N84" si="25">L80-L82</f>
        <v>0.37187355094900765</v>
      </c>
      <c r="M84" s="507">
        <f t="shared" si="25"/>
        <v>0.36510677517893608</v>
      </c>
      <c r="N84" s="507">
        <f t="shared" si="25"/>
        <v>0.15041670343254687</v>
      </c>
      <c r="P84" s="785"/>
      <c r="Q84" s="785"/>
      <c r="R84" s="785"/>
      <c r="S84" s="785"/>
      <c r="T84" s="785"/>
      <c r="U84" s="785"/>
      <c r="V84" s="785"/>
      <c r="W84" s="785"/>
      <c r="X84" s="785"/>
      <c r="Y84" s="785"/>
      <c r="Z84" s="785"/>
    </row>
    <row r="85" spans="2:26" outlineLevel="1" x14ac:dyDescent="0.25">
      <c r="B85" s="379"/>
      <c r="C85" s="490" t="s">
        <v>356</v>
      </c>
      <c r="D85" s="48" t="s">
        <v>32</v>
      </c>
      <c r="E85" s="10"/>
      <c r="F85" s="10"/>
      <c r="G85" s="10"/>
      <c r="H85" s="492"/>
      <c r="I85" s="10"/>
      <c r="J85" s="493"/>
      <c r="K85" s="505">
        <f>K84/K82</f>
        <v>-3.9956151989285833</v>
      </c>
      <c r="L85" s="505">
        <f t="shared" ref="L85:N85" si="26">L84/L82</f>
        <v>1.5079349906614681</v>
      </c>
      <c r="M85" s="505">
        <f t="shared" si="26"/>
        <v>0.82098569713233371</v>
      </c>
      <c r="N85" s="505">
        <f t="shared" si="26"/>
        <v>0.20280676394473776</v>
      </c>
      <c r="P85" s="785"/>
      <c r="Q85" s="785"/>
      <c r="R85" s="785"/>
      <c r="S85" s="785"/>
      <c r="T85" s="785"/>
      <c r="U85" s="785"/>
      <c r="V85" s="785"/>
      <c r="W85" s="785"/>
      <c r="X85" s="785"/>
      <c r="Y85" s="785"/>
      <c r="Z85" s="785"/>
    </row>
    <row r="86" spans="2:26" x14ac:dyDescent="0.25">
      <c r="B86" s="379"/>
      <c r="C86" s="6"/>
      <c r="D86" s="37"/>
      <c r="E86" s="10"/>
      <c r="F86" s="10"/>
      <c r="G86" s="10"/>
      <c r="H86" s="10"/>
      <c r="I86" s="10"/>
      <c r="J86" s="10"/>
      <c r="K86" s="8"/>
      <c r="L86" s="8"/>
      <c r="M86" s="8"/>
      <c r="N86" s="8"/>
      <c r="P86" s="785"/>
      <c r="Q86" s="785"/>
      <c r="R86" s="785"/>
      <c r="S86" s="785"/>
      <c r="T86" s="785"/>
      <c r="U86" s="785"/>
      <c r="V86" s="785"/>
      <c r="W86" s="785"/>
      <c r="X86" s="785"/>
      <c r="Y86" s="785"/>
      <c r="Z86" s="785"/>
    </row>
    <row r="87" spans="2:26" x14ac:dyDescent="0.25">
      <c r="B87" s="28"/>
      <c r="C87" s="29"/>
      <c r="D87" s="29"/>
      <c r="E87" s="33" t="str">
        <f>$E$35</f>
        <v>Historical:</v>
      </c>
      <c r="F87" s="34"/>
      <c r="G87" s="33" t="str">
        <f>$G$35</f>
        <v>Projected:</v>
      </c>
      <c r="H87" s="415" t="str">
        <f>$H$35</f>
        <v>Transaction Adjustments:</v>
      </c>
      <c r="I87" s="33"/>
      <c r="J87" s="34"/>
      <c r="K87" s="33" t="str">
        <f>$K$35</f>
        <v>Separated Company:</v>
      </c>
      <c r="L87" s="33"/>
      <c r="M87" s="33"/>
      <c r="N87" s="33"/>
      <c r="P87" s="785"/>
      <c r="Q87" s="785"/>
      <c r="R87" s="785"/>
      <c r="S87" s="785"/>
      <c r="T87" s="785"/>
      <c r="U87" s="785"/>
      <c r="V87" s="785"/>
      <c r="W87" s="785"/>
      <c r="X87" s="785"/>
      <c r="Y87" s="785"/>
      <c r="Z87" s="785"/>
    </row>
    <row r="88" spans="2:26" x14ac:dyDescent="0.25">
      <c r="B88" s="30" t="s">
        <v>269</v>
      </c>
      <c r="C88" s="31"/>
      <c r="D88" s="36" t="str">
        <f>SPWR!$D$5</f>
        <v>Units:</v>
      </c>
      <c r="E88" s="32">
        <f>$E$36</f>
        <v>43465</v>
      </c>
      <c r="F88" s="35">
        <f>$F$36</f>
        <v>43830</v>
      </c>
      <c r="G88" s="32">
        <f>$G$36</f>
        <v>44196</v>
      </c>
      <c r="H88" s="416" t="str">
        <f>$H$36</f>
        <v>Debit</v>
      </c>
      <c r="I88" s="32" t="str">
        <f>$I$36</f>
        <v>Credit</v>
      </c>
      <c r="J88" s="35">
        <f>$J$36</f>
        <v>44196</v>
      </c>
      <c r="K88" s="32">
        <f>$K$36</f>
        <v>44561</v>
      </c>
      <c r="L88" s="32">
        <f>$L$36</f>
        <v>44926</v>
      </c>
      <c r="M88" s="32">
        <f>$M$36</f>
        <v>45291</v>
      </c>
      <c r="N88" s="32">
        <f>$N$36</f>
        <v>45657</v>
      </c>
      <c r="P88" s="785"/>
      <c r="Q88" s="785"/>
      <c r="R88" s="785"/>
      <c r="S88" s="785"/>
      <c r="T88" s="785"/>
      <c r="U88" s="785"/>
      <c r="V88" s="785"/>
      <c r="W88" s="785"/>
      <c r="X88" s="785"/>
      <c r="Y88" s="785"/>
      <c r="Z88" s="785"/>
    </row>
    <row r="89" spans="2:26" x14ac:dyDescent="0.25">
      <c r="B89" s="59" t="s">
        <v>47</v>
      </c>
      <c r="C89" s="406"/>
      <c r="D89" s="406"/>
      <c r="E89" s="406"/>
      <c r="F89" s="406"/>
      <c r="G89" s="406"/>
      <c r="H89" s="448"/>
      <c r="I89" s="406"/>
      <c r="J89" s="449"/>
      <c r="K89" s="406"/>
      <c r="L89" s="406"/>
      <c r="M89" s="406"/>
      <c r="N89" s="406"/>
      <c r="P89" s="795"/>
      <c r="Q89" s="795"/>
      <c r="R89" s="795"/>
      <c r="S89" s="795"/>
      <c r="T89" s="795"/>
      <c r="U89" s="795"/>
      <c r="V89" s="795"/>
      <c r="W89" s="795"/>
      <c r="X89" s="795"/>
      <c r="Y89" s="795"/>
      <c r="Z89" s="795"/>
    </row>
    <row r="90" spans="2:26" outlineLevel="1" x14ac:dyDescent="0.25">
      <c r="C90" s="6" t="s">
        <v>6</v>
      </c>
      <c r="F90" s="395"/>
      <c r="H90" s="442"/>
      <c r="I90" s="384"/>
      <c r="J90" s="443"/>
      <c r="P90" s="795"/>
      <c r="Q90" s="795"/>
      <c r="R90" s="795"/>
      <c r="S90" s="795"/>
      <c r="T90" s="795"/>
      <c r="U90" s="795"/>
      <c r="V90" s="795"/>
      <c r="W90" s="795"/>
      <c r="X90" s="795"/>
      <c r="Y90" s="795"/>
      <c r="Z90" s="795"/>
    </row>
    <row r="91" spans="2:26" outlineLevel="1" x14ac:dyDescent="0.25">
      <c r="C91" s="496" t="s">
        <v>12</v>
      </c>
      <c r="D91" s="460" t="s">
        <v>46</v>
      </c>
      <c r="E91" s="598">
        <f>SPWR!E166</f>
        <v>369.71799999999996</v>
      </c>
      <c r="F91" s="598">
        <f>SPWR!F166</f>
        <v>464.84399999999999</v>
      </c>
      <c r="G91" s="598">
        <f>SPWR!G166</f>
        <v>430.9830069979846</v>
      </c>
      <c r="H91" s="589">
        <f>E12+E13+E10</f>
        <v>226.10658743759888</v>
      </c>
      <c r="I91" s="598">
        <f>-MAXN!G129</f>
        <v>-116.60658743759889</v>
      </c>
      <c r="J91" s="590">
        <f>+G91+H91+I91</f>
        <v>540.48300699798449</v>
      </c>
      <c r="K91" s="588">
        <f>+K182</f>
        <v>738.53395101878959</v>
      </c>
      <c r="L91" s="588">
        <f t="shared" ref="L91:N91" si="27">+L182</f>
        <v>855.88280287375756</v>
      </c>
      <c r="M91" s="588">
        <f t="shared" si="27"/>
        <v>1092.0868855653073</v>
      </c>
      <c r="N91" s="588">
        <f t="shared" si="27"/>
        <v>1196.4453928717292</v>
      </c>
      <c r="P91" s="795"/>
      <c r="Q91" s="795"/>
      <c r="R91" s="795"/>
      <c r="S91" s="795"/>
      <c r="T91" s="795"/>
      <c r="U91" s="795"/>
      <c r="V91" s="795"/>
      <c r="W91" s="795"/>
      <c r="X91" s="795"/>
      <c r="Y91" s="795"/>
      <c r="Z91" s="795"/>
    </row>
    <row r="92" spans="2:26" outlineLevel="1" x14ac:dyDescent="0.25">
      <c r="C92" s="389" t="s">
        <v>11</v>
      </c>
      <c r="D92" s="48" t="s">
        <v>46</v>
      </c>
      <c r="E92" s="466">
        <f>SPWR!E167</f>
        <v>175.60499999999999</v>
      </c>
      <c r="F92" s="466">
        <f>SPWR!F167</f>
        <v>226.476</v>
      </c>
      <c r="G92" s="466">
        <f>SPWR!G167</f>
        <v>155.70580189338867</v>
      </c>
      <c r="H92" s="472">
        <v>0</v>
      </c>
      <c r="I92" s="466">
        <f>-MAXN!G130</f>
        <v>-86.606197637431436</v>
      </c>
      <c r="J92" s="421">
        <f t="shared" ref="J92:J94" si="28">+G92+H92+I92</f>
        <v>69.099604255957232</v>
      </c>
      <c r="K92" s="73">
        <f>+J92-K150</f>
        <v>164.94376795059065</v>
      </c>
      <c r="L92" s="73">
        <f t="shared" ref="L92:N92" si="29">+K92-L150</f>
        <v>193.95497026430709</v>
      </c>
      <c r="M92" s="73">
        <f t="shared" si="29"/>
        <v>225.75446990495465</v>
      </c>
      <c r="N92" s="73">
        <f t="shared" si="29"/>
        <v>261.15030778345647</v>
      </c>
      <c r="P92" s="795"/>
      <c r="Q92" s="795"/>
      <c r="R92" s="795"/>
      <c r="S92" s="795"/>
      <c r="T92" s="795"/>
      <c r="U92" s="795"/>
      <c r="V92" s="795"/>
      <c r="W92" s="795"/>
      <c r="X92" s="795"/>
      <c r="Y92" s="795"/>
      <c r="Z92" s="795"/>
    </row>
    <row r="93" spans="2:26" outlineLevel="1" x14ac:dyDescent="0.25">
      <c r="C93" s="389" t="s">
        <v>219</v>
      </c>
      <c r="D93" s="48" t="s">
        <v>46</v>
      </c>
      <c r="E93" s="466">
        <f>SPWR!E168</f>
        <v>308.14600000000002</v>
      </c>
      <c r="F93" s="466">
        <f>SPWR!F168</f>
        <v>358.25700000000001</v>
      </c>
      <c r="G93" s="466">
        <f>SPWR!G168</f>
        <v>222.44662399018412</v>
      </c>
      <c r="H93" s="472">
        <v>0</v>
      </c>
      <c r="I93" s="466">
        <f>-MAXN!G131</f>
        <v>-153.67683601107433</v>
      </c>
      <c r="J93" s="421">
        <f t="shared" si="28"/>
        <v>68.769787979109793</v>
      </c>
      <c r="K93" s="73">
        <f t="shared" ref="K93:N94" si="30">+J93-K151</f>
        <v>193.09304135741834</v>
      </c>
      <c r="L93" s="73">
        <f t="shared" si="30"/>
        <v>221.15247079796083</v>
      </c>
      <c r="M93" s="73">
        <f t="shared" si="30"/>
        <v>251.71909486351421</v>
      </c>
      <c r="N93" s="73">
        <f t="shared" si="30"/>
        <v>286.03906395700307</v>
      </c>
      <c r="P93" s="795"/>
      <c r="Q93" s="795"/>
      <c r="R93" s="795"/>
      <c r="S93" s="795"/>
      <c r="T93" s="795"/>
      <c r="U93" s="795"/>
      <c r="V93" s="795"/>
      <c r="W93" s="795"/>
      <c r="X93" s="795"/>
      <c r="Y93" s="795"/>
      <c r="Z93" s="795"/>
    </row>
    <row r="94" spans="2:26" outlineLevel="1" x14ac:dyDescent="0.25">
      <c r="C94" s="496" t="s">
        <v>218</v>
      </c>
      <c r="D94" s="460" t="s">
        <v>46</v>
      </c>
      <c r="E94" s="594">
        <f>SPWR!E169</f>
        <v>238.851</v>
      </c>
      <c r="F94" s="594">
        <f>SPWR!F169</f>
        <v>340.70800000000003</v>
      </c>
      <c r="G94" s="594">
        <f>SPWR!G169</f>
        <v>224.00693536323945</v>
      </c>
      <c r="H94" s="595">
        <f>E15</f>
        <v>6.7480000000000002</v>
      </c>
      <c r="I94" s="594">
        <f>-MAXN!G132</f>
        <v>-149.47372941851353</v>
      </c>
      <c r="J94" s="596">
        <f t="shared" si="28"/>
        <v>81.281205944725912</v>
      </c>
      <c r="K94" s="597">
        <f t="shared" si="30"/>
        <v>212.59543030743615</v>
      </c>
      <c r="L94" s="597">
        <f t="shared" si="30"/>
        <v>246.98709438225484</v>
      </c>
      <c r="M94" s="597">
        <f t="shared" si="30"/>
        <v>284.50942579278058</v>
      </c>
      <c r="N94" s="597">
        <f t="shared" si="30"/>
        <v>326.68935263680527</v>
      </c>
      <c r="P94" s="795"/>
      <c r="Q94" s="795"/>
      <c r="R94" s="795"/>
      <c r="S94" s="795"/>
      <c r="T94" s="795"/>
      <c r="U94" s="795"/>
      <c r="V94" s="795"/>
      <c r="W94" s="795"/>
      <c r="X94" s="795"/>
      <c r="Y94" s="795"/>
      <c r="Z94" s="795"/>
    </row>
    <row r="95" spans="2:26" outlineLevel="1" x14ac:dyDescent="0.25">
      <c r="C95" s="24" t="s">
        <v>5</v>
      </c>
      <c r="D95" s="48" t="s">
        <v>46</v>
      </c>
      <c r="E95" s="25">
        <f>SUM(E91:E94)</f>
        <v>1092.3200000000002</v>
      </c>
      <c r="F95" s="25">
        <f t="shared" ref="F95:G95" si="31">SUM(F91:F94)</f>
        <v>1390.2850000000001</v>
      </c>
      <c r="G95" s="25">
        <f t="shared" si="31"/>
        <v>1033.1423682447967</v>
      </c>
      <c r="H95" s="436"/>
      <c r="I95" s="25"/>
      <c r="J95" s="437">
        <f>SUM(J91:J94)</f>
        <v>759.63360517777744</v>
      </c>
      <c r="K95" s="25">
        <f>SUM(K91:K94)</f>
        <v>1309.1661906342347</v>
      </c>
      <c r="L95" s="25">
        <f t="shared" ref="L95:N95" si="32">SUM(L91:L94)</f>
        <v>1517.9773383182803</v>
      </c>
      <c r="M95" s="25">
        <f t="shared" si="32"/>
        <v>1854.0698761265569</v>
      </c>
      <c r="N95" s="25">
        <f t="shared" si="32"/>
        <v>2070.3241172489938</v>
      </c>
      <c r="P95" s="795"/>
      <c r="Q95" s="795"/>
      <c r="R95" s="795"/>
      <c r="S95" s="795"/>
      <c r="T95" s="795"/>
      <c r="U95" s="795"/>
      <c r="V95" s="795"/>
      <c r="W95" s="795"/>
      <c r="X95" s="795"/>
      <c r="Y95" s="795"/>
      <c r="Z95" s="795"/>
    </row>
    <row r="96" spans="2:26" outlineLevel="1" x14ac:dyDescent="0.25">
      <c r="B96" s="379"/>
      <c r="H96" s="444"/>
      <c r="I96" s="379"/>
      <c r="J96" s="445"/>
      <c r="P96" s="795"/>
      <c r="Q96" s="795"/>
      <c r="R96" s="795"/>
      <c r="S96" s="795"/>
      <c r="T96" s="795"/>
      <c r="U96" s="795"/>
      <c r="V96" s="795"/>
      <c r="W96" s="795"/>
      <c r="X96" s="795"/>
      <c r="Y96" s="795"/>
      <c r="Z96" s="795"/>
    </row>
    <row r="97" spans="2:26" outlineLevel="1" x14ac:dyDescent="0.25">
      <c r="C97" s="6" t="s">
        <v>4</v>
      </c>
      <c r="H97" s="444"/>
      <c r="I97" s="379"/>
      <c r="J97" s="445"/>
      <c r="P97" s="795"/>
      <c r="Q97" s="795"/>
      <c r="R97" s="795"/>
      <c r="S97" s="795"/>
      <c r="T97" s="795"/>
      <c r="U97" s="795"/>
      <c r="V97" s="795"/>
      <c r="W97" s="795"/>
      <c r="X97" s="795"/>
      <c r="Y97" s="795"/>
      <c r="Z97" s="795"/>
    </row>
    <row r="98" spans="2:26" outlineLevel="1" x14ac:dyDescent="0.25">
      <c r="C98" s="581" t="s">
        <v>107</v>
      </c>
      <c r="D98" s="478" t="s">
        <v>46</v>
      </c>
      <c r="E98" s="582">
        <f>SPWR!E173</f>
        <v>839.87099999999998</v>
      </c>
      <c r="F98" s="582">
        <f>SPWR!F173</f>
        <v>323.726</v>
      </c>
      <c r="G98" s="582">
        <f>SPWR!G173</f>
        <v>331.281718768269</v>
      </c>
      <c r="H98" s="592">
        <f>E17</f>
        <v>1.327</v>
      </c>
      <c r="I98" s="582">
        <f>-MAXN!G136</f>
        <v>-308.22742241194396</v>
      </c>
      <c r="J98" s="585">
        <f t="shared" ref="J98:J102" si="33">+G98+H98+I98</f>
        <v>24.381296356325038</v>
      </c>
      <c r="K98" s="584">
        <f>+J98-K139-K140-K147-K160-K161</f>
        <v>22.448517773678883</v>
      </c>
      <c r="L98" s="584">
        <f t="shared" ref="L98:N98" si="34">+K98-L139-L140-L147-L160-L161</f>
        <v>32.660029086147837</v>
      </c>
      <c r="M98" s="584">
        <f t="shared" si="34"/>
        <v>37.418519687372871</v>
      </c>
      <c r="N98" s="584">
        <f t="shared" si="34"/>
        <v>47.777022164721366</v>
      </c>
      <c r="P98" s="795"/>
      <c r="Q98" s="795"/>
      <c r="R98" s="795"/>
      <c r="S98" s="795"/>
      <c r="T98" s="795"/>
      <c r="U98" s="795"/>
      <c r="V98" s="795"/>
      <c r="W98" s="795"/>
      <c r="X98" s="795"/>
      <c r="Y98" s="795"/>
      <c r="Z98" s="795"/>
    </row>
    <row r="99" spans="2:26" outlineLevel="1" x14ac:dyDescent="0.25">
      <c r="C99" s="573" t="s">
        <v>105</v>
      </c>
      <c r="D99" s="518" t="s">
        <v>46</v>
      </c>
      <c r="E99" s="574">
        <f>SPWR!E174</f>
        <v>0</v>
      </c>
      <c r="F99" s="574">
        <f>SPWR!F174</f>
        <v>51.258000000000003</v>
      </c>
      <c r="G99" s="574">
        <f>SPWR!G174</f>
        <v>46.67635765303671</v>
      </c>
      <c r="H99" s="591">
        <f t="shared" ref="H99:H100" si="35">E18</f>
        <v>7.8040000000000003</v>
      </c>
      <c r="I99" s="574">
        <f>-MAXN!G137</f>
        <v>-21.131924095671614</v>
      </c>
      <c r="J99" s="576">
        <f t="shared" si="33"/>
        <v>33.348433557365098</v>
      </c>
      <c r="K99" s="575">
        <f>+J99-K153</f>
        <v>34.864224614242346</v>
      </c>
      <c r="L99" s="575">
        <f t="shared" ref="L99:N99" si="36">+K99-L153</f>
        <v>38.590155717522222</v>
      </c>
      <c r="M99" s="575">
        <f t="shared" si="36"/>
        <v>44.055005428797074</v>
      </c>
      <c r="N99" s="575">
        <f t="shared" si="36"/>
        <v>53.471828483901675</v>
      </c>
      <c r="P99" s="795"/>
      <c r="Q99" s="795"/>
      <c r="R99" s="795"/>
      <c r="S99" s="795"/>
      <c r="T99" s="795"/>
      <c r="U99" s="795"/>
      <c r="V99" s="795"/>
      <c r="W99" s="795"/>
      <c r="X99" s="795"/>
      <c r="Y99" s="795"/>
      <c r="Z99" s="795"/>
    </row>
    <row r="100" spans="2:26" outlineLevel="1" x14ac:dyDescent="0.25">
      <c r="C100" s="586" t="s">
        <v>8</v>
      </c>
      <c r="D100" s="483" t="s">
        <v>46</v>
      </c>
      <c r="E100" s="577">
        <f>SPWR!E175</f>
        <v>12.582000000000001</v>
      </c>
      <c r="F100" s="577">
        <f>SPWR!F175</f>
        <v>7.4660000000000002</v>
      </c>
      <c r="G100" s="577">
        <f>SPWR!G175</f>
        <v>8.8610798631410006</v>
      </c>
      <c r="H100" s="593">
        <f t="shared" si="35"/>
        <v>1.1870000000000001</v>
      </c>
      <c r="I100" s="577">
        <f>-MAXN!G138</f>
        <v>-6.7705992136160003</v>
      </c>
      <c r="J100" s="580">
        <f t="shared" si="33"/>
        <v>3.2774806495249997</v>
      </c>
      <c r="K100" s="579">
        <f>+J100-K141-K142-K162</f>
        <v>11.07097254619049</v>
      </c>
      <c r="L100" s="579">
        <f t="shared" ref="L100:N100" si="37">+K100-L141-L142-L162</f>
        <v>24.747039444804525</v>
      </c>
      <c r="M100" s="579">
        <f t="shared" si="37"/>
        <v>39.795596774712124</v>
      </c>
      <c r="N100" s="579">
        <f t="shared" si="37"/>
        <v>64.182018181438593</v>
      </c>
      <c r="P100" s="795"/>
      <c r="Q100" s="795"/>
      <c r="R100" s="795"/>
      <c r="S100" s="795"/>
      <c r="T100" s="795"/>
      <c r="U100" s="795"/>
      <c r="V100" s="795"/>
      <c r="W100" s="795"/>
      <c r="X100" s="795"/>
      <c r="Y100" s="795"/>
      <c r="Z100" s="795"/>
    </row>
    <row r="101" spans="2:26" outlineLevel="1" x14ac:dyDescent="0.25">
      <c r="C101" s="389" t="s">
        <v>279</v>
      </c>
      <c r="D101" s="48" t="s">
        <v>46</v>
      </c>
      <c r="E101" s="466">
        <f>SPWR!E176</f>
        <v>88.693999999999988</v>
      </c>
      <c r="F101" s="466">
        <f>SPWR!F176</f>
        <v>226.60200000000003</v>
      </c>
      <c r="G101" s="466">
        <f>SPWR!G176</f>
        <v>238.17699035816841</v>
      </c>
      <c r="H101" s="472">
        <v>0</v>
      </c>
      <c r="I101" s="466">
        <f>-MAXN!G139</f>
        <v>-35.393000000000001</v>
      </c>
      <c r="J101" s="421">
        <f t="shared" si="33"/>
        <v>202.78399035816841</v>
      </c>
      <c r="K101" s="73">
        <f>+J101-K133-K134-K137-K138-K163</f>
        <v>221.42237321473331</v>
      </c>
      <c r="L101" s="73">
        <f t="shared" ref="L101:N101" si="38">+K101-L133-L134-L137-L138-L163</f>
        <v>244.26785336250035</v>
      </c>
      <c r="M101" s="73">
        <f t="shared" si="38"/>
        <v>271.71804218853015</v>
      </c>
      <c r="N101" s="73">
        <f t="shared" si="38"/>
        <v>304.63926309806334</v>
      </c>
      <c r="P101" s="795"/>
      <c r="Q101" s="795"/>
      <c r="R101" s="795"/>
      <c r="S101" s="795"/>
      <c r="T101" s="795"/>
      <c r="U101" s="795"/>
      <c r="V101" s="795"/>
      <c r="W101" s="795"/>
      <c r="X101" s="795"/>
      <c r="Y101" s="795"/>
      <c r="Z101" s="795"/>
    </row>
    <row r="102" spans="2:26" outlineLevel="1" x14ac:dyDescent="0.25">
      <c r="C102" s="45" t="s">
        <v>58</v>
      </c>
      <c r="D102" s="58" t="s">
        <v>46</v>
      </c>
      <c r="E102" s="466">
        <f>SPWR!E177</f>
        <v>319.18200000000002</v>
      </c>
      <c r="F102" s="466">
        <f>SPWR!F177</f>
        <v>172.58399999999995</v>
      </c>
      <c r="G102" s="466">
        <f>SPWR!G177</f>
        <v>214.41433231075624</v>
      </c>
      <c r="H102" s="472">
        <v>0</v>
      </c>
      <c r="I102" s="466">
        <f>-MAXN!G140</f>
        <v>-57.862777159641588</v>
      </c>
      <c r="J102" s="421">
        <f t="shared" si="33"/>
        <v>156.55155515111466</v>
      </c>
      <c r="K102" s="73">
        <f>+J102-K146-K148</f>
        <v>136.87145915352434</v>
      </c>
      <c r="L102" s="73">
        <f t="shared" ref="L102:N102" si="39">+K102-L146-L148</f>
        <v>101.69147487341776</v>
      </c>
      <c r="M102" s="73">
        <f t="shared" si="39"/>
        <v>63.694006112669818</v>
      </c>
      <c r="N102" s="73">
        <f t="shared" si="39"/>
        <v>71.425191392266456</v>
      </c>
      <c r="P102" s="795"/>
      <c r="Q102" s="795"/>
      <c r="R102" s="795"/>
      <c r="S102" s="795"/>
      <c r="T102" s="795"/>
      <c r="U102" s="795"/>
      <c r="V102" s="795"/>
      <c r="W102" s="795"/>
      <c r="X102" s="795"/>
      <c r="Y102" s="795"/>
      <c r="Z102" s="795"/>
    </row>
    <row r="103" spans="2:26" outlineLevel="1" x14ac:dyDescent="0.25">
      <c r="C103" s="6" t="s">
        <v>22</v>
      </c>
      <c r="D103" s="48" t="s">
        <v>46</v>
      </c>
      <c r="E103" s="25">
        <f>SUM(E98:E102)</f>
        <v>1260.329</v>
      </c>
      <c r="F103" s="25">
        <f t="shared" ref="F103:G103" si="40">SUM(F98:F102)</f>
        <v>781.63599999999997</v>
      </c>
      <c r="G103" s="25">
        <f t="shared" si="40"/>
        <v>839.41047895337135</v>
      </c>
      <c r="H103" s="436"/>
      <c r="I103" s="25"/>
      <c r="J103" s="437">
        <f>SUM(J98:J102)</f>
        <v>420.34275607249822</v>
      </c>
      <c r="K103" s="25">
        <f>SUM(K98:K102)</f>
        <v>426.67754730236936</v>
      </c>
      <c r="L103" s="25">
        <f t="shared" ref="L103:N103" si="41">SUM(L98:L102)</f>
        <v>441.95655248439266</v>
      </c>
      <c r="M103" s="25">
        <f t="shared" si="41"/>
        <v>456.68117019208199</v>
      </c>
      <c r="N103" s="25">
        <f t="shared" si="41"/>
        <v>541.49532332039144</v>
      </c>
      <c r="P103" s="795"/>
      <c r="Q103" s="795"/>
      <c r="R103" s="795"/>
      <c r="S103" s="795"/>
      <c r="T103" s="795"/>
      <c r="U103" s="795"/>
      <c r="V103" s="795"/>
      <c r="W103" s="795"/>
      <c r="X103" s="795"/>
      <c r="Y103" s="795"/>
      <c r="Z103" s="795"/>
    </row>
    <row r="104" spans="2:26" outlineLevel="1" x14ac:dyDescent="0.25">
      <c r="B104" s="46"/>
      <c r="E104" s="383"/>
      <c r="H104" s="444"/>
      <c r="I104" s="379"/>
      <c r="J104" s="445"/>
      <c r="P104" s="795"/>
      <c r="Q104" s="795"/>
      <c r="R104" s="795"/>
      <c r="S104" s="795"/>
      <c r="T104" s="795"/>
      <c r="U104" s="795"/>
      <c r="V104" s="795"/>
      <c r="W104" s="795"/>
      <c r="X104" s="795"/>
      <c r="Y104" s="795"/>
      <c r="Z104" s="795"/>
    </row>
    <row r="105" spans="2:26" outlineLevel="1" x14ac:dyDescent="0.25">
      <c r="C105" s="47" t="s">
        <v>23</v>
      </c>
      <c r="D105" s="48" t="s">
        <v>46</v>
      </c>
      <c r="E105" s="49">
        <f>+E95+E103</f>
        <v>2352.6490000000003</v>
      </c>
      <c r="F105" s="49">
        <f t="shared" ref="F105:G105" si="42">+F95+F103</f>
        <v>2171.9210000000003</v>
      </c>
      <c r="G105" s="49">
        <f t="shared" si="42"/>
        <v>1872.5528471981679</v>
      </c>
      <c r="H105" s="446"/>
      <c r="I105" s="50"/>
      <c r="J105" s="447">
        <f t="shared" ref="J105" si="43">+J95+J103</f>
        <v>1179.9763612502757</v>
      </c>
      <c r="K105" s="49">
        <f>+K95+K103</f>
        <v>1735.8437379366042</v>
      </c>
      <c r="L105" s="49">
        <f t="shared" ref="L105:N105" si="44">+L95+L103</f>
        <v>1959.933890802673</v>
      </c>
      <c r="M105" s="49">
        <f t="shared" si="44"/>
        <v>2310.7510463186391</v>
      </c>
      <c r="N105" s="49">
        <f t="shared" si="44"/>
        <v>2611.8194405693853</v>
      </c>
      <c r="P105" s="795"/>
      <c r="Q105" s="795"/>
      <c r="R105" s="795"/>
      <c r="S105" s="795"/>
      <c r="T105" s="795"/>
      <c r="U105" s="795"/>
      <c r="V105" s="795"/>
      <c r="W105" s="795"/>
      <c r="X105" s="795"/>
      <c r="Y105" s="795"/>
      <c r="Z105" s="795"/>
    </row>
    <row r="106" spans="2:26" x14ac:dyDescent="0.25">
      <c r="C106" s="46"/>
      <c r="H106" s="444"/>
      <c r="I106" s="379"/>
      <c r="J106" s="445"/>
      <c r="P106" s="795"/>
      <c r="Q106" s="795"/>
      <c r="R106" s="795"/>
      <c r="S106" s="795"/>
      <c r="T106" s="795"/>
      <c r="U106" s="795"/>
      <c r="V106" s="795"/>
      <c r="W106" s="795"/>
      <c r="X106" s="795"/>
      <c r="Y106" s="795"/>
      <c r="Z106" s="795"/>
    </row>
    <row r="107" spans="2:26" x14ac:dyDescent="0.25">
      <c r="B107" s="59" t="s">
        <v>48</v>
      </c>
      <c r="C107" s="406"/>
      <c r="D107" s="406"/>
      <c r="E107" s="406"/>
      <c r="F107" s="406"/>
      <c r="G107" s="406"/>
      <c r="H107" s="448"/>
      <c r="I107" s="406"/>
      <c r="J107" s="449"/>
      <c r="K107" s="406"/>
      <c r="L107" s="406"/>
      <c r="M107" s="406"/>
      <c r="N107" s="406"/>
      <c r="P107" s="795"/>
      <c r="Q107" s="795"/>
      <c r="R107" s="795"/>
      <c r="S107" s="795"/>
      <c r="T107" s="795"/>
      <c r="U107" s="795"/>
      <c r="V107" s="795"/>
      <c r="W107" s="795"/>
      <c r="X107" s="795"/>
      <c r="Y107" s="795"/>
      <c r="Z107" s="795"/>
    </row>
    <row r="108" spans="2:26" outlineLevel="1" x14ac:dyDescent="0.25">
      <c r="C108" s="6" t="s">
        <v>56</v>
      </c>
      <c r="H108" s="444"/>
      <c r="I108" s="379"/>
      <c r="J108" s="445"/>
      <c r="P108" s="795"/>
      <c r="Q108" s="795"/>
      <c r="R108" s="795"/>
      <c r="S108" s="795"/>
      <c r="T108" s="795"/>
      <c r="U108" s="795"/>
      <c r="V108" s="795"/>
      <c r="W108" s="795"/>
      <c r="X108" s="795"/>
      <c r="Y108" s="795"/>
      <c r="Z108" s="795"/>
    </row>
    <row r="109" spans="2:26" outlineLevel="1" x14ac:dyDescent="0.25">
      <c r="C109" s="587" t="s">
        <v>366</v>
      </c>
      <c r="D109" s="460" t="s">
        <v>46</v>
      </c>
      <c r="E109" s="598">
        <f>SPWR!E184</f>
        <v>560.80200000000002</v>
      </c>
      <c r="F109" s="598">
        <f>SPWR!F184</f>
        <v>645.649</v>
      </c>
      <c r="G109" s="598">
        <f>SPWR!G184</f>
        <v>402.5680714126957</v>
      </c>
      <c r="H109" s="635">
        <f>-MAXN!G147</f>
        <v>-244.44216908818632</v>
      </c>
      <c r="I109" s="588">
        <f>E21+E25</f>
        <v>22.751999999999999</v>
      </c>
      <c r="J109" s="590">
        <f t="shared" ref="J109:J110" si="45">+G109+H109+I109</f>
        <v>180.87790232450939</v>
      </c>
      <c r="K109" s="588">
        <f>+J109+K154</f>
        <v>411.24381293294465</v>
      </c>
      <c r="L109" s="588">
        <f t="shared" ref="L109:N109" si="46">+K109+L154</f>
        <v>469.60382404327095</v>
      </c>
      <c r="M109" s="588">
        <f t="shared" si="46"/>
        <v>534.27458160406763</v>
      </c>
      <c r="N109" s="588">
        <f t="shared" si="46"/>
        <v>606.00207009308394</v>
      </c>
      <c r="P109" s="778"/>
      <c r="Q109" s="778"/>
      <c r="R109" s="778"/>
      <c r="S109" s="778"/>
      <c r="T109" s="778"/>
      <c r="U109" s="778"/>
      <c r="V109" s="778"/>
      <c r="W109" s="778"/>
      <c r="X109" s="778"/>
      <c r="Y109" s="778"/>
      <c r="Z109" s="778"/>
    </row>
    <row r="110" spans="2:26" outlineLevel="1" x14ac:dyDescent="0.25">
      <c r="C110" s="389" t="s">
        <v>220</v>
      </c>
      <c r="D110" s="58" t="s">
        <v>46</v>
      </c>
      <c r="E110" s="466">
        <f>SPWR!E185</f>
        <v>203.63900000000001</v>
      </c>
      <c r="F110" s="466">
        <f>SPWR!F185</f>
        <v>205.97900000000001</v>
      </c>
      <c r="G110" s="466">
        <f>SPWR!G185</f>
        <v>159.36541804643747</v>
      </c>
      <c r="H110" s="474">
        <f>-MAXN!G148</f>
        <v>-89.83963951232883</v>
      </c>
      <c r="I110" s="44">
        <v>0</v>
      </c>
      <c r="J110" s="421">
        <f t="shared" si="45"/>
        <v>69.525778534108639</v>
      </c>
      <c r="K110" s="73">
        <f>+J110+K155</f>
        <v>167.3061261636492</v>
      </c>
      <c r="L110" s="73">
        <f t="shared" ref="L110:N110" si="47">+K110+L155</f>
        <v>196.6454893582102</v>
      </c>
      <c r="M110" s="73">
        <f t="shared" si="47"/>
        <v>228.79627504432128</v>
      </c>
      <c r="N110" s="73">
        <f t="shared" si="47"/>
        <v>264.60306431719619</v>
      </c>
      <c r="P110" s="778"/>
      <c r="Q110" s="778"/>
      <c r="R110" s="778"/>
      <c r="S110" s="778"/>
      <c r="T110" s="778"/>
      <c r="U110" s="778"/>
      <c r="V110" s="778"/>
      <c r="W110" s="778"/>
      <c r="X110" s="778"/>
      <c r="Y110" s="778"/>
      <c r="Z110" s="778"/>
    </row>
    <row r="111" spans="2:26" outlineLevel="1" x14ac:dyDescent="0.25">
      <c r="C111" s="24" t="s">
        <v>57</v>
      </c>
      <c r="D111" s="48" t="s">
        <v>46</v>
      </c>
      <c r="E111" s="25">
        <f>SUM(E109:E110)</f>
        <v>764.44100000000003</v>
      </c>
      <c r="F111" s="25">
        <f>SUM(F109:F110)</f>
        <v>851.62800000000004</v>
      </c>
      <c r="G111" s="25">
        <f>SUM(G109:G110)</f>
        <v>561.93348945913317</v>
      </c>
      <c r="H111" s="436"/>
      <c r="I111" s="25"/>
      <c r="J111" s="437">
        <f>SUM(J109:J110)</f>
        <v>250.40368085861803</v>
      </c>
      <c r="K111" s="25">
        <f>SUM(K109:K110)</f>
        <v>578.54993909659379</v>
      </c>
      <c r="L111" s="25">
        <f t="shared" ref="L111:N111" si="48">SUM(L109:L110)</f>
        <v>666.24931340148112</v>
      </c>
      <c r="M111" s="25">
        <f t="shared" si="48"/>
        <v>763.07085664838894</v>
      </c>
      <c r="N111" s="25">
        <f t="shared" si="48"/>
        <v>870.60513441028013</v>
      </c>
      <c r="P111" s="778"/>
      <c r="Q111" s="778"/>
      <c r="R111" s="778"/>
      <c r="S111" s="778"/>
      <c r="T111" s="778"/>
      <c r="U111" s="778"/>
      <c r="V111" s="778"/>
      <c r="W111" s="778"/>
      <c r="X111" s="778"/>
      <c r="Y111" s="778"/>
      <c r="Z111" s="778"/>
    </row>
    <row r="112" spans="2:26" outlineLevel="1" x14ac:dyDescent="0.25">
      <c r="C112" s="379"/>
      <c r="H112" s="444"/>
      <c r="I112" s="379"/>
      <c r="J112" s="445"/>
      <c r="P112" s="778"/>
      <c r="Q112" s="778"/>
      <c r="R112" s="778"/>
      <c r="S112" s="778"/>
      <c r="T112" s="778"/>
      <c r="U112" s="778"/>
      <c r="V112" s="778"/>
      <c r="W112" s="778"/>
      <c r="X112" s="778"/>
      <c r="Y112" s="778"/>
      <c r="Z112" s="778"/>
    </row>
    <row r="113" spans="2:26" outlineLevel="1" x14ac:dyDescent="0.25">
      <c r="C113" s="6" t="s">
        <v>54</v>
      </c>
      <c r="H113" s="444"/>
      <c r="I113" s="379"/>
      <c r="J113" s="445"/>
      <c r="P113" s="778"/>
      <c r="Q113" s="778"/>
      <c r="R113" s="778"/>
      <c r="S113" s="778"/>
      <c r="T113" s="778"/>
      <c r="U113" s="778"/>
      <c r="V113" s="778"/>
      <c r="W113" s="778"/>
      <c r="X113" s="778"/>
      <c r="Y113" s="778"/>
      <c r="Z113" s="778"/>
    </row>
    <row r="114" spans="2:26" outlineLevel="1" x14ac:dyDescent="0.25">
      <c r="C114" s="389" t="s">
        <v>103</v>
      </c>
      <c r="D114" s="48" t="s">
        <v>46</v>
      </c>
      <c r="E114" s="466">
        <f>SPWR!E189</f>
        <v>898.95799999999997</v>
      </c>
      <c r="F114" s="466">
        <f>SPWR!F189</f>
        <v>1038.942</v>
      </c>
      <c r="G114" s="466">
        <f>SPWR!G189</f>
        <v>1058.5181323337397</v>
      </c>
      <c r="H114" s="474">
        <f>-MAXN!G152</f>
        <v>-76.50685123699904</v>
      </c>
      <c r="I114" s="44">
        <v>0</v>
      </c>
      <c r="J114" s="421">
        <f t="shared" ref="J114:J116" si="49">+G114+H114+I114</f>
        <v>982.01128109674062</v>
      </c>
      <c r="K114" s="73">
        <f>+J114+K144+K145+K166+K167+K168+K169</f>
        <v>1079.9707710105613</v>
      </c>
      <c r="L114" s="73">
        <f t="shared" ref="L114:N114" si="50">+K114+L144+L145+L166+L167+L168+L169</f>
        <v>1095.0027096503252</v>
      </c>
      <c r="M114" s="73">
        <f t="shared" si="50"/>
        <v>1189.8741702626032</v>
      </c>
      <c r="N114" s="73">
        <f t="shared" si="50"/>
        <v>1204.1640299875605</v>
      </c>
      <c r="P114" s="778"/>
      <c r="Q114" s="778"/>
      <c r="R114" s="778"/>
      <c r="S114" s="778"/>
      <c r="T114" s="778"/>
      <c r="U114" s="778"/>
      <c r="V114" s="778"/>
      <c r="W114" s="778"/>
      <c r="X114" s="778"/>
      <c r="Y114" s="778"/>
      <c r="Z114" s="778"/>
    </row>
    <row r="115" spans="2:26" outlineLevel="1" x14ac:dyDescent="0.25">
      <c r="C115" s="581" t="s">
        <v>106</v>
      </c>
      <c r="D115" s="478" t="s">
        <v>46</v>
      </c>
      <c r="E115" s="582">
        <f>SPWR!E190</f>
        <v>0</v>
      </c>
      <c r="F115" s="582">
        <f>SPWR!F190</f>
        <v>55.552</v>
      </c>
      <c r="G115" s="582">
        <f>SPWR!G190</f>
        <v>50.970357653036707</v>
      </c>
      <c r="H115" s="583">
        <f>-MAXN!G153</f>
        <v>-23.075924095671613</v>
      </c>
      <c r="I115" s="584">
        <f>E22</f>
        <v>9.1620000000000008</v>
      </c>
      <c r="J115" s="585">
        <f t="shared" si="49"/>
        <v>37.056433557365096</v>
      </c>
      <c r="K115" s="584">
        <f>+J115+K157</f>
        <v>38.572224614242344</v>
      </c>
      <c r="L115" s="584">
        <f t="shared" ref="L115:N115" si="51">+K115+L157</f>
        <v>42.298155717522221</v>
      </c>
      <c r="M115" s="584">
        <f t="shared" si="51"/>
        <v>47.763005428797065</v>
      </c>
      <c r="N115" s="584">
        <f t="shared" si="51"/>
        <v>57.179828483901666</v>
      </c>
    </row>
    <row r="116" spans="2:26" outlineLevel="1" x14ac:dyDescent="0.25">
      <c r="C116" s="586" t="s">
        <v>68</v>
      </c>
      <c r="D116" s="483" t="s">
        <v>46</v>
      </c>
      <c r="E116" s="577">
        <f>SPWR!E191</f>
        <v>839.13599999999997</v>
      </c>
      <c r="F116" s="577">
        <f>SPWR!F191</f>
        <v>204.3</v>
      </c>
      <c r="G116" s="577">
        <f>SPWR!G191</f>
        <v>152.88648958130392</v>
      </c>
      <c r="H116" s="578">
        <f>-MAXN!G154</f>
        <v>-57.496699381943976</v>
      </c>
      <c r="I116" s="579">
        <f>E24</f>
        <v>1.389</v>
      </c>
      <c r="J116" s="580">
        <f t="shared" si="49"/>
        <v>96.778790199359932</v>
      </c>
      <c r="K116" s="579">
        <f>+J116+K156</f>
        <v>198.16383277646742</v>
      </c>
      <c r="L116" s="579">
        <f t="shared" ref="L116:N116" si="52">+K116+L156</f>
        <v>234.78179732877288</v>
      </c>
      <c r="M116" s="579">
        <f t="shared" si="52"/>
        <v>275.11261887528246</v>
      </c>
      <c r="N116" s="579">
        <f t="shared" si="52"/>
        <v>319.5462446678161</v>
      </c>
    </row>
    <row r="117" spans="2:26" outlineLevel="1" x14ac:dyDescent="0.25">
      <c r="C117" s="24" t="s">
        <v>55</v>
      </c>
      <c r="D117" s="48" t="s">
        <v>46</v>
      </c>
      <c r="E117" s="14">
        <f>SUM(E114:E116)</f>
        <v>1738.0940000000001</v>
      </c>
      <c r="F117" s="14">
        <f t="shared" ref="F117:G117" si="53">SUM(F114:F116)</f>
        <v>1298.7939999999999</v>
      </c>
      <c r="G117" s="14">
        <f t="shared" si="53"/>
        <v>1262.3749795680803</v>
      </c>
      <c r="H117" s="432"/>
      <c r="I117" s="14"/>
      <c r="J117" s="433">
        <f>SUM(J114:J116)</f>
        <v>1115.8465048534656</v>
      </c>
      <c r="K117" s="14">
        <f>SUM(K114:K116)</f>
        <v>1316.706828401271</v>
      </c>
      <c r="L117" s="25">
        <f t="shared" ref="L117:N117" si="54">SUM(L114:L116)</f>
        <v>1372.0826626966202</v>
      </c>
      <c r="M117" s="25">
        <f t="shared" si="54"/>
        <v>1512.7497945666828</v>
      </c>
      <c r="N117" s="25">
        <f t="shared" si="54"/>
        <v>1580.8901031392784</v>
      </c>
    </row>
    <row r="118" spans="2:26" outlineLevel="1" x14ac:dyDescent="0.25">
      <c r="C118" s="379"/>
      <c r="H118" s="444"/>
      <c r="I118" s="379"/>
      <c r="J118" s="445"/>
    </row>
    <row r="119" spans="2:26" outlineLevel="1" x14ac:dyDescent="0.25">
      <c r="C119" s="6" t="s">
        <v>7</v>
      </c>
      <c r="D119" s="48" t="s">
        <v>46</v>
      </c>
      <c r="E119" s="49">
        <f>+E111+E117</f>
        <v>2502.5349999999999</v>
      </c>
      <c r="F119" s="49">
        <f t="shared" ref="F119:G119" si="55">+F111+F117</f>
        <v>2150.422</v>
      </c>
      <c r="G119" s="49">
        <f t="shared" si="55"/>
        <v>1824.3084690272135</v>
      </c>
      <c r="H119" s="446"/>
      <c r="I119" s="50"/>
      <c r="J119" s="447">
        <f t="shared" ref="J119:K119" si="56">+J111+J117</f>
        <v>1366.2501857120837</v>
      </c>
      <c r="K119" s="49">
        <f t="shared" si="56"/>
        <v>1895.2567674978648</v>
      </c>
      <c r="L119" s="49">
        <f t="shared" ref="L119:N119" si="57">+L111+L117</f>
        <v>2038.3319760981012</v>
      </c>
      <c r="M119" s="49">
        <f t="shared" si="57"/>
        <v>2275.8206512150718</v>
      </c>
      <c r="N119" s="49">
        <f t="shared" si="57"/>
        <v>2451.4952375495586</v>
      </c>
    </row>
    <row r="120" spans="2:26" outlineLevel="1" x14ac:dyDescent="0.25">
      <c r="C120" s="379"/>
      <c r="H120" s="444"/>
      <c r="I120" s="379"/>
      <c r="J120" s="445"/>
    </row>
    <row r="121" spans="2:26" outlineLevel="1" x14ac:dyDescent="0.25">
      <c r="C121" s="6" t="s">
        <v>104</v>
      </c>
      <c r="D121" s="48" t="s">
        <v>46</v>
      </c>
      <c r="E121" s="468">
        <f>SPWR!E196</f>
        <v>-208.696</v>
      </c>
      <c r="F121" s="468">
        <f>SPWR!F196</f>
        <v>10.163</v>
      </c>
      <c r="G121" s="468">
        <f>SPWR!G196</f>
        <v>35.708378170954944</v>
      </c>
      <c r="H121" s="777">
        <f>-MAXN!G159</f>
        <v>-438.08379007036166</v>
      </c>
      <c r="I121" s="159">
        <f>E29</f>
        <v>209.86958743759888</v>
      </c>
      <c r="J121" s="450">
        <f t="shared" ref="J121" si="58">+G121+H121+I121</f>
        <v>-192.5058244618078</v>
      </c>
      <c r="K121" s="159">
        <f>+J121+K132+K143+K170+K171+K174+K177</f>
        <v>-165.8450295612605</v>
      </c>
      <c r="L121" s="159">
        <f t="shared" ref="L121:N121" si="59">+K121+L132+L143+L170+L171+L174+L177</f>
        <v>-85.230085295428154</v>
      </c>
      <c r="M121" s="159">
        <f t="shared" si="59"/>
        <v>28.098395103567359</v>
      </c>
      <c r="N121" s="159">
        <f t="shared" si="59"/>
        <v>155.4922030198272</v>
      </c>
    </row>
    <row r="122" spans="2:26" outlineLevel="1" x14ac:dyDescent="0.25">
      <c r="C122" s="381" t="s">
        <v>221</v>
      </c>
      <c r="D122" s="58" t="s">
        <v>46</v>
      </c>
      <c r="E122" s="467">
        <f>SPWR!E197</f>
        <v>58.81</v>
      </c>
      <c r="F122" s="467">
        <f>SPWR!F197</f>
        <v>11.336</v>
      </c>
      <c r="G122" s="23">
        <f>SPWR!G197</f>
        <v>12.536</v>
      </c>
      <c r="H122" s="474">
        <f>-MAXN!G160</f>
        <v>-6.3040000000000003</v>
      </c>
      <c r="I122" s="44">
        <v>0</v>
      </c>
      <c r="J122" s="439">
        <f t="shared" ref="J122" si="60">+G122+H122+I122</f>
        <v>6.2319999999999993</v>
      </c>
      <c r="K122" s="383">
        <f>+J122+K135+K136+K172+K173</f>
        <v>6.4319999999999995</v>
      </c>
      <c r="L122" s="383">
        <f t="shared" ref="L122:N122" si="61">+K122+L135+L136+L172+L173</f>
        <v>6.831999999999999</v>
      </c>
      <c r="M122" s="383">
        <f t="shared" si="61"/>
        <v>6.8320000000000007</v>
      </c>
      <c r="N122" s="383">
        <f t="shared" si="61"/>
        <v>4.8320000000000007</v>
      </c>
    </row>
    <row r="123" spans="2:26" outlineLevel="1" x14ac:dyDescent="0.25">
      <c r="C123" s="24" t="s">
        <v>222</v>
      </c>
      <c r="D123" s="48" t="s">
        <v>46</v>
      </c>
      <c r="E123" s="5">
        <f>SUM(E121:E122)</f>
        <v>-149.886</v>
      </c>
      <c r="F123" s="5">
        <f t="shared" ref="F123:G123" si="62">SUM(F121:F122)</f>
        <v>21.499000000000002</v>
      </c>
      <c r="G123" s="5">
        <f t="shared" si="62"/>
        <v>48.244378170954946</v>
      </c>
      <c r="H123" s="451"/>
      <c r="I123" s="5"/>
      <c r="J123" s="452">
        <f>SUM(J121:J122)</f>
        <v>-186.27382446180781</v>
      </c>
      <c r="K123" s="5">
        <f>SUM(K121:K122)</f>
        <v>-159.41302956126052</v>
      </c>
      <c r="L123" s="5">
        <f t="shared" ref="L123:N123" si="63">SUM(L121:L122)</f>
        <v>-78.39808529542816</v>
      </c>
      <c r="M123" s="5">
        <f t="shared" si="63"/>
        <v>34.930395103567363</v>
      </c>
      <c r="N123" s="5">
        <f t="shared" si="63"/>
        <v>160.32420301982719</v>
      </c>
    </row>
    <row r="124" spans="2:26" outlineLevel="1" x14ac:dyDescent="0.25">
      <c r="H124" s="444"/>
      <c r="I124" s="379"/>
      <c r="J124" s="445"/>
    </row>
    <row r="125" spans="2:26" outlineLevel="1" x14ac:dyDescent="0.25">
      <c r="C125" s="2" t="s">
        <v>24</v>
      </c>
      <c r="D125" s="48" t="s">
        <v>46</v>
      </c>
      <c r="E125" s="49">
        <f>+E119+E123</f>
        <v>2352.6489999999999</v>
      </c>
      <c r="F125" s="49">
        <f t="shared" ref="F125:G125" si="64">+F119+F123</f>
        <v>2171.9209999999998</v>
      </c>
      <c r="G125" s="49">
        <f t="shared" si="64"/>
        <v>1872.5528471981684</v>
      </c>
      <c r="H125" s="446"/>
      <c r="I125" s="50"/>
      <c r="J125" s="447">
        <f t="shared" ref="J125:K125" si="65">+J119+J123</f>
        <v>1179.9763612502759</v>
      </c>
      <c r="K125" s="49">
        <f t="shared" si="65"/>
        <v>1735.8437379366042</v>
      </c>
      <c r="L125" s="49">
        <f t="shared" ref="L125:N125" si="66">+L119+L123</f>
        <v>1959.933890802673</v>
      </c>
      <c r="M125" s="49">
        <f t="shared" si="66"/>
        <v>2310.7510463186391</v>
      </c>
      <c r="N125" s="49">
        <f t="shared" si="66"/>
        <v>2611.8194405693857</v>
      </c>
    </row>
    <row r="126" spans="2:26" outlineLevel="1" x14ac:dyDescent="0.25">
      <c r="H126" s="444"/>
      <c r="I126" s="379"/>
      <c r="J126" s="445"/>
      <c r="K126" s="412"/>
      <c r="L126" s="412"/>
      <c r="M126" s="412"/>
      <c r="N126" s="412"/>
    </row>
    <row r="127" spans="2:26" outlineLevel="1" x14ac:dyDescent="0.25">
      <c r="C127" s="53" t="s">
        <v>25</v>
      </c>
      <c r="E127" s="54">
        <f>+E105-E125</f>
        <v>0</v>
      </c>
      <c r="F127" s="54">
        <f>+F105-F125</f>
        <v>0</v>
      </c>
      <c r="G127" s="54">
        <f>+G105-G125</f>
        <v>0</v>
      </c>
      <c r="H127" s="453"/>
      <c r="I127" s="454"/>
      <c r="J127" s="455">
        <f>+J105-J125</f>
        <v>0</v>
      </c>
      <c r="K127" s="411">
        <f>+K105-K125</f>
        <v>0</v>
      </c>
      <c r="L127" s="411">
        <f t="shared" ref="L127:N127" si="67">+L105-L125</f>
        <v>0</v>
      </c>
      <c r="M127" s="411">
        <f t="shared" si="67"/>
        <v>0</v>
      </c>
      <c r="N127" s="411">
        <f t="shared" si="67"/>
        <v>0</v>
      </c>
      <c r="P127" s="489"/>
    </row>
    <row r="128" spans="2:26" x14ac:dyDescent="0.25">
      <c r="B128" s="379"/>
      <c r="C128" s="6"/>
      <c r="D128" s="37"/>
      <c r="E128" s="10"/>
      <c r="F128" s="10"/>
      <c r="G128" s="10"/>
      <c r="H128" s="10"/>
      <c r="I128" s="10"/>
      <c r="J128" s="10"/>
      <c r="K128" s="8"/>
      <c r="L128" s="8"/>
      <c r="M128" s="8"/>
      <c r="N128" s="8"/>
    </row>
    <row r="129" spans="2:26" x14ac:dyDescent="0.25">
      <c r="B129" s="28"/>
      <c r="C129" s="29"/>
      <c r="D129" s="29"/>
      <c r="E129" s="33" t="str">
        <f>$E$35</f>
        <v>Historical:</v>
      </c>
      <c r="F129" s="34"/>
      <c r="G129" s="33" t="str">
        <f>$G$35</f>
        <v>Projected:</v>
      </c>
      <c r="H129" s="415" t="str">
        <f>$H$35</f>
        <v>Transaction Adjustments:</v>
      </c>
      <c r="I129" s="33"/>
      <c r="J129" s="34"/>
      <c r="K129" s="33" t="str">
        <f>$K$35</f>
        <v>Separated Company:</v>
      </c>
      <c r="L129" s="33"/>
      <c r="M129" s="33"/>
      <c r="N129" s="33"/>
    </row>
    <row r="130" spans="2:26" x14ac:dyDescent="0.25">
      <c r="B130" s="30" t="s">
        <v>270</v>
      </c>
      <c r="C130" s="31"/>
      <c r="D130" s="36" t="str">
        <f>SPWR!$D$5</f>
        <v>Units:</v>
      </c>
      <c r="E130" s="32">
        <f>$E$36</f>
        <v>43465</v>
      </c>
      <c r="F130" s="35">
        <f>$F$36</f>
        <v>43830</v>
      </c>
      <c r="G130" s="32">
        <f>$G$36</f>
        <v>44196</v>
      </c>
      <c r="H130" s="416" t="str">
        <f>$H$36</f>
        <v>Debit</v>
      </c>
      <c r="I130" s="32" t="str">
        <f>$I$36</f>
        <v>Credit</v>
      </c>
      <c r="J130" s="35">
        <f>$J$36</f>
        <v>44196</v>
      </c>
      <c r="K130" s="32">
        <f>$K$36</f>
        <v>44561</v>
      </c>
      <c r="L130" s="32">
        <f>$L$36</f>
        <v>44926</v>
      </c>
      <c r="M130" s="32">
        <f>$M$36</f>
        <v>45291</v>
      </c>
      <c r="N130" s="32">
        <f>$N$36</f>
        <v>45657</v>
      </c>
      <c r="P130" s="782"/>
      <c r="Q130" s="782"/>
      <c r="R130" s="782"/>
      <c r="S130" s="782"/>
      <c r="T130" s="782"/>
      <c r="U130" s="782"/>
      <c r="V130" s="782"/>
      <c r="W130" s="782"/>
      <c r="X130" s="782"/>
      <c r="Y130" s="782"/>
      <c r="Z130" s="785"/>
    </row>
    <row r="131" spans="2:26" outlineLevel="1" x14ac:dyDescent="0.25">
      <c r="B131" s="379"/>
      <c r="C131" s="389"/>
      <c r="D131" s="37"/>
      <c r="E131" s="20"/>
      <c r="F131" s="20"/>
      <c r="G131" s="65"/>
      <c r="H131" s="469"/>
      <c r="I131" s="470"/>
      <c r="J131" s="471"/>
      <c r="K131" s="65"/>
      <c r="L131" s="65"/>
      <c r="M131" s="65"/>
      <c r="N131" s="65"/>
      <c r="P131" s="785"/>
      <c r="Q131" s="785"/>
      <c r="R131" s="785"/>
      <c r="S131" s="785"/>
      <c r="T131" s="785"/>
      <c r="U131" s="785"/>
      <c r="V131" s="785"/>
      <c r="W131" s="785"/>
      <c r="X131" s="785"/>
      <c r="Y131" s="785"/>
      <c r="Z131" s="785"/>
    </row>
    <row r="132" spans="2:26" outlineLevel="1" x14ac:dyDescent="0.25">
      <c r="B132" s="379"/>
      <c r="C132" s="6" t="s">
        <v>238</v>
      </c>
      <c r="D132" s="37" t="s">
        <v>46</v>
      </c>
      <c r="E132" s="49">
        <f>E74</f>
        <v>-811.09100000000001</v>
      </c>
      <c r="F132" s="49">
        <f>F74</f>
        <v>22.159000000000216</v>
      </c>
      <c r="G132" s="49">
        <f>G74</f>
        <v>-149.30754182904502</v>
      </c>
      <c r="H132" s="446"/>
      <c r="I132" s="50"/>
      <c r="J132" s="447"/>
      <c r="K132" s="49">
        <f>K74</f>
        <v>51.788794900547416</v>
      </c>
      <c r="L132" s="49">
        <f t="shared" ref="L132:N132" si="68">L74</f>
        <v>105.74294426583245</v>
      </c>
      <c r="M132" s="49">
        <f t="shared" si="68"/>
        <v>138.45648039899561</v>
      </c>
      <c r="N132" s="49">
        <f t="shared" si="68"/>
        <v>152.52180791625995</v>
      </c>
      <c r="P132" s="785"/>
      <c r="Q132" s="785"/>
      <c r="R132" s="785"/>
      <c r="S132" s="785"/>
      <c r="T132" s="785"/>
      <c r="U132" s="785"/>
      <c r="V132" s="785"/>
      <c r="W132" s="785"/>
      <c r="X132" s="785"/>
      <c r="Y132" s="785"/>
      <c r="Z132" s="785"/>
    </row>
    <row r="133" spans="2:26" outlineLevel="1" x14ac:dyDescent="0.25">
      <c r="B133" s="379"/>
      <c r="C133" s="389" t="s">
        <v>240</v>
      </c>
      <c r="D133" s="40" t="s">
        <v>46</v>
      </c>
      <c r="E133" s="15">
        <f>-E70</f>
        <v>17.815000000000001</v>
      </c>
      <c r="F133" s="15">
        <f>-F70</f>
        <v>7.0579999999999998</v>
      </c>
      <c r="G133" s="15">
        <f>-G70</f>
        <v>-2</v>
      </c>
      <c r="H133" s="424"/>
      <c r="I133" s="15"/>
      <c r="J133" s="425"/>
      <c r="K133" s="15">
        <f>-K70</f>
        <v>-4</v>
      </c>
      <c r="L133" s="15">
        <f t="shared" ref="L133:N133" si="69">-L70</f>
        <v>-5</v>
      </c>
      <c r="M133" s="15">
        <f t="shared" si="69"/>
        <v>-8</v>
      </c>
      <c r="N133" s="15">
        <f t="shared" si="69"/>
        <v>-12</v>
      </c>
      <c r="P133" s="785"/>
      <c r="Q133" s="785"/>
      <c r="R133" s="785"/>
      <c r="S133" s="785"/>
      <c r="T133" s="785"/>
      <c r="U133" s="785"/>
      <c r="V133" s="785"/>
      <c r="W133" s="785"/>
      <c r="X133" s="785"/>
      <c r="Y133" s="785"/>
      <c r="Z133" s="785"/>
    </row>
    <row r="134" spans="2:26" outlineLevel="1" x14ac:dyDescent="0.25">
      <c r="B134" s="379"/>
      <c r="C134" s="752" t="s">
        <v>358</v>
      </c>
      <c r="D134" s="460" t="s">
        <v>46</v>
      </c>
      <c r="E134" s="83"/>
      <c r="F134" s="83"/>
      <c r="G134" s="83"/>
      <c r="H134" s="462"/>
      <c r="I134" s="461"/>
      <c r="J134" s="463"/>
      <c r="K134" s="83">
        <f t="shared" ref="K134:N136" si="70">-K71</f>
        <v>2</v>
      </c>
      <c r="L134" s="83">
        <f t="shared" si="70"/>
        <v>2</v>
      </c>
      <c r="M134" s="83">
        <f t="shared" si="70"/>
        <v>3</v>
      </c>
      <c r="N134" s="83">
        <f t="shared" si="70"/>
        <v>4</v>
      </c>
      <c r="P134" s="785"/>
      <c r="Q134" s="785"/>
      <c r="R134" s="785"/>
      <c r="S134" s="785"/>
      <c r="T134" s="785"/>
      <c r="U134" s="785"/>
      <c r="V134" s="785"/>
      <c r="W134" s="785"/>
      <c r="X134" s="785"/>
      <c r="Y134" s="785"/>
      <c r="Z134" s="785"/>
    </row>
    <row r="135" spans="2:26" outlineLevel="1" x14ac:dyDescent="0.25">
      <c r="B135" s="379"/>
      <c r="C135" s="389" t="s">
        <v>239</v>
      </c>
      <c r="D135" s="40" t="s">
        <v>46</v>
      </c>
      <c r="E135" s="15">
        <f>-E72</f>
        <v>-106.405</v>
      </c>
      <c r="F135" s="15">
        <f>-F72</f>
        <v>-29.88</v>
      </c>
      <c r="G135" s="15">
        <f>-G72</f>
        <v>3</v>
      </c>
      <c r="H135" s="424"/>
      <c r="I135" s="15"/>
      <c r="J135" s="425"/>
      <c r="K135" s="15">
        <f t="shared" si="70"/>
        <v>3</v>
      </c>
      <c r="L135" s="15">
        <f t="shared" si="70"/>
        <v>6</v>
      </c>
      <c r="M135" s="15">
        <f t="shared" si="70"/>
        <v>10</v>
      </c>
      <c r="N135" s="15">
        <f t="shared" si="70"/>
        <v>15</v>
      </c>
      <c r="P135" s="785"/>
      <c r="Q135" s="785"/>
      <c r="R135" s="785"/>
      <c r="S135" s="785"/>
      <c r="T135" s="785"/>
      <c r="U135" s="785"/>
      <c r="V135" s="785"/>
      <c r="W135" s="785"/>
      <c r="X135" s="785"/>
      <c r="Y135" s="785"/>
      <c r="Z135" s="785"/>
    </row>
    <row r="136" spans="2:26" outlineLevel="1" x14ac:dyDescent="0.25">
      <c r="B136" s="379"/>
      <c r="C136" s="752" t="s">
        <v>517</v>
      </c>
      <c r="D136" s="460" t="s">
        <v>46</v>
      </c>
      <c r="E136" s="83"/>
      <c r="F136" s="83"/>
      <c r="G136" s="83"/>
      <c r="H136" s="462"/>
      <c r="I136" s="461"/>
      <c r="J136" s="463"/>
      <c r="K136" s="83">
        <f t="shared" si="70"/>
        <v>-1</v>
      </c>
      <c r="L136" s="83">
        <f t="shared" si="70"/>
        <v>-2</v>
      </c>
      <c r="M136" s="83">
        <f t="shared" si="70"/>
        <v>-4</v>
      </c>
      <c r="N136" s="83">
        <f t="shared" si="70"/>
        <v>-8</v>
      </c>
      <c r="P136" s="785"/>
      <c r="Q136" s="785"/>
      <c r="R136" s="785"/>
      <c r="S136" s="785"/>
      <c r="T136" s="785"/>
      <c r="U136" s="785"/>
      <c r="V136" s="785"/>
      <c r="W136" s="785"/>
      <c r="X136" s="785"/>
      <c r="Y136" s="785"/>
      <c r="Z136" s="785"/>
    </row>
    <row r="137" spans="2:26" outlineLevel="1" x14ac:dyDescent="0.25">
      <c r="B137" s="379"/>
      <c r="C137" s="389" t="s">
        <v>282</v>
      </c>
      <c r="D137" s="40" t="s">
        <v>46</v>
      </c>
      <c r="E137" s="11">
        <f>SPWR!E210</f>
        <v>16.899000000000001</v>
      </c>
      <c r="F137" s="11">
        <f>SPWR!F210</f>
        <v>0</v>
      </c>
      <c r="G137" s="11">
        <f>SPWR!G210</f>
        <v>1</v>
      </c>
      <c r="H137" s="424"/>
      <c r="I137" s="15"/>
      <c r="J137" s="425"/>
      <c r="K137" s="11">
        <f>SPWR!H210</f>
        <v>2</v>
      </c>
      <c r="L137" s="11">
        <f>SPWR!I210</f>
        <v>2.5</v>
      </c>
      <c r="M137" s="11">
        <f>SPWR!J210</f>
        <v>4</v>
      </c>
      <c r="N137" s="11">
        <f>SPWR!K210</f>
        <v>6</v>
      </c>
      <c r="P137" s="785"/>
      <c r="Q137" s="785"/>
      <c r="R137" s="785"/>
      <c r="S137" s="785"/>
      <c r="T137" s="785"/>
      <c r="U137" s="785"/>
      <c r="V137" s="785"/>
      <c r="W137" s="785"/>
      <c r="X137" s="785"/>
      <c r="Y137" s="785"/>
      <c r="Z137" s="785"/>
    </row>
    <row r="138" spans="2:26" outlineLevel="1" x14ac:dyDescent="0.25">
      <c r="B138" s="379"/>
      <c r="C138" s="389" t="s">
        <v>283</v>
      </c>
      <c r="D138" s="40" t="s">
        <v>46</v>
      </c>
      <c r="E138" s="11">
        <f>SPWR!E211</f>
        <v>6.375</v>
      </c>
      <c r="F138" s="11">
        <f>SPWR!F211</f>
        <v>-158.28800000000001</v>
      </c>
      <c r="G138" s="11">
        <f>SPWR!G211</f>
        <v>0</v>
      </c>
      <c r="H138" s="424"/>
      <c r="I138" s="15"/>
      <c r="J138" s="425"/>
      <c r="K138" s="11">
        <f>SPWR!H211</f>
        <v>0</v>
      </c>
      <c r="L138" s="11">
        <f>SPWR!I211</f>
        <v>0</v>
      </c>
      <c r="M138" s="11">
        <f>SPWR!J211</f>
        <v>0</v>
      </c>
      <c r="N138" s="11">
        <f>SPWR!K211</f>
        <v>0</v>
      </c>
      <c r="P138" s="785"/>
      <c r="Q138" s="785"/>
      <c r="R138" s="785"/>
      <c r="S138" s="785"/>
      <c r="T138" s="785"/>
      <c r="U138" s="785"/>
      <c r="V138" s="785"/>
      <c r="W138" s="785"/>
      <c r="X138" s="785"/>
      <c r="Y138" s="785"/>
      <c r="Z138" s="785"/>
    </row>
    <row r="139" spans="2:26" outlineLevel="1" x14ac:dyDescent="0.25">
      <c r="B139" s="379"/>
      <c r="C139" s="389" t="s">
        <v>131</v>
      </c>
      <c r="D139" s="40" t="s">
        <v>46</v>
      </c>
      <c r="E139" s="11">
        <f>SPWR!E212</f>
        <v>118.238</v>
      </c>
      <c r="F139" s="11">
        <f>SPWR!F212</f>
        <v>72.945999999999998</v>
      </c>
      <c r="G139" s="11">
        <f>SPWR!G212</f>
        <v>75.334312609614017</v>
      </c>
      <c r="H139" s="424"/>
      <c r="I139" s="15"/>
      <c r="J139" s="425"/>
      <c r="K139" s="15">
        <f>SPWR!H212-MAXN!H173</f>
        <v>36.425141937852203</v>
      </c>
      <c r="L139" s="15">
        <f>SPWR!I212-MAXN!I173</f>
        <v>38.074685547172223</v>
      </c>
      <c r="M139" s="15">
        <f>SPWR!J212-MAXN!J173</f>
        <v>40.585827459552974</v>
      </c>
      <c r="N139" s="15">
        <f>SPWR!K212-MAXN!K173</f>
        <v>39.298664408173948</v>
      </c>
      <c r="P139" s="785"/>
      <c r="Q139" s="785"/>
      <c r="R139" s="785"/>
      <c r="S139" s="785"/>
      <c r="T139" s="785"/>
      <c r="U139" s="785"/>
      <c r="V139" s="785"/>
      <c r="W139" s="785"/>
      <c r="X139" s="785"/>
      <c r="Y139" s="785"/>
      <c r="Z139" s="785"/>
    </row>
    <row r="140" spans="2:26" outlineLevel="1" x14ac:dyDescent="0.25">
      <c r="B140" s="379"/>
      <c r="C140" s="525" t="s">
        <v>393</v>
      </c>
      <c r="D140" s="460" t="s">
        <v>46</v>
      </c>
      <c r="E140" s="83"/>
      <c r="F140" s="83"/>
      <c r="G140" s="83"/>
      <c r="H140" s="462"/>
      <c r="I140" s="461"/>
      <c r="J140" s="463"/>
      <c r="K140" s="83">
        <f>-K53</f>
        <v>-2.6539999999999999</v>
      </c>
      <c r="L140" s="83">
        <f t="shared" ref="L140:N140" si="71">-L53</f>
        <v>-2.6539999999999999</v>
      </c>
      <c r="M140" s="83">
        <f t="shared" si="71"/>
        <v>-2.6539999999999999</v>
      </c>
      <c r="N140" s="83">
        <f t="shared" si="71"/>
        <v>-2.6539999999999999</v>
      </c>
      <c r="P140" s="785"/>
      <c r="Q140" s="785"/>
      <c r="R140" s="785"/>
      <c r="S140" s="785"/>
      <c r="T140" s="785"/>
      <c r="U140" s="785"/>
      <c r="V140" s="785"/>
      <c r="W140" s="785"/>
      <c r="X140" s="785"/>
      <c r="Y140" s="785"/>
      <c r="Z140" s="785"/>
    </row>
    <row r="141" spans="2:26" outlineLevel="1" x14ac:dyDescent="0.25">
      <c r="B141" s="379"/>
      <c r="C141" s="389" t="s">
        <v>132</v>
      </c>
      <c r="D141" s="40" t="s">
        <v>46</v>
      </c>
      <c r="E141" s="11">
        <f>SPWR!E213</f>
        <v>8.9659999999999993</v>
      </c>
      <c r="F141" s="11">
        <f>SPWR!F213</f>
        <v>7.1349999999999998</v>
      </c>
      <c r="G141" s="11">
        <f>SPWR!G213</f>
        <v>6.9753993157050012</v>
      </c>
      <c r="H141" s="424"/>
      <c r="I141" s="15"/>
      <c r="J141" s="425"/>
      <c r="K141" s="15">
        <f>SPWR!H213-MAXN!H174</f>
        <v>9.1110004442893775</v>
      </c>
      <c r="L141" s="15">
        <f>SPWR!I213-MAXN!I174</f>
        <v>6.5560668986140351</v>
      </c>
      <c r="M141" s="15">
        <f>SPWR!J213-MAXN!J174</f>
        <v>7.6119560734579927</v>
      </c>
      <c r="N141" s="15">
        <f>SPWR!K213-MAXN!K174</f>
        <v>4.7122695957137202</v>
      </c>
      <c r="P141" s="785"/>
      <c r="Q141" s="785"/>
      <c r="R141" s="785"/>
      <c r="S141" s="785"/>
      <c r="T141" s="785"/>
      <c r="U141" s="785"/>
      <c r="V141" s="785"/>
      <c r="W141" s="785"/>
      <c r="X141" s="785"/>
      <c r="Y141" s="785"/>
      <c r="Z141" s="785"/>
    </row>
    <row r="142" spans="2:26" outlineLevel="1" x14ac:dyDescent="0.25">
      <c r="B142" s="379"/>
      <c r="C142" s="525" t="s">
        <v>394</v>
      </c>
      <c r="D142" s="460" t="s">
        <v>46</v>
      </c>
      <c r="E142" s="83"/>
      <c r="F142" s="83"/>
      <c r="G142" s="83"/>
      <c r="H142" s="462"/>
      <c r="I142" s="461"/>
      <c r="J142" s="463"/>
      <c r="K142" s="83">
        <f>-K52</f>
        <v>-7.12</v>
      </c>
      <c r="L142" s="83">
        <f t="shared" ref="L142:N142" si="72">-L52</f>
        <v>-7.12</v>
      </c>
      <c r="M142" s="83">
        <f t="shared" si="72"/>
        <v>-7.12</v>
      </c>
      <c r="N142" s="83">
        <f t="shared" si="72"/>
        <v>-7.12</v>
      </c>
      <c r="P142" s="785"/>
      <c r="Q142" s="785"/>
      <c r="R142" s="785"/>
      <c r="S142" s="785"/>
      <c r="T142" s="785"/>
      <c r="U142" s="785"/>
      <c r="V142" s="785"/>
      <c r="W142" s="785"/>
      <c r="X142" s="785"/>
      <c r="Y142" s="785"/>
      <c r="Z142" s="785"/>
    </row>
    <row r="143" spans="2:26" outlineLevel="1" x14ac:dyDescent="0.25">
      <c r="B143" s="379"/>
      <c r="C143" s="508" t="s">
        <v>59</v>
      </c>
      <c r="D143" s="40" t="s">
        <v>46</v>
      </c>
      <c r="E143" s="11">
        <f>SPWR!E214</f>
        <v>26.353000000000002</v>
      </c>
      <c r="F143" s="11">
        <f>SPWR!F214</f>
        <v>26.934999999999999</v>
      </c>
      <c r="G143" s="11">
        <f>SPWR!G214</f>
        <v>0</v>
      </c>
      <c r="H143" s="430"/>
      <c r="I143" s="414"/>
      <c r="J143" s="431"/>
      <c r="K143" s="15">
        <f>SPWR!H214-MAXN!H175</f>
        <v>0</v>
      </c>
      <c r="L143" s="15">
        <f>SPWR!I214-MAXN!I175</f>
        <v>0</v>
      </c>
      <c r="M143" s="15">
        <f>SPWR!J214-MAXN!J175</f>
        <v>0</v>
      </c>
      <c r="N143" s="15">
        <f>SPWR!K214-MAXN!K175</f>
        <v>0</v>
      </c>
      <c r="P143" s="785"/>
      <c r="Q143" s="785"/>
      <c r="R143" s="785"/>
      <c r="S143" s="785"/>
      <c r="T143" s="785"/>
      <c r="U143" s="785"/>
      <c r="V143" s="785"/>
      <c r="W143" s="785"/>
      <c r="X143" s="785"/>
      <c r="Y143" s="785"/>
      <c r="Z143" s="785"/>
    </row>
    <row r="144" spans="2:26" outlineLevel="1" x14ac:dyDescent="0.25">
      <c r="B144" s="379"/>
      <c r="C144" s="405" t="s">
        <v>280</v>
      </c>
      <c r="D144" s="40" t="s">
        <v>46</v>
      </c>
      <c r="E144" s="11">
        <f>SPWR!E215</f>
        <v>15.346</v>
      </c>
      <c r="F144" s="11">
        <f>SPWR!F215</f>
        <v>9.4719999999999995</v>
      </c>
      <c r="G144" s="11">
        <f>SPWR!G215</f>
        <v>9.1420323337394844</v>
      </c>
      <c r="H144" s="420"/>
      <c r="I144" s="73"/>
      <c r="J144" s="421"/>
      <c r="K144" s="23">
        <f>SPWR!H215</f>
        <v>9.3142899138205788</v>
      </c>
      <c r="L144" s="23">
        <f>SPWR!I215</f>
        <v>10.577038639763835</v>
      </c>
      <c r="M144" s="23">
        <f>SPWR!J215</f>
        <v>11.343260612277962</v>
      </c>
      <c r="N144" s="23">
        <f>SPWR!K215</f>
        <v>12.257659724957218</v>
      </c>
      <c r="P144" s="785"/>
      <c r="Q144" s="785"/>
      <c r="R144" s="785"/>
      <c r="S144" s="785"/>
      <c r="T144" s="785"/>
      <c r="U144" s="785"/>
      <c r="V144" s="785"/>
      <c r="W144" s="785"/>
      <c r="X144" s="785"/>
      <c r="Y144" s="785"/>
      <c r="Z144" s="785"/>
    </row>
    <row r="145" spans="2:26" outlineLevel="1" x14ac:dyDescent="0.25">
      <c r="B145" s="379"/>
      <c r="C145" s="525" t="s">
        <v>395</v>
      </c>
      <c r="D145" s="460" t="s">
        <v>46</v>
      </c>
      <c r="E145" s="83"/>
      <c r="F145" s="83"/>
      <c r="G145" s="83"/>
      <c r="H145" s="462"/>
      <c r="I145" s="461"/>
      <c r="J145" s="463"/>
      <c r="K145" s="83">
        <f>-K59</f>
        <v>1.9550000000000001</v>
      </c>
      <c r="L145" s="83">
        <f t="shared" ref="L145:N145" si="73">-L59</f>
        <v>1.9550000000000001</v>
      </c>
      <c r="M145" s="83">
        <f t="shared" si="73"/>
        <v>1.9550000000000001</v>
      </c>
      <c r="N145" s="83">
        <f t="shared" si="73"/>
        <v>1.9550000000000001</v>
      </c>
      <c r="P145" s="785"/>
      <c r="Q145" s="785"/>
      <c r="R145" s="785"/>
      <c r="S145" s="785"/>
      <c r="T145" s="785"/>
      <c r="U145" s="785"/>
      <c r="V145" s="785"/>
      <c r="W145" s="785"/>
      <c r="X145" s="785"/>
      <c r="Y145" s="785"/>
      <c r="Z145" s="785"/>
    </row>
    <row r="146" spans="2:26" outlineLevel="1" x14ac:dyDescent="0.25">
      <c r="B146" s="379"/>
      <c r="C146" s="405" t="s">
        <v>60</v>
      </c>
      <c r="D146" s="40" t="s">
        <v>46</v>
      </c>
      <c r="E146" s="11">
        <f>SPWR!E216</f>
        <v>-6.8620000000000001</v>
      </c>
      <c r="F146" s="11">
        <f>SPWR!F216</f>
        <v>5.0670000000000002</v>
      </c>
      <c r="G146" s="11">
        <f>SPWR!G216</f>
        <v>-41.83033231075629</v>
      </c>
      <c r="H146" s="420"/>
      <c r="I146" s="73"/>
      <c r="J146" s="421"/>
      <c r="K146" s="84">
        <f>K203</f>
        <v>14.607095997590296</v>
      </c>
      <c r="L146" s="84">
        <f t="shared" ref="L146:N146" si="74">L203</f>
        <v>30.106984280106587</v>
      </c>
      <c r="M146" s="84">
        <f t="shared" si="74"/>
        <v>32.924468760747942</v>
      </c>
      <c r="N146" s="84">
        <f t="shared" si="74"/>
        <v>-12.804185279596631</v>
      </c>
      <c r="P146" s="785"/>
      <c r="Q146" s="785"/>
      <c r="R146" s="785"/>
      <c r="S146" s="785"/>
      <c r="T146" s="785"/>
      <c r="U146" s="785"/>
      <c r="V146" s="785"/>
      <c r="W146" s="785"/>
      <c r="X146" s="785"/>
      <c r="Y146" s="785"/>
      <c r="Z146" s="785"/>
    </row>
    <row r="147" spans="2:26" outlineLevel="1" x14ac:dyDescent="0.25">
      <c r="B147" s="379"/>
      <c r="C147" s="405" t="s">
        <v>242</v>
      </c>
      <c r="D147" s="40" t="s">
        <v>46</v>
      </c>
      <c r="E147" s="11">
        <f>SPWR!E217</f>
        <v>369.16800000000001</v>
      </c>
      <c r="F147" s="11">
        <f>SPWR!F217</f>
        <v>0.77700000000000002</v>
      </c>
      <c r="G147" s="11">
        <f>SPWR!G217</f>
        <v>0</v>
      </c>
      <c r="H147" s="420"/>
      <c r="I147" s="73"/>
      <c r="J147" s="421"/>
      <c r="K147" s="84">
        <f>SPWR!H217-MAXN!H178</f>
        <v>0</v>
      </c>
      <c r="L147" s="84">
        <f>SPWR!I217-MAXN!I178</f>
        <v>0</v>
      </c>
      <c r="M147" s="84">
        <f>SPWR!J217-MAXN!J178</f>
        <v>0</v>
      </c>
      <c r="N147" s="84">
        <f>SPWR!K217-MAXN!K178</f>
        <v>0</v>
      </c>
      <c r="P147" s="785"/>
      <c r="Q147" s="785"/>
      <c r="R147" s="785"/>
      <c r="S147" s="785"/>
      <c r="T147" s="785"/>
      <c r="U147" s="785"/>
      <c r="V147" s="785"/>
      <c r="W147" s="785"/>
      <c r="X147" s="785"/>
      <c r="Y147" s="785"/>
      <c r="Z147" s="785"/>
    </row>
    <row r="148" spans="2:26" outlineLevel="1" x14ac:dyDescent="0.25">
      <c r="B148" s="379"/>
      <c r="C148" s="405" t="s">
        <v>281</v>
      </c>
      <c r="D148" s="40" t="s">
        <v>46</v>
      </c>
      <c r="E148" s="11">
        <f>SPWR!E218</f>
        <v>131.64500000000001</v>
      </c>
      <c r="F148" s="11">
        <f>SPWR!F218</f>
        <v>-146.23500000000001</v>
      </c>
      <c r="G148" s="11">
        <f>SPWR!G218</f>
        <v>0</v>
      </c>
      <c r="H148" s="420"/>
      <c r="I148" s="73"/>
      <c r="J148" s="421"/>
      <c r="K148" s="84">
        <f>SPWR!H218-MAXN!H179</f>
        <v>5.0729999999999995</v>
      </c>
      <c r="L148" s="84">
        <f>SPWR!I218-MAXN!I179</f>
        <v>5.0729999999999995</v>
      </c>
      <c r="M148" s="84">
        <f>SPWR!J218-MAXN!J179</f>
        <v>5.0729999999999995</v>
      </c>
      <c r="N148" s="84">
        <f>SPWR!K218-MAXN!K179</f>
        <v>5.0729999999999995</v>
      </c>
      <c r="P148" s="785"/>
      <c r="Q148" s="785"/>
      <c r="R148" s="785"/>
      <c r="S148" s="785"/>
      <c r="T148" s="785"/>
      <c r="U148" s="785"/>
      <c r="V148" s="785"/>
      <c r="W148" s="785"/>
      <c r="X148" s="785"/>
      <c r="Y148" s="785"/>
      <c r="Z148" s="785"/>
    </row>
    <row r="149" spans="2:26" outlineLevel="1" x14ac:dyDescent="0.25">
      <c r="B149" s="379"/>
      <c r="C149" s="149" t="s">
        <v>108</v>
      </c>
      <c r="D149" s="40"/>
      <c r="E149" s="18"/>
      <c r="F149" s="18"/>
      <c r="G149" s="85"/>
      <c r="H149" s="472"/>
      <c r="I149" s="44"/>
      <c r="J149" s="473"/>
      <c r="K149" s="23"/>
      <c r="L149" s="85"/>
      <c r="M149" s="85"/>
      <c r="N149" s="85"/>
      <c r="P149" s="785"/>
      <c r="Q149" s="785"/>
      <c r="R149" s="785"/>
      <c r="S149" s="785"/>
      <c r="T149" s="785"/>
      <c r="U149" s="785"/>
      <c r="V149" s="785"/>
      <c r="W149" s="785"/>
      <c r="X149" s="785"/>
      <c r="Y149" s="785"/>
      <c r="Z149" s="785"/>
    </row>
    <row r="150" spans="2:26" outlineLevel="1" x14ac:dyDescent="0.25">
      <c r="B150" s="379"/>
      <c r="C150" s="407" t="s">
        <v>109</v>
      </c>
      <c r="D150" s="40" t="s">
        <v>46</v>
      </c>
      <c r="E150" s="11">
        <f>SPWR!E220</f>
        <v>-0.17499999999999999</v>
      </c>
      <c r="F150" s="11">
        <f>SPWR!F220</f>
        <v>-66.194000000000003</v>
      </c>
      <c r="G150" s="23">
        <f>SPWR!G220</f>
        <v>70.770198106611332</v>
      </c>
      <c r="H150" s="420"/>
      <c r="I150" s="73"/>
      <c r="J150" s="421"/>
      <c r="K150" s="84">
        <f>SPWR!H220-MAXN!H181</f>
        <v>-95.844163694633423</v>
      </c>
      <c r="L150" s="84">
        <f>SPWR!I220-MAXN!I181</f>
        <v>-29.011202313716439</v>
      </c>
      <c r="M150" s="84">
        <f>SPWR!J220-MAXN!J181</f>
        <v>-31.799499640647554</v>
      </c>
      <c r="N150" s="84">
        <f>SPWR!K220-MAXN!K181</f>
        <v>-35.395837878501794</v>
      </c>
      <c r="P150" s="785"/>
      <c r="Q150" s="785"/>
      <c r="R150" s="785"/>
      <c r="S150" s="785"/>
      <c r="T150" s="785"/>
      <c r="U150" s="785"/>
      <c r="V150" s="785"/>
      <c r="W150" s="785"/>
      <c r="X150" s="785"/>
      <c r="Y150" s="785"/>
      <c r="Z150" s="785"/>
    </row>
    <row r="151" spans="2:26" outlineLevel="1" x14ac:dyDescent="0.25">
      <c r="B151" s="379"/>
      <c r="C151" s="407" t="s">
        <v>245</v>
      </c>
      <c r="D151" s="40" t="s">
        <v>46</v>
      </c>
      <c r="E151" s="11">
        <f>SPWR!E221</f>
        <v>-39.173999999999999</v>
      </c>
      <c r="F151" s="11">
        <f>SPWR!F221</f>
        <v>-128.404</v>
      </c>
      <c r="G151" s="23">
        <f>SPWR!G221</f>
        <v>135.81037600981588</v>
      </c>
      <c r="H151" s="420"/>
      <c r="I151" s="73"/>
      <c r="J151" s="421"/>
      <c r="K151" s="84">
        <f>SPWR!H221-MAXN!H182</f>
        <v>-124.32325337830855</v>
      </c>
      <c r="L151" s="84">
        <f>SPWR!I221-MAXN!I182</f>
        <v>-28.059429440542488</v>
      </c>
      <c r="M151" s="84">
        <f>SPWR!J221-MAXN!J182</f>
        <v>-30.566624065553384</v>
      </c>
      <c r="N151" s="84">
        <f>SPWR!K221-MAXN!K182</f>
        <v>-34.319969093488851</v>
      </c>
      <c r="P151" s="785"/>
      <c r="Q151" s="785"/>
      <c r="R151" s="785"/>
      <c r="S151" s="785"/>
      <c r="T151" s="785"/>
      <c r="U151" s="785"/>
      <c r="V151" s="785"/>
      <c r="W151" s="785"/>
      <c r="X151" s="785"/>
      <c r="Y151" s="785"/>
      <c r="Z151" s="785"/>
    </row>
    <row r="152" spans="2:26" outlineLevel="1" x14ac:dyDescent="0.25">
      <c r="B152" s="379"/>
      <c r="C152" s="407" t="s">
        <v>261</v>
      </c>
      <c r="D152" s="40" t="s">
        <v>46</v>
      </c>
      <c r="E152" s="11">
        <f>SPWR!E222</f>
        <v>-119.754</v>
      </c>
      <c r="F152" s="11">
        <f>SPWR!F222</f>
        <v>0.53800000000000003</v>
      </c>
      <c r="G152" s="23">
        <f>SPWR!G222</f>
        <v>116.70106463676058</v>
      </c>
      <c r="H152" s="420"/>
      <c r="I152" s="73"/>
      <c r="J152" s="421"/>
      <c r="K152" s="84">
        <f>SPWR!H222-MAXN!H183</f>
        <v>-131.31422436271023</v>
      </c>
      <c r="L152" s="84">
        <f>SPWR!I222-MAXN!I183</f>
        <v>-34.391664074818692</v>
      </c>
      <c r="M152" s="84">
        <f>SPWR!J222-MAXN!J183</f>
        <v>-37.522331410525737</v>
      </c>
      <c r="N152" s="84">
        <f>SPWR!K222-MAXN!K183</f>
        <v>-42.179926844024692</v>
      </c>
      <c r="P152" s="785"/>
      <c r="Q152" s="785"/>
      <c r="R152" s="785"/>
      <c r="S152" s="785"/>
      <c r="T152" s="785"/>
      <c r="U152" s="785"/>
      <c r="V152" s="785"/>
      <c r="W152" s="785"/>
      <c r="X152" s="785"/>
      <c r="Y152" s="785"/>
      <c r="Z152" s="785"/>
    </row>
    <row r="153" spans="2:26" outlineLevel="1" x14ac:dyDescent="0.25">
      <c r="B153" s="379"/>
      <c r="C153" s="407" t="s">
        <v>110</v>
      </c>
      <c r="D153" s="40" t="s">
        <v>46</v>
      </c>
      <c r="E153" s="11">
        <f>SPWR!E223</f>
        <v>0</v>
      </c>
      <c r="F153" s="11">
        <f>SPWR!F223</f>
        <v>8.5299999999999994</v>
      </c>
      <c r="G153" s="23">
        <f>SPWR!G223</f>
        <v>4.5816423469632923</v>
      </c>
      <c r="H153" s="420"/>
      <c r="I153" s="73"/>
      <c r="J153" s="421"/>
      <c r="K153" s="84">
        <f>SPWR!H223-MAXN!H184</f>
        <v>-1.5157910568772515</v>
      </c>
      <c r="L153" s="84">
        <f>SPWR!I223-MAXN!I184</f>
        <v>-3.7259311032798763</v>
      </c>
      <c r="M153" s="84">
        <f>SPWR!J223-MAXN!J184</f>
        <v>-5.464849711274848</v>
      </c>
      <c r="N153" s="84">
        <f>SPWR!K223-MAXN!K184</f>
        <v>-9.4168230551046008</v>
      </c>
      <c r="P153" s="785"/>
      <c r="Q153" s="785"/>
      <c r="R153" s="785"/>
      <c r="S153" s="785"/>
      <c r="T153" s="785"/>
      <c r="U153" s="785"/>
      <c r="V153" s="785"/>
      <c r="W153" s="785"/>
      <c r="X153" s="785"/>
      <c r="Y153" s="785"/>
      <c r="Z153" s="785"/>
    </row>
    <row r="154" spans="2:26" outlineLevel="1" x14ac:dyDescent="0.25">
      <c r="B154" s="379"/>
      <c r="C154" s="407" t="s">
        <v>246</v>
      </c>
      <c r="D154" s="40" t="s">
        <v>46</v>
      </c>
      <c r="E154" s="11">
        <f>SPWR!E224</f>
        <v>-127.286</v>
      </c>
      <c r="F154" s="11">
        <f>SPWR!F224</f>
        <v>79.394000000000005</v>
      </c>
      <c r="G154" s="23">
        <f>SPWR!G224</f>
        <v>-243.0809285873043</v>
      </c>
      <c r="H154" s="420"/>
      <c r="I154" s="73"/>
      <c r="J154" s="421"/>
      <c r="K154" s="84">
        <f>SPWR!H224-MAXN!H185</f>
        <v>230.36591060843526</v>
      </c>
      <c r="L154" s="84">
        <f>SPWR!I224-MAXN!I185</f>
        <v>58.360011110326298</v>
      </c>
      <c r="M154" s="84">
        <f>SPWR!J224-MAXN!J185</f>
        <v>64.670757560796631</v>
      </c>
      <c r="N154" s="84">
        <f>SPWR!K224-MAXN!K185</f>
        <v>71.727488489016309</v>
      </c>
    </row>
    <row r="155" spans="2:26" outlineLevel="1" x14ac:dyDescent="0.25">
      <c r="B155" s="379"/>
      <c r="C155" s="509" t="s">
        <v>367</v>
      </c>
      <c r="D155" s="40" t="s">
        <v>46</v>
      </c>
      <c r="E155" s="11">
        <f>SPWR!E225</f>
        <v>0</v>
      </c>
      <c r="F155" s="11">
        <f>SPWR!F225</f>
        <v>0</v>
      </c>
      <c r="G155" s="11">
        <f>SPWR!G225</f>
        <v>-46.613581953562544</v>
      </c>
      <c r="H155" s="420"/>
      <c r="I155" s="73"/>
      <c r="J155" s="421"/>
      <c r="K155" s="84">
        <f>SPWR!H225-MAXN!H186</f>
        <v>97.780347629540557</v>
      </c>
      <c r="L155" s="84">
        <f>SPWR!I225-MAXN!I186</f>
        <v>29.339363194561003</v>
      </c>
      <c r="M155" s="84">
        <f>SPWR!J225-MAXN!J186</f>
        <v>32.150785686111078</v>
      </c>
      <c r="N155" s="84">
        <f>SPWR!K225-MAXN!K186</f>
        <v>35.806789272874909</v>
      </c>
    </row>
    <row r="156" spans="2:26" outlineLevel="1" x14ac:dyDescent="0.25">
      <c r="B156" s="379"/>
      <c r="C156" s="407" t="s">
        <v>256</v>
      </c>
      <c r="D156" s="40" t="s">
        <v>46</v>
      </c>
      <c r="E156" s="11">
        <f>SPWR!E226</f>
        <v>-30.495000000000001</v>
      </c>
      <c r="F156" s="11">
        <f>SPWR!F226</f>
        <v>27.530999999999999</v>
      </c>
      <c r="G156" s="23">
        <f>SPWR!G226</f>
        <v>-51.413510418696092</v>
      </c>
      <c r="H156" s="420"/>
      <c r="I156" s="73"/>
      <c r="J156" s="421"/>
      <c r="K156" s="84">
        <f>SPWR!H226-MAXN!H187</f>
        <v>101.38504257710747</v>
      </c>
      <c r="L156" s="84">
        <f>SPWR!I226-MAXN!I187</f>
        <v>36.61796455230548</v>
      </c>
      <c r="M156" s="84">
        <f>SPWR!J226-MAXN!J187</f>
        <v>40.330821546509569</v>
      </c>
      <c r="N156" s="84">
        <f>SPWR!K226-MAXN!K187</f>
        <v>44.433625792533633</v>
      </c>
    </row>
    <row r="157" spans="2:26" outlineLevel="1" x14ac:dyDescent="0.25">
      <c r="B157" s="379"/>
      <c r="C157" s="407" t="s">
        <v>111</v>
      </c>
      <c r="D157" s="40" t="s">
        <v>46</v>
      </c>
      <c r="E157" s="11">
        <f>SPWR!E227</f>
        <v>0</v>
      </c>
      <c r="F157" s="11">
        <f>SPWR!F227</f>
        <v>-8.9540000000000006</v>
      </c>
      <c r="G157" s="23">
        <f>SPWR!G227</f>
        <v>-4.5816423469632923</v>
      </c>
      <c r="H157" s="420"/>
      <c r="I157" s="73"/>
      <c r="J157" s="421"/>
      <c r="K157" s="84">
        <f>SPWR!H227-MAXN!H188</f>
        <v>1.5157910568772515</v>
      </c>
      <c r="L157" s="84">
        <f>SPWR!I227-MAXN!I188</f>
        <v>3.7259311032798763</v>
      </c>
      <c r="M157" s="84">
        <f>SPWR!J227-MAXN!J188</f>
        <v>5.4648497112748444</v>
      </c>
      <c r="N157" s="84">
        <f>SPWR!K227-MAXN!K188</f>
        <v>9.4168230551046008</v>
      </c>
    </row>
    <row r="158" spans="2:26" outlineLevel="1" x14ac:dyDescent="0.25">
      <c r="B158" s="379"/>
      <c r="C158" s="24" t="s">
        <v>36</v>
      </c>
      <c r="D158" s="41" t="s">
        <v>46</v>
      </c>
      <c r="E158" s="12">
        <f>SUM(E132:E157)</f>
        <v>-530.4369999999999</v>
      </c>
      <c r="F158" s="12">
        <f t="shared" ref="F158:G158" si="75">SUM(F132:F157)</f>
        <v>-270.41299999999984</v>
      </c>
      <c r="G158" s="12">
        <f t="shared" si="75"/>
        <v>-115.51251208711795</v>
      </c>
      <c r="H158" s="422"/>
      <c r="I158" s="12"/>
      <c r="J158" s="423"/>
      <c r="K158" s="12">
        <f>SUM(K132:K157)</f>
        <v>198.54998257353094</v>
      </c>
      <c r="L158" s="12">
        <f t="shared" ref="L158:N158" si="76">SUM(L132:L157)</f>
        <v>224.66676265960433</v>
      </c>
      <c r="M158" s="12">
        <f t="shared" si="76"/>
        <v>270.43990298172309</v>
      </c>
      <c r="N158" s="12">
        <f t="shared" si="76"/>
        <v>238.31238610391773</v>
      </c>
    </row>
    <row r="159" spans="2:26" outlineLevel="1" x14ac:dyDescent="0.25">
      <c r="B159" s="379"/>
      <c r="C159" s="379"/>
      <c r="D159" s="21"/>
      <c r="E159" s="18"/>
      <c r="F159" s="18"/>
      <c r="G159" s="84"/>
      <c r="H159" s="420"/>
      <c r="I159" s="73"/>
      <c r="J159" s="421"/>
      <c r="K159" s="84"/>
      <c r="L159" s="84"/>
      <c r="M159" s="84"/>
      <c r="N159" s="84"/>
    </row>
    <row r="160" spans="2:26" outlineLevel="1" x14ac:dyDescent="0.25">
      <c r="B160" s="379"/>
      <c r="C160" s="389" t="s">
        <v>49</v>
      </c>
      <c r="D160" s="40" t="s">
        <v>46</v>
      </c>
      <c r="E160" s="11">
        <f>SPWR!E230</f>
        <v>-44.905999999999999</v>
      </c>
      <c r="F160" s="11">
        <f>SPWR!F230</f>
        <v>-47.395000000000003</v>
      </c>
      <c r="G160" s="23">
        <f>SPWR!G230</f>
        <v>-87.89003137788302</v>
      </c>
      <c r="H160" s="420"/>
      <c r="I160" s="73"/>
      <c r="J160" s="421"/>
      <c r="K160" s="84">
        <f>SPWR!H230-MAXN!H191</f>
        <v>-36.705863355206048</v>
      </c>
      <c r="L160" s="84">
        <f>SPWR!I230-MAXN!I191</f>
        <v>-50.499696859641176</v>
      </c>
      <c r="M160" s="84">
        <f>SPWR!J230-MAXN!J191</f>
        <v>-47.557818060778004</v>
      </c>
      <c r="N160" s="84">
        <f>SPWR!K230-MAXN!K191</f>
        <v>-51.870666885522439</v>
      </c>
    </row>
    <row r="161" spans="2:14" outlineLevel="1" x14ac:dyDescent="0.25">
      <c r="B161" s="379"/>
      <c r="C161" s="410" t="s">
        <v>320</v>
      </c>
      <c r="D161" s="40" t="s">
        <v>46</v>
      </c>
      <c r="E161" s="11">
        <f>SPWR!E231</f>
        <v>338.541</v>
      </c>
      <c r="F161" s="11">
        <f>SPWR!F231</f>
        <v>81.161000000000001</v>
      </c>
      <c r="G161" s="23">
        <f>SPWR!G231</f>
        <v>5</v>
      </c>
      <c r="H161" s="420"/>
      <c r="I161" s="73"/>
      <c r="J161" s="421"/>
      <c r="K161" s="84">
        <f>SPWR!H231-MAXN!H192</f>
        <v>4.8674999999999997</v>
      </c>
      <c r="L161" s="84">
        <f>SPWR!I231-MAXN!I192</f>
        <v>4.8674999999999997</v>
      </c>
      <c r="M161" s="84">
        <f>SPWR!J231-MAXN!J192</f>
        <v>4.8674999999999997</v>
      </c>
      <c r="N161" s="84">
        <f>SPWR!K231-MAXN!K192</f>
        <v>4.8674999999999997</v>
      </c>
    </row>
    <row r="162" spans="2:14" outlineLevel="1" x14ac:dyDescent="0.25">
      <c r="B162" s="379"/>
      <c r="C162" s="410" t="s">
        <v>321</v>
      </c>
      <c r="D162" s="40" t="s">
        <v>46</v>
      </c>
      <c r="E162" s="11">
        <f>SPWR!E232</f>
        <v>-17</v>
      </c>
      <c r="F162" s="11">
        <f>SPWR!F232</f>
        <v>0</v>
      </c>
      <c r="G162" s="23">
        <f>SPWR!G232</f>
        <v>-8.3704791788460025</v>
      </c>
      <c r="H162" s="420"/>
      <c r="I162" s="73"/>
      <c r="J162" s="421"/>
      <c r="K162" s="84">
        <f>SPWR!H232-MAXN!H193</f>
        <v>-9.7844923409548663</v>
      </c>
      <c r="L162" s="84">
        <f>SPWR!I232-MAXN!I193</f>
        <v>-13.11213379722807</v>
      </c>
      <c r="M162" s="84">
        <f>SPWR!J232-MAXN!J193</f>
        <v>-15.540513403365587</v>
      </c>
      <c r="N162" s="84">
        <f>SPWR!K232-MAXN!K193</f>
        <v>-21.97869100244019</v>
      </c>
    </row>
    <row r="163" spans="2:14" outlineLevel="1" x14ac:dyDescent="0.25">
      <c r="B163" s="379"/>
      <c r="C163" s="389" t="s">
        <v>244</v>
      </c>
      <c r="D163" s="40" t="s">
        <v>46</v>
      </c>
      <c r="E163" s="11">
        <f>SPWR!E233</f>
        <v>-14.686999999999999</v>
      </c>
      <c r="F163" s="11">
        <f>SPWR!F233</f>
        <v>-12.4</v>
      </c>
      <c r="G163" s="11">
        <f>SPWR!G233</f>
        <v>-10.574990358168376</v>
      </c>
      <c r="H163" s="424"/>
      <c r="I163" s="15"/>
      <c r="J163" s="425"/>
      <c r="K163" s="15">
        <f>SPWR!H233-MAXN!H194</f>
        <v>-18.638382856564895</v>
      </c>
      <c r="L163" s="15">
        <f>SPWR!I233-MAXN!I194</f>
        <v>-22.345480147767045</v>
      </c>
      <c r="M163" s="15">
        <f>SPWR!J233-MAXN!J194</f>
        <v>-26.450188826029773</v>
      </c>
      <c r="N163" s="15">
        <f>SPWR!K233-MAXN!K194</f>
        <v>-30.921220909533208</v>
      </c>
    </row>
    <row r="164" spans="2:14" outlineLevel="1" x14ac:dyDescent="0.25">
      <c r="B164" s="379"/>
      <c r="C164" s="24" t="s">
        <v>61</v>
      </c>
      <c r="D164" s="41" t="s">
        <v>46</v>
      </c>
      <c r="E164" s="12">
        <f>SUM(E160:E163)</f>
        <v>261.94799999999998</v>
      </c>
      <c r="F164" s="12">
        <f t="shared" ref="F164:G164" si="77">SUM(F160:F163)</f>
        <v>21.366</v>
      </c>
      <c r="G164" s="12">
        <f t="shared" si="77"/>
        <v>-101.83550091489739</v>
      </c>
      <c r="H164" s="422"/>
      <c r="I164" s="12"/>
      <c r="J164" s="423"/>
      <c r="K164" s="12">
        <f>SUM(K160:K163)</f>
        <v>-60.261238552725807</v>
      </c>
      <c r="L164" s="12">
        <f t="shared" ref="L164:N164" si="78">SUM(L160:L163)</f>
        <v>-81.089810804636286</v>
      </c>
      <c r="M164" s="12">
        <f t="shared" si="78"/>
        <v>-84.681020290173365</v>
      </c>
      <c r="N164" s="12">
        <f t="shared" si="78"/>
        <v>-99.903078797495837</v>
      </c>
    </row>
    <row r="165" spans="2:14" outlineLevel="1" x14ac:dyDescent="0.25">
      <c r="B165" s="379"/>
      <c r="C165" s="379"/>
      <c r="D165" s="21"/>
      <c r="F165" s="378"/>
      <c r="G165" s="379"/>
      <c r="H165" s="444"/>
      <c r="I165" s="379"/>
      <c r="J165" s="445"/>
      <c r="K165" s="379"/>
      <c r="L165" s="22"/>
      <c r="M165" s="22"/>
    </row>
    <row r="166" spans="2:14" outlineLevel="1" x14ac:dyDescent="0.25">
      <c r="B166" s="379"/>
      <c r="C166" s="389" t="s">
        <v>113</v>
      </c>
      <c r="D166" s="40" t="s">
        <v>46</v>
      </c>
      <c r="E166" s="11">
        <f>SPWR!E236</f>
        <v>545.98299999999995</v>
      </c>
      <c r="F166" s="11">
        <f>SPWR!F236</f>
        <v>457.19099999999997</v>
      </c>
      <c r="G166" s="11">
        <f>SPWR!G236</f>
        <v>114.77510000000001</v>
      </c>
      <c r="H166" s="424"/>
      <c r="I166" s="15"/>
      <c r="J166" s="425"/>
      <c r="K166" s="15">
        <f>SPWR!H236-MAXN!H197</f>
        <v>153.59220000000005</v>
      </c>
      <c r="L166" s="15">
        <f>SPWR!I236-MAXN!I197</f>
        <v>7.4989000000000026</v>
      </c>
      <c r="M166" s="15">
        <f>SPWR!J236-MAXN!J197</f>
        <v>117.30520000000007</v>
      </c>
      <c r="N166" s="15">
        <f>SPWR!K236-MAXN!K197</f>
        <v>0.84920000000000007</v>
      </c>
    </row>
    <row r="167" spans="2:14" outlineLevel="1" x14ac:dyDescent="0.25">
      <c r="B167" s="379"/>
      <c r="C167" s="389" t="s">
        <v>114</v>
      </c>
      <c r="D167" s="40" t="s">
        <v>46</v>
      </c>
      <c r="E167" s="11">
        <f>SPWR!E237</f>
        <v>-583.89200000000005</v>
      </c>
      <c r="F167" s="11">
        <f>SPWR!F237</f>
        <v>-273.97399999999999</v>
      </c>
      <c r="G167" s="11">
        <f>SPWR!G237</f>
        <v>-104.34099999999999</v>
      </c>
      <c r="H167" s="424"/>
      <c r="I167" s="15"/>
      <c r="J167" s="425"/>
      <c r="K167" s="15">
        <f>SPWR!H237-MAXN!H198</f>
        <v>-66.901999999999987</v>
      </c>
      <c r="L167" s="15">
        <f>SPWR!I237-MAXN!I198</f>
        <v>-4.9990000000000006</v>
      </c>
      <c r="M167" s="15">
        <f>SPWR!J237-MAXN!J198</f>
        <v>-35.732000000000028</v>
      </c>
      <c r="N167" s="15">
        <f>SPWR!K237-MAXN!K198</f>
        <v>-0.77200000000000002</v>
      </c>
    </row>
    <row r="168" spans="2:14" outlineLevel="1" x14ac:dyDescent="0.25">
      <c r="B168" s="379"/>
      <c r="C168" s="389" t="s">
        <v>313</v>
      </c>
      <c r="D168" s="40" t="s">
        <v>46</v>
      </c>
      <c r="E168" s="11">
        <f>SPWR!E238</f>
        <v>0</v>
      </c>
      <c r="F168" s="11">
        <f>SPWR!F238</f>
        <v>0</v>
      </c>
      <c r="G168" s="11">
        <f>SPWR!G238</f>
        <v>0</v>
      </c>
      <c r="H168" s="424"/>
      <c r="I168" s="15"/>
      <c r="J168" s="425"/>
      <c r="K168" s="11">
        <f>SPWR!H238</f>
        <v>87.5</v>
      </c>
      <c r="L168" s="11">
        <f>SPWR!I238</f>
        <v>75</v>
      </c>
      <c r="M168" s="11">
        <f>SPWR!J238</f>
        <v>50</v>
      </c>
      <c r="N168" s="11">
        <f>SPWR!K238</f>
        <v>25</v>
      </c>
    </row>
    <row r="169" spans="2:14" outlineLevel="1" x14ac:dyDescent="0.25">
      <c r="B169" s="379"/>
      <c r="C169" s="525" t="s">
        <v>396</v>
      </c>
      <c r="D169" s="503" t="s">
        <v>46</v>
      </c>
      <c r="E169" s="504"/>
      <c r="F169" s="504"/>
      <c r="G169" s="499"/>
      <c r="H169" s="498"/>
      <c r="I169" s="499"/>
      <c r="J169" s="500"/>
      <c r="K169" s="497">
        <f>-SPWR!H238</f>
        <v>-87.5</v>
      </c>
      <c r="L169" s="497">
        <f>-SPWR!I238</f>
        <v>-75</v>
      </c>
      <c r="M169" s="497">
        <f>-SPWR!J238</f>
        <v>-50</v>
      </c>
      <c r="N169" s="497">
        <f>-SPWR!K238</f>
        <v>-25</v>
      </c>
    </row>
    <row r="170" spans="2:14" outlineLevel="1" x14ac:dyDescent="0.25">
      <c r="B170" s="379"/>
      <c r="C170" s="488" t="s">
        <v>365</v>
      </c>
      <c r="D170" s="40" t="s">
        <v>46</v>
      </c>
      <c r="E170" s="11">
        <f>SPWR!E239</f>
        <v>0</v>
      </c>
      <c r="F170" s="11">
        <f>SPWR!F239</f>
        <v>171.834</v>
      </c>
      <c r="G170" s="11">
        <f>SPWR!G239</f>
        <v>199.75992000000005</v>
      </c>
      <c r="H170" s="424"/>
      <c r="I170" s="15"/>
      <c r="J170" s="425"/>
      <c r="K170" s="15">
        <f>SPWR!H239-MAXN!H199</f>
        <v>87.5</v>
      </c>
      <c r="L170" s="15">
        <f>SPWR!I239-MAXN!I199</f>
        <v>75</v>
      </c>
      <c r="M170" s="15">
        <f>SPWR!J239-MAXN!J199</f>
        <v>50</v>
      </c>
      <c r="N170" s="15">
        <f>SPWR!K239-MAXN!K199</f>
        <v>25</v>
      </c>
    </row>
    <row r="171" spans="2:14" outlineLevel="1" x14ac:dyDescent="0.25">
      <c r="B171" s="379"/>
      <c r="C171" s="525" t="s">
        <v>397</v>
      </c>
      <c r="D171" s="503" t="s">
        <v>46</v>
      </c>
      <c r="E171" s="504"/>
      <c r="F171" s="504"/>
      <c r="G171" s="499"/>
      <c r="H171" s="498"/>
      <c r="I171" s="499"/>
      <c r="J171" s="500"/>
      <c r="K171" s="497">
        <f>-SPWR!H239</f>
        <v>-87.5</v>
      </c>
      <c r="L171" s="497">
        <f>-SPWR!I239</f>
        <v>-75</v>
      </c>
      <c r="M171" s="497">
        <f>-SPWR!J239</f>
        <v>-50</v>
      </c>
      <c r="N171" s="497">
        <f>-SPWR!K239</f>
        <v>-25</v>
      </c>
    </row>
    <row r="172" spans="2:14" outlineLevel="1" x14ac:dyDescent="0.25">
      <c r="B172" s="379"/>
      <c r="C172" s="389" t="s">
        <v>284</v>
      </c>
      <c r="D172" s="40" t="s">
        <v>46</v>
      </c>
      <c r="E172" s="11">
        <f>SPWR!E240</f>
        <v>151.20400000000001</v>
      </c>
      <c r="F172" s="11">
        <f>SPWR!F240</f>
        <v>35.79</v>
      </c>
      <c r="G172" s="11">
        <f>SPWR!G240</f>
        <v>-1.5</v>
      </c>
      <c r="H172" s="424"/>
      <c r="I172" s="15"/>
      <c r="J172" s="425"/>
      <c r="K172" s="11">
        <f>SPWR!H240</f>
        <v>-1.5</v>
      </c>
      <c r="L172" s="11">
        <f>SPWR!I240</f>
        <v>-3</v>
      </c>
      <c r="M172" s="11">
        <f>SPWR!J240</f>
        <v>-5</v>
      </c>
      <c r="N172" s="11">
        <f>SPWR!K240</f>
        <v>-7.5</v>
      </c>
    </row>
    <row r="173" spans="2:14" outlineLevel="1" x14ac:dyDescent="0.25">
      <c r="B173" s="379"/>
      <c r="C173" s="389" t="s">
        <v>285</v>
      </c>
      <c r="D173" s="40" t="s">
        <v>46</v>
      </c>
      <c r="E173" s="11">
        <f>SPWR!E241</f>
        <v>-21.917999999999999</v>
      </c>
      <c r="F173" s="11">
        <f>SPWR!F241</f>
        <v>-0.316</v>
      </c>
      <c r="G173" s="11">
        <f>SPWR!G241</f>
        <v>-0.30000000000000004</v>
      </c>
      <c r="H173" s="424"/>
      <c r="I173" s="15"/>
      <c r="J173" s="425"/>
      <c r="K173" s="11">
        <f>SPWR!H241</f>
        <v>-0.30000000000000004</v>
      </c>
      <c r="L173" s="11">
        <f>SPWR!I241</f>
        <v>-0.60000000000000009</v>
      </c>
      <c r="M173" s="11">
        <f>SPWR!J241</f>
        <v>-1</v>
      </c>
      <c r="N173" s="11">
        <f>SPWR!K241</f>
        <v>-1.5</v>
      </c>
    </row>
    <row r="174" spans="2:14" outlineLevel="1" x14ac:dyDescent="0.25">
      <c r="B174" s="379"/>
      <c r="C174" s="389" t="s">
        <v>67</v>
      </c>
      <c r="D174" s="40" t="s">
        <v>46</v>
      </c>
      <c r="E174" s="11">
        <f>SPWR!E242</f>
        <v>-5.53</v>
      </c>
      <c r="F174" s="11">
        <f>SPWR!F242</f>
        <v>-45.979000000000191</v>
      </c>
      <c r="G174" s="11">
        <f>SPWR!G242</f>
        <v>-25.754500000000096</v>
      </c>
      <c r="H174" s="424"/>
      <c r="I174" s="15"/>
      <c r="J174" s="425"/>
      <c r="K174" s="11">
        <f>SPWR!H242</f>
        <v>-25.754500000000096</v>
      </c>
      <c r="L174" s="11">
        <f>SPWR!I242</f>
        <v>-25.754500000000096</v>
      </c>
      <c r="M174" s="11">
        <f>SPWR!J242</f>
        <v>-25.754500000000096</v>
      </c>
      <c r="N174" s="11">
        <f>SPWR!K242</f>
        <v>-25.754500000000096</v>
      </c>
    </row>
    <row r="175" spans="2:14" outlineLevel="1" x14ac:dyDescent="0.25">
      <c r="B175" s="379"/>
      <c r="C175" s="24" t="s">
        <v>63</v>
      </c>
      <c r="D175" s="41" t="s">
        <v>46</v>
      </c>
      <c r="E175" s="12">
        <f>SUM(E166:E174)</f>
        <v>85.846999999999895</v>
      </c>
      <c r="F175" s="12">
        <f t="shared" ref="F175:G175" si="79">SUM(F166:F174)</f>
        <v>344.54599999999982</v>
      </c>
      <c r="G175" s="12">
        <f t="shared" si="79"/>
        <v>182.63951999999998</v>
      </c>
      <c r="H175" s="422"/>
      <c r="I175" s="12"/>
      <c r="J175" s="423"/>
      <c r="K175" s="12">
        <f>SUM(K166:K174)</f>
        <v>59.135699999999972</v>
      </c>
      <c r="L175" s="12">
        <f t="shared" ref="L175:N175" si="80">SUM(L166:L174)</f>
        <v>-26.854600000000101</v>
      </c>
      <c r="M175" s="12">
        <f t="shared" si="80"/>
        <v>49.81869999999995</v>
      </c>
      <c r="N175" s="12">
        <f t="shared" si="80"/>
        <v>-34.677300000000095</v>
      </c>
    </row>
    <row r="176" spans="2:14" outlineLevel="1" x14ac:dyDescent="0.25">
      <c r="B176" s="379"/>
      <c r="C176" s="379"/>
      <c r="D176" s="42"/>
      <c r="E176" s="21"/>
      <c r="F176" s="21"/>
      <c r="G176" s="379"/>
      <c r="H176" s="444"/>
      <c r="I176" s="379"/>
      <c r="J176" s="445"/>
      <c r="K176" s="379"/>
      <c r="L176" s="22"/>
      <c r="M176" s="22"/>
    </row>
    <row r="177" spans="2:14" outlineLevel="1" x14ac:dyDescent="0.25">
      <c r="B177" s="379"/>
      <c r="C177" s="379" t="s">
        <v>248</v>
      </c>
      <c r="D177" s="40" t="s">
        <v>46</v>
      </c>
      <c r="E177" s="11">
        <f>SPWR!E245</f>
        <v>2.0680000000000001</v>
      </c>
      <c r="F177" s="11">
        <f>SPWR!F245</f>
        <v>-0.373</v>
      </c>
      <c r="G177" s="7">
        <f>SPWR!G245</f>
        <v>0.84750000000000003</v>
      </c>
      <c r="H177" s="426"/>
      <c r="I177" s="375"/>
      <c r="J177" s="427"/>
      <c r="K177" s="15">
        <f>SPWR!H245-MAXN!H203</f>
        <v>0.62650000000000006</v>
      </c>
      <c r="L177" s="15">
        <f>SPWR!I245-MAXN!I203</f>
        <v>0.62650000000000006</v>
      </c>
      <c r="M177" s="15">
        <f>SPWR!J245-MAXN!J203</f>
        <v>0.62650000000000006</v>
      </c>
      <c r="N177" s="15">
        <f>SPWR!K245-MAXN!K203</f>
        <v>0.62650000000000006</v>
      </c>
    </row>
    <row r="178" spans="2:14" outlineLevel="1" x14ac:dyDescent="0.25">
      <c r="B178" s="379"/>
      <c r="C178" s="379"/>
      <c r="D178" s="42"/>
      <c r="E178" s="21"/>
      <c r="F178" s="21"/>
      <c r="G178" s="379"/>
      <c r="H178" s="444"/>
      <c r="I178" s="379"/>
      <c r="J178" s="445"/>
      <c r="K178" s="379"/>
      <c r="L178" s="22"/>
      <c r="M178" s="22"/>
    </row>
    <row r="179" spans="2:14" outlineLevel="1" x14ac:dyDescent="0.25">
      <c r="B179" s="379"/>
      <c r="C179" s="6" t="s">
        <v>64</v>
      </c>
      <c r="D179" s="40" t="s">
        <v>46</v>
      </c>
      <c r="E179" s="13">
        <f t="shared" ref="E179:G179" si="81">+E158+E164+E175+E177</f>
        <v>-180.57400000000001</v>
      </c>
      <c r="F179" s="13">
        <f t="shared" si="81"/>
        <v>95.125999999999962</v>
      </c>
      <c r="G179" s="13">
        <f t="shared" si="81"/>
        <v>-33.860993002015391</v>
      </c>
      <c r="H179" s="434"/>
      <c r="I179" s="13"/>
      <c r="J179" s="435"/>
      <c r="K179" s="13">
        <f>+K158+K164+K175+K177</f>
        <v>198.05094402080508</v>
      </c>
      <c r="L179" s="13">
        <f t="shared" ref="L179:N179" si="82">+L158+L164+L175+L177</f>
        <v>117.34885185496796</v>
      </c>
      <c r="M179" s="13">
        <f t="shared" si="82"/>
        <v>236.20408269154967</v>
      </c>
      <c r="N179" s="13">
        <f t="shared" si="82"/>
        <v>104.35850730642181</v>
      </c>
    </row>
    <row r="180" spans="2:14" outlineLevel="1" x14ac:dyDescent="0.25">
      <c r="B180" s="379"/>
      <c r="C180" s="379"/>
      <c r="D180" s="42"/>
      <c r="F180" s="364"/>
      <c r="G180" s="379"/>
      <c r="H180" s="444"/>
      <c r="I180" s="379"/>
      <c r="J180" s="445"/>
      <c r="K180" s="379"/>
      <c r="L180" s="22"/>
      <c r="M180" s="22"/>
    </row>
    <row r="181" spans="2:14" outlineLevel="1" x14ac:dyDescent="0.25">
      <c r="B181" s="379"/>
      <c r="C181" s="6" t="s">
        <v>115</v>
      </c>
      <c r="D181" s="40" t="s">
        <v>46</v>
      </c>
      <c r="E181" s="619">
        <f>SPWR!E249</f>
        <v>550.29200000000003</v>
      </c>
      <c r="F181" s="13">
        <f>E182</f>
        <v>369.71800000000002</v>
      </c>
      <c r="G181" s="14">
        <f>F182</f>
        <v>464.84399999999999</v>
      </c>
      <c r="H181" s="432"/>
      <c r="I181" s="14"/>
      <c r="J181" s="433"/>
      <c r="K181" s="14">
        <f>J91</f>
        <v>540.48300699798449</v>
      </c>
      <c r="L181" s="14">
        <f>K182</f>
        <v>738.53395101878959</v>
      </c>
      <c r="M181" s="14">
        <f t="shared" ref="M181:N181" si="83">L182</f>
        <v>855.88280287375756</v>
      </c>
      <c r="N181" s="14">
        <f t="shared" si="83"/>
        <v>1092.0868855653073</v>
      </c>
    </row>
    <row r="182" spans="2:14" outlineLevel="1" x14ac:dyDescent="0.25">
      <c r="B182" s="379"/>
      <c r="C182" s="6" t="s">
        <v>116</v>
      </c>
      <c r="D182" s="40" t="s">
        <v>46</v>
      </c>
      <c r="E182" s="13">
        <f>+E179+E181</f>
        <v>369.71800000000002</v>
      </c>
      <c r="F182" s="13">
        <f>+F179+F181</f>
        <v>464.84399999999999</v>
      </c>
      <c r="G182" s="13">
        <f>+G179+G181</f>
        <v>430.9830069979846</v>
      </c>
      <c r="H182" s="434"/>
      <c r="I182" s="13"/>
      <c r="J182" s="435"/>
      <c r="K182" s="13">
        <f>+K179+K181</f>
        <v>738.53395101878959</v>
      </c>
      <c r="L182" s="13">
        <f>+L179+L181</f>
        <v>855.88280287375756</v>
      </c>
      <c r="M182" s="13">
        <f t="shared" ref="M182:N182" si="84">+M179+M181</f>
        <v>1092.0868855653073</v>
      </c>
      <c r="N182" s="13">
        <f t="shared" si="84"/>
        <v>1196.4453928717292</v>
      </c>
    </row>
    <row r="183" spans="2:14" x14ac:dyDescent="0.25">
      <c r="B183" s="379"/>
      <c r="C183" s="379"/>
      <c r="D183" s="42"/>
      <c r="E183" s="21"/>
      <c r="G183" s="16"/>
      <c r="H183" s="16"/>
      <c r="I183" s="707"/>
      <c r="J183" s="16"/>
      <c r="K183" s="379"/>
      <c r="L183" s="379"/>
      <c r="M183" s="22"/>
      <c r="N183" s="22"/>
    </row>
    <row r="184" spans="2:14" x14ac:dyDescent="0.25">
      <c r="B184" s="28"/>
      <c r="C184" s="29"/>
      <c r="D184" s="29"/>
      <c r="E184" s="33" t="str">
        <f>$E$35</f>
        <v>Historical:</v>
      </c>
      <c r="F184" s="34"/>
      <c r="G184" s="33" t="str">
        <f>$G$35</f>
        <v>Projected:</v>
      </c>
      <c r="H184" s="415" t="str">
        <f>$H$35</f>
        <v>Transaction Adjustments:</v>
      </c>
      <c r="I184" s="33"/>
      <c r="J184" s="34"/>
      <c r="K184" s="33" t="str">
        <f>$K$35</f>
        <v>Separated Company:</v>
      </c>
      <c r="L184" s="33"/>
      <c r="M184" s="33"/>
      <c r="N184" s="33"/>
    </row>
    <row r="185" spans="2:14" x14ac:dyDescent="0.25">
      <c r="B185" s="30" t="s">
        <v>398</v>
      </c>
      <c r="C185" s="31"/>
      <c r="D185" s="36" t="str">
        <f>$D$5</f>
        <v>Units:</v>
      </c>
      <c r="E185" s="32">
        <f>$E$36</f>
        <v>43465</v>
      </c>
      <c r="F185" s="35">
        <f>$F$36</f>
        <v>43830</v>
      </c>
      <c r="G185" s="32">
        <f>$G$36</f>
        <v>44196</v>
      </c>
      <c r="H185" s="416" t="str">
        <f>$H$36</f>
        <v>Debit</v>
      </c>
      <c r="I185" s="32" t="str">
        <f>$I$36</f>
        <v>Credit</v>
      </c>
      <c r="J185" s="35">
        <f>$J$36</f>
        <v>44196</v>
      </c>
      <c r="K185" s="32">
        <f>$K$36</f>
        <v>44561</v>
      </c>
      <c r="L185" s="32">
        <f>$L$36</f>
        <v>44926</v>
      </c>
      <c r="M185" s="32">
        <f>$M$36</f>
        <v>45291</v>
      </c>
      <c r="N185" s="32">
        <f>$N$36</f>
        <v>45657</v>
      </c>
    </row>
    <row r="186" spans="2:14" outlineLevel="1" x14ac:dyDescent="0.25">
      <c r="B186" s="165"/>
      <c r="C186" s="164"/>
      <c r="D186" s="164"/>
      <c r="E186" s="21"/>
      <c r="G186" s="16"/>
      <c r="H186" s="526"/>
      <c r="I186" s="19"/>
      <c r="J186" s="527"/>
      <c r="K186" s="379"/>
      <c r="L186" s="379"/>
      <c r="M186" s="22"/>
      <c r="N186" s="22"/>
    </row>
    <row r="187" spans="2:14" outlineLevel="1" x14ac:dyDescent="0.25">
      <c r="B187" s="165"/>
      <c r="C187" s="380" t="s">
        <v>300</v>
      </c>
      <c r="D187" s="48" t="s">
        <v>46</v>
      </c>
      <c r="E187" s="383"/>
      <c r="F187" s="383"/>
      <c r="G187" s="383"/>
      <c r="H187" s="438"/>
      <c r="I187" s="401"/>
      <c r="J187" s="439"/>
      <c r="K187" s="383">
        <f>K65</f>
        <v>66.395890898137708</v>
      </c>
      <c r="L187" s="383">
        <f t="shared" ref="L187:N187" si="85">L65</f>
        <v>136.84992854593904</v>
      </c>
      <c r="M187" s="383">
        <f t="shared" si="85"/>
        <v>178.79035948589183</v>
      </c>
      <c r="N187" s="383">
        <f t="shared" si="85"/>
        <v>194.25872809776916</v>
      </c>
    </row>
    <row r="188" spans="2:14" outlineLevel="1" x14ac:dyDescent="0.25">
      <c r="B188" s="165"/>
      <c r="C188" s="381" t="s">
        <v>59</v>
      </c>
      <c r="D188" s="48" t="s">
        <v>46</v>
      </c>
      <c r="E188" s="383"/>
      <c r="F188" s="383"/>
      <c r="G188" s="383"/>
      <c r="H188" s="438"/>
      <c r="I188" s="401"/>
      <c r="J188" s="439"/>
      <c r="K188" s="23">
        <f>SPWR!H112</f>
        <v>36.533026413173367</v>
      </c>
      <c r="L188" s="23">
        <f>SPWR!I112</f>
        <v>43.799294323749592</v>
      </c>
      <c r="M188" s="23">
        <f>SPWR!J112</f>
        <v>51.844918867218794</v>
      </c>
      <c r="N188" s="23">
        <f>SPWR!K112</f>
        <v>60.608572584270973</v>
      </c>
    </row>
    <row r="189" spans="2:14" outlineLevel="1" x14ac:dyDescent="0.25">
      <c r="B189" s="165"/>
      <c r="C189" s="381" t="s">
        <v>303</v>
      </c>
      <c r="D189" s="48" t="s">
        <v>46</v>
      </c>
      <c r="E189" s="383"/>
      <c r="F189" s="383"/>
      <c r="G189" s="383"/>
      <c r="H189" s="438"/>
      <c r="I189" s="401"/>
      <c r="J189" s="439"/>
      <c r="K189" s="23">
        <f>SPWR!H113</f>
        <v>0</v>
      </c>
      <c r="L189" s="23">
        <f>SPWR!I113</f>
        <v>0</v>
      </c>
      <c r="M189" s="23">
        <f>SPWR!J113</f>
        <v>0</v>
      </c>
      <c r="N189" s="23">
        <f>SPWR!K113</f>
        <v>0</v>
      </c>
    </row>
    <row r="190" spans="2:14" outlineLevel="1" x14ac:dyDescent="0.25">
      <c r="B190" s="165"/>
      <c r="C190" s="381" t="s">
        <v>301</v>
      </c>
      <c r="D190" s="48" t="s">
        <v>46</v>
      </c>
      <c r="E190" s="383"/>
      <c r="F190" s="383"/>
      <c r="G190" s="383"/>
      <c r="H190" s="438"/>
      <c r="I190" s="401"/>
      <c r="J190" s="439"/>
      <c r="K190" s="383">
        <f>K141</f>
        <v>9.1110004442893775</v>
      </c>
      <c r="L190" s="383">
        <f t="shared" ref="L190:N190" si="86">L141</f>
        <v>6.5560668986140351</v>
      </c>
      <c r="M190" s="383">
        <f t="shared" si="86"/>
        <v>7.6119560734579927</v>
      </c>
      <c r="N190" s="383">
        <f t="shared" si="86"/>
        <v>4.7122695957137202</v>
      </c>
    </row>
    <row r="191" spans="2:14" outlineLevel="1" x14ac:dyDescent="0.25">
      <c r="B191" s="165"/>
      <c r="C191" s="525" t="s">
        <v>394</v>
      </c>
      <c r="D191" s="460" t="s">
        <v>46</v>
      </c>
      <c r="E191" s="533"/>
      <c r="F191" s="533"/>
      <c r="G191" s="533"/>
      <c r="H191" s="534"/>
      <c r="I191" s="533"/>
      <c r="J191" s="535"/>
      <c r="K191" s="533">
        <f t="shared" ref="K191:N191" si="87">K142</f>
        <v>-7.12</v>
      </c>
      <c r="L191" s="533">
        <f t="shared" si="87"/>
        <v>-7.12</v>
      </c>
      <c r="M191" s="533">
        <f t="shared" si="87"/>
        <v>-7.12</v>
      </c>
      <c r="N191" s="533">
        <f t="shared" si="87"/>
        <v>-7.12</v>
      </c>
    </row>
    <row r="192" spans="2:14" outlineLevel="1" x14ac:dyDescent="0.25">
      <c r="B192" s="165"/>
      <c r="C192" s="24" t="s">
        <v>302</v>
      </c>
      <c r="D192" s="382" t="s">
        <v>46</v>
      </c>
      <c r="E192" s="25"/>
      <c r="F192" s="25"/>
      <c r="G192" s="25"/>
      <c r="H192" s="436"/>
      <c r="I192" s="25"/>
      <c r="J192" s="437"/>
      <c r="K192" s="25">
        <f>SUM(K187:K191)</f>
        <v>104.91991775560044</v>
      </c>
      <c r="L192" s="25">
        <f t="shared" ref="L192:N192" si="88">SUM(L187:L191)</f>
        <v>180.08528976830266</v>
      </c>
      <c r="M192" s="25">
        <f t="shared" si="88"/>
        <v>231.12723442656861</v>
      </c>
      <c r="N192" s="25">
        <f t="shared" si="88"/>
        <v>252.45957027775387</v>
      </c>
    </row>
    <row r="193" spans="2:25" outlineLevel="1" x14ac:dyDescent="0.25">
      <c r="B193" s="165"/>
      <c r="C193" s="164"/>
      <c r="D193" s="164"/>
      <c r="E193" s="164"/>
      <c r="F193" s="164"/>
      <c r="G193" s="164"/>
      <c r="H193" s="528"/>
      <c r="I193" s="164"/>
      <c r="J193" s="529"/>
      <c r="K193" s="164"/>
      <c r="L193" s="164"/>
      <c r="M193" s="164"/>
      <c r="N193" s="164"/>
    </row>
    <row r="194" spans="2:25" outlineLevel="1" x14ac:dyDescent="0.25">
      <c r="B194" s="165"/>
      <c r="C194" s="380" t="s">
        <v>304</v>
      </c>
      <c r="D194" s="48" t="s">
        <v>46</v>
      </c>
      <c r="E194" s="383"/>
      <c r="F194" s="383"/>
      <c r="G194" s="530"/>
      <c r="H194" s="438"/>
      <c r="I194" s="401"/>
      <c r="J194" s="439"/>
      <c r="K194" s="383">
        <f>+J197</f>
        <v>486.99875864979776</v>
      </c>
      <c r="L194" s="383">
        <f t="shared" ref="L194:N194" si="89">+K197</f>
        <v>382.07884089419736</v>
      </c>
      <c r="M194" s="383">
        <f t="shared" si="89"/>
        <v>201.9935511258947</v>
      </c>
      <c r="N194" s="383">
        <f t="shared" si="89"/>
        <v>0</v>
      </c>
    </row>
    <row r="195" spans="2:25" outlineLevel="1" x14ac:dyDescent="0.25">
      <c r="B195" s="165"/>
      <c r="C195" s="381" t="s">
        <v>305</v>
      </c>
      <c r="D195" s="48" t="s">
        <v>46</v>
      </c>
      <c r="E195" s="383"/>
      <c r="F195" s="383"/>
      <c r="G195" s="383"/>
      <c r="H195" s="438"/>
      <c r="I195" s="401"/>
      <c r="J195" s="439"/>
      <c r="K195" s="383">
        <f t="shared" ref="K195:N195" si="90">MAX(0,-K192)</f>
        <v>0</v>
      </c>
      <c r="L195" s="383">
        <f t="shared" si="90"/>
        <v>0</v>
      </c>
      <c r="M195" s="383">
        <f t="shared" si="90"/>
        <v>0</v>
      </c>
      <c r="N195" s="383">
        <f t="shared" si="90"/>
        <v>0</v>
      </c>
    </row>
    <row r="196" spans="2:25" outlineLevel="1" x14ac:dyDescent="0.25">
      <c r="B196" s="165"/>
      <c r="C196" s="381" t="s">
        <v>306</v>
      </c>
      <c r="D196" s="48" t="s">
        <v>46</v>
      </c>
      <c r="E196" s="383"/>
      <c r="F196" s="383"/>
      <c r="G196" s="383"/>
      <c r="H196" s="438"/>
      <c r="I196" s="401"/>
      <c r="J196" s="439"/>
      <c r="K196" s="383">
        <f t="shared" ref="K196:N196" si="91">-MIN(+K194+K195,MAX(K192,0))</f>
        <v>-104.91991775560044</v>
      </c>
      <c r="L196" s="383">
        <f t="shared" si="91"/>
        <v>-180.08528976830266</v>
      </c>
      <c r="M196" s="383">
        <f t="shared" si="91"/>
        <v>-201.9935511258947</v>
      </c>
      <c r="N196" s="383">
        <f t="shared" si="91"/>
        <v>0</v>
      </c>
      <c r="P196" s="788"/>
      <c r="Q196" s="794"/>
      <c r="R196" s="788"/>
      <c r="S196" s="788"/>
      <c r="T196" s="788"/>
      <c r="U196" s="788"/>
      <c r="V196" s="788"/>
      <c r="W196" s="788"/>
      <c r="X196" s="788"/>
      <c r="Y196" s="788"/>
    </row>
    <row r="197" spans="2:25" outlineLevel="1" x14ac:dyDescent="0.25">
      <c r="B197" s="165"/>
      <c r="C197" s="24" t="s">
        <v>307</v>
      </c>
      <c r="D197" s="382" t="s">
        <v>46</v>
      </c>
      <c r="E197" s="25"/>
      <c r="F197" s="25"/>
      <c r="G197" s="531">
        <f>SPWR!G120</f>
        <v>1278.8753837957279</v>
      </c>
      <c r="H197" s="532">
        <v>0</v>
      </c>
      <c r="I197" s="531">
        <f>-MAXN!G89</f>
        <v>-791.87662514593012</v>
      </c>
      <c r="J197" s="437">
        <f>+G197+H197+I197</f>
        <v>486.99875864979776</v>
      </c>
      <c r="K197" s="25">
        <f t="shared" ref="K197:N197" si="92">SUM(K194:K196)</f>
        <v>382.07884089419736</v>
      </c>
      <c r="L197" s="25">
        <f t="shared" si="92"/>
        <v>201.9935511258947</v>
      </c>
      <c r="M197" s="25">
        <f t="shared" si="92"/>
        <v>0</v>
      </c>
      <c r="N197" s="25">
        <f t="shared" si="92"/>
        <v>0</v>
      </c>
    </row>
    <row r="198" spans="2:25" outlineLevel="1" x14ac:dyDescent="0.25">
      <c r="B198" s="165"/>
      <c r="C198" s="164"/>
      <c r="D198" s="164"/>
      <c r="E198" s="164"/>
      <c r="F198" s="164"/>
      <c r="G198" s="164"/>
      <c r="H198" s="528"/>
      <c r="I198" s="164"/>
      <c r="J198" s="529"/>
      <c r="K198" s="164"/>
      <c r="L198" s="164"/>
      <c r="M198" s="164"/>
      <c r="N198" s="164"/>
    </row>
    <row r="199" spans="2:25" outlineLevel="1" x14ac:dyDescent="0.25">
      <c r="B199" s="165"/>
      <c r="C199" s="380" t="s">
        <v>308</v>
      </c>
      <c r="D199" s="48" t="s">
        <v>46</v>
      </c>
      <c r="E199" s="383"/>
      <c r="F199" s="383"/>
      <c r="G199" s="383"/>
      <c r="H199" s="438"/>
      <c r="I199" s="401"/>
      <c r="J199" s="439"/>
      <c r="K199" s="383">
        <f t="shared" ref="K199:N199" si="93">+K192+K196</f>
        <v>0</v>
      </c>
      <c r="L199" s="383">
        <f t="shared" si="93"/>
        <v>0</v>
      </c>
      <c r="M199" s="383">
        <f t="shared" si="93"/>
        <v>29.133683300673908</v>
      </c>
      <c r="N199" s="383">
        <f t="shared" si="93"/>
        <v>252.45957027775387</v>
      </c>
    </row>
    <row r="200" spans="2:25" outlineLevel="1" x14ac:dyDescent="0.25">
      <c r="B200" s="165"/>
      <c r="E200" s="164"/>
      <c r="F200" s="164"/>
      <c r="G200" s="164"/>
      <c r="H200" s="528"/>
      <c r="I200" s="164"/>
      <c r="J200" s="529"/>
      <c r="K200" s="164"/>
      <c r="L200" s="164"/>
      <c r="M200" s="164"/>
      <c r="N200" s="164"/>
    </row>
    <row r="201" spans="2:25" outlineLevel="1" x14ac:dyDescent="0.25">
      <c r="B201" s="165"/>
      <c r="C201" s="380" t="s">
        <v>309</v>
      </c>
      <c r="D201" s="48" t="s">
        <v>46</v>
      </c>
      <c r="E201" s="383"/>
      <c r="F201" s="383"/>
      <c r="G201" s="383"/>
      <c r="H201" s="438"/>
      <c r="I201" s="401"/>
      <c r="J201" s="439"/>
      <c r="K201" s="383">
        <f>-MAX(K199,0)*SPWR!H57</f>
        <v>0</v>
      </c>
      <c r="L201" s="383">
        <f>-MAX(L199,0)*SPWR!I57</f>
        <v>0</v>
      </c>
      <c r="M201" s="383">
        <f>-MAX(M199,0)*SPWR!J57</f>
        <v>-6.4094103261482598</v>
      </c>
      <c r="N201" s="383">
        <f>-MAX(N199,0)*SPWR!K57</f>
        <v>-55.54110546110585</v>
      </c>
    </row>
    <row r="202" spans="2:25" outlineLevel="1" x14ac:dyDescent="0.25">
      <c r="B202" s="165"/>
      <c r="E202" s="164"/>
      <c r="F202" s="164"/>
      <c r="G202" s="164"/>
      <c r="H202" s="528"/>
      <c r="I202" s="164"/>
      <c r="J202" s="529"/>
      <c r="K202" s="164"/>
      <c r="L202" s="164"/>
      <c r="M202" s="164"/>
      <c r="N202" s="164"/>
    </row>
    <row r="203" spans="2:25" outlineLevel="1" x14ac:dyDescent="0.25">
      <c r="B203" s="165"/>
      <c r="C203" s="2" t="s">
        <v>310</v>
      </c>
      <c r="D203" s="48" t="s">
        <v>46</v>
      </c>
      <c r="E203" s="14"/>
      <c r="F203" s="14"/>
      <c r="G203" s="14"/>
      <c r="H203" s="432"/>
      <c r="I203" s="14"/>
      <c r="J203" s="433"/>
      <c r="K203" s="14">
        <f>K201-K67</f>
        <v>14.607095997590296</v>
      </c>
      <c r="L203" s="14">
        <f t="shared" ref="L203:N203" si="94">L201-L67</f>
        <v>30.106984280106587</v>
      </c>
      <c r="M203" s="14">
        <f t="shared" si="94"/>
        <v>32.924468760747942</v>
      </c>
      <c r="N203" s="14">
        <f t="shared" si="94"/>
        <v>-12.804185279596631</v>
      </c>
    </row>
    <row r="204" spans="2:25" x14ac:dyDescent="0.25">
      <c r="B204" s="379"/>
      <c r="C204" s="379"/>
      <c r="D204" s="42"/>
      <c r="E204" s="21"/>
      <c r="G204" s="16"/>
      <c r="H204" s="16"/>
      <c r="I204" s="16"/>
      <c r="J204" s="16"/>
      <c r="K204" s="379"/>
      <c r="L204" s="379"/>
      <c r="M204" s="22"/>
      <c r="N204" s="22"/>
    </row>
    <row r="205" spans="2:25" x14ac:dyDescent="0.25">
      <c r="B205" s="28"/>
      <c r="C205" s="29"/>
      <c r="D205" s="29"/>
      <c r="E205" s="33" t="str">
        <f>$E$35</f>
        <v>Historical:</v>
      </c>
      <c r="F205" s="34"/>
      <c r="G205" s="33" t="str">
        <f>$G$35</f>
        <v>Projected:</v>
      </c>
      <c r="H205" s="415" t="str">
        <f>$H$35</f>
        <v>Transaction Adjustments:</v>
      </c>
      <c r="I205" s="33"/>
      <c r="J205" s="34"/>
      <c r="K205" s="33" t="str">
        <f>$K$35</f>
        <v>Separated Company:</v>
      </c>
      <c r="L205" s="33"/>
      <c r="M205" s="33"/>
      <c r="N205" s="33"/>
    </row>
    <row r="206" spans="2:25" x14ac:dyDescent="0.25">
      <c r="B206" s="30" t="s">
        <v>271</v>
      </c>
      <c r="C206" s="31"/>
      <c r="D206" s="36" t="str">
        <f>SPWR!$D$5</f>
        <v>Units:</v>
      </c>
      <c r="E206" s="32">
        <f>$E$36</f>
        <v>43465</v>
      </c>
      <c r="F206" s="35">
        <f>$F$36</f>
        <v>43830</v>
      </c>
      <c r="G206" s="32">
        <f>$G$36</f>
        <v>44196</v>
      </c>
      <c r="H206" s="416" t="str">
        <f>$H$36</f>
        <v>Debit</v>
      </c>
      <c r="I206" s="32" t="str">
        <f>$I$36</f>
        <v>Credit</v>
      </c>
      <c r="J206" s="35">
        <f>$J$36</f>
        <v>44196</v>
      </c>
      <c r="K206" s="32">
        <f>$K$36</f>
        <v>44561</v>
      </c>
      <c r="L206" s="32">
        <f>$L$36</f>
        <v>44926</v>
      </c>
      <c r="M206" s="32">
        <f>$M$36</f>
        <v>45291</v>
      </c>
      <c r="N206" s="32">
        <f>$N$36</f>
        <v>45657</v>
      </c>
    </row>
    <row r="207" spans="2:25" outlineLevel="1" x14ac:dyDescent="0.25">
      <c r="H207" s="442"/>
      <c r="I207" s="384"/>
      <c r="J207" s="443"/>
    </row>
    <row r="208" spans="2:25" outlineLevel="1" x14ac:dyDescent="0.25">
      <c r="C208" s="16" t="s">
        <v>0</v>
      </c>
      <c r="D208" s="39" t="s">
        <v>46</v>
      </c>
      <c r="E208" s="50">
        <f>E56</f>
        <v>-849.03099999999995</v>
      </c>
      <c r="F208" s="50">
        <f t="shared" ref="F208:G208" si="95">F56</f>
        <v>-98.114999999999782</v>
      </c>
      <c r="G208" s="50">
        <f t="shared" si="95"/>
        <v>-146.18483387002476</v>
      </c>
      <c r="H208" s="446"/>
      <c r="I208" s="50"/>
      <c r="J208" s="447"/>
      <c r="K208" s="50">
        <f t="shared" ref="K208:N208" si="96">K56</f>
        <v>106.13913315657953</v>
      </c>
      <c r="L208" s="50">
        <f t="shared" si="96"/>
        <v>181.40990714102571</v>
      </c>
      <c r="M208" s="50">
        <f t="shared" si="96"/>
        <v>222.84062994833732</v>
      </c>
      <c r="N208" s="50">
        <f t="shared" si="96"/>
        <v>244.44335838777926</v>
      </c>
    </row>
    <row r="209" spans="3:14" outlineLevel="1" x14ac:dyDescent="0.25">
      <c r="C209" s="389" t="s">
        <v>131</v>
      </c>
      <c r="D209" s="39" t="s">
        <v>46</v>
      </c>
      <c r="E209" s="15">
        <f>E139</f>
        <v>118.238</v>
      </c>
      <c r="F209" s="15">
        <f t="shared" ref="F209:G209" si="97">F139</f>
        <v>72.945999999999998</v>
      </c>
      <c r="G209" s="15">
        <f t="shared" si="97"/>
        <v>75.334312609614017</v>
      </c>
      <c r="H209" s="424"/>
      <c r="I209" s="15"/>
      <c r="J209" s="425"/>
      <c r="K209" s="15">
        <f>K139</f>
        <v>36.425141937852203</v>
      </c>
      <c r="L209" s="15">
        <f t="shared" ref="L209:M209" si="98">L139</f>
        <v>38.074685547172223</v>
      </c>
      <c r="M209" s="15">
        <f t="shared" si="98"/>
        <v>40.585827459552974</v>
      </c>
      <c r="N209" s="15">
        <f t="shared" ref="N209" si="99">N139</f>
        <v>39.298664408173948</v>
      </c>
    </row>
    <row r="210" spans="3:14" outlineLevel="1" x14ac:dyDescent="0.25">
      <c r="C210" s="525" t="s">
        <v>393</v>
      </c>
      <c r="D210" s="460" t="s">
        <v>46</v>
      </c>
      <c r="E210" s="83">
        <f t="shared" ref="E210:G210" si="100">E140</f>
        <v>0</v>
      </c>
      <c r="F210" s="83">
        <f t="shared" si="100"/>
        <v>0</v>
      </c>
      <c r="G210" s="83">
        <f t="shared" si="100"/>
        <v>0</v>
      </c>
      <c r="H210" s="462"/>
      <c r="I210" s="461"/>
      <c r="J210" s="463"/>
      <c r="K210" s="83">
        <f t="shared" ref="K210:M210" si="101">K140</f>
        <v>-2.6539999999999999</v>
      </c>
      <c r="L210" s="83">
        <f t="shared" si="101"/>
        <v>-2.6539999999999999</v>
      </c>
      <c r="M210" s="83">
        <f t="shared" si="101"/>
        <v>-2.6539999999999999</v>
      </c>
      <c r="N210" s="83">
        <f t="shared" ref="N210" si="102">N140</f>
        <v>-2.6539999999999999</v>
      </c>
    </row>
    <row r="211" spans="3:14" outlineLevel="1" x14ac:dyDescent="0.25">
      <c r="C211" s="389" t="s">
        <v>145</v>
      </c>
      <c r="D211" s="39" t="s">
        <v>46</v>
      </c>
      <c r="E211" s="15">
        <f t="shared" ref="E211:G211" si="103">E141</f>
        <v>8.9659999999999993</v>
      </c>
      <c r="F211" s="15">
        <f t="shared" si="103"/>
        <v>7.1349999999999998</v>
      </c>
      <c r="G211" s="15">
        <f t="shared" si="103"/>
        <v>6.9753993157050012</v>
      </c>
      <c r="H211" s="424"/>
      <c r="I211" s="15"/>
      <c r="J211" s="425"/>
      <c r="K211" s="15">
        <f t="shared" ref="K211:M211" si="104">K141</f>
        <v>9.1110004442893775</v>
      </c>
      <c r="L211" s="15">
        <f t="shared" si="104"/>
        <v>6.5560668986140351</v>
      </c>
      <c r="M211" s="15">
        <f t="shared" si="104"/>
        <v>7.6119560734579927</v>
      </c>
      <c r="N211" s="15">
        <f t="shared" ref="N211" si="105">N141</f>
        <v>4.7122695957137202</v>
      </c>
    </row>
    <row r="212" spans="3:14" outlineLevel="1" x14ac:dyDescent="0.25">
      <c r="C212" s="525" t="s">
        <v>394</v>
      </c>
      <c r="D212" s="460" t="s">
        <v>46</v>
      </c>
      <c r="E212" s="533">
        <f t="shared" ref="E212:G212" si="106">E142</f>
        <v>0</v>
      </c>
      <c r="F212" s="533">
        <f t="shared" si="106"/>
        <v>0</v>
      </c>
      <c r="G212" s="533">
        <f t="shared" si="106"/>
        <v>0</v>
      </c>
      <c r="H212" s="534"/>
      <c r="I212" s="533"/>
      <c r="J212" s="535"/>
      <c r="K212" s="533">
        <f t="shared" ref="K212:M212" si="107">K142</f>
        <v>-7.12</v>
      </c>
      <c r="L212" s="533">
        <f t="shared" si="107"/>
        <v>-7.12</v>
      </c>
      <c r="M212" s="533">
        <f t="shared" si="107"/>
        <v>-7.12</v>
      </c>
      <c r="N212" s="533">
        <f t="shared" ref="N212" si="108">N142</f>
        <v>-7.12</v>
      </c>
    </row>
    <row r="213" spans="3:14" outlineLevel="1" x14ac:dyDescent="0.25">
      <c r="C213" s="389" t="s">
        <v>278</v>
      </c>
      <c r="D213" s="58" t="s">
        <v>46</v>
      </c>
      <c r="E213" s="15">
        <f>-SPWR!E144</f>
        <v>192.637</v>
      </c>
      <c r="F213" s="15">
        <f>-SPWR!F144</f>
        <v>-118.048</v>
      </c>
      <c r="G213" s="15">
        <f>-SPWR!G144</f>
        <v>0</v>
      </c>
      <c r="H213" s="424"/>
      <c r="I213" s="15"/>
      <c r="J213" s="425"/>
      <c r="K213" s="15">
        <f>-SPWR!K144</f>
        <v>0</v>
      </c>
      <c r="L213" s="15">
        <f>-SPWR!L144</f>
        <v>0</v>
      </c>
      <c r="M213" s="15">
        <f>-SPWR!M144</f>
        <v>0</v>
      </c>
      <c r="N213" s="15">
        <f>-SPWR!N144</f>
        <v>0</v>
      </c>
    </row>
    <row r="214" spans="3:14" outlineLevel="1" x14ac:dyDescent="0.25">
      <c r="C214" s="24" t="s">
        <v>20</v>
      </c>
      <c r="D214" s="39" t="s">
        <v>46</v>
      </c>
      <c r="E214" s="25">
        <f>SUM(E208:E213)</f>
        <v>-529.18999999999983</v>
      </c>
      <c r="F214" s="25">
        <f t="shared" ref="F214:G214" si="109">SUM(F208:F213)</f>
        <v>-136.08199999999979</v>
      </c>
      <c r="G214" s="25">
        <f t="shared" si="109"/>
        <v>-63.875121944705739</v>
      </c>
      <c r="H214" s="436"/>
      <c r="I214" s="25"/>
      <c r="J214" s="437"/>
      <c r="K214" s="25">
        <f>SUM(K208:K213)</f>
        <v>141.90127553872111</v>
      </c>
      <c r="L214" s="25">
        <f t="shared" ref="L214" si="110">SUM(L208:L213)</f>
        <v>216.26665958681198</v>
      </c>
      <c r="M214" s="25">
        <f t="shared" ref="M214:N214" si="111">SUM(M208:M213)</f>
        <v>261.2644134813483</v>
      </c>
      <c r="N214" s="25">
        <f t="shared" si="111"/>
        <v>278.68029239166691</v>
      </c>
    </row>
    <row r="215" spans="3:14" outlineLevel="1" x14ac:dyDescent="0.25">
      <c r="F215" s="383"/>
      <c r="G215" s="383"/>
      <c r="H215" s="438"/>
      <c r="I215" s="401"/>
      <c r="J215" s="439"/>
      <c r="K215" s="383"/>
      <c r="L215" s="383"/>
      <c r="M215" s="383"/>
      <c r="N215" s="383"/>
    </row>
    <row r="216" spans="3:14" outlineLevel="1" x14ac:dyDescent="0.25">
      <c r="C216" s="26" t="s">
        <v>15</v>
      </c>
      <c r="D216" s="37" t="s">
        <v>32</v>
      </c>
      <c r="E216" s="536">
        <f>SPWR!E261</f>
        <v>-0.32379338713468619</v>
      </c>
      <c r="F216" s="536">
        <f>SPWR!F261</f>
        <v>8.0030821193626256E-2</v>
      </c>
      <c r="G216" s="536">
        <f>SPWR!G261</f>
        <v>-0.2516569281385026</v>
      </c>
      <c r="H216" s="475"/>
      <c r="I216" s="27"/>
      <c r="J216" s="476"/>
      <c r="K216" s="27">
        <f>IFERROR(K40/G40-1,"N/A")</f>
        <v>1.9387829090438125E-3</v>
      </c>
      <c r="L216" s="27">
        <f>IFERROR(L40/K40-1,"N/A")</f>
        <v>0.17258174188063236</v>
      </c>
      <c r="M216" s="27">
        <f t="shared" ref="M216:N216" si="112">IFERROR(M40/L40-1,"N/A")</f>
        <v>0.16105527767985039</v>
      </c>
      <c r="N216" s="27">
        <f t="shared" si="112"/>
        <v>0.15495627091582032</v>
      </c>
    </row>
    <row r="217" spans="3:14" outlineLevel="1" x14ac:dyDescent="0.25">
      <c r="C217" s="26" t="s">
        <v>294</v>
      </c>
      <c r="D217" s="37" t="s">
        <v>32</v>
      </c>
      <c r="E217" s="27">
        <f>E46/E40</f>
        <v>-0.17211261322588395</v>
      </c>
      <c r="F217" s="27">
        <f t="shared" ref="F217:G217" si="113">F46/F40</f>
        <v>6.7537448537596148E-2</v>
      </c>
      <c r="G217" s="27">
        <f t="shared" si="113"/>
        <v>0.11021400334681061</v>
      </c>
      <c r="H217" s="475"/>
      <c r="I217" s="27"/>
      <c r="J217" s="476"/>
      <c r="K217" s="27">
        <f>K46/K40</f>
        <v>0.18263619846525733</v>
      </c>
      <c r="L217" s="27">
        <f t="shared" ref="L217:M217" si="114">L46/L40</f>
        <v>0.19970710291792623</v>
      </c>
      <c r="M217" s="27">
        <f t="shared" si="114"/>
        <v>0.21290638933931127</v>
      </c>
      <c r="N217" s="27">
        <f t="shared" ref="N217" si="115">N46/N40</f>
        <v>0.22408842951624811</v>
      </c>
    </row>
    <row r="218" spans="3:14" outlineLevel="1" x14ac:dyDescent="0.25">
      <c r="C218" s="26" t="s">
        <v>16</v>
      </c>
      <c r="D218" s="37" t="s">
        <v>32</v>
      </c>
      <c r="E218" s="27">
        <f>E208/E40</f>
        <v>-0.49188249709602944</v>
      </c>
      <c r="F218" s="27">
        <f t="shared" ref="F218:G218" si="116">F208/F40</f>
        <v>-5.2630449650658995E-2</v>
      </c>
      <c r="G218" s="27">
        <f t="shared" si="116"/>
        <v>-0.10478599665318938</v>
      </c>
      <c r="H218" s="475"/>
      <c r="I218" s="27"/>
      <c r="J218" s="476"/>
      <c r="K218" s="27">
        <f>K208/K40</f>
        <v>7.5933825302943639E-2</v>
      </c>
      <c r="L218" s="27">
        <f t="shared" ref="L218:M218" si="117">L208/L40</f>
        <v>0.11068215742543819</v>
      </c>
      <c r="M218" s="27">
        <f t="shared" si="117"/>
        <v>0.11710032364761364</v>
      </c>
      <c r="N218" s="27">
        <f t="shared" ref="N218" si="118">N208/N40</f>
        <v>0.11121834251213591</v>
      </c>
    </row>
    <row r="219" spans="3:14" outlineLevel="1" x14ac:dyDescent="0.25">
      <c r="C219" s="26" t="s">
        <v>17</v>
      </c>
      <c r="D219" s="37" t="s">
        <v>32</v>
      </c>
      <c r="E219" s="27">
        <f>E214/E40</f>
        <v>-0.3065839747173516</v>
      </c>
      <c r="F219" s="27">
        <f t="shared" ref="F219:G219" si="119">F214/F40</f>
        <v>-7.2996553527605187E-2</v>
      </c>
      <c r="G219" s="27">
        <f t="shared" si="119"/>
        <v>-4.578599665318938E-2</v>
      </c>
      <c r="H219" s="475"/>
      <c r="I219" s="27"/>
      <c r="J219" s="476"/>
      <c r="K219" s="27">
        <f>K214/K40</f>
        <v>0.1015186985852463</v>
      </c>
      <c r="L219" s="27">
        <f t="shared" ref="L219:M219" si="120">L214/L40</f>
        <v>0.13194902549425247</v>
      </c>
      <c r="M219" s="27">
        <f t="shared" si="120"/>
        <v>0.13729160334613436</v>
      </c>
      <c r="N219" s="27">
        <f t="shared" ref="N219" si="121">N214/N40</f>
        <v>0.12679567330043739</v>
      </c>
    </row>
    <row r="220" spans="3:14" outlineLevel="1" x14ac:dyDescent="0.25">
      <c r="C220" s="26" t="s">
        <v>18</v>
      </c>
      <c r="D220" s="37" t="s">
        <v>32</v>
      </c>
      <c r="E220" s="27">
        <f>E74/E40</f>
        <v>-0.46990211953640754</v>
      </c>
      <c r="F220" s="27">
        <f t="shared" ref="F220:G220" si="122">F74/F40</f>
        <v>1.1886440746154681E-2</v>
      </c>
      <c r="G220" s="27">
        <f t="shared" si="122"/>
        <v>-0.10702436883640586</v>
      </c>
      <c r="H220" s="475"/>
      <c r="I220" s="27"/>
      <c r="J220" s="476"/>
      <c r="K220" s="27">
        <f>K74/K40</f>
        <v>3.7050625793474089E-2</v>
      </c>
      <c r="L220" s="27">
        <f t="shared" ref="L220:M220" si="123">L74/L40</f>
        <v>6.4516086184652391E-2</v>
      </c>
      <c r="M220" s="27">
        <f t="shared" si="123"/>
        <v>7.2757372251149616E-2</v>
      </c>
      <c r="N220" s="27">
        <f t="shared" ref="N220" si="124">N74/N40</f>
        <v>6.9395310166254304E-2</v>
      </c>
    </row>
    <row r="221" spans="3:14" outlineLevel="1" x14ac:dyDescent="0.25">
      <c r="D221" s="26"/>
      <c r="H221" s="444"/>
      <c r="I221" s="379"/>
      <c r="J221" s="445"/>
    </row>
    <row r="222" spans="3:14" outlineLevel="1" x14ac:dyDescent="0.25">
      <c r="C222" s="26" t="s">
        <v>19</v>
      </c>
      <c r="D222" s="37" t="s">
        <v>32</v>
      </c>
      <c r="E222" s="27">
        <f>-E67/E65</f>
        <v>-1.1238818210446316E-3</v>
      </c>
      <c r="F222" s="27">
        <f t="shared" ref="F222:G222" si="125">-F67/F65</f>
        <v>1.0255314232901949</v>
      </c>
      <c r="G222" s="27">
        <f t="shared" si="125"/>
        <v>0.22</v>
      </c>
      <c r="H222" s="475"/>
      <c r="I222" s="27"/>
      <c r="J222" s="476"/>
      <c r="K222" s="27">
        <f>-K67/K65</f>
        <v>0.22</v>
      </c>
      <c r="L222" s="27">
        <f t="shared" ref="L222:M222" si="126">-L67/L65</f>
        <v>0.22</v>
      </c>
      <c r="M222" s="27">
        <f t="shared" si="126"/>
        <v>0.22</v>
      </c>
      <c r="N222" s="27">
        <f t="shared" ref="N222" si="127">-N67/N65</f>
        <v>0.22000000000000003</v>
      </c>
    </row>
    <row r="223" spans="3:14" outlineLevel="1" x14ac:dyDescent="0.25">
      <c r="D223" s="26"/>
      <c r="H223" s="444"/>
      <c r="I223" s="379"/>
      <c r="J223" s="445"/>
    </row>
    <row r="224" spans="3:14" outlineLevel="1" x14ac:dyDescent="0.25">
      <c r="C224" s="26" t="s">
        <v>130</v>
      </c>
      <c r="D224" s="37" t="s">
        <v>32</v>
      </c>
      <c r="E224" s="27">
        <f>-SUM(E139:E140)/E44</f>
        <v>5.8442065554680143E-2</v>
      </c>
      <c r="F224" s="27">
        <f t="shared" ref="F224:G224" si="128">-SUM(F139:F140)/F44</f>
        <v>4.1963504993326885E-2</v>
      </c>
      <c r="G224" s="27">
        <f t="shared" si="128"/>
        <v>6.0688750107457022E-2</v>
      </c>
      <c r="H224" s="475"/>
      <c r="I224" s="27"/>
      <c r="J224" s="476"/>
      <c r="K224" s="27">
        <f>-SUM(K139:K140)/K44</f>
        <v>2.9559023871827704E-2</v>
      </c>
      <c r="L224" s="27">
        <f t="shared" ref="L224:M224" si="129">-SUM(L139:L140)/L44</f>
        <v>2.7003783344231751E-2</v>
      </c>
      <c r="M224" s="27">
        <f t="shared" si="129"/>
        <v>2.5324512701908858E-2</v>
      </c>
      <c r="N224" s="27">
        <f t="shared" ref="N224" si="130">-SUM(N139:N140)/N44</f>
        <v>2.1488034731399808E-2</v>
      </c>
    </row>
    <row r="225" spans="3:14" outlineLevel="1" x14ac:dyDescent="0.25">
      <c r="C225" s="26" t="s">
        <v>21</v>
      </c>
      <c r="D225" s="37" t="s">
        <v>32</v>
      </c>
      <c r="E225" s="27">
        <f>-E160/E40</f>
        <v>2.6016100018249388E-2</v>
      </c>
      <c r="F225" s="27">
        <f t="shared" ref="F225:G225" si="131">-F160/F40</f>
        <v>2.5423433330204238E-2</v>
      </c>
      <c r="G225" s="27">
        <f t="shared" si="131"/>
        <v>6.3E-2</v>
      </c>
      <c r="H225" s="475"/>
      <c r="I225" s="27"/>
      <c r="J225" s="476"/>
      <c r="K225" s="27">
        <f>-K160/K40</f>
        <v>2.6260028066143654E-2</v>
      </c>
      <c r="L225" s="27">
        <f t="shared" ref="L225:M225" si="132">-L160/L40</f>
        <v>3.0810971053585139E-2</v>
      </c>
      <c r="M225" s="27">
        <f t="shared" si="132"/>
        <v>2.4991115346346567E-2</v>
      </c>
      <c r="N225" s="27">
        <f t="shared" ref="N225" si="133">-N160/N40</f>
        <v>2.3600435021250126E-2</v>
      </c>
    </row>
    <row r="226" spans="3:14" outlineLevel="1" x14ac:dyDescent="0.25">
      <c r="H226" s="444"/>
      <c r="I226" s="379"/>
      <c r="J226" s="445"/>
    </row>
    <row r="227" spans="3:14" outlineLevel="1" x14ac:dyDescent="0.25">
      <c r="C227" s="26" t="s">
        <v>211</v>
      </c>
      <c r="D227" s="37" t="s">
        <v>32</v>
      </c>
      <c r="E227" s="27">
        <f>SUM(E141:E142)/E40</f>
        <v>5.1944139483281523E-3</v>
      </c>
      <c r="F227" s="27">
        <f t="shared" ref="F227:G227" si="134">SUM(F141:F142)/F40</f>
        <v>3.8273277099062602E-3</v>
      </c>
      <c r="G227" s="27">
        <f t="shared" si="134"/>
        <v>5.0000000000000001E-3</v>
      </c>
      <c r="H227" s="475"/>
      <c r="I227" s="27"/>
      <c r="J227" s="476"/>
      <c r="K227" s="27">
        <f>SUM(K141:K142)/K40</f>
        <v>1.4243971607693585E-3</v>
      </c>
      <c r="L227" s="27">
        <f t="shared" ref="L227:N227" si="135">SUM(L141:L142)/L40</f>
        <v>-3.4406793591760425E-4</v>
      </c>
      <c r="M227" s="27">
        <f t="shared" si="135"/>
        <v>2.5851755775280221E-4</v>
      </c>
      <c r="N227" s="27">
        <f t="shared" si="135"/>
        <v>-1.0954839867483288E-3</v>
      </c>
    </row>
    <row r="228" spans="3:14" outlineLevel="1" x14ac:dyDescent="0.25">
      <c r="C228" s="26" t="s">
        <v>210</v>
      </c>
      <c r="D228" s="37" t="s">
        <v>32</v>
      </c>
      <c r="E228" s="27">
        <f>-E162/E40</f>
        <v>9.8488776624557888E-3</v>
      </c>
      <c r="F228" s="27">
        <f t="shared" ref="F228:G228" si="136">-F162/F40</f>
        <v>0</v>
      </c>
      <c r="G228" s="27">
        <f t="shared" si="136"/>
        <v>6.000000000000001E-3</v>
      </c>
      <c r="H228" s="475"/>
      <c r="I228" s="27"/>
      <c r="J228" s="476"/>
      <c r="K228" s="27">
        <f>-K162/K40</f>
        <v>7.0000000000000019E-3</v>
      </c>
      <c r="L228" s="27">
        <f t="shared" ref="L228:M228" si="137">-L162/L40</f>
        <v>8.0000000000000002E-3</v>
      </c>
      <c r="M228" s="27">
        <f t="shared" si="137"/>
        <v>8.1663705115448855E-3</v>
      </c>
      <c r="N228" s="27">
        <f t="shared" ref="N228" si="138">-N162/N40</f>
        <v>1.0000000000000002E-2</v>
      </c>
    </row>
    <row r="229" spans="3:14" outlineLevel="1" x14ac:dyDescent="0.25">
      <c r="H229" s="444"/>
      <c r="I229" s="379"/>
      <c r="J229" s="445"/>
    </row>
    <row r="230" spans="3:14" outlineLevel="1" x14ac:dyDescent="0.25">
      <c r="C230" s="539" t="s">
        <v>401</v>
      </c>
      <c r="D230" s="540" t="s">
        <v>46</v>
      </c>
      <c r="E230" s="15">
        <f>+E121+E114</f>
        <v>690.26199999999994</v>
      </c>
      <c r="F230" s="15">
        <f t="shared" ref="F230:G230" si="139">+F121+F114</f>
        <v>1049.105</v>
      </c>
      <c r="G230" s="15">
        <f t="shared" si="139"/>
        <v>1094.2265105046947</v>
      </c>
      <c r="H230" s="541"/>
      <c r="I230" s="542"/>
      <c r="J230" s="425">
        <f t="shared" ref="J230" si="140">+J121+J114</f>
        <v>789.50545663493278</v>
      </c>
      <c r="K230" s="15">
        <f t="shared" ref="K230:N230" si="141">+K121+K114</f>
        <v>914.12574144930079</v>
      </c>
      <c r="L230" s="15">
        <f t="shared" si="141"/>
        <v>1009.7726243548971</v>
      </c>
      <c r="M230" s="15">
        <f t="shared" si="141"/>
        <v>1217.9725653661706</v>
      </c>
      <c r="N230" s="15">
        <f t="shared" si="141"/>
        <v>1359.6562330073878</v>
      </c>
    </row>
    <row r="231" spans="3:14" outlineLevel="1" x14ac:dyDescent="0.25">
      <c r="C231" s="539" t="s">
        <v>399</v>
      </c>
      <c r="D231" s="540" t="s">
        <v>46</v>
      </c>
      <c r="E231" s="15">
        <f>E208*(1-E222)</f>
        <v>-849.98521050640329</v>
      </c>
      <c r="F231" s="15">
        <f t="shared" ref="F231:G231" si="142">F208*(1-F222)</f>
        <v>2.5050155961174636</v>
      </c>
      <c r="G231" s="15">
        <f t="shared" si="142"/>
        <v>-114.02417041861932</v>
      </c>
      <c r="H231" s="541"/>
      <c r="I231" s="542"/>
      <c r="J231" s="425"/>
      <c r="K231" s="15">
        <f t="shared" ref="K231:N231" si="143">K208*(1-K222)</f>
        <v>82.788523862132038</v>
      </c>
      <c r="L231" s="15">
        <f t="shared" si="143"/>
        <v>141.49972757000006</v>
      </c>
      <c r="M231" s="15">
        <f t="shared" si="143"/>
        <v>173.81569135970312</v>
      </c>
      <c r="N231" s="15">
        <f t="shared" si="143"/>
        <v>190.66581954246783</v>
      </c>
    </row>
    <row r="232" spans="3:14" outlineLevel="1" x14ac:dyDescent="0.25">
      <c r="C232" s="26" t="s">
        <v>400</v>
      </c>
      <c r="D232" s="37" t="s">
        <v>32</v>
      </c>
      <c r="E232" s="27">
        <f>+E231/AVERAGE(588.209+1248.3+299.7,E230)</f>
        <v>-0.60144626320694849</v>
      </c>
      <c r="F232" s="27">
        <f>+F231/AVERAGE(E230,F230)</f>
        <v>2.8803761323716775E-3</v>
      </c>
      <c r="G232" s="27">
        <f>+G231/AVERAGE(F230,G230)</f>
        <v>-0.10639900534264043</v>
      </c>
      <c r="H232" s="537"/>
      <c r="I232" s="538"/>
      <c r="J232" s="476"/>
      <c r="K232" s="27">
        <f>+K231/AVERAGE(J230,K230)</f>
        <v>9.7190664217970818E-2</v>
      </c>
      <c r="L232" s="27">
        <f t="shared" ref="L232:N232" si="144">+L231/AVERAGE(K230,L230)</f>
        <v>0.14709688420661718</v>
      </c>
      <c r="M232" s="27">
        <f t="shared" si="144"/>
        <v>0.15604629484709273</v>
      </c>
      <c r="N232" s="27">
        <f t="shared" si="144"/>
        <v>0.14793892717428891</v>
      </c>
    </row>
  </sheetData>
  <pageMargins left="0.7" right="0.7" top="0.75" bottom="0.75" header="0.3" footer="0.3"/>
  <pageSetup scale="40" orientation="portrait" horizontalDpi="300" verticalDpi="300" r:id="rId1"/>
  <rowBreaks count="4" manualBreakCount="4">
    <brk id="34" max="15" man="1"/>
    <brk id="86" max="15" man="1"/>
    <brk id="128" max="15" man="1"/>
    <brk id="183" max="15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7AF-9C7C-444C-9BFB-63859E99C5E4}">
  <sheetPr>
    <pageSetUpPr autoPageBreaks="0"/>
  </sheetPr>
  <dimension ref="A2:AB246"/>
  <sheetViews>
    <sheetView showGridLines="0" topLeftCell="A26" zoomScaleNormal="100" zoomScaleSheetLayoutView="55" workbookViewId="0">
      <selection activeCell="J44" sqref="J44"/>
    </sheetView>
  </sheetViews>
  <sheetFormatPr defaultRowHeight="15.75" outlineLevelRow="1" outlineLevelCol="1" x14ac:dyDescent="0.25"/>
  <cols>
    <col min="1" max="2" width="2.5703125" style="165" customWidth="1"/>
    <col min="3" max="3" width="52" style="165" bestFit="1" customWidth="1"/>
    <col min="4" max="6" width="12.7109375" style="165" customWidth="1" outlineLevel="1"/>
    <col min="7" max="14" width="12.7109375" style="165" customWidth="1"/>
    <col min="15" max="16" width="2.5703125" style="165" customWidth="1"/>
    <col min="17" max="25" width="12.7109375" style="165" customWidth="1"/>
    <col min="26" max="16384" width="9.140625" style="165"/>
  </cols>
  <sheetData>
    <row r="2" spans="2:28" ht="18.75" x14ac:dyDescent="0.3">
      <c r="B2" s="147" t="str">
        <f>Parent_Name&amp;"'s Spinoff of "&amp;Sub_Name&amp;" - Adjusted Statements of "&amp;Sub_Name</f>
        <v>SunPower Corporation's Spinoff of Maxeon Solar Technologies, Ltd. - Adjusted Statements of Maxeon Solar Technologies, Ltd.</v>
      </c>
    </row>
    <row r="3" spans="2:28" x14ac:dyDescent="0.25">
      <c r="B3" s="391" t="str">
        <f>SPWR!$B$3</f>
        <v>($ USD in Millions Except for Per-Share Figures and Other Per-Unit Data)</v>
      </c>
      <c r="P3" s="774"/>
      <c r="Q3" s="774"/>
      <c r="R3" s="774"/>
      <c r="S3" s="774"/>
      <c r="T3" s="774"/>
      <c r="U3" s="774"/>
      <c r="V3" s="774"/>
      <c r="W3" s="774"/>
      <c r="X3" s="774"/>
      <c r="Y3" s="774"/>
    </row>
    <row r="4" spans="2:28" x14ac:dyDescent="0.25">
      <c r="P4" s="774"/>
      <c r="Q4" s="774"/>
      <c r="R4" s="774"/>
      <c r="S4" s="774"/>
      <c r="T4" s="774"/>
      <c r="U4" s="774"/>
      <c r="V4" s="774"/>
      <c r="W4" s="774"/>
      <c r="X4" s="774"/>
      <c r="Y4" s="774"/>
    </row>
    <row r="5" spans="2:28" x14ac:dyDescent="0.25">
      <c r="B5" s="1" t="s">
        <v>53</v>
      </c>
      <c r="C5" s="1"/>
      <c r="D5" s="36" t="str">
        <f>SPWR!$D$5</f>
        <v>Units:</v>
      </c>
      <c r="E5" s="36"/>
      <c r="F5" s="36"/>
      <c r="G5" s="36"/>
      <c r="H5" s="36"/>
      <c r="I5" s="36"/>
      <c r="J5" s="36" t="str">
        <f>SPWR!$D$5</f>
        <v>Units:</v>
      </c>
      <c r="K5" s="36"/>
      <c r="L5" s="36"/>
      <c r="M5" s="36"/>
      <c r="N5" s="36"/>
      <c r="P5" s="775"/>
      <c r="Q5" s="776"/>
      <c r="R5" s="776"/>
      <c r="S5" s="776"/>
      <c r="T5" s="776"/>
      <c r="U5" s="776"/>
      <c r="V5" s="776"/>
      <c r="W5" s="776"/>
      <c r="X5" s="776"/>
      <c r="Y5" s="776"/>
      <c r="Z5" s="773"/>
      <c r="AA5" s="773"/>
      <c r="AB5" s="773"/>
    </row>
    <row r="6" spans="2:28" outlineLevel="1" x14ac:dyDescent="0.25">
      <c r="P6" s="774"/>
      <c r="Q6" s="774"/>
      <c r="R6" s="774"/>
      <c r="S6" s="774"/>
      <c r="T6" s="774"/>
      <c r="U6" s="774"/>
      <c r="V6" s="774"/>
      <c r="W6" s="774"/>
      <c r="X6" s="774"/>
      <c r="Y6" s="774"/>
      <c r="Z6" s="774"/>
      <c r="AA6" s="773"/>
      <c r="AB6" s="773"/>
    </row>
    <row r="7" spans="2:28" outlineLevel="1" x14ac:dyDescent="0.25">
      <c r="C7" s="164" t="s">
        <v>148</v>
      </c>
      <c r="D7" s="39" t="s">
        <v>97</v>
      </c>
      <c r="E7" s="413">
        <v>44196</v>
      </c>
      <c r="G7" s="701" t="s">
        <v>484</v>
      </c>
      <c r="J7" s="37" t="s">
        <v>46</v>
      </c>
      <c r="K7" s="514">
        <v>100</v>
      </c>
      <c r="P7" s="774"/>
      <c r="Q7" s="774"/>
      <c r="R7" s="774"/>
      <c r="S7" s="774"/>
      <c r="T7" s="774"/>
      <c r="U7" s="774"/>
      <c r="V7" s="774"/>
      <c r="W7" s="774"/>
      <c r="X7" s="774"/>
      <c r="Y7" s="774"/>
      <c r="Z7" s="774"/>
      <c r="AA7" s="773"/>
      <c r="AB7" s="773"/>
    </row>
    <row r="8" spans="2:28" outlineLevel="1" x14ac:dyDescent="0.25">
      <c r="C8" s="165" t="s">
        <v>214</v>
      </c>
      <c r="D8" s="39" t="s">
        <v>97</v>
      </c>
      <c r="E8" s="413">
        <v>43861</v>
      </c>
      <c r="G8" s="605" t="s">
        <v>455</v>
      </c>
      <c r="J8" s="37" t="s">
        <v>46</v>
      </c>
      <c r="K8" s="154">
        <v>10</v>
      </c>
      <c r="P8" s="774"/>
      <c r="Q8" s="774"/>
      <c r="R8" s="774"/>
      <c r="S8" s="774"/>
      <c r="T8" s="774"/>
      <c r="U8" s="774"/>
      <c r="V8" s="774"/>
      <c r="W8" s="774"/>
      <c r="X8" s="774"/>
      <c r="Y8" s="774"/>
      <c r="Z8" s="774"/>
      <c r="AA8" s="773"/>
      <c r="AB8" s="773"/>
    </row>
    <row r="9" spans="2:28" outlineLevel="1" x14ac:dyDescent="0.25">
      <c r="C9" s="379"/>
      <c r="D9" s="379"/>
      <c r="E9" s="55"/>
      <c r="G9" s="539" t="s">
        <v>411</v>
      </c>
      <c r="J9" s="556" t="s">
        <v>32</v>
      </c>
      <c r="K9" s="557">
        <v>4.7500000000000001E-2</v>
      </c>
      <c r="P9" s="774"/>
      <c r="Q9" s="774"/>
      <c r="R9" s="774"/>
      <c r="S9" s="774"/>
      <c r="T9" s="774"/>
      <c r="U9" s="774"/>
      <c r="V9" s="774"/>
      <c r="W9" s="774"/>
      <c r="X9" s="774"/>
      <c r="Y9" s="774"/>
      <c r="Z9" s="774"/>
      <c r="AA9" s="773"/>
      <c r="AB9" s="773"/>
    </row>
    <row r="10" spans="2:28" outlineLevel="1" x14ac:dyDescent="0.25">
      <c r="C10" s="409" t="s">
        <v>328</v>
      </c>
      <c r="D10" s="39" t="s">
        <v>119</v>
      </c>
      <c r="E10" s="176">
        <v>0.125</v>
      </c>
      <c r="G10" s="539" t="s">
        <v>412</v>
      </c>
      <c r="J10" s="556" t="s">
        <v>32</v>
      </c>
      <c r="K10" s="148">
        <v>1.4999999999999999E-2</v>
      </c>
      <c r="P10" s="774"/>
      <c r="Q10" s="774"/>
      <c r="R10" s="774"/>
      <c r="S10" s="774"/>
      <c r="T10" s="774"/>
      <c r="U10" s="774"/>
      <c r="V10" s="774"/>
      <c r="W10" s="774"/>
      <c r="X10" s="774"/>
      <c r="Y10" s="774"/>
      <c r="Z10" s="774"/>
      <c r="AA10" s="773"/>
      <c r="AB10" s="773"/>
    </row>
    <row r="11" spans="2:28" outlineLevel="1" x14ac:dyDescent="0.25">
      <c r="C11" s="754" t="s">
        <v>523</v>
      </c>
      <c r="D11" s="48" t="s">
        <v>125</v>
      </c>
      <c r="E11" s="345">
        <f>Parent_Diluted_Shares*Distr_Ratio</f>
        <v>22.215063874999998</v>
      </c>
      <c r="G11" s="539" t="s">
        <v>413</v>
      </c>
      <c r="J11" s="556" t="s">
        <v>32</v>
      </c>
      <c r="K11" s="148">
        <v>1.4999999999999999E-2</v>
      </c>
      <c r="P11" s="774"/>
      <c r="Q11" s="774"/>
      <c r="R11" s="774"/>
      <c r="S11" s="774"/>
      <c r="T11" s="774"/>
      <c r="U11" s="774"/>
      <c r="V11" s="774"/>
      <c r="W11" s="774"/>
      <c r="X11" s="774"/>
      <c r="Y11" s="774"/>
      <c r="Z11" s="774"/>
      <c r="AA11" s="773"/>
      <c r="AB11" s="773"/>
    </row>
    <row r="12" spans="2:28" outlineLevel="1" x14ac:dyDescent="0.25">
      <c r="C12" s="756" t="s">
        <v>524</v>
      </c>
      <c r="D12" s="48" t="s">
        <v>120</v>
      </c>
      <c r="E12" s="3">
        <v>32.4</v>
      </c>
      <c r="G12" s="539" t="s">
        <v>414</v>
      </c>
      <c r="J12" s="39" t="s">
        <v>97</v>
      </c>
      <c r="K12" s="606">
        <f>EOMONTH(Close_Date,12*5)</f>
        <v>46022</v>
      </c>
      <c r="P12" s="774"/>
      <c r="Q12" s="774"/>
      <c r="R12" s="774"/>
      <c r="S12" s="774"/>
      <c r="T12" s="774"/>
      <c r="U12" s="774"/>
      <c r="V12" s="774"/>
      <c r="W12" s="774"/>
      <c r="X12" s="774"/>
      <c r="Y12" s="774"/>
      <c r="Z12" s="774"/>
      <c r="AA12" s="773"/>
      <c r="AB12" s="773"/>
    </row>
    <row r="13" spans="2:28" outlineLevel="1" x14ac:dyDescent="0.25">
      <c r="C13" s="380"/>
      <c r="D13" s="380"/>
      <c r="E13" s="380"/>
      <c r="K13" s="166"/>
      <c r="P13" s="774"/>
      <c r="Q13" s="774"/>
      <c r="R13" s="774"/>
      <c r="S13" s="774"/>
      <c r="T13" s="774"/>
      <c r="U13" s="774"/>
      <c r="V13" s="774"/>
      <c r="W13" s="774"/>
      <c r="X13" s="774"/>
      <c r="Y13" s="774"/>
      <c r="Z13" s="774"/>
      <c r="AA13" s="773"/>
      <c r="AB13" s="773"/>
    </row>
    <row r="14" spans="2:28" outlineLevel="1" x14ac:dyDescent="0.25">
      <c r="C14" s="754" t="s">
        <v>525</v>
      </c>
      <c r="D14" s="37" t="s">
        <v>46</v>
      </c>
      <c r="E14" s="80">
        <f>Sub_New_Shares*Sub_New_Share_Price</f>
        <v>719.76806954999995</v>
      </c>
      <c r="G14" s="539" t="s">
        <v>420</v>
      </c>
      <c r="J14" s="37" t="s">
        <v>46</v>
      </c>
      <c r="K14" s="171">
        <f>K8-Max_Revolver*K10</f>
        <v>8.5</v>
      </c>
      <c r="P14" s="774"/>
      <c r="Q14" s="774"/>
      <c r="R14" s="774"/>
      <c r="S14" s="774"/>
      <c r="T14" s="774"/>
      <c r="U14" s="774"/>
      <c r="V14" s="774"/>
      <c r="W14" s="774"/>
      <c r="X14" s="774"/>
      <c r="Y14" s="774"/>
      <c r="Z14" s="774"/>
      <c r="AA14" s="773"/>
      <c r="AB14" s="773"/>
    </row>
    <row r="15" spans="2:28" outlineLevel="1" x14ac:dyDescent="0.25">
      <c r="C15" s="379"/>
      <c r="D15" s="379"/>
      <c r="E15" s="55"/>
      <c r="G15" s="539" t="s">
        <v>415</v>
      </c>
      <c r="J15" s="37" t="s">
        <v>46</v>
      </c>
      <c r="K15" s="171">
        <f>K10*Max_Revolver/((YEAR(K12)-YEAR(Close_Date)))</f>
        <v>0.3</v>
      </c>
      <c r="P15" s="774"/>
      <c r="Q15" s="774"/>
      <c r="R15" s="774"/>
      <c r="S15" s="774"/>
      <c r="T15" s="774"/>
      <c r="U15" s="774"/>
      <c r="V15" s="774"/>
      <c r="W15" s="774"/>
      <c r="X15" s="774"/>
      <c r="Y15" s="774"/>
      <c r="Z15" s="774"/>
      <c r="AA15" s="773"/>
      <c r="AB15" s="773"/>
    </row>
    <row r="16" spans="2:28" outlineLevel="1" x14ac:dyDescent="0.25">
      <c r="C16" s="408" t="s">
        <v>329</v>
      </c>
      <c r="D16" s="37" t="s">
        <v>46</v>
      </c>
      <c r="E16" s="154">
        <v>298</v>
      </c>
      <c r="P16" s="774"/>
      <c r="Q16" s="774"/>
      <c r="R16" s="774"/>
      <c r="S16" s="774"/>
      <c r="T16" s="774"/>
      <c r="U16" s="774"/>
      <c r="V16" s="774"/>
      <c r="W16" s="774"/>
      <c r="X16" s="774"/>
      <c r="Y16" s="774"/>
      <c r="Z16" s="774"/>
      <c r="AA16" s="773"/>
      <c r="AB16" s="773"/>
    </row>
    <row r="17" spans="2:28" outlineLevel="1" x14ac:dyDescent="0.25">
      <c r="C17" s="379"/>
      <c r="D17" s="379"/>
      <c r="E17" s="55"/>
      <c r="G17" s="605" t="s">
        <v>456</v>
      </c>
      <c r="J17" s="37" t="s">
        <v>46</v>
      </c>
      <c r="K17" s="514">
        <v>200</v>
      </c>
      <c r="P17" s="774"/>
      <c r="Q17" s="774"/>
      <c r="R17" s="774"/>
      <c r="S17" s="774"/>
      <c r="T17" s="774"/>
      <c r="U17" s="774"/>
      <c r="V17" s="774"/>
      <c r="W17" s="774"/>
      <c r="X17" s="774"/>
      <c r="Y17" s="774"/>
      <c r="Z17" s="774"/>
      <c r="AA17" s="773"/>
      <c r="AB17" s="773"/>
    </row>
    <row r="18" spans="2:28" outlineLevel="1" x14ac:dyDescent="0.25">
      <c r="C18" s="754" t="s">
        <v>526</v>
      </c>
      <c r="D18" s="37" t="s">
        <v>46</v>
      </c>
      <c r="E18" s="73">
        <f>E14+E16</f>
        <v>1017.76806955</v>
      </c>
      <c r="G18" s="605" t="s">
        <v>421</v>
      </c>
      <c r="J18" s="556" t="s">
        <v>32</v>
      </c>
      <c r="K18" s="557">
        <v>6.5000000000000002E-2</v>
      </c>
      <c r="P18" s="774"/>
      <c r="Q18" s="774"/>
      <c r="R18" s="774"/>
      <c r="S18" s="774"/>
      <c r="T18" s="774"/>
      <c r="U18" s="774"/>
      <c r="V18" s="774"/>
      <c r="W18" s="774"/>
      <c r="X18" s="774"/>
      <c r="Y18" s="774"/>
      <c r="Z18" s="774"/>
      <c r="AA18" s="773"/>
      <c r="AB18" s="773"/>
    </row>
    <row r="19" spans="2:28" outlineLevel="1" x14ac:dyDescent="0.25">
      <c r="C19" s="408" t="s">
        <v>352</v>
      </c>
      <c r="D19" s="37" t="s">
        <v>32</v>
      </c>
      <c r="E19" s="543">
        <f>E16/E18</f>
        <v>0.2927975527192152</v>
      </c>
      <c r="G19" s="539" t="s">
        <v>412</v>
      </c>
      <c r="J19" s="556" t="s">
        <v>32</v>
      </c>
      <c r="K19" s="557">
        <v>4.4999999999999998E-2</v>
      </c>
      <c r="P19" s="775"/>
      <c r="Q19" s="776"/>
      <c r="R19" s="776"/>
      <c r="S19" s="776"/>
      <c r="T19" s="776"/>
      <c r="U19" s="776"/>
      <c r="V19" s="776"/>
      <c r="W19" s="776"/>
      <c r="X19" s="776"/>
      <c r="Y19" s="776"/>
      <c r="Z19" s="774"/>
      <c r="AA19" s="773"/>
      <c r="AB19" s="773"/>
    </row>
    <row r="20" spans="2:28" outlineLevel="1" x14ac:dyDescent="0.25">
      <c r="C20" s="380"/>
      <c r="D20" s="380"/>
      <c r="E20" s="380"/>
      <c r="G20" s="539" t="s">
        <v>414</v>
      </c>
      <c r="J20" s="39" t="s">
        <v>97</v>
      </c>
      <c r="K20" s="606">
        <f>EOMONTH(Close_Date,12*5)</f>
        <v>46022</v>
      </c>
      <c r="P20" s="774"/>
      <c r="Q20" s="774"/>
      <c r="R20" s="774"/>
      <c r="S20" s="774"/>
      <c r="T20" s="774"/>
      <c r="U20" s="774"/>
      <c r="V20" s="774"/>
      <c r="W20" s="774"/>
      <c r="X20" s="774"/>
      <c r="Y20" s="774"/>
      <c r="Z20" s="774"/>
      <c r="AA20" s="773"/>
      <c r="AB20" s="773"/>
    </row>
    <row r="21" spans="2:28" outlineLevel="1" x14ac:dyDescent="0.25">
      <c r="C21" s="754" t="s">
        <v>527</v>
      </c>
      <c r="D21" s="48" t="s">
        <v>125</v>
      </c>
      <c r="E21" s="751">
        <f>Sub_New_Shares/(1-E19)</f>
        <v>31.41259473919753</v>
      </c>
      <c r="P21" s="774"/>
      <c r="Q21" s="774"/>
      <c r="R21" s="774"/>
      <c r="S21" s="774"/>
      <c r="T21" s="774"/>
      <c r="U21" s="774"/>
      <c r="V21" s="774"/>
      <c r="W21" s="774"/>
      <c r="X21" s="774"/>
      <c r="Y21" s="774"/>
      <c r="Z21" s="774"/>
      <c r="AA21" s="773"/>
      <c r="AB21" s="773"/>
    </row>
    <row r="22" spans="2:28" outlineLevel="1" x14ac:dyDescent="0.25">
      <c r="G22" s="605" t="s">
        <v>424</v>
      </c>
      <c r="J22" s="37" t="s">
        <v>46</v>
      </c>
      <c r="K22" s="154">
        <v>52.167000000000002</v>
      </c>
      <c r="P22" s="774"/>
      <c r="Q22" s="774"/>
      <c r="R22" s="774"/>
      <c r="S22" s="774"/>
      <c r="T22" s="774"/>
      <c r="U22" s="774"/>
      <c r="V22" s="774"/>
      <c r="W22" s="774"/>
      <c r="X22" s="774"/>
      <c r="Y22" s="774"/>
      <c r="Z22" s="774"/>
      <c r="AA22" s="773"/>
      <c r="AB22" s="773"/>
    </row>
    <row r="23" spans="2:28" outlineLevel="1" x14ac:dyDescent="0.25">
      <c r="C23" s="706" t="s">
        <v>518</v>
      </c>
      <c r="D23" s="37" t="s">
        <v>32</v>
      </c>
      <c r="E23" s="148">
        <v>0.2</v>
      </c>
      <c r="G23" s="605" t="s">
        <v>422</v>
      </c>
      <c r="J23" s="37" t="s">
        <v>46</v>
      </c>
      <c r="K23" s="154">
        <v>40</v>
      </c>
      <c r="P23" s="774"/>
      <c r="Q23" s="774"/>
      <c r="R23" s="774"/>
      <c r="S23" s="774"/>
      <c r="T23" s="774"/>
      <c r="U23" s="774"/>
      <c r="V23" s="774"/>
      <c r="W23" s="774"/>
      <c r="X23" s="774"/>
      <c r="Y23" s="774"/>
      <c r="Z23" s="774"/>
      <c r="AA23" s="773"/>
      <c r="AB23" s="773"/>
    </row>
    <row r="24" spans="2:28" outlineLevel="1" x14ac:dyDescent="0.25">
      <c r="P24" s="774"/>
      <c r="Q24" s="774"/>
      <c r="R24" s="774"/>
      <c r="S24" s="774"/>
      <c r="T24" s="774"/>
      <c r="U24" s="774"/>
      <c r="V24" s="774"/>
      <c r="W24" s="774"/>
      <c r="X24" s="774"/>
      <c r="Y24" s="774"/>
      <c r="Z24" s="774"/>
      <c r="AA24" s="773"/>
      <c r="AB24" s="773"/>
    </row>
    <row r="25" spans="2:28" outlineLevel="1" x14ac:dyDescent="0.25">
      <c r="C25" s="756" t="s">
        <v>535</v>
      </c>
      <c r="D25" s="37" t="s">
        <v>46</v>
      </c>
      <c r="E25" s="154">
        <v>10</v>
      </c>
      <c r="G25" s="605" t="s">
        <v>423</v>
      </c>
      <c r="J25" s="37" t="s">
        <v>46</v>
      </c>
      <c r="K25" s="171">
        <f>K17*(1-K19)-K22</f>
        <v>138.833</v>
      </c>
      <c r="P25" s="774"/>
      <c r="Q25" s="774"/>
      <c r="R25" s="774"/>
      <c r="S25" s="774"/>
      <c r="T25" s="774"/>
      <c r="U25" s="774"/>
      <c r="V25" s="774"/>
      <c r="W25" s="774"/>
      <c r="X25" s="774"/>
      <c r="Y25" s="774"/>
      <c r="Z25" s="774"/>
      <c r="AA25" s="773"/>
      <c r="AB25" s="773"/>
    </row>
    <row r="26" spans="2:28" outlineLevel="1" x14ac:dyDescent="0.25">
      <c r="G26" s="539" t="s">
        <v>415</v>
      </c>
      <c r="J26" s="37" t="s">
        <v>46</v>
      </c>
      <c r="K26" s="171">
        <f>K17*K19/(YEAR(K20)-YEAR(Close_Date))</f>
        <v>1.8</v>
      </c>
      <c r="L26" s="789" t="s">
        <v>546</v>
      </c>
      <c r="N26" s="171">
        <f>K22/(YEAR(K20)-YEAR(Close_Date))</f>
        <v>10.433400000000001</v>
      </c>
      <c r="P26" s="774"/>
      <c r="Q26" s="774"/>
      <c r="R26" s="774"/>
      <c r="S26" s="774"/>
      <c r="T26" s="774"/>
      <c r="U26" s="774"/>
      <c r="V26" s="774"/>
      <c r="W26" s="774"/>
      <c r="X26" s="774"/>
      <c r="Y26" s="774"/>
      <c r="Z26" s="774"/>
      <c r="AA26" s="773"/>
      <c r="AB26" s="773"/>
    </row>
    <row r="27" spans="2:28" outlineLevel="1" x14ac:dyDescent="0.25">
      <c r="P27" s="774"/>
      <c r="Q27" s="774"/>
      <c r="R27" s="774"/>
      <c r="S27" s="774"/>
      <c r="T27" s="774"/>
      <c r="U27" s="774"/>
      <c r="V27" s="774"/>
      <c r="W27" s="774"/>
      <c r="X27" s="774"/>
      <c r="Y27" s="774"/>
      <c r="Z27" s="774"/>
      <c r="AA27" s="773"/>
      <c r="AB27" s="773"/>
    </row>
    <row r="28" spans="2:28" outlineLevel="1" x14ac:dyDescent="0.25">
      <c r="B28" s="86"/>
      <c r="C28" s="513" t="s">
        <v>491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P28" s="782"/>
      <c r="Q28" s="782"/>
      <c r="R28" s="782"/>
      <c r="S28" s="782"/>
      <c r="T28" s="782"/>
      <c r="U28" s="782"/>
      <c r="V28" s="782"/>
      <c r="W28" s="782"/>
      <c r="X28" s="782"/>
      <c r="Y28" s="782"/>
      <c r="Z28" s="779"/>
      <c r="AA28" s="779"/>
      <c r="AB28" s="773"/>
    </row>
    <row r="29" spans="2:28" outlineLevel="1" x14ac:dyDescent="0.25">
      <c r="P29" s="779"/>
      <c r="Q29" s="779"/>
      <c r="R29" s="779"/>
      <c r="S29" s="779"/>
      <c r="T29" s="779"/>
      <c r="U29" s="779"/>
      <c r="V29" s="779"/>
      <c r="W29" s="779"/>
      <c r="X29" s="779"/>
      <c r="Y29" s="779"/>
      <c r="Z29" s="779"/>
      <c r="AA29" s="779"/>
      <c r="AB29" s="773"/>
    </row>
    <row r="30" spans="2:28" outlineLevel="1" x14ac:dyDescent="0.25">
      <c r="C30" s="754" t="s">
        <v>539</v>
      </c>
      <c r="D30" s="37" t="s">
        <v>46</v>
      </c>
      <c r="E30" s="161">
        <v>152.654</v>
      </c>
      <c r="F30" s="380"/>
      <c r="G30" s="68" t="s">
        <v>492</v>
      </c>
      <c r="H30" s="68"/>
      <c r="I30" s="68"/>
      <c r="J30" s="162" t="s">
        <v>46</v>
      </c>
      <c r="K30" s="69">
        <f>E18</f>
        <v>1017.76806955</v>
      </c>
      <c r="P30" s="779"/>
      <c r="Q30" s="779"/>
      <c r="R30" s="779"/>
      <c r="S30" s="779"/>
      <c r="T30" s="779"/>
      <c r="U30" s="779"/>
      <c r="V30" s="779"/>
      <c r="W30" s="779"/>
      <c r="X30" s="779"/>
      <c r="Y30" s="779"/>
      <c r="Z30" s="779"/>
      <c r="AA30" s="779"/>
      <c r="AB30" s="773"/>
    </row>
    <row r="31" spans="2:28" outlineLevel="1" x14ac:dyDescent="0.25">
      <c r="C31" s="754" t="s">
        <v>540</v>
      </c>
      <c r="D31" s="37" t="s">
        <v>46</v>
      </c>
      <c r="E31" s="161">
        <v>168.43700000000001</v>
      </c>
      <c r="F31" s="380"/>
      <c r="G31" s="389" t="s">
        <v>37</v>
      </c>
      <c r="H31" s="380"/>
      <c r="I31" s="380"/>
      <c r="J31" s="37" t="s">
        <v>46</v>
      </c>
      <c r="K31" s="160">
        <f>-MAXN!F129-SUM(H81:I81)</f>
        <v>-355.19641256240106</v>
      </c>
      <c r="P31" s="779"/>
      <c r="Q31" s="779"/>
      <c r="R31" s="779"/>
      <c r="S31" s="779"/>
      <c r="T31" s="779"/>
      <c r="U31" s="779"/>
      <c r="V31" s="779"/>
      <c r="W31" s="779"/>
      <c r="X31" s="779"/>
      <c r="Y31" s="779"/>
      <c r="Z31" s="779"/>
      <c r="AA31" s="779"/>
      <c r="AB31" s="773"/>
    </row>
    <row r="32" spans="2:28" outlineLevel="1" x14ac:dyDescent="0.25">
      <c r="G32" s="381" t="s">
        <v>137</v>
      </c>
      <c r="H32" s="380"/>
      <c r="I32" s="380"/>
      <c r="J32" s="37" t="s">
        <v>46</v>
      </c>
      <c r="K32" s="154">
        <v>0</v>
      </c>
      <c r="P32" s="779"/>
      <c r="Q32" s="779"/>
      <c r="R32" s="779"/>
      <c r="S32" s="779"/>
      <c r="T32" s="779"/>
      <c r="U32" s="779"/>
      <c r="V32" s="779"/>
      <c r="W32" s="779"/>
      <c r="X32" s="779"/>
      <c r="Y32" s="779"/>
      <c r="Z32" s="779"/>
      <c r="AA32" s="779"/>
      <c r="AB32" s="773"/>
    </row>
    <row r="33" spans="1:28" outlineLevel="1" x14ac:dyDescent="0.25">
      <c r="C33" s="2" t="s">
        <v>431</v>
      </c>
      <c r="D33" s="37" t="s">
        <v>46</v>
      </c>
      <c r="E33" s="49">
        <f>G81</f>
        <v>116.60658743759889</v>
      </c>
      <c r="G33" s="389" t="s">
        <v>38</v>
      </c>
      <c r="H33" s="380"/>
      <c r="I33" s="380"/>
      <c r="J33" s="37" t="s">
        <v>46</v>
      </c>
      <c r="K33" s="160">
        <f>-MAXN!F139-SUM(H91:I91)</f>
        <v>-34.393000000000001</v>
      </c>
      <c r="P33" s="779"/>
      <c r="Q33" s="779"/>
      <c r="R33" s="779"/>
      <c r="S33" s="779"/>
      <c r="T33" s="779"/>
      <c r="U33" s="779"/>
      <c r="V33" s="779"/>
      <c r="W33" s="779"/>
      <c r="X33" s="779"/>
      <c r="Y33" s="779"/>
      <c r="Z33" s="779"/>
      <c r="AA33" s="779"/>
      <c r="AB33" s="773"/>
    </row>
    <row r="34" spans="1:28" outlineLevel="1" x14ac:dyDescent="0.25">
      <c r="C34" s="772" t="s">
        <v>544</v>
      </c>
      <c r="D34" s="37" t="s">
        <v>46</v>
      </c>
      <c r="E34" s="23">
        <f>-SPWR_Adj!E12</f>
        <v>-100</v>
      </c>
      <c r="G34" s="389" t="s">
        <v>39</v>
      </c>
      <c r="H34" s="380"/>
      <c r="I34" s="380"/>
      <c r="J34" s="37" t="s">
        <v>46</v>
      </c>
      <c r="K34" s="154">
        <v>0</v>
      </c>
      <c r="P34" s="780"/>
      <c r="Q34" s="779"/>
      <c r="R34" s="781"/>
      <c r="S34" s="781"/>
      <c r="T34" s="781"/>
      <c r="U34" s="781"/>
      <c r="V34" s="781"/>
      <c r="W34" s="781"/>
      <c r="X34" s="781"/>
      <c r="Y34" s="781"/>
      <c r="Z34" s="779"/>
      <c r="AA34" s="779"/>
      <c r="AB34" s="773"/>
    </row>
    <row r="35" spans="1:28" outlineLevel="1" x14ac:dyDescent="0.25">
      <c r="C35" s="617" t="s">
        <v>425</v>
      </c>
      <c r="D35" s="37" t="s">
        <v>46</v>
      </c>
      <c r="E35" s="23">
        <f>-SPWR_Adj!E13</f>
        <v>-25</v>
      </c>
      <c r="G35" s="389" t="s">
        <v>40</v>
      </c>
      <c r="H35" s="380"/>
      <c r="I35" s="380"/>
      <c r="J35" s="37" t="s">
        <v>46</v>
      </c>
      <c r="K35" s="160">
        <f>-MAXN!G86*Sub_Tax_Rate*(1-E30/E31)</f>
        <v>-12.100595021499821</v>
      </c>
      <c r="P35" s="779"/>
      <c r="Q35" s="779"/>
      <c r="R35" s="779"/>
      <c r="S35" s="779"/>
      <c r="T35" s="779"/>
      <c r="U35" s="779"/>
      <c r="V35" s="779"/>
      <c r="W35" s="779"/>
      <c r="X35" s="779"/>
      <c r="Y35" s="779"/>
      <c r="Z35" s="779"/>
      <c r="AA35" s="779"/>
      <c r="AB35" s="773"/>
    </row>
    <row r="36" spans="1:28" outlineLevel="1" x14ac:dyDescent="0.25">
      <c r="C36" s="617" t="s">
        <v>426</v>
      </c>
      <c r="D36" s="37" t="s">
        <v>46</v>
      </c>
      <c r="E36" s="171">
        <f>K8-Max_Revolver*K10</f>
        <v>8.5</v>
      </c>
      <c r="G36" s="389" t="s">
        <v>140</v>
      </c>
      <c r="H36" s="380"/>
      <c r="I36" s="380"/>
      <c r="J36" s="37" t="s">
        <v>46</v>
      </c>
      <c r="K36" s="160">
        <f>22+37.7+1.487+K17+K8</f>
        <v>271.18700000000001</v>
      </c>
      <c r="P36" s="779"/>
      <c r="Q36" s="779"/>
      <c r="R36" s="779"/>
      <c r="S36" s="779"/>
      <c r="T36" s="779"/>
      <c r="U36" s="779"/>
      <c r="V36" s="779"/>
      <c r="W36" s="779"/>
      <c r="X36" s="779"/>
      <c r="Y36" s="779"/>
      <c r="Z36" s="779"/>
      <c r="AA36" s="779"/>
      <c r="AB36" s="773"/>
    </row>
    <row r="37" spans="1:28" outlineLevel="1" x14ac:dyDescent="0.25">
      <c r="C37" s="617" t="s">
        <v>427</v>
      </c>
      <c r="D37" s="37" t="s">
        <v>46</v>
      </c>
      <c r="E37" s="171">
        <f>K17*(1-K19)</f>
        <v>191</v>
      </c>
      <c r="G37" s="389" t="s">
        <v>41</v>
      </c>
      <c r="H37" s="380"/>
      <c r="I37" s="380"/>
      <c r="J37" s="37" t="s">
        <v>46</v>
      </c>
      <c r="K37" s="161">
        <v>0</v>
      </c>
      <c r="P37" s="779"/>
      <c r="Q37" s="779"/>
      <c r="R37" s="779"/>
      <c r="S37" s="779"/>
      <c r="T37" s="779"/>
      <c r="U37" s="779"/>
      <c r="V37" s="779"/>
      <c r="W37" s="779"/>
      <c r="X37" s="779"/>
      <c r="Y37" s="779"/>
      <c r="Z37" s="779"/>
      <c r="AA37" s="779"/>
      <c r="AB37" s="773"/>
    </row>
    <row r="38" spans="1:28" outlineLevel="1" x14ac:dyDescent="0.25">
      <c r="C38" s="617" t="s">
        <v>428</v>
      </c>
      <c r="D38" s="38" t="s">
        <v>46</v>
      </c>
      <c r="E38" s="171">
        <f>-K23</f>
        <v>-40</v>
      </c>
      <c r="G38" s="381" t="s">
        <v>138</v>
      </c>
      <c r="H38" s="380"/>
      <c r="I38" s="380"/>
      <c r="J38" s="37" t="s">
        <v>46</v>
      </c>
      <c r="K38" s="161">
        <v>0</v>
      </c>
      <c r="P38" s="779"/>
      <c r="Q38" s="779"/>
      <c r="R38" s="779"/>
      <c r="S38" s="779"/>
      <c r="T38" s="779"/>
      <c r="U38" s="779"/>
      <c r="V38" s="779"/>
      <c r="W38" s="779"/>
      <c r="X38" s="779"/>
      <c r="Y38" s="779"/>
      <c r="Z38" s="779"/>
      <c r="AA38" s="779"/>
      <c r="AB38" s="773"/>
    </row>
    <row r="39" spans="1:28" outlineLevel="1" x14ac:dyDescent="0.25">
      <c r="C39" s="24" t="s">
        <v>429</v>
      </c>
      <c r="D39" s="37" t="s">
        <v>46</v>
      </c>
      <c r="E39" s="25">
        <f>SUM(E33:E38)</f>
        <v>151.10658743759888</v>
      </c>
      <c r="G39" s="389" t="s">
        <v>42</v>
      </c>
      <c r="H39" s="380"/>
      <c r="I39" s="380"/>
      <c r="J39" s="37" t="s">
        <v>46</v>
      </c>
      <c r="K39" s="160">
        <f>MAXN!F160+SUM(H112:I112)</f>
        <v>5.3040000000000003</v>
      </c>
      <c r="P39" s="779"/>
      <c r="Q39" s="779"/>
      <c r="R39" s="779"/>
      <c r="S39" s="779"/>
      <c r="T39" s="779"/>
      <c r="U39" s="779"/>
      <c r="V39" s="779"/>
      <c r="W39" s="779"/>
      <c r="X39" s="779"/>
      <c r="Y39" s="779"/>
      <c r="Z39" s="779"/>
      <c r="AA39" s="779"/>
      <c r="AB39" s="773"/>
    </row>
    <row r="40" spans="1:28" outlineLevel="1" x14ac:dyDescent="0.25">
      <c r="G40" s="389" t="s">
        <v>139</v>
      </c>
      <c r="H40" s="380"/>
      <c r="I40" s="380"/>
      <c r="J40" s="37" t="s">
        <v>46</v>
      </c>
      <c r="K40" s="759">
        <v>0</v>
      </c>
      <c r="P40" s="779"/>
      <c r="Q40" s="779"/>
      <c r="R40" s="779"/>
      <c r="S40" s="779"/>
      <c r="T40" s="779"/>
      <c r="U40" s="779"/>
      <c r="V40" s="779"/>
      <c r="W40" s="779"/>
      <c r="X40" s="779"/>
      <c r="Y40" s="779"/>
      <c r="Z40" s="779"/>
      <c r="AA40" s="779"/>
      <c r="AB40" s="773"/>
    </row>
    <row r="41" spans="1:28" outlineLevel="1" x14ac:dyDescent="0.25">
      <c r="C41" s="605" t="s">
        <v>430</v>
      </c>
      <c r="D41" s="37" t="s">
        <v>46</v>
      </c>
      <c r="E41" s="171">
        <f>E39-Sub_Min_Cash</f>
        <v>101.10658743759888</v>
      </c>
      <c r="G41" s="70" t="s">
        <v>485</v>
      </c>
      <c r="H41" s="70"/>
      <c r="I41" s="70"/>
      <c r="J41" s="163" t="s">
        <v>46</v>
      </c>
      <c r="K41" s="337">
        <f>SUM(K30:K40)</f>
        <v>892.56906196609907</v>
      </c>
      <c r="P41" s="774"/>
      <c r="Q41" s="774"/>
      <c r="R41" s="774"/>
      <c r="S41" s="774"/>
      <c r="T41" s="774"/>
      <c r="U41" s="774"/>
      <c r="V41" s="774"/>
      <c r="W41" s="774"/>
      <c r="X41" s="774"/>
      <c r="Y41" s="774"/>
      <c r="Z41" s="774"/>
      <c r="AA41" s="773"/>
      <c r="AB41" s="773"/>
    </row>
    <row r="42" spans="1:28" outlineLevel="1" x14ac:dyDescent="0.25">
      <c r="P42" s="774"/>
      <c r="Q42" s="774"/>
      <c r="R42" s="774"/>
      <c r="S42" s="774"/>
      <c r="T42" s="774"/>
      <c r="U42" s="774"/>
      <c r="V42" s="774"/>
      <c r="W42" s="774"/>
      <c r="X42" s="774"/>
      <c r="Y42" s="774"/>
      <c r="Z42" s="774"/>
      <c r="AA42" s="773"/>
      <c r="AB42" s="773"/>
    </row>
    <row r="43" spans="1:28" outlineLevel="1" x14ac:dyDescent="0.25">
      <c r="C43" s="615" t="s">
        <v>437</v>
      </c>
      <c r="D43" s="37" t="s">
        <v>46</v>
      </c>
      <c r="E43" s="401">
        <f>SUM(H81:I84)+SUM(H88:I92)</f>
        <v>214.32741256240112</v>
      </c>
      <c r="P43" s="774"/>
      <c r="Q43" s="774"/>
      <c r="R43" s="774"/>
      <c r="S43" s="774"/>
      <c r="T43" s="774"/>
      <c r="U43" s="774"/>
      <c r="V43" s="774"/>
      <c r="W43" s="774"/>
      <c r="X43" s="774"/>
      <c r="Y43" s="774"/>
      <c r="Z43" s="774"/>
      <c r="AA43" s="773"/>
      <c r="AB43" s="773"/>
    </row>
    <row r="44" spans="1:28" outlineLevel="1" x14ac:dyDescent="0.25">
      <c r="C44" s="615" t="s">
        <v>438</v>
      </c>
      <c r="D44" s="37" t="s">
        <v>46</v>
      </c>
      <c r="E44" s="401">
        <f>-SUM(H99:I100)-SUM(H104:I106)-SUM(H112:I112)-H111-E16-K22</f>
        <v>-464.197</v>
      </c>
      <c r="P44" s="774"/>
      <c r="Q44" s="774"/>
      <c r="R44" s="774"/>
      <c r="S44" s="774"/>
      <c r="T44" s="774"/>
      <c r="U44" s="774"/>
      <c r="V44" s="774"/>
      <c r="W44" s="774"/>
      <c r="X44" s="774"/>
      <c r="Y44" s="774"/>
      <c r="Z44" s="774"/>
      <c r="AA44" s="773"/>
      <c r="AB44" s="773"/>
    </row>
    <row r="45" spans="1:28" outlineLevel="1" x14ac:dyDescent="0.25">
      <c r="C45" s="24" t="s">
        <v>381</v>
      </c>
      <c r="D45" s="43" t="s">
        <v>46</v>
      </c>
      <c r="E45" s="5">
        <f>SUM(E43:E44)</f>
        <v>-249.86958743759888</v>
      </c>
      <c r="P45" s="774"/>
      <c r="Q45" s="774"/>
      <c r="R45" s="774"/>
      <c r="S45" s="774"/>
      <c r="T45" s="774"/>
      <c r="U45" s="774"/>
      <c r="V45" s="774"/>
      <c r="W45" s="774"/>
      <c r="X45" s="774"/>
      <c r="Y45" s="774"/>
      <c r="Z45" s="774"/>
      <c r="AA45" s="773"/>
      <c r="AB45" s="773"/>
    </row>
    <row r="46" spans="1:28" x14ac:dyDescent="0.25">
      <c r="P46" s="774"/>
      <c r="Q46" s="774"/>
      <c r="R46" s="774"/>
      <c r="S46" s="774"/>
      <c r="T46" s="774"/>
      <c r="U46" s="774"/>
      <c r="V46" s="774"/>
      <c r="W46" s="774"/>
      <c r="X46" s="774"/>
      <c r="Y46" s="774"/>
      <c r="Z46" s="774"/>
      <c r="AA46" s="773"/>
      <c r="AB46" s="773"/>
    </row>
    <row r="47" spans="1:28" x14ac:dyDescent="0.25">
      <c r="B47" s="28"/>
      <c r="C47" s="29"/>
      <c r="D47" s="29"/>
      <c r="E47" s="33" t="s">
        <v>69</v>
      </c>
      <c r="F47" s="34"/>
      <c r="G47" s="33" t="s">
        <v>70</v>
      </c>
      <c r="H47" s="415" t="s">
        <v>330</v>
      </c>
      <c r="I47" s="33"/>
      <c r="J47" s="34"/>
      <c r="K47" s="33" t="s">
        <v>331</v>
      </c>
      <c r="L47" s="33"/>
      <c r="M47" s="33"/>
      <c r="N47" s="33"/>
      <c r="O47" s="164"/>
      <c r="P47" s="774"/>
      <c r="Q47" s="774"/>
      <c r="R47" s="774"/>
      <c r="S47" s="774"/>
      <c r="T47" s="774"/>
      <c r="U47" s="774"/>
      <c r="V47" s="774"/>
      <c r="W47" s="774"/>
      <c r="X47" s="774"/>
      <c r="Y47" s="774"/>
      <c r="Z47" s="774"/>
      <c r="AA47" s="773"/>
      <c r="AB47" s="773"/>
    </row>
    <row r="48" spans="1:28" x14ac:dyDescent="0.25">
      <c r="A48" s="164"/>
      <c r="B48" s="30" t="s">
        <v>528</v>
      </c>
      <c r="C48" s="31"/>
      <c r="D48" s="36" t="str">
        <f>SPWR!$D$5</f>
        <v>Units:</v>
      </c>
      <c r="E48" s="32">
        <f>MAXN!$E$13</f>
        <v>43465</v>
      </c>
      <c r="F48" s="32">
        <f>MAXN!$F$13</f>
        <v>43830</v>
      </c>
      <c r="G48" s="544">
        <f>MAXN!$G$13</f>
        <v>44196</v>
      </c>
      <c r="H48" s="416" t="s">
        <v>332</v>
      </c>
      <c r="I48" s="32" t="s">
        <v>333</v>
      </c>
      <c r="J48" s="35">
        <f>$G$48</f>
        <v>44196</v>
      </c>
      <c r="K48" s="32">
        <f>MAXN!$H$13</f>
        <v>44561</v>
      </c>
      <c r="L48" s="32">
        <f>MAXN!$I$13</f>
        <v>44926</v>
      </c>
      <c r="M48" s="32">
        <f>MAXN!$J$13</f>
        <v>45291</v>
      </c>
      <c r="N48" s="32">
        <f>MAXN!$K$13</f>
        <v>45657</v>
      </c>
      <c r="O48" s="56"/>
      <c r="P48" s="788"/>
      <c r="Q48" s="788"/>
      <c r="R48" s="788"/>
      <c r="S48" s="788"/>
      <c r="T48" s="788"/>
      <c r="U48" s="788"/>
      <c r="V48" s="788"/>
      <c r="W48" s="788"/>
      <c r="X48" s="788"/>
      <c r="Y48" s="788"/>
      <c r="Z48" s="788"/>
    </row>
    <row r="49" spans="1:26" outlineLevel="1" x14ac:dyDescent="0.25">
      <c r="A49" s="164"/>
      <c r="B49" s="164"/>
      <c r="C49" s="6"/>
      <c r="D49" s="37"/>
      <c r="E49" s="10"/>
      <c r="F49" s="10"/>
      <c r="G49" s="10"/>
      <c r="H49" s="492"/>
      <c r="I49" s="10"/>
      <c r="J49" s="529"/>
      <c r="M49" s="8"/>
      <c r="N49" s="8"/>
      <c r="O49" s="164"/>
      <c r="P49" s="788"/>
      <c r="Q49" s="788"/>
      <c r="R49" s="788"/>
      <c r="S49" s="788"/>
      <c r="T49" s="788"/>
      <c r="U49" s="788"/>
      <c r="V49" s="788"/>
      <c r="W49" s="788"/>
      <c r="X49" s="788"/>
      <c r="Y49" s="788"/>
      <c r="Z49" s="788"/>
    </row>
    <row r="50" spans="1:26" outlineLevel="1" x14ac:dyDescent="0.25">
      <c r="A50" s="164"/>
      <c r="B50" s="164"/>
      <c r="C50" s="6" t="s">
        <v>336</v>
      </c>
      <c r="D50" s="37" t="s">
        <v>46</v>
      </c>
      <c r="E50" s="548">
        <f>MAXN!E102</f>
        <v>912.31299999999999</v>
      </c>
      <c r="F50" s="548">
        <f>MAXN!F102</f>
        <v>1198.3009999999999</v>
      </c>
      <c r="G50" s="548">
        <f>MAXN!G102</f>
        <v>839.29960680800002</v>
      </c>
      <c r="H50" s="492"/>
      <c r="I50" s="10"/>
      <c r="J50" s="553"/>
      <c r="K50" s="548">
        <f>MAXN!H102</f>
        <v>1061.0386718036661</v>
      </c>
      <c r="L50" s="548">
        <f>MAXN!I102</f>
        <v>1308.8563542365775</v>
      </c>
      <c r="M50" s="548">
        <f>MAXN!J102</f>
        <v>1586.387761914898</v>
      </c>
      <c r="N50" s="548">
        <f>MAXN!K102</f>
        <v>1881.3377050183358</v>
      </c>
      <c r="O50" s="164"/>
      <c r="P50" s="788"/>
      <c r="Q50" s="788"/>
      <c r="R50" s="788"/>
      <c r="S50" s="788"/>
      <c r="T50" s="788"/>
      <c r="U50" s="788"/>
      <c r="V50" s="788"/>
      <c r="W50" s="788"/>
      <c r="X50" s="788"/>
      <c r="Y50" s="788"/>
      <c r="Z50" s="788"/>
    </row>
    <row r="51" spans="1:26" outlineLevel="1" x14ac:dyDescent="0.25">
      <c r="A51" s="164"/>
      <c r="B51" s="164"/>
      <c r="C51" s="549" t="s">
        <v>408</v>
      </c>
      <c r="D51" s="38" t="s">
        <v>46</v>
      </c>
      <c r="E51" s="15">
        <f>SUM(MAXN!E103:E104)</f>
        <v>-1362.242</v>
      </c>
      <c r="F51" s="15">
        <f>SUM(MAXN!F103:F104)</f>
        <v>-1200.6099999999999</v>
      </c>
      <c r="G51" s="15">
        <f>SUM(MAXN!G103:G104)</f>
        <v>-801.53112450163997</v>
      </c>
      <c r="H51" s="492"/>
      <c r="I51" s="10"/>
      <c r="J51" s="529"/>
      <c r="K51" s="15">
        <f>SUM(MAXN!H103:H104)</f>
        <v>-929.46987650001154</v>
      </c>
      <c r="L51" s="15">
        <f>SUM(MAXN!I103:I104)</f>
        <v>-1109.9101883926178</v>
      </c>
      <c r="M51" s="15">
        <f>SUM(MAXN!J103:J104)</f>
        <v>-1332.5657200085143</v>
      </c>
      <c r="N51" s="15">
        <f>SUM(MAXN!K103:K104)</f>
        <v>-1561.5102951652186</v>
      </c>
      <c r="O51" s="164"/>
      <c r="P51" s="788"/>
      <c r="Q51" s="788"/>
      <c r="R51" s="788"/>
      <c r="S51" s="788"/>
      <c r="T51" s="788"/>
      <c r="U51" s="788"/>
      <c r="V51" s="788"/>
      <c r="W51" s="788"/>
      <c r="X51" s="788"/>
      <c r="Y51" s="788"/>
      <c r="Z51" s="788"/>
    </row>
    <row r="52" spans="1:26" outlineLevel="1" x14ac:dyDescent="0.25">
      <c r="A52" s="164"/>
      <c r="B52" s="164"/>
      <c r="C52" s="24" t="s">
        <v>340</v>
      </c>
      <c r="D52" s="37" t="s">
        <v>46</v>
      </c>
      <c r="E52" s="12">
        <f>SUM(E50:E51)</f>
        <v>-449.92899999999997</v>
      </c>
      <c r="F52" s="12">
        <f t="shared" ref="F52:G52" si="0">SUM(F50:F51)</f>
        <v>-2.3089999999999691</v>
      </c>
      <c r="G52" s="12">
        <f t="shared" si="0"/>
        <v>37.768482306360056</v>
      </c>
      <c r="H52" s="551"/>
      <c r="I52" s="550"/>
      <c r="J52" s="552"/>
      <c r="K52" s="12">
        <f>SUM(K50:K51)</f>
        <v>131.56879530365461</v>
      </c>
      <c r="L52" s="12">
        <f t="shared" ref="L52:N52" si="1">SUM(L50:L51)</f>
        <v>198.94616584395976</v>
      </c>
      <c r="M52" s="12">
        <f t="shared" si="1"/>
        <v>253.82204190638367</v>
      </c>
      <c r="N52" s="12">
        <f t="shared" si="1"/>
        <v>319.82740985311716</v>
      </c>
      <c r="O52" s="164"/>
      <c r="P52" s="788"/>
      <c r="Q52" s="788"/>
      <c r="R52" s="788"/>
      <c r="S52" s="788"/>
      <c r="T52" s="788"/>
      <c r="U52" s="788"/>
      <c r="V52" s="788"/>
      <c r="W52" s="788"/>
      <c r="X52" s="788"/>
      <c r="Y52" s="788"/>
      <c r="Z52" s="788"/>
    </row>
    <row r="53" spans="1:26" outlineLevel="1" x14ac:dyDescent="0.25">
      <c r="A53" s="164"/>
      <c r="B53" s="164"/>
      <c r="C53" s="6"/>
      <c r="D53" s="37"/>
      <c r="E53" s="10"/>
      <c r="F53" s="10"/>
      <c r="G53" s="10"/>
      <c r="H53" s="492"/>
      <c r="I53" s="10"/>
      <c r="J53" s="529"/>
      <c r="M53" s="8"/>
      <c r="N53" s="8"/>
      <c r="O53" s="164"/>
      <c r="P53" s="788"/>
      <c r="Q53" s="788"/>
      <c r="R53" s="788"/>
      <c r="S53" s="788"/>
      <c r="T53" s="788"/>
      <c r="U53" s="788"/>
      <c r="V53" s="788"/>
      <c r="W53" s="788"/>
      <c r="X53" s="788"/>
      <c r="Y53" s="788"/>
      <c r="Z53" s="788"/>
    </row>
    <row r="54" spans="1:26" outlineLevel="1" x14ac:dyDescent="0.25">
      <c r="A54" s="164"/>
      <c r="B54" s="164"/>
      <c r="C54" s="542" t="s">
        <v>409</v>
      </c>
      <c r="D54" s="37" t="s">
        <v>46</v>
      </c>
      <c r="E54" s="11">
        <f>MAXN!E111</f>
        <v>-139.83799999999999</v>
      </c>
      <c r="F54" s="11">
        <f>MAXN!F111</f>
        <v>-133.33699999999999</v>
      </c>
      <c r="G54" s="11">
        <f>MAXN!G111</f>
        <v>-172.05641939564001</v>
      </c>
      <c r="H54" s="492"/>
      <c r="I54" s="10"/>
      <c r="J54" s="529"/>
      <c r="K54" s="23">
        <f>MAXN!H111</f>
        <v>-212.20773436073324</v>
      </c>
      <c r="L54" s="23">
        <f>MAXN!I111</f>
        <v>-238.2118564710571</v>
      </c>
      <c r="M54" s="23">
        <f>MAXN!J111</f>
        <v>-277.61785833510714</v>
      </c>
      <c r="N54" s="23">
        <f>MAXN!K111</f>
        <v>-282.20065575275038</v>
      </c>
      <c r="O54" s="164"/>
      <c r="P54" s="788"/>
      <c r="Q54" s="788"/>
      <c r="R54" s="788"/>
      <c r="S54" s="788"/>
      <c r="T54" s="788"/>
      <c r="U54" s="788"/>
      <c r="V54" s="788"/>
      <c r="W54" s="788"/>
      <c r="X54" s="788"/>
      <c r="Y54" s="788"/>
      <c r="Z54" s="788"/>
    </row>
    <row r="55" spans="1:26" outlineLevel="1" x14ac:dyDescent="0.25">
      <c r="A55" s="164"/>
      <c r="B55" s="164"/>
      <c r="C55" s="554" t="s">
        <v>410</v>
      </c>
      <c r="D55" s="478" t="s">
        <v>46</v>
      </c>
      <c r="E55" s="479"/>
      <c r="F55" s="479"/>
      <c r="G55" s="479"/>
      <c r="H55" s="480"/>
      <c r="I55" s="481"/>
      <c r="J55" s="482"/>
      <c r="K55" s="757">
        <f>-SPWR_Adj!K50</f>
        <v>-18.803000000000001</v>
      </c>
      <c r="L55" s="757">
        <f>-SPWR_Adj!L50</f>
        <v>-18.803000000000001</v>
      </c>
      <c r="M55" s="757">
        <f>-SPWR_Adj!M50</f>
        <v>-18.803000000000001</v>
      </c>
      <c r="N55" s="757">
        <f>-SPWR_Adj!N50</f>
        <v>-18.803000000000001</v>
      </c>
      <c r="O55" s="164"/>
      <c r="P55" s="788"/>
      <c r="Q55" s="788"/>
      <c r="R55" s="788"/>
      <c r="S55" s="788"/>
      <c r="T55" s="788"/>
      <c r="U55" s="788"/>
      <c r="V55" s="788"/>
      <c r="W55" s="788"/>
      <c r="X55" s="788"/>
      <c r="Y55" s="788"/>
      <c r="Z55" s="788"/>
    </row>
    <row r="56" spans="1:26" outlineLevel="1" x14ac:dyDescent="0.25">
      <c r="A56" s="164"/>
      <c r="B56" s="164"/>
      <c r="C56" s="758" t="s">
        <v>534</v>
      </c>
      <c r="D56" s="518" t="s">
        <v>46</v>
      </c>
      <c r="E56" s="519"/>
      <c r="F56" s="519"/>
      <c r="G56" s="519"/>
      <c r="H56" s="520"/>
      <c r="I56" s="521"/>
      <c r="J56" s="522"/>
      <c r="K56" s="519">
        <f>-Dissynergies</f>
        <v>-10</v>
      </c>
      <c r="L56" s="519">
        <f>-Dissynergies</f>
        <v>-10</v>
      </c>
      <c r="M56" s="519">
        <f>-Dissynergies</f>
        <v>-10</v>
      </c>
      <c r="N56" s="519">
        <f>-Dissynergies</f>
        <v>-10</v>
      </c>
      <c r="O56" s="164"/>
      <c r="P56" s="788"/>
      <c r="Q56" s="788"/>
      <c r="R56" s="788"/>
      <c r="S56" s="788"/>
      <c r="T56" s="788"/>
      <c r="U56" s="788"/>
      <c r="V56" s="788"/>
      <c r="W56" s="788"/>
      <c r="X56" s="788"/>
      <c r="Y56" s="788"/>
      <c r="Z56" s="788"/>
    </row>
    <row r="57" spans="1:26" outlineLevel="1" x14ac:dyDescent="0.25">
      <c r="A57" s="164"/>
      <c r="B57" s="164"/>
      <c r="C57" s="555" t="s">
        <v>394</v>
      </c>
      <c r="D57" s="518" t="s">
        <v>46</v>
      </c>
      <c r="E57" s="519"/>
      <c r="F57" s="519"/>
      <c r="G57" s="519"/>
      <c r="H57" s="520"/>
      <c r="I57" s="521"/>
      <c r="J57" s="522"/>
      <c r="K57" s="787">
        <f>-SPWR_Adj!K52</f>
        <v>-7.12</v>
      </c>
      <c r="L57" s="787">
        <f>-SPWR_Adj!L52</f>
        <v>-7.12</v>
      </c>
      <c r="M57" s="787">
        <f>-SPWR_Adj!M52</f>
        <v>-7.12</v>
      </c>
      <c r="N57" s="787">
        <f>-SPWR_Adj!N52</f>
        <v>-7.12</v>
      </c>
      <c r="O57" s="164"/>
      <c r="P57" s="788"/>
      <c r="Q57" s="788"/>
      <c r="R57" s="788"/>
      <c r="S57" s="788"/>
      <c r="T57" s="788"/>
      <c r="U57" s="788"/>
      <c r="V57" s="788"/>
      <c r="W57" s="788"/>
      <c r="X57" s="788"/>
      <c r="Y57" s="788"/>
      <c r="Z57" s="788"/>
    </row>
    <row r="58" spans="1:26" outlineLevel="1" x14ac:dyDescent="0.25">
      <c r="A58" s="164"/>
      <c r="B58" s="164"/>
      <c r="C58" s="555" t="s">
        <v>393</v>
      </c>
      <c r="D58" s="518" t="s">
        <v>46</v>
      </c>
      <c r="E58" s="519"/>
      <c r="F58" s="519"/>
      <c r="G58" s="519"/>
      <c r="H58" s="520"/>
      <c r="I58" s="521"/>
      <c r="J58" s="522"/>
      <c r="K58" s="787">
        <f>-SPWR_Adj!K53</f>
        <v>-2.6539999999999999</v>
      </c>
      <c r="L58" s="787">
        <f>-SPWR_Adj!L53</f>
        <v>-2.6539999999999999</v>
      </c>
      <c r="M58" s="787">
        <f>-SPWR_Adj!M53</f>
        <v>-2.6539999999999999</v>
      </c>
      <c r="N58" s="787">
        <f>-SPWR_Adj!N53</f>
        <v>-2.6539999999999999</v>
      </c>
      <c r="O58" s="164"/>
      <c r="P58" s="788"/>
      <c r="Q58" s="788"/>
      <c r="R58" s="788"/>
      <c r="S58" s="788"/>
      <c r="T58" s="788"/>
      <c r="U58" s="788"/>
      <c r="V58" s="788"/>
      <c r="W58" s="788"/>
      <c r="X58" s="788"/>
      <c r="Y58" s="788"/>
      <c r="Z58" s="788"/>
    </row>
    <row r="59" spans="1:26" outlineLevel="1" x14ac:dyDescent="0.25">
      <c r="A59" s="164"/>
      <c r="B59" s="164"/>
      <c r="C59" s="24" t="s">
        <v>343</v>
      </c>
      <c r="D59" s="43" t="s">
        <v>46</v>
      </c>
      <c r="E59" s="464">
        <f>SUM(E54:E58)</f>
        <v>-139.83799999999999</v>
      </c>
      <c r="F59" s="464">
        <f t="shared" ref="F59:G59" si="2">SUM(F54:F58)</f>
        <v>-133.33699999999999</v>
      </c>
      <c r="G59" s="464">
        <f t="shared" si="2"/>
        <v>-172.05641939564001</v>
      </c>
      <c r="H59" s="417"/>
      <c r="I59" s="418"/>
      <c r="J59" s="419"/>
      <c r="K59" s="464">
        <f>SUM(K54:K58)</f>
        <v>-250.78473436073324</v>
      </c>
      <c r="L59" s="464">
        <f t="shared" ref="L59:N59" si="3">SUM(L54:L58)</f>
        <v>-276.7888564710571</v>
      </c>
      <c r="M59" s="464">
        <f t="shared" si="3"/>
        <v>-316.19485833510714</v>
      </c>
      <c r="N59" s="464">
        <f t="shared" si="3"/>
        <v>-320.77765575275038</v>
      </c>
      <c r="O59" s="164"/>
      <c r="P59" s="788"/>
      <c r="Q59" s="788"/>
      <c r="R59" s="788"/>
      <c r="S59" s="788"/>
      <c r="T59" s="788"/>
      <c r="U59" s="788"/>
      <c r="V59" s="788"/>
      <c r="W59" s="788"/>
      <c r="X59" s="788"/>
      <c r="Y59" s="788"/>
      <c r="Z59" s="788"/>
    </row>
    <row r="60" spans="1:26" outlineLevel="1" x14ac:dyDescent="0.25">
      <c r="A60" s="164"/>
      <c r="B60" s="164"/>
      <c r="C60" s="6"/>
      <c r="D60" s="37"/>
      <c r="E60" s="10"/>
      <c r="F60" s="10"/>
      <c r="G60" s="10"/>
      <c r="H60" s="492"/>
      <c r="I60" s="10"/>
      <c r="J60" s="529"/>
      <c r="M60" s="8"/>
      <c r="N60" s="8"/>
      <c r="O60" s="164"/>
      <c r="P60" s="788"/>
      <c r="Q60" s="788"/>
      <c r="R60" s="788"/>
      <c r="S60" s="788"/>
      <c r="T60" s="788"/>
      <c r="U60" s="788"/>
      <c r="V60" s="788"/>
      <c r="W60" s="788"/>
      <c r="X60" s="788"/>
      <c r="Y60" s="788"/>
      <c r="Z60" s="788"/>
    </row>
    <row r="61" spans="1:26" outlineLevel="1" x14ac:dyDescent="0.25">
      <c r="A61" s="164"/>
      <c r="B61" s="164"/>
      <c r="C61" s="6" t="s">
        <v>0</v>
      </c>
      <c r="D61" s="37" t="s">
        <v>46</v>
      </c>
      <c r="E61" s="13">
        <f>+E52+E59</f>
        <v>-589.76699999999994</v>
      </c>
      <c r="F61" s="13">
        <f t="shared" ref="F61:G61" si="4">+F52+F59</f>
        <v>-135.64599999999996</v>
      </c>
      <c r="G61" s="13">
        <f t="shared" si="4"/>
        <v>-134.28793708927995</v>
      </c>
      <c r="H61" s="434"/>
      <c r="I61" s="13"/>
      <c r="J61" s="435"/>
      <c r="K61" s="13">
        <f>+K52+K59</f>
        <v>-119.21593905707863</v>
      </c>
      <c r="L61" s="13">
        <f t="shared" ref="L61:N61" si="5">+L52+L59</f>
        <v>-77.84269062709734</v>
      </c>
      <c r="M61" s="13">
        <f t="shared" si="5"/>
        <v>-62.372816428723468</v>
      </c>
      <c r="N61" s="13">
        <f t="shared" si="5"/>
        <v>-0.9502458996332166</v>
      </c>
      <c r="O61" s="164"/>
    </row>
    <row r="62" spans="1:26" outlineLevel="1" x14ac:dyDescent="0.25">
      <c r="A62" s="164"/>
      <c r="B62" s="164"/>
      <c r="C62" s="168" t="s">
        <v>51</v>
      </c>
      <c r="D62" s="37" t="s">
        <v>46</v>
      </c>
      <c r="E62" s="501">
        <f>MAXN!E114</f>
        <v>-8.8889999999999993</v>
      </c>
      <c r="F62" s="501">
        <f>MAXN!F114</f>
        <v>-6.3310000000000004</v>
      </c>
      <c r="G62" s="501">
        <f>MAXN!G114</f>
        <v>-7.1150500000000001</v>
      </c>
      <c r="H62" s="546"/>
      <c r="I62" s="17"/>
      <c r="J62" s="425"/>
      <c r="K62" s="501">
        <f>MAXN!H114</f>
        <v>-8.4157536360698941</v>
      </c>
      <c r="L62" s="501">
        <f>MAXN!I114</f>
        <v>-6.4007180029471318</v>
      </c>
      <c r="M62" s="501">
        <f>MAXN!J114</f>
        <v>-8.162064778904929</v>
      </c>
      <c r="N62" s="501">
        <f>MAXN!K114</f>
        <v>-5.0176056317105013</v>
      </c>
      <c r="O62" s="164"/>
      <c r="R62" s="172"/>
      <c r="S62" s="172"/>
      <c r="T62" s="172"/>
    </row>
    <row r="63" spans="1:26" outlineLevel="1" x14ac:dyDescent="0.25">
      <c r="A63" s="164"/>
      <c r="B63" s="164"/>
      <c r="C63" s="554" t="s">
        <v>416</v>
      </c>
      <c r="D63" s="478" t="s">
        <v>46</v>
      </c>
      <c r="E63" s="565"/>
      <c r="F63" s="565"/>
      <c r="G63" s="565"/>
      <c r="H63" s="563"/>
      <c r="I63" s="562"/>
      <c r="J63" s="564"/>
      <c r="K63" s="565">
        <f>-K186-K193-K194</f>
        <v>-23.9084</v>
      </c>
      <c r="L63" s="565">
        <f t="shared" ref="L63:N63" si="6">-L186-L193-L194</f>
        <v>-23.433399999999999</v>
      </c>
      <c r="M63" s="565">
        <f t="shared" si="6"/>
        <v>-28.183399999999999</v>
      </c>
      <c r="N63" s="565">
        <f t="shared" si="6"/>
        <v>-28.183399999999999</v>
      </c>
      <c r="O63" s="164"/>
      <c r="R63" s="172"/>
      <c r="S63" s="172"/>
      <c r="T63" s="172"/>
    </row>
    <row r="64" spans="1:26" outlineLevel="1" x14ac:dyDescent="0.25">
      <c r="A64" s="164"/>
      <c r="B64" s="164"/>
      <c r="C64" s="555" t="s">
        <v>417</v>
      </c>
      <c r="D64" s="518" t="s">
        <v>46</v>
      </c>
      <c r="E64" s="561"/>
      <c r="F64" s="561"/>
      <c r="G64" s="561"/>
      <c r="H64" s="559"/>
      <c r="I64" s="558"/>
      <c r="J64" s="560"/>
      <c r="K64" s="561">
        <f>-K187-K188-K195</f>
        <v>-3.45</v>
      </c>
      <c r="L64" s="561">
        <f t="shared" ref="L64:N64" si="7">-L187-L188-L195</f>
        <v>-3.6</v>
      </c>
      <c r="M64" s="561">
        <f t="shared" si="7"/>
        <v>-2.1</v>
      </c>
      <c r="N64" s="561">
        <f t="shared" si="7"/>
        <v>-2.1</v>
      </c>
      <c r="O64" s="164"/>
      <c r="R64" s="172"/>
      <c r="S64" s="172"/>
      <c r="T64" s="172"/>
    </row>
    <row r="65" spans="1:27" outlineLevel="1" x14ac:dyDescent="0.25">
      <c r="A65" s="164"/>
      <c r="B65" s="164"/>
      <c r="C65" s="566" t="s">
        <v>419</v>
      </c>
      <c r="D65" s="483" t="s">
        <v>46</v>
      </c>
      <c r="E65" s="570"/>
      <c r="F65" s="570"/>
      <c r="G65" s="570"/>
      <c r="H65" s="568"/>
      <c r="I65" s="567"/>
      <c r="J65" s="569"/>
      <c r="K65" s="633">
        <f>-SPWR_Adj!K59</f>
        <v>1.9550000000000001</v>
      </c>
      <c r="L65" s="633">
        <f>-SPWR_Adj!L59</f>
        <v>1.9550000000000001</v>
      </c>
      <c r="M65" s="633">
        <f>-SPWR_Adj!M59</f>
        <v>1.9550000000000001</v>
      </c>
      <c r="N65" s="633">
        <f>-SPWR_Adj!N59</f>
        <v>1.9550000000000001</v>
      </c>
      <c r="O65" s="164"/>
      <c r="R65" s="172"/>
      <c r="S65" s="172"/>
      <c r="T65" s="172"/>
    </row>
    <row r="66" spans="1:27" outlineLevel="1" x14ac:dyDescent="0.25">
      <c r="A66" s="164"/>
      <c r="B66" s="164"/>
      <c r="C66" s="369" t="s">
        <v>296</v>
      </c>
      <c r="D66" s="37" t="s">
        <v>46</v>
      </c>
      <c r="E66" s="501">
        <f>MAXN!E115</f>
        <v>-17</v>
      </c>
      <c r="F66" s="501">
        <f>MAXN!F115</f>
        <v>-19.5</v>
      </c>
      <c r="G66" s="501">
        <f>MAXN!G115</f>
        <v>-19.5</v>
      </c>
      <c r="H66" s="546"/>
      <c r="I66" s="17"/>
      <c r="J66" s="425"/>
      <c r="K66" s="501">
        <f>MAXN!H115</f>
        <v>-18</v>
      </c>
      <c r="L66" s="501">
        <f>MAXN!I115</f>
        <v>-17</v>
      </c>
      <c r="M66" s="501">
        <f>MAXN!J115</f>
        <v>0</v>
      </c>
      <c r="N66" s="501">
        <f>MAXN!K115</f>
        <v>0</v>
      </c>
      <c r="O66" s="164"/>
      <c r="R66" s="172"/>
      <c r="S66" s="172"/>
      <c r="T66" s="172"/>
    </row>
    <row r="67" spans="1:27" outlineLevel="1" x14ac:dyDescent="0.25">
      <c r="A67" s="164"/>
      <c r="B67" s="164"/>
      <c r="C67" s="571" t="s">
        <v>418</v>
      </c>
      <c r="D67" s="460" t="s">
        <v>46</v>
      </c>
      <c r="E67" s="499"/>
      <c r="F67" s="499"/>
      <c r="G67" s="499"/>
      <c r="H67" s="572"/>
      <c r="I67" s="504"/>
      <c r="J67" s="500"/>
      <c r="K67" s="497">
        <f>-MAXN!H115</f>
        <v>18</v>
      </c>
      <c r="L67" s="497">
        <f>-MAXN!I115</f>
        <v>17</v>
      </c>
      <c r="M67" s="497">
        <f>-MAXN!J115</f>
        <v>0</v>
      </c>
      <c r="N67" s="497">
        <f>-MAXN!K115</f>
        <v>0</v>
      </c>
      <c r="O67" s="164"/>
      <c r="R67" s="172"/>
      <c r="S67" s="172"/>
      <c r="T67" s="172"/>
    </row>
    <row r="68" spans="1:27" outlineLevel="1" x14ac:dyDescent="0.25">
      <c r="A68" s="164"/>
      <c r="B68" s="164"/>
      <c r="C68" s="168" t="s">
        <v>50</v>
      </c>
      <c r="D68" s="37" t="s">
        <v>46</v>
      </c>
      <c r="E68" s="501">
        <f>MAXN!E116</f>
        <v>0</v>
      </c>
      <c r="F68" s="501">
        <f>MAXN!F116</f>
        <v>0</v>
      </c>
      <c r="G68" s="501">
        <f>MAXN!G116</f>
        <v>0</v>
      </c>
      <c r="H68" s="546"/>
      <c r="I68" s="17"/>
      <c r="J68" s="425"/>
      <c r="K68" s="501">
        <f>MAXN!H116</f>
        <v>0</v>
      </c>
      <c r="L68" s="501">
        <f>MAXN!I116</f>
        <v>0</v>
      </c>
      <c r="M68" s="501">
        <f>MAXN!J116</f>
        <v>0</v>
      </c>
      <c r="N68" s="501">
        <f>MAXN!K116</f>
        <v>0</v>
      </c>
      <c r="O68" s="164"/>
      <c r="R68" s="172"/>
      <c r="S68" s="172"/>
      <c r="T68" s="172"/>
    </row>
    <row r="69" spans="1:27" outlineLevel="1" x14ac:dyDescent="0.25">
      <c r="A69" s="164"/>
      <c r="B69" s="164"/>
      <c r="C69" s="168" t="s">
        <v>141</v>
      </c>
      <c r="D69" s="38" t="s">
        <v>46</v>
      </c>
      <c r="E69" s="501">
        <f>MAXN!E117</f>
        <v>13.468999999999999</v>
      </c>
      <c r="F69" s="501">
        <f>MAXN!F117</f>
        <v>-1.9610000000000001</v>
      </c>
      <c r="G69" s="501">
        <f>MAXN!G117</f>
        <v>5.7539999999999996</v>
      </c>
      <c r="H69" s="546"/>
      <c r="I69" s="17"/>
      <c r="J69" s="425"/>
      <c r="K69" s="501">
        <f>MAXN!H117</f>
        <v>5.7539999999999996</v>
      </c>
      <c r="L69" s="501">
        <f>MAXN!I117</f>
        <v>5.7539999999999996</v>
      </c>
      <c r="M69" s="501">
        <f>MAXN!J117</f>
        <v>5.7539999999999996</v>
      </c>
      <c r="N69" s="501">
        <f>MAXN!K117</f>
        <v>5.7539999999999996</v>
      </c>
      <c r="O69" s="164"/>
      <c r="R69" s="172"/>
      <c r="S69" s="172"/>
      <c r="T69" s="172"/>
    </row>
    <row r="70" spans="1:27" outlineLevel="1" x14ac:dyDescent="0.25">
      <c r="A70" s="164"/>
      <c r="B70" s="164"/>
      <c r="C70" s="19" t="s">
        <v>1</v>
      </c>
      <c r="D70" s="37" t="s">
        <v>46</v>
      </c>
      <c r="E70" s="12">
        <f>SUM(E61:E69)</f>
        <v>-602.1869999999999</v>
      </c>
      <c r="F70" s="12">
        <f t="shared" ref="F70:G70" si="8">SUM(F61:F69)</f>
        <v>-163.43799999999996</v>
      </c>
      <c r="G70" s="12">
        <f t="shared" si="8"/>
        <v>-155.14898708927996</v>
      </c>
      <c r="H70" s="422"/>
      <c r="I70" s="12"/>
      <c r="J70" s="423"/>
      <c r="K70" s="12">
        <f>SUM(K61:K69)</f>
        <v>-147.28109269314851</v>
      </c>
      <c r="L70" s="12">
        <f t="shared" ref="L70:N70" si="9">SUM(L61:L69)</f>
        <v>-103.56780863004445</v>
      </c>
      <c r="M70" s="12">
        <f t="shared" si="9"/>
        <v>-93.109281207628385</v>
      </c>
      <c r="N70" s="12">
        <f t="shared" si="9"/>
        <v>-28.542251531343723</v>
      </c>
      <c r="O70" s="164"/>
    </row>
    <row r="71" spans="1:27" outlineLevel="1" x14ac:dyDescent="0.25">
      <c r="A71" s="164"/>
      <c r="B71" s="164"/>
      <c r="C71" s="352" t="s">
        <v>226</v>
      </c>
      <c r="D71" s="37" t="s">
        <v>46</v>
      </c>
      <c r="E71" s="11">
        <f>MAXN!E119</f>
        <v>1.05</v>
      </c>
      <c r="F71" s="11">
        <f>MAXN!F119</f>
        <v>-10.122</v>
      </c>
      <c r="G71" s="11">
        <f>MAXN!G119</f>
        <v>34.132777159641591</v>
      </c>
      <c r="H71" s="545"/>
      <c r="I71" s="18"/>
      <c r="J71" s="425"/>
      <c r="K71" s="15">
        <f>-K70*Sub_Tax_Rate</f>
        <v>29.456218538629702</v>
      </c>
      <c r="L71" s="15">
        <f>-L70*Sub_Tax_Rate</f>
        <v>20.713561726008891</v>
      </c>
      <c r="M71" s="15">
        <f>-M70*Sub_Tax_Rate</f>
        <v>18.621856241525677</v>
      </c>
      <c r="N71" s="15">
        <f>-N70*Sub_Tax_Rate</f>
        <v>5.7084503062687446</v>
      </c>
      <c r="O71" s="164"/>
      <c r="Q71" s="172"/>
      <c r="R71" s="172"/>
      <c r="S71" s="172"/>
    </row>
    <row r="72" spans="1:27" outlineLevel="1" x14ac:dyDescent="0.25">
      <c r="A72" s="164"/>
      <c r="B72" s="164"/>
      <c r="C72" s="19" t="s">
        <v>2</v>
      </c>
      <c r="D72" s="43" t="s">
        <v>46</v>
      </c>
      <c r="E72" s="25">
        <f>SUM(E70:E71)</f>
        <v>-601.13699999999994</v>
      </c>
      <c r="F72" s="25">
        <f t="shared" ref="F72:G72" si="10">SUM(F70:F71)</f>
        <v>-173.55999999999995</v>
      </c>
      <c r="G72" s="25">
        <f t="shared" si="10"/>
        <v>-121.01620992963836</v>
      </c>
      <c r="H72" s="436"/>
      <c r="I72" s="25"/>
      <c r="J72" s="437"/>
      <c r="K72" s="25">
        <f>SUM(K70:K71)</f>
        <v>-117.82487415451881</v>
      </c>
      <c r="L72" s="25">
        <f t="shared" ref="L72:N72" si="11">SUM(L70:L71)</f>
        <v>-82.854246904035563</v>
      </c>
      <c r="M72" s="25">
        <f t="shared" si="11"/>
        <v>-74.487424966102708</v>
      </c>
      <c r="N72" s="25">
        <f t="shared" si="11"/>
        <v>-22.833801225074978</v>
      </c>
      <c r="O72" s="164"/>
    </row>
    <row r="73" spans="1:27" outlineLevel="1" x14ac:dyDescent="0.25">
      <c r="A73" s="164"/>
      <c r="B73" s="164"/>
      <c r="C73" s="352" t="s">
        <v>227</v>
      </c>
      <c r="D73" s="37" t="s">
        <v>46</v>
      </c>
      <c r="E73" s="501">
        <f>MAXN!E121</f>
        <v>-2.9430000000000001</v>
      </c>
      <c r="F73" s="501">
        <f>MAXN!F121</f>
        <v>-5.3419999999999996</v>
      </c>
      <c r="G73" s="501">
        <f>MAXN!G121</f>
        <v>1</v>
      </c>
      <c r="H73" s="546"/>
      <c r="I73" s="17"/>
      <c r="J73" s="547"/>
      <c r="K73" s="466">
        <f>MAXN!H121</f>
        <v>2</v>
      </c>
      <c r="L73" s="466">
        <f>MAXN!I121</f>
        <v>2</v>
      </c>
      <c r="M73" s="466">
        <f>MAXN!J121</f>
        <v>3</v>
      </c>
      <c r="N73" s="466">
        <f>MAXN!K121</f>
        <v>4</v>
      </c>
      <c r="O73" s="164"/>
    </row>
    <row r="74" spans="1:27" outlineLevel="1" x14ac:dyDescent="0.25">
      <c r="A74" s="164"/>
      <c r="B74" s="164"/>
      <c r="C74" s="352" t="s">
        <v>241</v>
      </c>
      <c r="D74" s="37" t="s">
        <v>46</v>
      </c>
      <c r="E74" s="501">
        <f>MAXN!E122</f>
        <v>0.26600000000000001</v>
      </c>
      <c r="F74" s="501">
        <f>MAXN!F122</f>
        <v>-4.157</v>
      </c>
      <c r="G74" s="501">
        <f>MAXN!G122</f>
        <v>-1</v>
      </c>
      <c r="H74" s="546"/>
      <c r="I74" s="17"/>
      <c r="J74" s="547"/>
      <c r="K74" s="466">
        <f>MAXN!H122</f>
        <v>-1</v>
      </c>
      <c r="L74" s="466">
        <f>MAXN!I122</f>
        <v>-2</v>
      </c>
      <c r="M74" s="466">
        <f>MAXN!J122</f>
        <v>-4</v>
      </c>
      <c r="N74" s="466">
        <f>MAXN!K122</f>
        <v>-8</v>
      </c>
      <c r="O74" s="164"/>
    </row>
    <row r="75" spans="1:27" outlineLevel="1" x14ac:dyDescent="0.25">
      <c r="A75" s="164"/>
      <c r="B75" s="164"/>
      <c r="C75" s="24" t="s">
        <v>228</v>
      </c>
      <c r="D75" s="43" t="s">
        <v>46</v>
      </c>
      <c r="E75" s="174">
        <f>SUM(E72:E74)</f>
        <v>-603.81399999999996</v>
      </c>
      <c r="F75" s="174">
        <f t="shared" ref="F75:G75" si="12">SUM(F72:F74)</f>
        <v>-183.05899999999997</v>
      </c>
      <c r="G75" s="174">
        <f t="shared" si="12"/>
        <v>-121.01620992963836</v>
      </c>
      <c r="H75" s="440"/>
      <c r="I75" s="174"/>
      <c r="J75" s="441"/>
      <c r="K75" s="174">
        <f>SUM(K72:K74)</f>
        <v>-116.82487415451881</v>
      </c>
      <c r="L75" s="174">
        <f t="shared" ref="L75:N75" si="13">SUM(L72:L74)</f>
        <v>-82.854246904035563</v>
      </c>
      <c r="M75" s="174">
        <f t="shared" si="13"/>
        <v>-75.487424966102708</v>
      </c>
      <c r="N75" s="174">
        <f t="shared" si="13"/>
        <v>-26.833801225074978</v>
      </c>
      <c r="O75" s="164"/>
    </row>
    <row r="76" spans="1:27" x14ac:dyDescent="0.25">
      <c r="A76" s="164"/>
      <c r="B76" s="164"/>
      <c r="C76" s="6"/>
      <c r="D76" s="37"/>
      <c r="E76" s="10"/>
      <c r="F76" s="10"/>
      <c r="G76" s="10"/>
      <c r="H76" s="10"/>
      <c r="I76" s="10"/>
      <c r="J76" s="10"/>
      <c r="K76" s="8"/>
      <c r="L76" s="8"/>
      <c r="M76" s="8"/>
      <c r="N76" s="8"/>
      <c r="O76" s="164"/>
    </row>
    <row r="77" spans="1:27" x14ac:dyDescent="0.25">
      <c r="B77" s="28"/>
      <c r="C77" s="29"/>
      <c r="D77" s="29"/>
      <c r="E77" s="33" t="str">
        <f>$E$47</f>
        <v>Historical:</v>
      </c>
      <c r="F77" s="34"/>
      <c r="G77" s="33" t="str">
        <f>$G$47</f>
        <v>Projected:</v>
      </c>
      <c r="H77" s="415" t="str">
        <f>$H$47</f>
        <v>Transaction Adjustments:</v>
      </c>
      <c r="I77" s="33"/>
      <c r="J77" s="34"/>
      <c r="K77" s="33" t="str">
        <f>$K$47</f>
        <v>Separated Company:</v>
      </c>
      <c r="L77" s="33"/>
      <c r="M77" s="33"/>
      <c r="N77" s="33"/>
    </row>
    <row r="78" spans="1:27" x14ac:dyDescent="0.25">
      <c r="B78" s="30" t="s">
        <v>529</v>
      </c>
      <c r="C78" s="31"/>
      <c r="D78" s="36" t="str">
        <f>SPWR!$D$5</f>
        <v>Units:</v>
      </c>
      <c r="E78" s="32">
        <f>$E$48</f>
        <v>43465</v>
      </c>
      <c r="F78" s="32">
        <f>$F$48</f>
        <v>43830</v>
      </c>
      <c r="G78" s="544">
        <f>$G$48</f>
        <v>44196</v>
      </c>
      <c r="H78" s="416" t="str">
        <f>$H$48</f>
        <v>Debit</v>
      </c>
      <c r="I78" s="32" t="str">
        <f>$I$48</f>
        <v>Credit</v>
      </c>
      <c r="J78" s="35">
        <f>$J$48</f>
        <v>44196</v>
      </c>
      <c r="K78" s="32">
        <f>$K$48</f>
        <v>44561</v>
      </c>
      <c r="L78" s="32">
        <f>$L$48</f>
        <v>44926</v>
      </c>
      <c r="M78" s="32">
        <f>$M$48</f>
        <v>45291</v>
      </c>
      <c r="N78" s="32">
        <f>$N$48</f>
        <v>45657</v>
      </c>
    </row>
    <row r="79" spans="1:27" outlineLevel="1" x14ac:dyDescent="0.25">
      <c r="B79" s="59" t="s">
        <v>47</v>
      </c>
      <c r="C79" s="175"/>
      <c r="D79" s="175"/>
      <c r="E79" s="175"/>
      <c r="F79" s="175"/>
      <c r="G79" s="175"/>
      <c r="H79" s="599"/>
      <c r="I79" s="175"/>
      <c r="J79" s="600"/>
      <c r="K79" s="175"/>
      <c r="L79" s="175"/>
      <c r="M79" s="175"/>
      <c r="N79" s="175"/>
      <c r="P79" s="795"/>
      <c r="Q79" s="795"/>
      <c r="R79" s="795"/>
      <c r="S79" s="795"/>
      <c r="T79" s="795"/>
      <c r="U79" s="795"/>
      <c r="V79" s="795"/>
      <c r="W79" s="795"/>
      <c r="X79" s="795"/>
      <c r="Y79" s="795"/>
      <c r="Z79" s="795"/>
      <c r="AA79" s="778"/>
    </row>
    <row r="80" spans="1:27" outlineLevel="1" x14ac:dyDescent="0.25">
      <c r="C80" s="6" t="s">
        <v>6</v>
      </c>
      <c r="F80" s="172"/>
      <c r="G80" s="172"/>
      <c r="H80" s="601"/>
      <c r="I80" s="354"/>
      <c r="J80" s="529"/>
      <c r="P80" s="795"/>
      <c r="Q80" s="795"/>
      <c r="R80" s="795"/>
      <c r="S80" s="795"/>
      <c r="T80" s="795"/>
      <c r="U80" s="795"/>
      <c r="V80" s="795"/>
      <c r="W80" s="795"/>
      <c r="X80" s="795"/>
      <c r="Y80" s="795"/>
      <c r="Z80" s="795"/>
      <c r="AA80" s="778"/>
    </row>
    <row r="81" spans="2:27" outlineLevel="1" x14ac:dyDescent="0.25">
      <c r="C81" s="631" t="s">
        <v>12</v>
      </c>
      <c r="D81" s="460" t="s">
        <v>46</v>
      </c>
      <c r="E81" s="598">
        <f>MAXN!E129</f>
        <v>101.74899999999991</v>
      </c>
      <c r="F81" s="598">
        <f>MAXN!F129</f>
        <v>123.80299999999995</v>
      </c>
      <c r="G81" s="598">
        <f>MAXN!G129</f>
        <v>116.60658743759889</v>
      </c>
      <c r="H81" s="589">
        <f>E36+E37-MIN(E41,0)+E16</f>
        <v>497.5</v>
      </c>
      <c r="I81" s="588">
        <f>E34+E35+E38-MAX(0,E41)</f>
        <v>-266.10658743759888</v>
      </c>
      <c r="J81" s="590">
        <f t="shared" ref="J81:J84" si="14">+G81+H81+I81</f>
        <v>348.00000000000006</v>
      </c>
      <c r="K81" s="588">
        <f>+K168</f>
        <v>67.785462067764115</v>
      </c>
      <c r="L81" s="588">
        <f t="shared" ref="L81:N81" si="15">+L168</f>
        <v>50</v>
      </c>
      <c r="M81" s="588">
        <f t="shared" si="15"/>
        <v>49.999999999999993</v>
      </c>
      <c r="N81" s="588">
        <f t="shared" si="15"/>
        <v>50</v>
      </c>
      <c r="P81" s="795"/>
      <c r="Q81" s="795"/>
      <c r="R81" s="795"/>
      <c r="S81" s="795"/>
      <c r="T81" s="795"/>
      <c r="U81" s="795"/>
      <c r="V81" s="795"/>
      <c r="W81" s="795"/>
      <c r="X81" s="795"/>
      <c r="Y81" s="795"/>
      <c r="Z81" s="795"/>
      <c r="AA81" s="778"/>
    </row>
    <row r="82" spans="2:27" outlineLevel="1" x14ac:dyDescent="0.25">
      <c r="C82" s="169" t="s">
        <v>11</v>
      </c>
      <c r="D82" s="48" t="s">
        <v>46</v>
      </c>
      <c r="E82" s="466">
        <f>MAXN!E130</f>
        <v>73.802000000000007</v>
      </c>
      <c r="F82" s="466">
        <f>MAXN!F130</f>
        <v>150.36500000000001</v>
      </c>
      <c r="G82" s="466">
        <f>MAXN!G130</f>
        <v>86.606197637431436</v>
      </c>
      <c r="H82" s="472">
        <v>0</v>
      </c>
      <c r="I82" s="44">
        <v>0</v>
      </c>
      <c r="J82" s="421">
        <f t="shared" si="14"/>
        <v>86.606197637431436</v>
      </c>
      <c r="K82" s="73">
        <f>+J82-K138</f>
        <v>109.48715353349093</v>
      </c>
      <c r="L82" s="73">
        <f t="shared" ref="L82:N82" si="16">+K82-L138</f>
        <v>135.05912688929968</v>
      </c>
      <c r="M82" s="73">
        <f t="shared" si="16"/>
        <v>163.6972195906605</v>
      </c>
      <c r="N82" s="73">
        <f t="shared" si="16"/>
        <v>194.13270753603862</v>
      </c>
      <c r="P82" s="795"/>
      <c r="Q82" s="795"/>
      <c r="R82" s="795"/>
      <c r="S82" s="795"/>
      <c r="T82" s="795"/>
      <c r="U82" s="795"/>
      <c r="V82" s="795"/>
      <c r="W82" s="795"/>
      <c r="X82" s="795"/>
      <c r="Y82" s="795"/>
      <c r="Z82" s="795"/>
      <c r="AA82" s="778"/>
    </row>
    <row r="83" spans="2:27" outlineLevel="1" x14ac:dyDescent="0.25">
      <c r="C83" s="350" t="s">
        <v>219</v>
      </c>
      <c r="D83" s="48" t="s">
        <v>46</v>
      </c>
      <c r="E83" s="466">
        <f>MAXN!E131</f>
        <v>222.81700000000001</v>
      </c>
      <c r="F83" s="466">
        <f>MAXN!F131</f>
        <v>194.852</v>
      </c>
      <c r="G83" s="466">
        <f>MAXN!G131</f>
        <v>153.67683601107433</v>
      </c>
      <c r="H83" s="472">
        <v>0</v>
      </c>
      <c r="I83" s="44">
        <v>0</v>
      </c>
      <c r="J83" s="421">
        <f t="shared" si="14"/>
        <v>153.67683601107433</v>
      </c>
      <c r="K83" s="73">
        <f t="shared" ref="K83:N84" si="17">+J83-K139</f>
        <v>178.20641697094013</v>
      </c>
      <c r="L83" s="73">
        <f t="shared" si="17"/>
        <v>212.80207442310487</v>
      </c>
      <c r="M83" s="73">
        <f t="shared" si="17"/>
        <v>255.49161768989876</v>
      </c>
      <c r="N83" s="73">
        <f t="shared" si="17"/>
        <v>299.38695357452531</v>
      </c>
      <c r="P83" s="795"/>
      <c r="Q83" s="795"/>
      <c r="R83" s="795"/>
      <c r="S83" s="795"/>
      <c r="T83" s="795"/>
      <c r="U83" s="795"/>
      <c r="V83" s="795"/>
      <c r="W83" s="795"/>
      <c r="X83" s="795"/>
      <c r="Y83" s="795"/>
      <c r="Z83" s="795"/>
      <c r="AA83" s="778"/>
    </row>
    <row r="84" spans="2:27" outlineLevel="1" x14ac:dyDescent="0.25">
      <c r="C84" s="608" t="s">
        <v>218</v>
      </c>
      <c r="D84" s="460" t="s">
        <v>46</v>
      </c>
      <c r="E84" s="594">
        <f>MAXN!E132</f>
        <v>203.33</v>
      </c>
      <c r="F84" s="594">
        <f>MAXN!F132</f>
        <v>159.75</v>
      </c>
      <c r="G84" s="594">
        <f>MAXN!G132</f>
        <v>149.47372941851353</v>
      </c>
      <c r="H84" s="609">
        <v>0</v>
      </c>
      <c r="I84" s="594">
        <f>-SPWR_Adj!H94</f>
        <v>-6.7480000000000002</v>
      </c>
      <c r="J84" s="596">
        <f t="shared" si="14"/>
        <v>142.72572941851354</v>
      </c>
      <c r="K84" s="597">
        <f t="shared" si="17"/>
        <v>182.21599574751767</v>
      </c>
      <c r="L84" s="597">
        <f t="shared" si="17"/>
        <v>226.35069199738018</v>
      </c>
      <c r="M84" s="597">
        <f t="shared" si="17"/>
        <v>275.77720691523871</v>
      </c>
      <c r="N84" s="597">
        <f t="shared" si="17"/>
        <v>328.30584821309498</v>
      </c>
      <c r="P84" s="795"/>
      <c r="Q84" s="795"/>
      <c r="R84" s="795"/>
      <c r="S84" s="795"/>
      <c r="T84" s="795"/>
      <c r="U84" s="795"/>
      <c r="V84" s="795"/>
      <c r="W84" s="795"/>
      <c r="X84" s="795"/>
      <c r="Y84" s="795"/>
      <c r="Z84" s="795"/>
      <c r="AA84" s="778"/>
    </row>
    <row r="85" spans="2:27" outlineLevel="1" x14ac:dyDescent="0.25">
      <c r="C85" s="24" t="s">
        <v>5</v>
      </c>
      <c r="D85" s="48" t="s">
        <v>46</v>
      </c>
      <c r="E85" s="25">
        <f>SUM(E81:E84)</f>
        <v>601.69799999999998</v>
      </c>
      <c r="F85" s="25">
        <f t="shared" ref="F85:G85" si="18">SUM(F81:F84)</f>
        <v>628.77</v>
      </c>
      <c r="G85" s="25">
        <f t="shared" si="18"/>
        <v>506.36335050461815</v>
      </c>
      <c r="H85" s="436"/>
      <c r="I85" s="25"/>
      <c r="J85" s="437">
        <f>SUM(J81:J84)</f>
        <v>731.00876306701934</v>
      </c>
      <c r="K85" s="25">
        <f>SUM(K81:K84)</f>
        <v>537.69502831971283</v>
      </c>
      <c r="L85" s="25">
        <f t="shared" ref="L85:N85" si="19">SUM(L81:L84)</f>
        <v>624.21189330978473</v>
      </c>
      <c r="M85" s="25">
        <f t="shared" si="19"/>
        <v>744.96604419579796</v>
      </c>
      <c r="N85" s="25">
        <f t="shared" si="19"/>
        <v>871.82550932365893</v>
      </c>
      <c r="P85" s="795"/>
      <c r="Q85" s="795"/>
      <c r="R85" s="795"/>
      <c r="S85" s="795"/>
      <c r="T85" s="795"/>
      <c r="U85" s="795"/>
      <c r="V85" s="795"/>
      <c r="W85" s="795"/>
      <c r="X85" s="795"/>
      <c r="Y85" s="795"/>
      <c r="Z85" s="795"/>
      <c r="AA85" s="778"/>
    </row>
    <row r="86" spans="2:27" outlineLevel="1" x14ac:dyDescent="0.25">
      <c r="B86" s="164"/>
      <c r="H86" s="528"/>
      <c r="I86" s="164"/>
      <c r="J86" s="529"/>
      <c r="P86" s="788"/>
      <c r="Q86" s="788"/>
      <c r="R86" s="788"/>
      <c r="S86" s="788"/>
      <c r="T86" s="788"/>
      <c r="U86" s="788"/>
      <c r="V86" s="788"/>
      <c r="W86" s="788"/>
      <c r="X86" s="788"/>
      <c r="Y86" s="788"/>
      <c r="Z86" s="778"/>
      <c r="AA86" s="778"/>
    </row>
    <row r="87" spans="2:27" outlineLevel="1" x14ac:dyDescent="0.25">
      <c r="C87" s="6" t="s">
        <v>4</v>
      </c>
      <c r="H87" s="528"/>
      <c r="I87" s="164"/>
      <c r="J87" s="529"/>
      <c r="P87" s="788"/>
      <c r="Q87" s="788"/>
      <c r="R87" s="788"/>
      <c r="S87" s="788"/>
      <c r="T87" s="788"/>
      <c r="U87" s="788"/>
      <c r="V87" s="788"/>
      <c r="W87" s="788"/>
      <c r="X87" s="788"/>
      <c r="Y87" s="788"/>
      <c r="Z87" s="778"/>
      <c r="AA87" s="778"/>
    </row>
    <row r="88" spans="2:27" outlineLevel="1" x14ac:dyDescent="0.25">
      <c r="C88" s="611" t="s">
        <v>107</v>
      </c>
      <c r="D88" s="478" t="s">
        <v>46</v>
      </c>
      <c r="E88" s="582">
        <f>MAXN!E136</f>
        <v>285.74</v>
      </c>
      <c r="F88" s="582">
        <f>MAXN!F136</f>
        <v>281.2</v>
      </c>
      <c r="G88" s="582">
        <f>MAXN!G136</f>
        <v>308.22742241194396</v>
      </c>
      <c r="H88" s="612">
        <v>0</v>
      </c>
      <c r="I88" s="582">
        <f>-SPWR_Adj!H98</f>
        <v>-1.327</v>
      </c>
      <c r="J88" s="585">
        <f t="shared" ref="J88:J92" si="20">+G88+H88+I88</f>
        <v>306.90042241194396</v>
      </c>
      <c r="K88" s="584">
        <f>+J88-K125-K126-K135-K148-K149</f>
        <v>397.26848608831295</v>
      </c>
      <c r="L88" s="584">
        <f t="shared" ref="L88:N88" si="21">+K88-L125-L126-L135-L148-L149</f>
        <v>464.59742098476642</v>
      </c>
      <c r="M88" s="584">
        <f t="shared" si="21"/>
        <v>496.71145174689417</v>
      </c>
      <c r="N88" s="584">
        <f t="shared" si="21"/>
        <v>522.14501732216922</v>
      </c>
      <c r="P88" s="788"/>
      <c r="Q88" s="788"/>
      <c r="R88" s="788"/>
      <c r="S88" s="788"/>
      <c r="T88" s="788"/>
      <c r="U88" s="788"/>
      <c r="V88" s="788"/>
      <c r="W88" s="788"/>
      <c r="X88" s="788"/>
      <c r="Y88" s="788"/>
      <c r="Z88" s="778"/>
      <c r="AA88" s="778"/>
    </row>
    <row r="89" spans="2:27" outlineLevel="1" x14ac:dyDescent="0.25">
      <c r="C89" s="610" t="s">
        <v>105</v>
      </c>
      <c r="D89" s="518" t="s">
        <v>46</v>
      </c>
      <c r="E89" s="574">
        <f>MAXN!E137</f>
        <v>0</v>
      </c>
      <c r="F89" s="574">
        <f>MAXN!F137</f>
        <v>18.759</v>
      </c>
      <c r="G89" s="574">
        <f>MAXN!G137</f>
        <v>21.131924095671614</v>
      </c>
      <c r="H89" s="607">
        <v>0</v>
      </c>
      <c r="I89" s="574">
        <f>-SPWR_Adj!H99</f>
        <v>-7.8040000000000003</v>
      </c>
      <c r="J89" s="576">
        <f t="shared" si="20"/>
        <v>13.327924095671614</v>
      </c>
      <c r="K89" s="575">
        <f>+J89-K141</f>
        <v>17.883385068148115</v>
      </c>
      <c r="L89" s="575">
        <f t="shared" ref="L89:N89" si="22">+K89-L141</f>
        <v>20.587522255509498</v>
      </c>
      <c r="M89" s="575">
        <f t="shared" si="22"/>
        <v>25.993198786187609</v>
      </c>
      <c r="N89" s="575">
        <f t="shared" si="22"/>
        <v>26.811374529478531</v>
      </c>
      <c r="P89" s="788"/>
      <c r="Q89" s="794"/>
      <c r="R89" s="788"/>
      <c r="S89" s="788"/>
      <c r="T89" s="788"/>
      <c r="U89" s="788"/>
      <c r="V89" s="788"/>
      <c r="W89" s="788"/>
      <c r="X89" s="788"/>
      <c r="Y89" s="788"/>
      <c r="Z89" s="778"/>
      <c r="AA89" s="778"/>
    </row>
    <row r="90" spans="2:27" outlineLevel="1" x14ac:dyDescent="0.25">
      <c r="C90" s="613" t="s">
        <v>8</v>
      </c>
      <c r="D90" s="483" t="s">
        <v>46</v>
      </c>
      <c r="E90" s="577">
        <f>MAXN!E138</f>
        <v>12.16</v>
      </c>
      <c r="F90" s="577">
        <f>MAXN!F138</f>
        <v>5.0919999999999996</v>
      </c>
      <c r="G90" s="577">
        <f>MAXN!G138</f>
        <v>6.7705992136160003</v>
      </c>
      <c r="H90" s="614">
        <v>0</v>
      </c>
      <c r="I90" s="577">
        <f>-SPWR_Adj!H100</f>
        <v>-1.1870000000000001</v>
      </c>
      <c r="J90" s="580">
        <f t="shared" si="20"/>
        <v>5.583599213616</v>
      </c>
      <c r="K90" s="579">
        <f>+J90-K127-K128-K150</f>
        <v>2.7077539008306646</v>
      </c>
      <c r="L90" s="579">
        <f t="shared" ref="L90:N90" si="23">+K90-L127-L128-L150</f>
        <v>0.82317931777697417</v>
      </c>
      <c r="M90" s="579">
        <f t="shared" si="23"/>
        <v>3.2215058892663606</v>
      </c>
      <c r="N90" s="579">
        <f t="shared" si="23"/>
        <v>7.3895321193763763</v>
      </c>
      <c r="P90" s="788"/>
      <c r="Q90" s="794"/>
      <c r="R90" s="788"/>
      <c r="S90" s="788"/>
      <c r="T90" s="788"/>
      <c r="U90" s="788"/>
      <c r="V90" s="788"/>
      <c r="W90" s="788"/>
      <c r="X90" s="788"/>
      <c r="Y90" s="788"/>
      <c r="Z90" s="778"/>
      <c r="AA90" s="778"/>
    </row>
    <row r="91" spans="2:27" outlineLevel="1" x14ac:dyDescent="0.25">
      <c r="C91" s="368" t="s">
        <v>279</v>
      </c>
      <c r="D91" s="48" t="s">
        <v>46</v>
      </c>
      <c r="E91" s="466">
        <f>MAXN!E139</f>
        <v>41.173000000000002</v>
      </c>
      <c r="F91" s="466">
        <f>MAXN!F139</f>
        <v>34.393000000000001</v>
      </c>
      <c r="G91" s="466">
        <f>MAXN!G139</f>
        <v>35.393000000000001</v>
      </c>
      <c r="H91" s="472">
        <v>0</v>
      </c>
      <c r="I91" s="44">
        <v>0</v>
      </c>
      <c r="J91" s="421">
        <f t="shared" si="20"/>
        <v>35.393000000000001</v>
      </c>
      <c r="K91" s="73">
        <f>+J91-K123-K151</f>
        <v>37.393000000000001</v>
      </c>
      <c r="L91" s="73">
        <f t="shared" ref="L91:N91" si="24">+K91-L123-L151</f>
        <v>39.393000000000001</v>
      </c>
      <c r="M91" s="73">
        <f t="shared" si="24"/>
        <v>42.393000000000001</v>
      </c>
      <c r="N91" s="73">
        <f t="shared" si="24"/>
        <v>46.393000000000001</v>
      </c>
      <c r="P91" s="778"/>
      <c r="Q91" s="778"/>
      <c r="R91" s="778"/>
      <c r="S91" s="778"/>
      <c r="T91" s="778"/>
      <c r="U91" s="778"/>
      <c r="V91" s="778"/>
      <c r="W91" s="778"/>
      <c r="X91" s="778"/>
      <c r="Y91" s="778"/>
      <c r="Z91" s="778"/>
      <c r="AA91" s="778"/>
    </row>
    <row r="92" spans="2:27" outlineLevel="1" x14ac:dyDescent="0.25">
      <c r="C92" s="45" t="s">
        <v>58</v>
      </c>
      <c r="D92" s="58" t="s">
        <v>46</v>
      </c>
      <c r="E92" s="466">
        <f>MAXN!E140</f>
        <v>24.613</v>
      </c>
      <c r="F92" s="466">
        <f>MAXN!F140</f>
        <v>18.656999999999996</v>
      </c>
      <c r="G92" s="466">
        <f>MAXN!G140</f>
        <v>57.862777159641588</v>
      </c>
      <c r="H92" s="472">
        <v>0</v>
      </c>
      <c r="I92" s="44">
        <v>0</v>
      </c>
      <c r="J92" s="421">
        <f t="shared" si="20"/>
        <v>57.862777159641588</v>
      </c>
      <c r="K92" s="73">
        <f>+J92-K134-K136</f>
        <v>92.391995698271288</v>
      </c>
      <c r="L92" s="73">
        <f t="shared" ref="L92:N92" si="25">+K92-L134-L136</f>
        <v>118.17855742428017</v>
      </c>
      <c r="M92" s="73">
        <f t="shared" si="25"/>
        <v>141.87341366580586</v>
      </c>
      <c r="N92" s="73">
        <f t="shared" si="25"/>
        <v>152.65486397207459</v>
      </c>
      <c r="P92" s="778"/>
      <c r="Q92" s="778"/>
      <c r="R92" s="778"/>
      <c r="S92" s="778"/>
      <c r="T92" s="778"/>
      <c r="U92" s="778"/>
      <c r="V92" s="778"/>
      <c r="W92" s="778"/>
      <c r="X92" s="778"/>
      <c r="Y92" s="778"/>
      <c r="Z92" s="778"/>
      <c r="AA92" s="778"/>
    </row>
    <row r="93" spans="2:27" outlineLevel="1" x14ac:dyDescent="0.25">
      <c r="C93" s="6" t="s">
        <v>22</v>
      </c>
      <c r="D93" s="48" t="s">
        <v>46</v>
      </c>
      <c r="E93" s="25">
        <f>SUM(E88:E92)</f>
        <v>363.68600000000004</v>
      </c>
      <c r="F93" s="25">
        <f t="shared" ref="F93:G93" si="26">SUM(F88:F92)</f>
        <v>358.10099999999994</v>
      </c>
      <c r="G93" s="25">
        <f t="shared" si="26"/>
        <v>429.38572288087312</v>
      </c>
      <c r="H93" s="436"/>
      <c r="I93" s="25"/>
      <c r="J93" s="437">
        <f>SUM(J88:J92)</f>
        <v>419.06772288087325</v>
      </c>
      <c r="K93" s="25">
        <f>SUM(K88:K92)</f>
        <v>547.6446207555631</v>
      </c>
      <c r="L93" s="25">
        <f t="shared" ref="L93:N93" si="27">SUM(L88:L92)</f>
        <v>643.579679982333</v>
      </c>
      <c r="M93" s="25">
        <f t="shared" si="27"/>
        <v>710.19257008815407</v>
      </c>
      <c r="N93" s="25">
        <f t="shared" si="27"/>
        <v>755.39378794309869</v>
      </c>
      <c r="P93" s="778"/>
      <c r="Q93" s="778"/>
      <c r="R93" s="778"/>
      <c r="S93" s="778"/>
      <c r="T93" s="778"/>
      <c r="U93" s="778"/>
      <c r="V93" s="778"/>
      <c r="W93" s="778"/>
      <c r="X93" s="778"/>
      <c r="Y93" s="778"/>
      <c r="Z93" s="778"/>
      <c r="AA93" s="778"/>
    </row>
    <row r="94" spans="2:27" outlineLevel="1" x14ac:dyDescent="0.25">
      <c r="B94" s="46"/>
      <c r="E94" s="171"/>
      <c r="H94" s="528"/>
      <c r="I94" s="164"/>
      <c r="J94" s="529"/>
      <c r="P94" s="778"/>
      <c r="Q94" s="778"/>
      <c r="R94" s="778"/>
      <c r="S94" s="778"/>
      <c r="T94" s="778"/>
      <c r="U94" s="778"/>
      <c r="V94" s="778"/>
      <c r="W94" s="778"/>
      <c r="X94" s="778"/>
      <c r="Y94" s="778"/>
      <c r="Z94" s="778"/>
      <c r="AA94" s="778"/>
    </row>
    <row r="95" spans="2:27" outlineLevel="1" x14ac:dyDescent="0.25">
      <c r="C95" s="47" t="s">
        <v>23</v>
      </c>
      <c r="D95" s="48" t="s">
        <v>46</v>
      </c>
      <c r="E95" s="49">
        <f>+E85+E93</f>
        <v>965.38400000000001</v>
      </c>
      <c r="F95" s="49">
        <f t="shared" ref="F95:G95" si="28">+F85+F93</f>
        <v>986.87099999999987</v>
      </c>
      <c r="G95" s="49">
        <f t="shared" si="28"/>
        <v>935.74907338549133</v>
      </c>
      <c r="H95" s="446"/>
      <c r="I95" s="50"/>
      <c r="J95" s="447">
        <f t="shared" ref="J95:K95" si="29">+J85+J93</f>
        <v>1150.0764859478927</v>
      </c>
      <c r="K95" s="49">
        <f t="shared" si="29"/>
        <v>1085.3396490752759</v>
      </c>
      <c r="L95" s="49">
        <f t="shared" ref="L95:N95" si="30">+L85+L93</f>
        <v>1267.7915732921178</v>
      </c>
      <c r="M95" s="49">
        <f t="shared" si="30"/>
        <v>1455.1586142839519</v>
      </c>
      <c r="N95" s="49">
        <f t="shared" si="30"/>
        <v>1627.2192972667576</v>
      </c>
      <c r="P95" s="778"/>
      <c r="Q95" s="778"/>
      <c r="R95" s="778"/>
      <c r="S95" s="778"/>
      <c r="T95" s="778"/>
      <c r="U95" s="778"/>
      <c r="V95" s="778"/>
      <c r="W95" s="778"/>
      <c r="X95" s="778"/>
      <c r="Y95" s="778"/>
      <c r="Z95" s="778"/>
      <c r="AA95" s="778"/>
    </row>
    <row r="96" spans="2:27" outlineLevel="1" x14ac:dyDescent="0.25">
      <c r="C96" s="46"/>
      <c r="H96" s="528"/>
      <c r="I96" s="164"/>
      <c r="J96" s="529"/>
      <c r="P96" s="778"/>
      <c r="Q96" s="778"/>
      <c r="R96" s="778"/>
      <c r="S96" s="778"/>
      <c r="T96" s="778"/>
      <c r="U96" s="778"/>
      <c r="V96" s="778"/>
      <c r="W96" s="778"/>
      <c r="X96" s="778"/>
      <c r="Y96" s="778"/>
      <c r="Z96" s="778"/>
      <c r="AA96" s="778"/>
    </row>
    <row r="97" spans="2:27" outlineLevel="1" x14ac:dyDescent="0.25">
      <c r="B97" s="59" t="s">
        <v>48</v>
      </c>
      <c r="C97" s="175"/>
      <c r="D97" s="175"/>
      <c r="E97" s="175"/>
      <c r="F97" s="175"/>
      <c r="G97" s="175"/>
      <c r="H97" s="599"/>
      <c r="I97" s="175"/>
      <c r="J97" s="600"/>
      <c r="K97" s="175"/>
      <c r="L97" s="175"/>
      <c r="M97" s="175"/>
      <c r="N97" s="175"/>
      <c r="P97" s="778"/>
      <c r="Q97" s="778"/>
      <c r="R97" s="778"/>
      <c r="S97" s="778"/>
      <c r="T97" s="778"/>
      <c r="U97" s="778"/>
      <c r="V97" s="778"/>
      <c r="W97" s="778"/>
      <c r="X97" s="778"/>
      <c r="Y97" s="778"/>
      <c r="Z97" s="778"/>
      <c r="AA97" s="778"/>
    </row>
    <row r="98" spans="2:27" outlineLevel="1" x14ac:dyDescent="0.25">
      <c r="C98" s="6" t="s">
        <v>56</v>
      </c>
      <c r="H98" s="528"/>
      <c r="I98" s="164"/>
      <c r="J98" s="529"/>
      <c r="P98" s="778"/>
      <c r="Q98" s="778"/>
      <c r="R98" s="778"/>
      <c r="S98" s="778"/>
      <c r="T98" s="778"/>
      <c r="U98" s="778"/>
      <c r="V98" s="778"/>
      <c r="W98" s="778"/>
      <c r="X98" s="778"/>
      <c r="Y98" s="778"/>
      <c r="Z98" s="778"/>
      <c r="AA98" s="778"/>
    </row>
    <row r="99" spans="2:27" outlineLevel="1" x14ac:dyDescent="0.25">
      <c r="C99" s="627" t="s">
        <v>366</v>
      </c>
      <c r="D99" s="460" t="s">
        <v>46</v>
      </c>
      <c r="E99" s="598">
        <f>MAXN!E147</f>
        <v>296.43599999999998</v>
      </c>
      <c r="F99" s="598">
        <f>MAXN!F147</f>
        <v>379.03399999999999</v>
      </c>
      <c r="G99" s="598">
        <f>MAXN!G147</f>
        <v>244.44216908818632</v>
      </c>
      <c r="H99" s="635">
        <f>-SPWR_Adj!I109</f>
        <v>-22.751999999999999</v>
      </c>
      <c r="I99" s="636">
        <v>0</v>
      </c>
      <c r="J99" s="590">
        <f>+G99+H99+I99</f>
        <v>221.69016908818631</v>
      </c>
      <c r="K99" s="588">
        <f>+J99+K142</f>
        <v>260.70752611017616</v>
      </c>
      <c r="L99" s="588">
        <f t="shared" ref="L99:N99" si="31">+K99+L142</f>
        <v>315.73623289608122</v>
      </c>
      <c r="M99" s="588">
        <f t="shared" si="31"/>
        <v>383.63927426769754</v>
      </c>
      <c r="N99" s="588">
        <f t="shared" si="31"/>
        <v>453.46027914392624</v>
      </c>
      <c r="P99" s="778"/>
      <c r="Q99" s="778"/>
      <c r="R99" s="778"/>
      <c r="S99" s="778"/>
      <c r="T99" s="778"/>
      <c r="U99" s="778"/>
      <c r="V99" s="778"/>
      <c r="W99" s="778"/>
      <c r="X99" s="778"/>
      <c r="Y99" s="778"/>
      <c r="Z99" s="778"/>
      <c r="AA99" s="778"/>
    </row>
    <row r="100" spans="2:27" outlineLevel="1" x14ac:dyDescent="0.25">
      <c r="C100" s="350" t="s">
        <v>220</v>
      </c>
      <c r="D100" s="58" t="s">
        <v>46</v>
      </c>
      <c r="E100" s="466">
        <f>MAXN!E148</f>
        <v>108.095</v>
      </c>
      <c r="F100" s="466">
        <f>MAXN!F148</f>
        <v>114.55500000000001</v>
      </c>
      <c r="G100" s="466">
        <f>MAXN!G148</f>
        <v>89.83963951232883</v>
      </c>
      <c r="H100" s="472">
        <v>0</v>
      </c>
      <c r="I100" s="44">
        <v>0</v>
      </c>
      <c r="J100" s="421">
        <f t="shared" ref="J100" si="32">+G100+H100+I100</f>
        <v>89.83963951232883</v>
      </c>
      <c r="K100" s="73">
        <f t="shared" ref="K100:N100" si="33">+J100+K143</f>
        <v>113.57485576099873</v>
      </c>
      <c r="L100" s="73">
        <f t="shared" si="33"/>
        <v>140.10155859030991</v>
      </c>
      <c r="M100" s="73">
        <f t="shared" si="33"/>
        <v>169.80885431274586</v>
      </c>
      <c r="N100" s="73">
        <f t="shared" si="33"/>
        <v>201.38065101996932</v>
      </c>
      <c r="P100" s="778"/>
      <c r="Q100" s="778"/>
      <c r="R100" s="778"/>
      <c r="S100" s="778"/>
      <c r="T100" s="778"/>
      <c r="U100" s="778"/>
      <c r="V100" s="778"/>
      <c r="W100" s="778"/>
      <c r="X100" s="778"/>
      <c r="Y100" s="778"/>
      <c r="Z100" s="778"/>
      <c r="AA100" s="778"/>
    </row>
    <row r="101" spans="2:27" outlineLevel="1" x14ac:dyDescent="0.25">
      <c r="C101" s="24" t="s">
        <v>57</v>
      </c>
      <c r="D101" s="48" t="s">
        <v>46</v>
      </c>
      <c r="E101" s="25">
        <f>SUM(E99:E100)</f>
        <v>404.53099999999995</v>
      </c>
      <c r="F101" s="25">
        <f>SUM(F99:F100)</f>
        <v>493.589</v>
      </c>
      <c r="G101" s="25">
        <f>SUM(G99:G100)</f>
        <v>334.28180860051515</v>
      </c>
      <c r="H101" s="436"/>
      <c r="I101" s="25"/>
      <c r="J101" s="437">
        <f>SUM(J99:J100)</f>
        <v>311.52980860051514</v>
      </c>
      <c r="K101" s="25">
        <f>SUM(K99:K100)</f>
        <v>374.28238187117489</v>
      </c>
      <c r="L101" s="25">
        <f t="shared" ref="L101:N101" si="34">SUM(L99:L100)</f>
        <v>455.8377914863911</v>
      </c>
      <c r="M101" s="25">
        <f t="shared" si="34"/>
        <v>553.44812858044338</v>
      </c>
      <c r="N101" s="25">
        <f t="shared" si="34"/>
        <v>654.84093016389556</v>
      </c>
      <c r="P101" s="778"/>
      <c r="Q101" s="778"/>
      <c r="R101" s="778"/>
      <c r="S101" s="778"/>
      <c r="T101" s="778"/>
      <c r="U101" s="778"/>
      <c r="V101" s="778"/>
      <c r="W101" s="778"/>
      <c r="X101" s="778"/>
      <c r="Y101" s="778"/>
      <c r="Z101" s="778"/>
      <c r="AA101" s="778"/>
    </row>
    <row r="102" spans="2:27" outlineLevel="1" x14ac:dyDescent="0.25">
      <c r="C102" s="164"/>
      <c r="H102" s="528"/>
      <c r="I102" s="164"/>
      <c r="J102" s="529"/>
      <c r="P102" s="778"/>
      <c r="Q102" s="778"/>
      <c r="R102" s="778"/>
      <c r="S102" s="778"/>
      <c r="T102" s="778"/>
      <c r="U102" s="778"/>
      <c r="V102" s="778"/>
      <c r="W102" s="778"/>
      <c r="X102" s="778"/>
      <c r="Y102" s="778"/>
      <c r="Z102" s="778"/>
      <c r="AA102" s="778"/>
    </row>
    <row r="103" spans="2:27" outlineLevel="1" x14ac:dyDescent="0.25">
      <c r="C103" s="6" t="s">
        <v>54</v>
      </c>
      <c r="H103" s="528"/>
      <c r="I103" s="164"/>
      <c r="J103" s="529"/>
      <c r="P103" s="778"/>
      <c r="Q103" s="778"/>
      <c r="R103" s="778"/>
      <c r="S103" s="778"/>
      <c r="T103" s="778"/>
      <c r="U103" s="778"/>
      <c r="V103" s="778"/>
      <c r="W103" s="778"/>
      <c r="X103" s="778"/>
      <c r="Y103" s="778"/>
      <c r="Z103" s="778"/>
      <c r="AA103" s="778"/>
    </row>
    <row r="104" spans="2:27" outlineLevel="1" x14ac:dyDescent="0.25">
      <c r="C104" s="611" t="s">
        <v>103</v>
      </c>
      <c r="D104" s="478" t="s">
        <v>46</v>
      </c>
      <c r="E104" s="582">
        <f>MAXN!E152</f>
        <v>41.848999999999997</v>
      </c>
      <c r="F104" s="582">
        <f>MAXN!F152</f>
        <v>61.87</v>
      </c>
      <c r="G104" s="582">
        <f>MAXN!G152</f>
        <v>76.50685123699904</v>
      </c>
      <c r="H104" s="612">
        <v>0</v>
      </c>
      <c r="I104" s="584">
        <f>K25+K14</f>
        <v>147.333</v>
      </c>
      <c r="J104" s="585">
        <f t="shared" ref="J104:J106" si="35">+G104+H104+I104</f>
        <v>223.83985123699904</v>
      </c>
      <c r="K104" s="584">
        <f>J104+K130+K131+K132+K133+K154+K155+K156</f>
        <v>192.2084928626615</v>
      </c>
      <c r="L104" s="584">
        <f t="shared" ref="L104:N104" si="36">K104+L130+L131+L132+L133+L154+L155+L156</f>
        <v>307.71186904149977</v>
      </c>
      <c r="M104" s="584">
        <f t="shared" si="36"/>
        <v>286.84567756955562</v>
      </c>
      <c r="N104" s="584">
        <f t="shared" si="36"/>
        <v>302.06874303193052</v>
      </c>
      <c r="P104" s="778"/>
      <c r="Q104" s="778"/>
      <c r="R104" s="778"/>
      <c r="S104" s="778"/>
      <c r="T104" s="778"/>
      <c r="U104" s="778"/>
      <c r="V104" s="778"/>
      <c r="W104" s="778"/>
      <c r="X104" s="778"/>
      <c r="Y104" s="778"/>
      <c r="Z104" s="778"/>
      <c r="AA104" s="778"/>
    </row>
    <row r="105" spans="2:27" outlineLevel="1" x14ac:dyDescent="0.25">
      <c r="C105" s="610" t="s">
        <v>106</v>
      </c>
      <c r="D105" s="518" t="s">
        <v>46</v>
      </c>
      <c r="E105" s="574">
        <f>MAXN!E153</f>
        <v>0</v>
      </c>
      <c r="F105" s="574">
        <f>MAXN!F153</f>
        <v>20.702999999999999</v>
      </c>
      <c r="G105" s="574">
        <f>MAXN!G153</f>
        <v>23.075924095671613</v>
      </c>
      <c r="H105" s="637">
        <f>-SPWR_Adj!I115</f>
        <v>-9.1620000000000008</v>
      </c>
      <c r="I105" s="638">
        <v>0</v>
      </c>
      <c r="J105" s="576">
        <f t="shared" si="35"/>
        <v>13.913924095671613</v>
      </c>
      <c r="K105" s="575">
        <f>+J105+K145</f>
        <v>18.469385068148114</v>
      </c>
      <c r="L105" s="575">
        <f t="shared" ref="L105:N105" si="37">+K105+L145</f>
        <v>21.173522255509496</v>
      </c>
      <c r="M105" s="575">
        <f t="shared" si="37"/>
        <v>26.579198786187611</v>
      </c>
      <c r="N105" s="575">
        <f t="shared" si="37"/>
        <v>27.397374529478533</v>
      </c>
      <c r="P105" s="778"/>
      <c r="Q105" s="778"/>
      <c r="R105" s="778"/>
      <c r="S105" s="778"/>
      <c r="T105" s="778"/>
      <c r="U105" s="778"/>
      <c r="V105" s="778"/>
      <c r="W105" s="778"/>
      <c r="X105" s="778"/>
      <c r="Y105" s="778"/>
      <c r="Z105" s="778"/>
      <c r="AA105" s="778"/>
    </row>
    <row r="106" spans="2:27" outlineLevel="1" x14ac:dyDescent="0.25">
      <c r="C106" s="613" t="s">
        <v>68</v>
      </c>
      <c r="D106" s="483" t="s">
        <v>46</v>
      </c>
      <c r="E106" s="577">
        <f>MAXN!E154</f>
        <v>89.575000000000003</v>
      </c>
      <c r="F106" s="577">
        <f>MAXN!F154</f>
        <v>46.526000000000003</v>
      </c>
      <c r="G106" s="577">
        <f>MAXN!G154</f>
        <v>57.496699381943976</v>
      </c>
      <c r="H106" s="578">
        <f>-SPWR_Adj!I116</f>
        <v>-1.389</v>
      </c>
      <c r="I106" s="639">
        <v>0</v>
      </c>
      <c r="J106" s="580">
        <f t="shared" si="35"/>
        <v>56.107699381943974</v>
      </c>
      <c r="K106" s="579">
        <f>+J106+K144</f>
        <v>71.298060795047434</v>
      </c>
      <c r="L106" s="579">
        <f t="shared" ref="L106:N106" si="38">+K106+L144</f>
        <v>88.274952804523522</v>
      </c>
      <c r="M106" s="579">
        <f t="shared" si="38"/>
        <v>107.28740054891824</v>
      </c>
      <c r="N106" s="579">
        <f t="shared" si="38"/>
        <v>127.4931150205793</v>
      </c>
      <c r="P106" s="778"/>
      <c r="Q106" s="778"/>
      <c r="R106" s="778"/>
      <c r="S106" s="778"/>
      <c r="T106" s="778"/>
      <c r="U106" s="778"/>
      <c r="V106" s="778"/>
      <c r="W106" s="778"/>
      <c r="X106" s="778"/>
      <c r="Y106" s="778"/>
      <c r="Z106" s="778"/>
      <c r="AA106" s="778"/>
    </row>
    <row r="107" spans="2:27" outlineLevel="1" x14ac:dyDescent="0.25">
      <c r="C107" s="24" t="s">
        <v>55</v>
      </c>
      <c r="D107" s="48" t="s">
        <v>46</v>
      </c>
      <c r="E107" s="14">
        <f>SUM(E104:E106)</f>
        <v>131.42400000000001</v>
      </c>
      <c r="F107" s="14">
        <f t="shared" ref="F107:G107" si="39">SUM(F104:F106)</f>
        <v>129.09899999999999</v>
      </c>
      <c r="G107" s="14">
        <f t="shared" si="39"/>
        <v>157.07947471461463</v>
      </c>
      <c r="H107" s="432"/>
      <c r="I107" s="14"/>
      <c r="J107" s="433">
        <f>SUM(J104:J106)</f>
        <v>293.86147471461459</v>
      </c>
      <c r="K107" s="14">
        <f>SUM(K104:K106)</f>
        <v>281.97593872585708</v>
      </c>
      <c r="L107" s="14">
        <f t="shared" ref="L107:N107" si="40">SUM(L104:L106)</f>
        <v>417.16034410153281</v>
      </c>
      <c r="M107" s="14">
        <f t="shared" si="40"/>
        <v>420.71227690466145</v>
      </c>
      <c r="N107" s="14">
        <f t="shared" si="40"/>
        <v>456.95923258198837</v>
      </c>
      <c r="P107" s="778"/>
      <c r="Q107" s="778"/>
      <c r="R107" s="778"/>
      <c r="S107" s="778"/>
      <c r="T107" s="778"/>
      <c r="U107" s="778"/>
      <c r="V107" s="778"/>
      <c r="W107" s="778"/>
      <c r="X107" s="778"/>
      <c r="Y107" s="778"/>
      <c r="Z107" s="778"/>
      <c r="AA107" s="778"/>
    </row>
    <row r="108" spans="2:27" outlineLevel="1" x14ac:dyDescent="0.25">
      <c r="C108" s="164"/>
      <c r="H108" s="528"/>
      <c r="I108" s="164"/>
      <c r="J108" s="529"/>
      <c r="P108" s="778"/>
      <c r="Q108" s="778"/>
      <c r="R108" s="778"/>
      <c r="S108" s="778"/>
      <c r="T108" s="778"/>
      <c r="U108" s="778"/>
      <c r="V108" s="778"/>
      <c r="W108" s="778"/>
      <c r="X108" s="778"/>
      <c r="Y108" s="778"/>
      <c r="Z108" s="778"/>
      <c r="AA108" s="778"/>
    </row>
    <row r="109" spans="2:27" outlineLevel="1" x14ac:dyDescent="0.25">
      <c r="C109" s="6" t="s">
        <v>7</v>
      </c>
      <c r="D109" s="48" t="s">
        <v>46</v>
      </c>
      <c r="E109" s="49">
        <f>+E101+E107</f>
        <v>535.95499999999993</v>
      </c>
      <c r="F109" s="49">
        <f t="shared" ref="F109:G109" si="41">+F101+F107</f>
        <v>622.68799999999999</v>
      </c>
      <c r="G109" s="49">
        <f t="shared" si="41"/>
        <v>491.36128331512975</v>
      </c>
      <c r="H109" s="446"/>
      <c r="I109" s="50"/>
      <c r="J109" s="447">
        <f t="shared" ref="J109:N109" si="42">+J101+J107</f>
        <v>605.39128331512973</v>
      </c>
      <c r="K109" s="49">
        <f t="shared" si="42"/>
        <v>656.25832059703203</v>
      </c>
      <c r="L109" s="49">
        <f t="shared" si="42"/>
        <v>872.99813558792391</v>
      </c>
      <c r="M109" s="49">
        <f t="shared" si="42"/>
        <v>974.16040548510477</v>
      </c>
      <c r="N109" s="49">
        <f t="shared" si="42"/>
        <v>1111.8001627458839</v>
      </c>
      <c r="Q109" s="773"/>
      <c r="R109" s="773"/>
      <c r="S109" s="773"/>
      <c r="T109" s="773"/>
      <c r="U109" s="773"/>
      <c r="V109" s="773"/>
      <c r="W109" s="773"/>
      <c r="X109" s="773"/>
      <c r="Y109" s="773"/>
    </row>
    <row r="110" spans="2:27" outlineLevel="1" x14ac:dyDescent="0.25">
      <c r="C110" s="164"/>
      <c r="H110" s="528"/>
      <c r="I110" s="164"/>
      <c r="J110" s="529"/>
      <c r="Q110" s="773"/>
      <c r="R110" s="773"/>
      <c r="S110" s="773"/>
      <c r="T110" s="773"/>
      <c r="U110" s="773"/>
      <c r="V110" s="773"/>
      <c r="W110" s="773"/>
      <c r="X110" s="773"/>
      <c r="Y110" s="773"/>
    </row>
    <row r="111" spans="2:27" outlineLevel="1" x14ac:dyDescent="0.25">
      <c r="C111" s="640" t="s">
        <v>104</v>
      </c>
      <c r="D111" s="460" t="s">
        <v>46</v>
      </c>
      <c r="E111" s="641">
        <f>MAXN!E159</f>
        <v>428.2820000000001</v>
      </c>
      <c r="F111" s="641">
        <f>MAXN!F159</f>
        <v>358.87900000000002</v>
      </c>
      <c r="G111" s="641">
        <f>MAXN!G159</f>
        <v>438.08379007036166</v>
      </c>
      <c r="H111" s="642">
        <v>0</v>
      </c>
      <c r="I111" s="643">
        <f>E16+K22+E45</f>
        <v>100.29741256240115</v>
      </c>
      <c r="J111" s="644">
        <f t="shared" ref="J111:J112" si="43">+G111+H111+I111</f>
        <v>538.38120263276278</v>
      </c>
      <c r="K111" s="643">
        <f>+J111+K122+K129+K157+K158+K159+K160+K163</f>
        <v>421.77732847824404</v>
      </c>
      <c r="L111" s="643">
        <f t="shared" ref="L111:N111" si="44">+K111+L122+L129+L157+L158+L159+L160+L163</f>
        <v>385.48943770419396</v>
      </c>
      <c r="M111" s="643">
        <f t="shared" si="44"/>
        <v>467.69420879884728</v>
      </c>
      <c r="N111" s="643">
        <f t="shared" si="44"/>
        <v>494.11513452087399</v>
      </c>
      <c r="Q111" s="166"/>
    </row>
    <row r="112" spans="2:27" outlineLevel="1" x14ac:dyDescent="0.25">
      <c r="C112" s="351" t="s">
        <v>221</v>
      </c>
      <c r="D112" s="58" t="s">
        <v>46</v>
      </c>
      <c r="E112" s="467">
        <f>MAXN!E160</f>
        <v>1.147</v>
      </c>
      <c r="F112" s="467">
        <f>MAXN!F160</f>
        <v>5.3040000000000003</v>
      </c>
      <c r="G112" s="466">
        <f>MAXN!G160</f>
        <v>6.3040000000000003</v>
      </c>
      <c r="H112" s="472">
        <v>0</v>
      </c>
      <c r="I112" s="44">
        <v>0</v>
      </c>
      <c r="J112" s="547">
        <f t="shared" si="43"/>
        <v>6.3040000000000003</v>
      </c>
      <c r="K112" s="171">
        <f>+J112+K124</f>
        <v>7.3040000000000003</v>
      </c>
      <c r="L112" s="171">
        <f t="shared" ref="L112:N112" si="45">+K112+L124</f>
        <v>9.3040000000000003</v>
      </c>
      <c r="M112" s="171">
        <f t="shared" si="45"/>
        <v>13.304</v>
      </c>
      <c r="N112" s="171">
        <f t="shared" si="45"/>
        <v>21.304000000000002</v>
      </c>
    </row>
    <row r="113" spans="1:15" outlineLevel="1" x14ac:dyDescent="0.25">
      <c r="C113" s="24" t="s">
        <v>222</v>
      </c>
      <c r="D113" s="48" t="s">
        <v>46</v>
      </c>
      <c r="E113" s="5">
        <f>SUM(E111:E112)</f>
        <v>429.42900000000009</v>
      </c>
      <c r="F113" s="5">
        <f t="shared" ref="F113:G113" si="46">SUM(F111:F112)</f>
        <v>364.18299999999999</v>
      </c>
      <c r="G113" s="5">
        <f t="shared" si="46"/>
        <v>444.38779007036163</v>
      </c>
      <c r="H113" s="451"/>
      <c r="I113" s="5"/>
      <c r="J113" s="452">
        <f>SUM(J111:J112)</f>
        <v>544.68520263276275</v>
      </c>
      <c r="K113" s="5">
        <f>SUM(K111:K112)</f>
        <v>429.08132847824402</v>
      </c>
      <c r="L113" s="5">
        <f t="shared" ref="L113:N113" si="47">SUM(L111:L112)</f>
        <v>394.79343770419393</v>
      </c>
      <c r="M113" s="5">
        <f t="shared" si="47"/>
        <v>480.99820879884726</v>
      </c>
      <c r="N113" s="5">
        <f t="shared" si="47"/>
        <v>515.41913452087397</v>
      </c>
    </row>
    <row r="114" spans="1:15" outlineLevel="1" x14ac:dyDescent="0.25">
      <c r="H114" s="528"/>
      <c r="I114" s="164"/>
      <c r="J114" s="529"/>
    </row>
    <row r="115" spans="1:15" outlineLevel="1" x14ac:dyDescent="0.25">
      <c r="C115" s="2" t="s">
        <v>24</v>
      </c>
      <c r="D115" s="48" t="s">
        <v>46</v>
      </c>
      <c r="E115" s="49">
        <f>+E109+E113</f>
        <v>965.38400000000001</v>
      </c>
      <c r="F115" s="49">
        <f t="shared" ref="F115:G115" si="48">+F109+F113</f>
        <v>986.87099999999998</v>
      </c>
      <c r="G115" s="49">
        <f t="shared" si="48"/>
        <v>935.74907338549133</v>
      </c>
      <c r="H115" s="446"/>
      <c r="I115" s="50"/>
      <c r="J115" s="447">
        <f t="shared" ref="J115:K115" si="49">+J109+J113</f>
        <v>1150.0764859478925</v>
      </c>
      <c r="K115" s="49">
        <f t="shared" si="49"/>
        <v>1085.3396490752762</v>
      </c>
      <c r="L115" s="49">
        <f t="shared" ref="L115:N115" si="50">+L109+L113</f>
        <v>1267.7915732921178</v>
      </c>
      <c r="M115" s="49">
        <f t="shared" si="50"/>
        <v>1455.1586142839519</v>
      </c>
      <c r="N115" s="49">
        <f t="shared" si="50"/>
        <v>1627.2192972667578</v>
      </c>
    </row>
    <row r="116" spans="1:15" outlineLevel="1" x14ac:dyDescent="0.25">
      <c r="H116" s="528"/>
      <c r="I116" s="164"/>
      <c r="J116" s="529"/>
    </row>
    <row r="117" spans="1:15" outlineLevel="1" x14ac:dyDescent="0.25">
      <c r="C117" s="53" t="s">
        <v>25</v>
      </c>
      <c r="E117" s="54">
        <f>+E95-E115</f>
        <v>0</v>
      </c>
      <c r="F117" s="54">
        <f>+F95-F115</f>
        <v>0</v>
      </c>
      <c r="G117" s="54">
        <f>+G95-G115</f>
        <v>0</v>
      </c>
      <c r="H117" s="602"/>
      <c r="I117" s="603"/>
      <c r="J117" s="604">
        <f>+J95-J115</f>
        <v>0</v>
      </c>
      <c r="K117" s="646">
        <f>+K95-K115</f>
        <v>0</v>
      </c>
      <c r="L117" s="646">
        <f t="shared" ref="L117:N117" si="51">+L95-L115</f>
        <v>0</v>
      </c>
      <c r="M117" s="646">
        <f t="shared" si="51"/>
        <v>0</v>
      </c>
      <c r="N117" s="646">
        <f t="shared" si="51"/>
        <v>0</v>
      </c>
    </row>
    <row r="118" spans="1:15" x14ac:dyDescent="0.25">
      <c r="A118" s="164"/>
      <c r="B118" s="164"/>
      <c r="C118" s="6"/>
      <c r="D118" s="37"/>
      <c r="E118" s="10"/>
      <c r="F118" s="10"/>
      <c r="G118" s="10"/>
      <c r="H118" s="10"/>
      <c r="I118" s="10"/>
      <c r="J118" s="10"/>
      <c r="K118" s="8"/>
      <c r="L118" s="8"/>
      <c r="M118" s="8"/>
      <c r="N118" s="8"/>
      <c r="O118" s="164"/>
    </row>
    <row r="119" spans="1:15" x14ac:dyDescent="0.25">
      <c r="A119" s="164"/>
      <c r="B119" s="28"/>
      <c r="C119" s="29"/>
      <c r="D119" s="29"/>
      <c r="E119" s="33" t="str">
        <f>$E$47</f>
        <v>Historical:</v>
      </c>
      <c r="F119" s="34"/>
      <c r="G119" s="33" t="str">
        <f>$G$47</f>
        <v>Projected:</v>
      </c>
      <c r="H119" s="415" t="str">
        <f>$H$47</f>
        <v>Transaction Adjustments:</v>
      </c>
      <c r="I119" s="33"/>
      <c r="J119" s="34"/>
      <c r="K119" s="33" t="str">
        <f>$K$47</f>
        <v>Separated Company:</v>
      </c>
      <c r="L119" s="33"/>
      <c r="M119" s="33"/>
      <c r="N119" s="33"/>
      <c r="O119" s="164"/>
    </row>
    <row r="120" spans="1:15" x14ac:dyDescent="0.25">
      <c r="A120" s="164"/>
      <c r="B120" s="30" t="s">
        <v>530</v>
      </c>
      <c r="C120" s="31"/>
      <c r="D120" s="36" t="str">
        <f>SPWR!$D$5</f>
        <v>Units:</v>
      </c>
      <c r="E120" s="32">
        <f>$E$48</f>
        <v>43465</v>
      </c>
      <c r="F120" s="32">
        <f>$F$48</f>
        <v>43830</v>
      </c>
      <c r="G120" s="544">
        <f>$G$48</f>
        <v>44196</v>
      </c>
      <c r="H120" s="416" t="str">
        <f>$H$48</f>
        <v>Debit</v>
      </c>
      <c r="I120" s="32" t="str">
        <f>$I$48</f>
        <v>Credit</v>
      </c>
      <c r="J120" s="35">
        <f>$J$48</f>
        <v>44196</v>
      </c>
      <c r="K120" s="32">
        <f>$K$48</f>
        <v>44561</v>
      </c>
      <c r="L120" s="32">
        <f>$L$48</f>
        <v>44926</v>
      </c>
      <c r="M120" s="32">
        <f>$M$48</f>
        <v>45291</v>
      </c>
      <c r="N120" s="32">
        <f>$N$48</f>
        <v>45657</v>
      </c>
      <c r="O120" s="164"/>
    </row>
    <row r="121" spans="1:15" outlineLevel="1" x14ac:dyDescent="0.25">
      <c r="A121" s="164"/>
      <c r="B121" s="164"/>
      <c r="C121" s="169"/>
      <c r="D121" s="37"/>
      <c r="E121" s="20"/>
      <c r="F121" s="20"/>
      <c r="G121" s="20"/>
      <c r="H121" s="621"/>
      <c r="I121" s="622"/>
      <c r="J121" s="471"/>
      <c r="K121" s="65"/>
      <c r="L121" s="65"/>
      <c r="M121" s="65"/>
      <c r="N121" s="65"/>
      <c r="O121" s="164"/>
    </row>
    <row r="122" spans="1:15" outlineLevel="1" x14ac:dyDescent="0.25">
      <c r="A122" s="164"/>
      <c r="B122" s="164"/>
      <c r="C122" s="6" t="s">
        <v>238</v>
      </c>
      <c r="D122" s="37" t="s">
        <v>46</v>
      </c>
      <c r="E122" s="49">
        <f>E75</f>
        <v>-603.81399999999996</v>
      </c>
      <c r="F122" s="49">
        <f t="shared" ref="F122:G122" si="52">F75</f>
        <v>-183.05899999999997</v>
      </c>
      <c r="G122" s="49">
        <f t="shared" si="52"/>
        <v>-121.01620992963836</v>
      </c>
      <c r="H122" s="446"/>
      <c r="I122" s="50"/>
      <c r="J122" s="447"/>
      <c r="K122" s="49">
        <f>K75</f>
        <v>-116.82487415451881</v>
      </c>
      <c r="L122" s="49">
        <f t="shared" ref="L122:N122" si="53">L75</f>
        <v>-82.854246904035563</v>
      </c>
      <c r="M122" s="49">
        <f t="shared" si="53"/>
        <v>-75.487424966102708</v>
      </c>
      <c r="N122" s="49">
        <f t="shared" si="53"/>
        <v>-26.833801225074978</v>
      </c>
      <c r="O122" s="164"/>
    </row>
    <row r="123" spans="1:15" outlineLevel="1" x14ac:dyDescent="0.25">
      <c r="A123" s="164"/>
      <c r="B123" s="164"/>
      <c r="C123" s="352" t="s">
        <v>240</v>
      </c>
      <c r="D123" s="40" t="s">
        <v>46</v>
      </c>
      <c r="E123" s="15">
        <f>-E73</f>
        <v>2.9430000000000001</v>
      </c>
      <c r="F123" s="15">
        <f t="shared" ref="F123:G123" si="54">-F73</f>
        <v>5.3419999999999996</v>
      </c>
      <c r="G123" s="15">
        <f t="shared" si="54"/>
        <v>-1</v>
      </c>
      <c r="H123" s="424"/>
      <c r="I123" s="15"/>
      <c r="J123" s="425"/>
      <c r="K123" s="15">
        <f>-K73</f>
        <v>-2</v>
      </c>
      <c r="L123" s="15">
        <f t="shared" ref="L123:N123" si="55">-L73</f>
        <v>-2</v>
      </c>
      <c r="M123" s="15">
        <f t="shared" si="55"/>
        <v>-3</v>
      </c>
      <c r="N123" s="15">
        <f t="shared" si="55"/>
        <v>-4</v>
      </c>
      <c r="O123" s="164"/>
    </row>
    <row r="124" spans="1:15" outlineLevel="1" x14ac:dyDescent="0.25">
      <c r="A124" s="164"/>
      <c r="B124" s="164"/>
      <c r="C124" s="352" t="s">
        <v>239</v>
      </c>
      <c r="D124" s="40" t="s">
        <v>46</v>
      </c>
      <c r="E124" s="15">
        <f t="shared" ref="E124:G124" si="56">-E74</f>
        <v>-0.26600000000000001</v>
      </c>
      <c r="F124" s="15">
        <f t="shared" si="56"/>
        <v>4.157</v>
      </c>
      <c r="G124" s="15">
        <f t="shared" si="56"/>
        <v>1</v>
      </c>
      <c r="H124" s="424"/>
      <c r="I124" s="15"/>
      <c r="J124" s="425"/>
      <c r="K124" s="15">
        <f t="shared" ref="K124:N124" si="57">-K74</f>
        <v>1</v>
      </c>
      <c r="L124" s="15">
        <f t="shared" si="57"/>
        <v>2</v>
      </c>
      <c r="M124" s="15">
        <f t="shared" si="57"/>
        <v>4</v>
      </c>
      <c r="N124" s="15">
        <f t="shared" si="57"/>
        <v>8</v>
      </c>
      <c r="O124" s="164"/>
    </row>
    <row r="125" spans="1:15" outlineLevel="1" x14ac:dyDescent="0.25">
      <c r="B125" s="164"/>
      <c r="C125" s="169" t="s">
        <v>131</v>
      </c>
      <c r="D125" s="40" t="s">
        <v>46</v>
      </c>
      <c r="E125" s="11">
        <f>MAXN!E173</f>
        <v>75.694000000000003</v>
      </c>
      <c r="F125" s="11">
        <f>MAXN!F173</f>
        <v>46.148000000000003</v>
      </c>
      <c r="G125" s="11">
        <f>MAXN!G173</f>
        <v>47.840077588056005</v>
      </c>
      <c r="H125" s="545"/>
      <c r="I125" s="18"/>
      <c r="J125" s="425"/>
      <c r="K125" s="11">
        <f>MAXN!H173</f>
        <v>66.845436323630963</v>
      </c>
      <c r="L125" s="11">
        <f>MAXN!I173</f>
        <v>79.840237608431224</v>
      </c>
      <c r="M125" s="11">
        <f>MAXN!J173</f>
        <v>92.010490191064093</v>
      </c>
      <c r="N125" s="11">
        <f>MAXN!K173</f>
        <v>103.47357377600846</v>
      </c>
      <c r="O125" s="164"/>
    </row>
    <row r="126" spans="1:15" outlineLevel="1" x14ac:dyDescent="0.25">
      <c r="B126" s="164"/>
      <c r="C126" s="752" t="s">
        <v>389</v>
      </c>
      <c r="D126" s="503" t="s">
        <v>46</v>
      </c>
      <c r="E126" s="497"/>
      <c r="F126" s="497"/>
      <c r="G126" s="497"/>
      <c r="H126" s="572"/>
      <c r="I126" s="504"/>
      <c r="J126" s="500"/>
      <c r="K126" s="499">
        <f>-K58</f>
        <v>2.6539999999999999</v>
      </c>
      <c r="L126" s="499">
        <f t="shared" ref="L126:N126" si="58">-L58</f>
        <v>2.6539999999999999</v>
      </c>
      <c r="M126" s="499">
        <f t="shared" si="58"/>
        <v>2.6539999999999999</v>
      </c>
      <c r="N126" s="499">
        <f t="shared" si="58"/>
        <v>2.6539999999999999</v>
      </c>
      <c r="O126" s="164"/>
    </row>
    <row r="127" spans="1:15" outlineLevel="1" x14ac:dyDescent="0.25">
      <c r="B127" s="164"/>
      <c r="C127" s="169" t="s">
        <v>132</v>
      </c>
      <c r="D127" s="40" t="s">
        <v>46</v>
      </c>
      <c r="E127" s="11">
        <f>MAXN!E174</f>
        <v>7.2</v>
      </c>
      <c r="F127" s="11">
        <f>MAXN!F174</f>
        <v>7.3</v>
      </c>
      <c r="G127" s="11">
        <f>MAXN!G174</f>
        <v>2.517898820424</v>
      </c>
      <c r="H127" s="545"/>
      <c r="I127" s="18"/>
      <c r="J127" s="425"/>
      <c r="K127" s="11">
        <f>MAXN!H174</f>
        <v>3.1831160154109983</v>
      </c>
      <c r="L127" s="11">
        <f>MAXN!I174</f>
        <v>5.2354254169463106</v>
      </c>
      <c r="M127" s="11">
        <f>MAXN!J174</f>
        <v>6.3455510476595922</v>
      </c>
      <c r="N127" s="11">
        <f>MAXN!K174</f>
        <v>7.525350820073343</v>
      </c>
      <c r="O127" s="164"/>
    </row>
    <row r="128" spans="1:15" outlineLevel="1" x14ac:dyDescent="0.25">
      <c r="B128" s="164"/>
      <c r="C128" s="752" t="s">
        <v>388</v>
      </c>
      <c r="D128" s="503" t="s">
        <v>46</v>
      </c>
      <c r="E128" s="497"/>
      <c r="F128" s="497"/>
      <c r="G128" s="497"/>
      <c r="H128" s="572"/>
      <c r="I128" s="504"/>
      <c r="J128" s="500"/>
      <c r="K128" s="499">
        <f>-K57</f>
        <v>7.12</v>
      </c>
      <c r="L128" s="499">
        <f t="shared" ref="L128:N128" si="59">-L57</f>
        <v>7.12</v>
      </c>
      <c r="M128" s="499">
        <f t="shared" si="59"/>
        <v>7.12</v>
      </c>
      <c r="N128" s="499">
        <f t="shared" si="59"/>
        <v>7.12</v>
      </c>
      <c r="O128" s="164"/>
    </row>
    <row r="129" spans="2:25" outlineLevel="1" x14ac:dyDescent="0.25">
      <c r="B129" s="164"/>
      <c r="C129" s="168" t="s">
        <v>59</v>
      </c>
      <c r="D129" s="40" t="s">
        <v>46</v>
      </c>
      <c r="E129" s="11">
        <f>MAXN!E175</f>
        <v>8.58</v>
      </c>
      <c r="F129" s="11">
        <f>MAXN!F175</f>
        <v>7.1349999999999998</v>
      </c>
      <c r="G129" s="11">
        <f>MAXN!G175</f>
        <v>0</v>
      </c>
      <c r="H129" s="545"/>
      <c r="I129" s="18"/>
      <c r="J129" s="431"/>
      <c r="K129" s="11">
        <f>MAXN!H175</f>
        <v>0</v>
      </c>
      <c r="L129" s="11">
        <f>MAXN!I175</f>
        <v>0</v>
      </c>
      <c r="M129" s="11">
        <f>MAXN!J175</f>
        <v>0</v>
      </c>
      <c r="N129" s="11">
        <f>MAXN!K175</f>
        <v>0</v>
      </c>
    </row>
    <row r="130" spans="2:25" outlineLevel="1" x14ac:dyDescent="0.25">
      <c r="B130" s="164"/>
      <c r="C130" s="369" t="s">
        <v>280</v>
      </c>
      <c r="D130" s="40" t="s">
        <v>46</v>
      </c>
      <c r="E130" s="11">
        <f>MAXN!E176</f>
        <v>24.035</v>
      </c>
      <c r="F130" s="11">
        <f>MAXN!F176</f>
        <v>23.841000000000001</v>
      </c>
      <c r="G130" s="11">
        <f>MAXN!G176</f>
        <v>24.636851236999039</v>
      </c>
      <c r="H130" s="545"/>
      <c r="I130" s="18"/>
      <c r="J130" s="421"/>
      <c r="K130" s="23">
        <f>MAXN!H176</f>
        <v>24.452367838687902</v>
      </c>
      <c r="L130" s="23">
        <f>MAXN!I176</f>
        <v>21.661428713362316</v>
      </c>
      <c r="M130" s="23">
        <f>MAXN!J176</f>
        <v>7.5554085280557501</v>
      </c>
      <c r="N130" s="23">
        <f>MAXN!K176</f>
        <v>4.6446654623748671</v>
      </c>
    </row>
    <row r="131" spans="2:25" outlineLevel="1" x14ac:dyDescent="0.25">
      <c r="B131" s="164"/>
      <c r="C131" s="645" t="s">
        <v>436</v>
      </c>
      <c r="D131" s="478" t="s">
        <v>46</v>
      </c>
      <c r="E131" s="565"/>
      <c r="F131" s="565"/>
      <c r="G131" s="565"/>
      <c r="H131" s="563"/>
      <c r="I131" s="562"/>
      <c r="J131" s="564"/>
      <c r="K131" s="565">
        <f>-K65</f>
        <v>-1.9550000000000001</v>
      </c>
      <c r="L131" s="565">
        <f t="shared" ref="L131:N131" si="60">-L65</f>
        <v>-1.9550000000000001</v>
      </c>
      <c r="M131" s="565">
        <f t="shared" si="60"/>
        <v>-1.9550000000000001</v>
      </c>
      <c r="N131" s="565">
        <f t="shared" si="60"/>
        <v>-1.9550000000000001</v>
      </c>
    </row>
    <row r="132" spans="2:25" outlineLevel="1" x14ac:dyDescent="0.25">
      <c r="B132" s="164"/>
      <c r="C132" s="628" t="s">
        <v>433</v>
      </c>
      <c r="D132" s="629" t="s">
        <v>46</v>
      </c>
      <c r="E132" s="630"/>
      <c r="F132" s="630"/>
      <c r="G132" s="630"/>
      <c r="H132" s="559"/>
      <c r="I132" s="558"/>
      <c r="J132" s="576"/>
      <c r="K132" s="575">
        <f>-MAXN!H176*(MAXN!H115/SUM(MAXN!H114:H115))</f>
        <v>-16.662126213025442</v>
      </c>
      <c r="L132" s="575">
        <f>-MAXN!I176*(MAXN!I115/SUM(MAXN!I114:I115))</f>
        <v>-15.736452534524027</v>
      </c>
      <c r="M132" s="575">
        <f>-MAXN!J176*(MAXN!J115/SUM(MAXN!J114:J115))</f>
        <v>0</v>
      </c>
      <c r="N132" s="575">
        <f>-MAXN!K176*(MAXN!K115/SUM(MAXN!K114:K115))</f>
        <v>0</v>
      </c>
    </row>
    <row r="133" spans="2:25" outlineLevel="1" x14ac:dyDescent="0.25">
      <c r="B133" s="164"/>
      <c r="C133" s="791" t="s">
        <v>547</v>
      </c>
      <c r="D133" s="632" t="s">
        <v>46</v>
      </c>
      <c r="E133" s="633"/>
      <c r="F133" s="633"/>
      <c r="G133" s="633"/>
      <c r="H133" s="568"/>
      <c r="I133" s="567"/>
      <c r="J133" s="580"/>
      <c r="K133" s="579">
        <f>+K188+K194+K195</f>
        <v>12.533400000000002</v>
      </c>
      <c r="L133" s="579">
        <f t="shared" ref="L133:N133" si="61">+L188+L194+L195</f>
        <v>12.533400000000002</v>
      </c>
      <c r="M133" s="579">
        <f t="shared" si="61"/>
        <v>12.533400000000002</v>
      </c>
      <c r="N133" s="579">
        <f t="shared" si="61"/>
        <v>12.533400000000002</v>
      </c>
    </row>
    <row r="134" spans="2:25" outlineLevel="1" x14ac:dyDescent="0.25">
      <c r="B134" s="164"/>
      <c r="C134" s="168" t="s">
        <v>60</v>
      </c>
      <c r="D134" s="40" t="s">
        <v>46</v>
      </c>
      <c r="E134" s="11">
        <f>MAXN!E177</f>
        <v>-2.2429999999999999</v>
      </c>
      <c r="F134" s="11">
        <f>MAXN!F177</f>
        <v>0.80400000000000005</v>
      </c>
      <c r="G134" s="11">
        <f>MAXN!G177</f>
        <v>-34.132777159641591</v>
      </c>
      <c r="H134" s="545"/>
      <c r="I134" s="18"/>
      <c r="J134" s="421"/>
      <c r="K134" s="84">
        <f>K217</f>
        <v>-29.456218538629702</v>
      </c>
      <c r="L134" s="84">
        <f t="shared" ref="L134:N134" si="62">L217</f>
        <v>-20.713561726008891</v>
      </c>
      <c r="M134" s="84">
        <f t="shared" si="62"/>
        <v>-18.621856241525677</v>
      </c>
      <c r="N134" s="84">
        <f t="shared" si="62"/>
        <v>-5.7084503062687446</v>
      </c>
    </row>
    <row r="135" spans="2:25" outlineLevel="1" x14ac:dyDescent="0.25">
      <c r="B135" s="164"/>
      <c r="C135" s="355" t="s">
        <v>242</v>
      </c>
      <c r="D135" s="40" t="s">
        <v>46</v>
      </c>
      <c r="E135" s="11">
        <f>MAXN!E178</f>
        <v>367.85899999999998</v>
      </c>
      <c r="F135" s="11">
        <f>MAXN!F178</f>
        <v>0</v>
      </c>
      <c r="G135" s="11">
        <f>MAXN!G178</f>
        <v>0</v>
      </c>
      <c r="H135" s="545"/>
      <c r="I135" s="18"/>
      <c r="J135" s="421"/>
      <c r="K135" s="23">
        <f>MAXN!H178</f>
        <v>0</v>
      </c>
      <c r="L135" s="23">
        <f>MAXN!I178</f>
        <v>0</v>
      </c>
      <c r="M135" s="23">
        <f>MAXN!J178</f>
        <v>0</v>
      </c>
      <c r="N135" s="23">
        <f>MAXN!K178</f>
        <v>0</v>
      </c>
    </row>
    <row r="136" spans="2:25" outlineLevel="1" x14ac:dyDescent="0.25">
      <c r="B136" s="164"/>
      <c r="C136" s="168" t="s">
        <v>67</v>
      </c>
      <c r="D136" s="40" t="s">
        <v>46</v>
      </c>
      <c r="E136" s="11">
        <f>MAXN!E179</f>
        <v>-10.395</v>
      </c>
      <c r="F136" s="11">
        <f>MAXN!F179</f>
        <v>0.249</v>
      </c>
      <c r="G136" s="11">
        <f>MAXN!G179</f>
        <v>-5.0729999999999995</v>
      </c>
      <c r="H136" s="545"/>
      <c r="I136" s="18"/>
      <c r="J136" s="421"/>
      <c r="K136" s="23">
        <f>MAXN!H179</f>
        <v>-5.0729999999999995</v>
      </c>
      <c r="L136" s="23">
        <f>MAXN!I179</f>
        <v>-5.0729999999999995</v>
      </c>
      <c r="M136" s="23">
        <f>MAXN!J179</f>
        <v>-5.0729999999999995</v>
      </c>
      <c r="N136" s="23">
        <f>MAXN!K179</f>
        <v>-5.0729999999999995</v>
      </c>
    </row>
    <row r="137" spans="2:25" outlineLevel="1" x14ac:dyDescent="0.25">
      <c r="B137" s="164"/>
      <c r="C137" s="149" t="s">
        <v>108</v>
      </c>
      <c r="D137" s="40"/>
      <c r="E137" s="18"/>
      <c r="F137" s="18"/>
      <c r="G137" s="18"/>
      <c r="H137" s="545"/>
      <c r="I137" s="18"/>
      <c r="J137" s="473"/>
      <c r="K137" s="85"/>
      <c r="L137" s="85"/>
      <c r="M137" s="85"/>
      <c r="N137" s="85"/>
    </row>
    <row r="138" spans="2:25" outlineLevel="1" x14ac:dyDescent="0.25">
      <c r="B138" s="164"/>
      <c r="C138" s="344" t="s">
        <v>109</v>
      </c>
      <c r="D138" s="40" t="s">
        <v>46</v>
      </c>
      <c r="E138" s="11">
        <f>MAXN!E181</f>
        <v>-32.54</v>
      </c>
      <c r="F138" s="11">
        <f>MAXN!F181</f>
        <v>-77.83</v>
      </c>
      <c r="G138" s="11">
        <f>MAXN!G181</f>
        <v>63.758802362568574</v>
      </c>
      <c r="H138" s="545"/>
      <c r="I138" s="18"/>
      <c r="J138" s="421"/>
      <c r="K138" s="23">
        <f>MAXN!H181</f>
        <v>-22.88095589605949</v>
      </c>
      <c r="L138" s="23">
        <f>MAXN!I181</f>
        <v>-25.571973355808751</v>
      </c>
      <c r="M138" s="23">
        <f>MAXN!J181</f>
        <v>-28.638092701360819</v>
      </c>
      <c r="N138" s="23">
        <f>MAXN!K181</f>
        <v>-30.435487945378128</v>
      </c>
    </row>
    <row r="139" spans="2:25" outlineLevel="1" x14ac:dyDescent="0.25">
      <c r="B139" s="164"/>
      <c r="C139" s="360" t="s">
        <v>245</v>
      </c>
      <c r="D139" s="40" t="s">
        <v>46</v>
      </c>
      <c r="E139" s="11">
        <f>MAXN!E182</f>
        <v>18.076000000000001</v>
      </c>
      <c r="F139" s="11">
        <f>MAXN!F182</f>
        <v>28.414999999999999</v>
      </c>
      <c r="G139" s="11">
        <f>MAXN!G182</f>
        <v>41.175163988925675</v>
      </c>
      <c r="H139" s="545"/>
      <c r="I139" s="18"/>
      <c r="J139" s="421"/>
      <c r="K139" s="23">
        <f>MAXN!H182</f>
        <v>-24.529580959865797</v>
      </c>
      <c r="L139" s="23">
        <f>MAXN!I182</f>
        <v>-34.595657452164744</v>
      </c>
      <c r="M139" s="23">
        <f>MAXN!J182</f>
        <v>-42.689543266793891</v>
      </c>
      <c r="N139" s="23">
        <f>MAXN!K182</f>
        <v>-43.895335884626547</v>
      </c>
    </row>
    <row r="140" spans="2:25" outlineLevel="1" x14ac:dyDescent="0.25">
      <c r="B140" s="164"/>
      <c r="C140" s="363" t="s">
        <v>261</v>
      </c>
      <c r="D140" s="40" t="s">
        <v>46</v>
      </c>
      <c r="E140" s="11">
        <f>MAXN!E183</f>
        <v>62.295000000000002</v>
      </c>
      <c r="F140" s="11">
        <f>MAXN!F183</f>
        <v>51.387</v>
      </c>
      <c r="G140" s="11">
        <f>MAXN!G183</f>
        <v>10.276270581486472</v>
      </c>
      <c r="H140" s="545"/>
      <c r="I140" s="18"/>
      <c r="J140" s="421"/>
      <c r="K140" s="23">
        <f>MAXN!H183</f>
        <v>-39.490266329004129</v>
      </c>
      <c r="L140" s="23">
        <f>MAXN!I183</f>
        <v>-44.134696249862515</v>
      </c>
      <c r="M140" s="23">
        <f>MAXN!J183</f>
        <v>-49.426514917858526</v>
      </c>
      <c r="N140" s="23">
        <f>MAXN!K183</f>
        <v>-52.528641297856268</v>
      </c>
    </row>
    <row r="141" spans="2:25" outlineLevel="1" x14ac:dyDescent="0.25">
      <c r="B141" s="164"/>
      <c r="C141" s="344" t="s">
        <v>110</v>
      </c>
      <c r="D141" s="40" t="s">
        <v>46</v>
      </c>
      <c r="E141" s="11">
        <f>MAXN!E184</f>
        <v>0</v>
      </c>
      <c r="F141" s="11">
        <f>MAXN!F184</f>
        <v>2.4489999999999998</v>
      </c>
      <c r="G141" s="11">
        <f>MAXN!G184</f>
        <v>-2.372924095671614</v>
      </c>
      <c r="H141" s="545"/>
      <c r="I141" s="18"/>
      <c r="J141" s="421"/>
      <c r="K141" s="23">
        <f>MAXN!H184</f>
        <v>-4.5554609724764994</v>
      </c>
      <c r="L141" s="23">
        <f>MAXN!I184</f>
        <v>-2.7041371873613826</v>
      </c>
      <c r="M141" s="23">
        <f>MAXN!J184</f>
        <v>-5.4056765306781109</v>
      </c>
      <c r="N141" s="23">
        <f>MAXN!K184</f>
        <v>-0.81817574329092224</v>
      </c>
    </row>
    <row r="142" spans="2:25" outlineLevel="1" x14ac:dyDescent="0.25">
      <c r="B142" s="164"/>
      <c r="C142" s="360" t="s">
        <v>246</v>
      </c>
      <c r="D142" s="40" t="s">
        <v>46</v>
      </c>
      <c r="E142" s="11">
        <f>MAXN!E185</f>
        <v>-75.483000000000004</v>
      </c>
      <c r="F142" s="11">
        <f>MAXN!F185</f>
        <v>53.451000000000001</v>
      </c>
      <c r="G142" s="11">
        <f>MAXN!G185</f>
        <v>-134.59183091181367</v>
      </c>
      <c r="H142" s="545"/>
      <c r="I142" s="18"/>
      <c r="J142" s="421"/>
      <c r="K142" s="23">
        <f>MAXN!H185</f>
        <v>39.017357021989852</v>
      </c>
      <c r="L142" s="23">
        <f>MAXN!I185</f>
        <v>55.028706785905058</v>
      </c>
      <c r="M142" s="23">
        <f>MAXN!J185</f>
        <v>67.903041371616325</v>
      </c>
      <c r="N142" s="23">
        <f>MAXN!K185</f>
        <v>69.821004876228699</v>
      </c>
      <c r="Q142" s="784"/>
      <c r="R142" s="784"/>
      <c r="S142" s="784"/>
      <c r="T142" s="784"/>
      <c r="U142" s="784"/>
      <c r="V142" s="784"/>
      <c r="W142" s="784"/>
      <c r="X142" s="784"/>
      <c r="Y142" s="784"/>
    </row>
    <row r="143" spans="2:25" outlineLevel="1" x14ac:dyDescent="0.25">
      <c r="B143" s="164"/>
      <c r="C143" s="509" t="s">
        <v>367</v>
      </c>
      <c r="D143" s="40" t="s">
        <v>46</v>
      </c>
      <c r="E143" s="11">
        <f>MAXN!E186</f>
        <v>0</v>
      </c>
      <c r="F143" s="11">
        <f>MAXN!F186</f>
        <v>0</v>
      </c>
      <c r="G143" s="11">
        <f>MAXN!G186</f>
        <v>-24.715360487671177</v>
      </c>
      <c r="H143" s="545"/>
      <c r="I143" s="18"/>
      <c r="J143" s="421"/>
      <c r="K143" s="23">
        <f>MAXN!H186</f>
        <v>23.7352162486699</v>
      </c>
      <c r="L143" s="23">
        <f>MAXN!I186</f>
        <v>26.526702829311176</v>
      </c>
      <c r="M143" s="23">
        <f>MAXN!J186</f>
        <v>29.707295722435958</v>
      </c>
      <c r="N143" s="23">
        <f>MAXN!K186</f>
        <v>31.571796707223456</v>
      </c>
    </row>
    <row r="144" spans="2:25" outlineLevel="1" x14ac:dyDescent="0.25">
      <c r="B144" s="164"/>
      <c r="C144" s="360" t="s">
        <v>256</v>
      </c>
      <c r="D144" s="40" t="s">
        <v>46</v>
      </c>
      <c r="E144" s="11">
        <f>MAXN!E187</f>
        <v>1.236</v>
      </c>
      <c r="F144" s="11">
        <f>MAXN!F187</f>
        <v>6.46</v>
      </c>
      <c r="G144" s="11">
        <f>MAXN!G187</f>
        <v>10.970699381943973</v>
      </c>
      <c r="H144" s="545"/>
      <c r="I144" s="18"/>
      <c r="J144" s="421"/>
      <c r="K144" s="23">
        <f>MAXN!H187</f>
        <v>15.190361413103467</v>
      </c>
      <c r="L144" s="23">
        <f>MAXN!I187</f>
        <v>16.976892009476089</v>
      </c>
      <c r="M144" s="23">
        <f>MAXN!J187</f>
        <v>19.01244774439472</v>
      </c>
      <c r="N144" s="23">
        <f>MAXN!K187</f>
        <v>20.205714471661054</v>
      </c>
    </row>
    <row r="145" spans="2:14" outlineLevel="1" x14ac:dyDescent="0.25">
      <c r="B145" s="164"/>
      <c r="C145" s="344" t="s">
        <v>111</v>
      </c>
      <c r="D145" s="40" t="s">
        <v>46</v>
      </c>
      <c r="E145" s="11">
        <f>MAXN!E188</f>
        <v>0</v>
      </c>
      <c r="F145" s="11">
        <f>MAXN!F188</f>
        <v>-2.589</v>
      </c>
      <c r="G145" s="11">
        <f>MAXN!G188</f>
        <v>2.372924095671614</v>
      </c>
      <c r="H145" s="545"/>
      <c r="I145" s="18"/>
      <c r="J145" s="421"/>
      <c r="K145" s="23">
        <f>MAXN!H188</f>
        <v>4.5554609724764994</v>
      </c>
      <c r="L145" s="23">
        <f>MAXN!I188</f>
        <v>2.7041371873613826</v>
      </c>
      <c r="M145" s="23">
        <f>MAXN!J188</f>
        <v>5.4056765306781145</v>
      </c>
      <c r="N145" s="23">
        <f>MAXN!K188</f>
        <v>0.81817574329092224</v>
      </c>
    </row>
    <row r="146" spans="2:14" outlineLevel="1" x14ac:dyDescent="0.25">
      <c r="B146" s="164"/>
      <c r="C146" s="24" t="s">
        <v>36</v>
      </c>
      <c r="D146" s="41" t="s">
        <v>46</v>
      </c>
      <c r="E146" s="12">
        <f>SUM(E122:E145)</f>
        <v>-156.82299999999998</v>
      </c>
      <c r="F146" s="12">
        <f t="shared" ref="F146:G146" si="63">SUM(F122:F145)</f>
        <v>-26.339999999999961</v>
      </c>
      <c r="G146" s="12">
        <f t="shared" si="63"/>
        <v>-118.35341452836107</v>
      </c>
      <c r="H146" s="422"/>
      <c r="I146" s="12"/>
      <c r="J146" s="423"/>
      <c r="K146" s="12">
        <f>SUM(K122:K145)</f>
        <v>-63.140767229610319</v>
      </c>
      <c r="L146" s="12">
        <f t="shared" ref="L146:N146" si="64">SUM(L122:L145)</f>
        <v>-3.057794858972315</v>
      </c>
      <c r="M146" s="12">
        <f t="shared" si="64"/>
        <v>23.950202511584827</v>
      </c>
      <c r="N146" s="12">
        <f t="shared" si="64"/>
        <v>97.119789454365232</v>
      </c>
    </row>
    <row r="147" spans="2:14" outlineLevel="1" x14ac:dyDescent="0.25">
      <c r="B147" s="164"/>
      <c r="C147" s="164"/>
      <c r="D147" s="21"/>
      <c r="E147" s="18"/>
      <c r="F147" s="18"/>
      <c r="G147" s="18"/>
      <c r="H147" s="545"/>
      <c r="I147" s="18"/>
      <c r="J147" s="421"/>
      <c r="K147" s="84"/>
      <c r="L147" s="84"/>
      <c r="M147" s="84"/>
      <c r="N147" s="84"/>
    </row>
    <row r="148" spans="2:14" outlineLevel="1" x14ac:dyDescent="0.25">
      <c r="B148" s="164"/>
      <c r="C148" s="169" t="s">
        <v>49</v>
      </c>
      <c r="D148" s="40" t="s">
        <v>46</v>
      </c>
      <c r="E148" s="11">
        <f>MAXN!E191</f>
        <v>-39.621000000000002</v>
      </c>
      <c r="F148" s="11">
        <f>MAXN!F191</f>
        <v>-41.905000000000001</v>
      </c>
      <c r="G148" s="11">
        <f>MAXN!G191</f>
        <v>-74.999999999999972</v>
      </c>
      <c r="H148" s="545"/>
      <c r="I148" s="18"/>
      <c r="J148" s="421"/>
      <c r="K148" s="23">
        <f>MAXN!H191</f>
        <v>-159.99999999999997</v>
      </c>
      <c r="L148" s="23">
        <f>MAXN!I191</f>
        <v>-149.95567250488469</v>
      </c>
      <c r="M148" s="23">
        <f>MAXN!J191</f>
        <v>-126.91102095319184</v>
      </c>
      <c r="N148" s="23">
        <f>MAXN!K191</f>
        <v>-131.69363935128351</v>
      </c>
    </row>
    <row r="149" spans="2:14" outlineLevel="1" x14ac:dyDescent="0.25">
      <c r="B149" s="164"/>
      <c r="C149" s="169" t="s">
        <v>112</v>
      </c>
      <c r="D149" s="40" t="s">
        <v>46</v>
      </c>
      <c r="E149" s="11">
        <f>MAXN!E192</f>
        <v>0</v>
      </c>
      <c r="F149" s="11">
        <f>MAXN!F192</f>
        <v>0.26500000000000001</v>
      </c>
      <c r="G149" s="11">
        <f>MAXN!G192</f>
        <v>0.13250000000000001</v>
      </c>
      <c r="H149" s="545"/>
      <c r="I149" s="18"/>
      <c r="J149" s="425"/>
      <c r="K149" s="11">
        <f>MAXN!H192</f>
        <v>0.13250000000000001</v>
      </c>
      <c r="L149" s="11">
        <f>MAXN!I192</f>
        <v>0.13250000000000001</v>
      </c>
      <c r="M149" s="11">
        <f>MAXN!J192</f>
        <v>0.13250000000000001</v>
      </c>
      <c r="N149" s="11">
        <f>MAXN!K192</f>
        <v>0.13250000000000001</v>
      </c>
    </row>
    <row r="150" spans="2:14" outlineLevel="1" x14ac:dyDescent="0.25">
      <c r="B150" s="164"/>
      <c r="C150" s="352" t="s">
        <v>243</v>
      </c>
      <c r="D150" s="40" t="s">
        <v>46</v>
      </c>
      <c r="E150" s="11">
        <f>MAXN!E193</f>
        <v>0</v>
      </c>
      <c r="F150" s="11">
        <f>MAXN!F193</f>
        <v>-0.23100000000000001</v>
      </c>
      <c r="G150" s="11">
        <f>MAXN!G193</f>
        <v>-4.1964980340400002</v>
      </c>
      <c r="H150" s="545"/>
      <c r="I150" s="18"/>
      <c r="J150" s="425"/>
      <c r="K150" s="11">
        <f>MAXN!H193</f>
        <v>-7.4272707026256635</v>
      </c>
      <c r="L150" s="11">
        <f>MAXN!I193</f>
        <v>-10.470850833892621</v>
      </c>
      <c r="M150" s="11">
        <f>MAXN!J193</f>
        <v>-15.86387761914898</v>
      </c>
      <c r="N150" s="11">
        <f>MAXN!K193</f>
        <v>-18.813377050183359</v>
      </c>
    </row>
    <row r="151" spans="2:14" outlineLevel="1" x14ac:dyDescent="0.25">
      <c r="B151" s="164"/>
      <c r="C151" s="352" t="s">
        <v>244</v>
      </c>
      <c r="D151" s="40" t="s">
        <v>46</v>
      </c>
      <c r="E151" s="11">
        <f>MAXN!E194</f>
        <v>-13.348000000000001</v>
      </c>
      <c r="F151" s="11">
        <f>MAXN!F194</f>
        <v>0</v>
      </c>
      <c r="G151" s="11">
        <f>MAXN!G194</f>
        <v>0</v>
      </c>
      <c r="H151" s="545"/>
      <c r="I151" s="18"/>
      <c r="J151" s="425"/>
      <c r="K151" s="11">
        <f>MAXN!H194</f>
        <v>0</v>
      </c>
      <c r="L151" s="11">
        <f>MAXN!I194</f>
        <v>0</v>
      </c>
      <c r="M151" s="11">
        <f>MAXN!J194</f>
        <v>0</v>
      </c>
      <c r="N151" s="11">
        <f>MAXN!K194</f>
        <v>0</v>
      </c>
    </row>
    <row r="152" spans="2:14" outlineLevel="1" x14ac:dyDescent="0.25">
      <c r="B152" s="164"/>
      <c r="C152" s="24" t="s">
        <v>61</v>
      </c>
      <c r="D152" s="41" t="s">
        <v>46</v>
      </c>
      <c r="E152" s="12">
        <f>SUM(E148:E151)</f>
        <v>-52.969000000000001</v>
      </c>
      <c r="F152" s="12">
        <f t="shared" ref="F152:G152" si="65">SUM(F148:F151)</f>
        <v>-41.871000000000002</v>
      </c>
      <c r="G152" s="12">
        <f t="shared" si="65"/>
        <v>-79.063998034039983</v>
      </c>
      <c r="H152" s="422"/>
      <c r="I152" s="12"/>
      <c r="J152" s="423"/>
      <c r="K152" s="12">
        <f>SUM(K148:K151)</f>
        <v>-167.29477070262564</v>
      </c>
      <c r="L152" s="12">
        <f t="shared" ref="L152:N152" si="66">SUM(L148:L151)</f>
        <v>-160.29402333877732</v>
      </c>
      <c r="M152" s="12">
        <f t="shared" si="66"/>
        <v>-142.64239857234082</v>
      </c>
      <c r="N152" s="12">
        <f t="shared" si="66"/>
        <v>-150.37451640146688</v>
      </c>
    </row>
    <row r="153" spans="2:14" outlineLevel="1" x14ac:dyDescent="0.25">
      <c r="B153" s="164"/>
      <c r="C153" s="164"/>
      <c r="D153" s="21"/>
      <c r="F153" s="16"/>
      <c r="G153" s="16"/>
      <c r="H153" s="623"/>
      <c r="I153" s="16"/>
      <c r="J153" s="529"/>
      <c r="K153" s="164"/>
      <c r="L153" s="22"/>
      <c r="M153" s="22"/>
    </row>
    <row r="154" spans="2:14" outlineLevel="1" x14ac:dyDescent="0.25">
      <c r="B154" s="164"/>
      <c r="C154" s="169" t="s">
        <v>113</v>
      </c>
      <c r="D154" s="40" t="s">
        <v>46</v>
      </c>
      <c r="E154" s="11">
        <f>MAXN!E197</f>
        <v>227.67599999999999</v>
      </c>
      <c r="F154" s="11">
        <f>MAXN!F197</f>
        <v>253.31399999999999</v>
      </c>
      <c r="G154" s="11">
        <f>MAXN!G197</f>
        <v>90</v>
      </c>
      <c r="H154" s="545"/>
      <c r="I154" s="18"/>
      <c r="J154" s="425"/>
      <c r="K154" s="11">
        <f>MAXN!H197</f>
        <v>360</v>
      </c>
      <c r="L154" s="11">
        <f>MAXN!I197</f>
        <v>9</v>
      </c>
      <c r="M154" s="11">
        <f>MAXN!J197</f>
        <v>351</v>
      </c>
      <c r="N154" s="11">
        <f>MAXN!K197</f>
        <v>0</v>
      </c>
    </row>
    <row r="155" spans="2:14" outlineLevel="1" x14ac:dyDescent="0.25">
      <c r="B155" s="164"/>
      <c r="C155" s="169" t="s">
        <v>114</v>
      </c>
      <c r="D155" s="40" t="s">
        <v>46</v>
      </c>
      <c r="E155" s="11">
        <f>MAXN!E198</f>
        <v>-232.941</v>
      </c>
      <c r="F155" s="11">
        <f>MAXN!F198</f>
        <v>-255.839</v>
      </c>
      <c r="G155" s="11">
        <f>MAXN!G198</f>
        <v>-100</v>
      </c>
      <c r="H155" s="545"/>
      <c r="I155" s="18"/>
      <c r="J155" s="425"/>
      <c r="K155" s="11">
        <f>MAXN!H198</f>
        <v>-400</v>
      </c>
      <c r="L155" s="11">
        <f>MAXN!I198</f>
        <v>-10</v>
      </c>
      <c r="M155" s="11">
        <f>MAXN!J198</f>
        <v>-390</v>
      </c>
      <c r="N155" s="11">
        <f>MAXN!K198</f>
        <v>0</v>
      </c>
    </row>
    <row r="156" spans="2:14" outlineLevel="1" x14ac:dyDescent="0.25">
      <c r="B156" s="164"/>
      <c r="C156" s="627" t="s">
        <v>434</v>
      </c>
      <c r="D156" s="503" t="s">
        <v>46</v>
      </c>
      <c r="E156" s="497"/>
      <c r="F156" s="497"/>
      <c r="G156" s="497"/>
      <c r="H156" s="572"/>
      <c r="I156" s="504"/>
      <c r="J156" s="500"/>
      <c r="K156" s="499">
        <f>K180</f>
        <v>-10</v>
      </c>
      <c r="L156" s="499">
        <f t="shared" ref="L156:N156" si="67">L180</f>
        <v>100</v>
      </c>
      <c r="M156" s="499">
        <f t="shared" si="67"/>
        <v>0</v>
      </c>
      <c r="N156" s="499">
        <f t="shared" si="67"/>
        <v>0</v>
      </c>
    </row>
    <row r="157" spans="2:14" outlineLevel="1" x14ac:dyDescent="0.25">
      <c r="B157" s="164"/>
      <c r="C157" s="169" t="s">
        <v>62</v>
      </c>
      <c r="D157" s="40" t="s">
        <v>46</v>
      </c>
      <c r="E157" s="11">
        <f>MAXN!E199</f>
        <v>0</v>
      </c>
      <c r="F157" s="11">
        <f>MAXN!F199</f>
        <v>0</v>
      </c>
      <c r="G157" s="11">
        <f>MAXN!G199</f>
        <v>0</v>
      </c>
      <c r="H157" s="545"/>
      <c r="I157" s="18"/>
      <c r="J157" s="624"/>
      <c r="K157" s="620">
        <f>MAXN!H199</f>
        <v>0</v>
      </c>
      <c r="L157" s="620">
        <f>MAXN!I199</f>
        <v>0</v>
      </c>
      <c r="M157" s="620">
        <f>MAXN!J199</f>
        <v>0</v>
      </c>
      <c r="N157" s="620">
        <f>MAXN!K199</f>
        <v>0</v>
      </c>
    </row>
    <row r="158" spans="2:14" outlineLevel="1" x14ac:dyDescent="0.25">
      <c r="B158" s="164"/>
      <c r="C158" s="627" t="s">
        <v>435</v>
      </c>
      <c r="D158" s="503" t="s">
        <v>46</v>
      </c>
      <c r="E158" s="497"/>
      <c r="F158" s="497"/>
      <c r="G158" s="497"/>
      <c r="H158" s="572"/>
      <c r="I158" s="504"/>
      <c r="J158" s="634"/>
      <c r="K158" s="499">
        <f>K181</f>
        <v>0</v>
      </c>
      <c r="L158" s="499">
        <f t="shared" ref="L158:N158" si="68">L181</f>
        <v>46.345356129985532</v>
      </c>
      <c r="M158" s="499">
        <f t="shared" si="68"/>
        <v>157.471196060756</v>
      </c>
      <c r="N158" s="499">
        <f t="shared" si="68"/>
        <v>53.033726947101655</v>
      </c>
    </row>
    <row r="159" spans="2:14" outlineLevel="1" x14ac:dyDescent="0.25">
      <c r="B159" s="164"/>
      <c r="C159" s="352" t="s">
        <v>247</v>
      </c>
      <c r="D159" s="40" t="s">
        <v>46</v>
      </c>
      <c r="E159" s="11">
        <f>MAXN!E200</f>
        <v>171.089</v>
      </c>
      <c r="F159" s="11">
        <f>MAXN!F200</f>
        <v>92.409000000000006</v>
      </c>
      <c r="G159" s="11">
        <f>MAXN!G200</f>
        <v>200</v>
      </c>
      <c r="H159" s="545"/>
      <c r="I159" s="18"/>
      <c r="J159" s="427"/>
      <c r="K159" s="7">
        <f>MAXN!H200</f>
        <v>175</v>
      </c>
      <c r="L159" s="7">
        <f>MAXN!I200</f>
        <v>150</v>
      </c>
      <c r="M159" s="7">
        <f>MAXN!J200</f>
        <v>100</v>
      </c>
      <c r="N159" s="7">
        <f>MAXN!K200</f>
        <v>50</v>
      </c>
    </row>
    <row r="160" spans="2:14" outlineLevel="1" x14ac:dyDescent="0.25">
      <c r="B160" s="164"/>
      <c r="C160" s="627" t="s">
        <v>432</v>
      </c>
      <c r="D160" s="503" t="s">
        <v>46</v>
      </c>
      <c r="E160" s="497"/>
      <c r="F160" s="497"/>
      <c r="G160" s="497"/>
      <c r="H160" s="572"/>
      <c r="I160" s="504"/>
      <c r="J160" s="596"/>
      <c r="K160" s="594">
        <f>-MAXN!H200</f>
        <v>-175</v>
      </c>
      <c r="L160" s="594">
        <f>-MAXN!I200</f>
        <v>-150</v>
      </c>
      <c r="M160" s="594">
        <f>-MAXN!J200</f>
        <v>-100</v>
      </c>
      <c r="N160" s="594">
        <f>-MAXN!K200</f>
        <v>-50</v>
      </c>
    </row>
    <row r="161" spans="2:27" outlineLevel="1" x14ac:dyDescent="0.25">
      <c r="B161" s="164"/>
      <c r="C161" s="24" t="s">
        <v>63</v>
      </c>
      <c r="D161" s="41" t="s">
        <v>46</v>
      </c>
      <c r="E161" s="12">
        <f>SUM(E154:E159)</f>
        <v>165.82399999999998</v>
      </c>
      <c r="F161" s="12">
        <f t="shared" ref="F161:G161" si="69">SUM(F154:F159)</f>
        <v>89.884</v>
      </c>
      <c r="G161" s="12">
        <f t="shared" si="69"/>
        <v>190</v>
      </c>
      <c r="H161" s="422"/>
      <c r="I161" s="12"/>
      <c r="J161" s="423"/>
      <c r="K161" s="12">
        <f>SUM(K154:K160)</f>
        <v>-50</v>
      </c>
      <c r="L161" s="12">
        <f t="shared" ref="L161:N161" si="70">SUM(L154:L160)</f>
        <v>145.34535612998553</v>
      </c>
      <c r="M161" s="12">
        <f t="shared" si="70"/>
        <v>118.471196060756</v>
      </c>
      <c r="N161" s="12">
        <f t="shared" si="70"/>
        <v>53.033726947101655</v>
      </c>
    </row>
    <row r="162" spans="2:27" outlineLevel="1" x14ac:dyDescent="0.25">
      <c r="B162" s="164"/>
      <c r="C162" s="164"/>
      <c r="D162" s="42"/>
      <c r="E162" s="21"/>
      <c r="F162" s="21"/>
      <c r="G162" s="21"/>
      <c r="H162" s="625"/>
      <c r="I162" s="21"/>
      <c r="J162" s="529"/>
      <c r="K162" s="164"/>
      <c r="L162" s="22"/>
      <c r="M162" s="22"/>
    </row>
    <row r="163" spans="2:27" outlineLevel="1" x14ac:dyDescent="0.25">
      <c r="B163" s="164"/>
      <c r="C163" s="353" t="s">
        <v>248</v>
      </c>
      <c r="D163" s="40" t="s">
        <v>46</v>
      </c>
      <c r="E163" s="11">
        <f>MAXN!E203</f>
        <v>6.0999999999999999E-2</v>
      </c>
      <c r="F163" s="11">
        <f>MAXN!F203</f>
        <v>0.38100000000000001</v>
      </c>
      <c r="G163" s="11">
        <f>MAXN!G203</f>
        <v>0.221</v>
      </c>
      <c r="H163" s="545"/>
      <c r="I163" s="18"/>
      <c r="J163" s="427"/>
      <c r="K163" s="11">
        <f>MAXN!H203</f>
        <v>0.221</v>
      </c>
      <c r="L163" s="11">
        <f>MAXN!I203</f>
        <v>0.221</v>
      </c>
      <c r="M163" s="11">
        <f>MAXN!J203</f>
        <v>0.221</v>
      </c>
      <c r="N163" s="11">
        <f>MAXN!K203</f>
        <v>0.221</v>
      </c>
    </row>
    <row r="164" spans="2:27" outlineLevel="1" x14ac:dyDescent="0.25">
      <c r="B164" s="164"/>
      <c r="C164" s="164"/>
      <c r="D164" s="42"/>
      <c r="E164" s="21"/>
      <c r="F164" s="21"/>
      <c r="G164" s="21"/>
      <c r="H164" s="625"/>
      <c r="I164" s="21"/>
      <c r="J164" s="529"/>
      <c r="K164" s="164"/>
      <c r="L164" s="22"/>
      <c r="M164" s="22"/>
    </row>
    <row r="165" spans="2:27" outlineLevel="1" x14ac:dyDescent="0.25">
      <c r="B165" s="164"/>
      <c r="C165" s="6" t="s">
        <v>64</v>
      </c>
      <c r="D165" s="40" t="s">
        <v>46</v>
      </c>
      <c r="E165" s="13">
        <f>+E146+E152+E161+E163</f>
        <v>-43.906999999999989</v>
      </c>
      <c r="F165" s="13">
        <f t="shared" ref="F165:G165" si="71">+F146+F152+F161+F163</f>
        <v>22.054000000000045</v>
      </c>
      <c r="G165" s="13">
        <f t="shared" si="71"/>
        <v>-7.1964125624010684</v>
      </c>
      <c r="H165" s="434"/>
      <c r="I165" s="13"/>
      <c r="J165" s="435"/>
      <c r="K165" s="13">
        <f>+K146+K152+K161+K163</f>
        <v>-280.21453793223594</v>
      </c>
      <c r="L165" s="13">
        <f t="shared" ref="L165:N165" si="72">+L146+L152+L161+L163</f>
        <v>-17.785462067764119</v>
      </c>
      <c r="M165" s="13">
        <f t="shared" si="72"/>
        <v>-3.6359804056473877E-15</v>
      </c>
      <c r="N165" s="13">
        <f t="shared" si="72"/>
        <v>1.0574874309554616E-14</v>
      </c>
    </row>
    <row r="166" spans="2:27" outlineLevel="1" x14ac:dyDescent="0.25">
      <c r="B166" s="164"/>
      <c r="C166" s="164"/>
      <c r="D166" s="42"/>
      <c r="F166" s="364"/>
      <c r="G166" s="364"/>
      <c r="H166" s="626"/>
      <c r="I166" s="364"/>
      <c r="J166" s="529"/>
      <c r="K166" s="164"/>
      <c r="L166" s="164"/>
      <c r="M166" s="164"/>
      <c r="N166" s="164"/>
    </row>
    <row r="167" spans="2:27" outlineLevel="1" x14ac:dyDescent="0.25">
      <c r="B167" s="164"/>
      <c r="C167" s="6" t="s">
        <v>115</v>
      </c>
      <c r="D167" s="40" t="s">
        <v>46</v>
      </c>
      <c r="E167" s="619">
        <f>MAXN!E207</f>
        <v>145.65600000000001</v>
      </c>
      <c r="F167" s="13">
        <f>E168</f>
        <v>101.74900000000002</v>
      </c>
      <c r="G167" s="13">
        <f>F168</f>
        <v>123.80300000000007</v>
      </c>
      <c r="H167" s="434"/>
      <c r="I167" s="13"/>
      <c r="J167" s="433"/>
      <c r="K167" s="14">
        <f>J81</f>
        <v>348.00000000000006</v>
      </c>
      <c r="L167" s="14">
        <f>K168</f>
        <v>67.785462067764115</v>
      </c>
      <c r="M167" s="14">
        <f t="shared" ref="M167:N167" si="73">L168</f>
        <v>50</v>
      </c>
      <c r="N167" s="14">
        <f t="shared" si="73"/>
        <v>49.999999999999993</v>
      </c>
    </row>
    <row r="168" spans="2:27" outlineLevel="1" x14ac:dyDescent="0.25">
      <c r="B168" s="164"/>
      <c r="C168" s="6" t="s">
        <v>116</v>
      </c>
      <c r="D168" s="40" t="s">
        <v>46</v>
      </c>
      <c r="E168" s="13">
        <f>+E165+E167</f>
        <v>101.74900000000002</v>
      </c>
      <c r="F168" s="13">
        <f>+F165+F167</f>
        <v>123.80300000000007</v>
      </c>
      <c r="G168" s="13">
        <f>+G165+G167</f>
        <v>116.606587437599</v>
      </c>
      <c r="H168" s="434"/>
      <c r="I168" s="13"/>
      <c r="J168" s="435"/>
      <c r="K168" s="13">
        <f>+K165+K167</f>
        <v>67.785462067764115</v>
      </c>
      <c r="L168" s="13">
        <f>+L165+L167</f>
        <v>50</v>
      </c>
      <c r="M168" s="13">
        <f t="shared" ref="M168:N168" si="74">+M165+M167</f>
        <v>49.999999999999993</v>
      </c>
      <c r="N168" s="13">
        <f t="shared" si="74"/>
        <v>50</v>
      </c>
    </row>
    <row r="169" spans="2:27" x14ac:dyDescent="0.25">
      <c r="B169" s="164"/>
      <c r="C169" s="164"/>
      <c r="D169" s="42"/>
      <c r="E169" s="21"/>
      <c r="J169" s="16"/>
      <c r="K169" s="164"/>
      <c r="L169" s="164"/>
      <c r="M169" s="22"/>
      <c r="N169" s="22"/>
    </row>
    <row r="170" spans="2:27" x14ac:dyDescent="0.25">
      <c r="B170" s="28"/>
      <c r="C170" s="29"/>
      <c r="D170" s="29"/>
      <c r="E170" s="33" t="str">
        <f>$E$47</f>
        <v>Historical:</v>
      </c>
      <c r="F170" s="34"/>
      <c r="G170" s="33" t="str">
        <f>$G$47</f>
        <v>Projected:</v>
      </c>
      <c r="H170" s="415" t="str">
        <f>$H$47</f>
        <v>Transaction Adjustments:</v>
      </c>
      <c r="I170" s="33"/>
      <c r="J170" s="34"/>
      <c r="K170" s="33" t="str">
        <f>$K$47</f>
        <v>Separated Company:</v>
      </c>
      <c r="L170" s="33"/>
      <c r="M170" s="33"/>
      <c r="N170" s="33"/>
    </row>
    <row r="171" spans="2:27" x14ac:dyDescent="0.25">
      <c r="B171" s="30" t="s">
        <v>531</v>
      </c>
      <c r="C171" s="31"/>
      <c r="D171" s="36" t="str">
        <f>SPWR!$D$5</f>
        <v>Units:</v>
      </c>
      <c r="E171" s="32">
        <f>$E$48</f>
        <v>43465</v>
      </c>
      <c r="F171" s="32">
        <f>$F$48</f>
        <v>43830</v>
      </c>
      <c r="G171" s="544">
        <f>$G$48</f>
        <v>44196</v>
      </c>
      <c r="H171" s="416" t="str">
        <f>$H$48</f>
        <v>Debit</v>
      </c>
      <c r="I171" s="32" t="str">
        <f>$I$48</f>
        <v>Credit</v>
      </c>
      <c r="J171" s="35">
        <f>$J$48</f>
        <v>44196</v>
      </c>
      <c r="K171" s="32">
        <f>$K$48</f>
        <v>44561</v>
      </c>
      <c r="L171" s="32">
        <f>$L$48</f>
        <v>44926</v>
      </c>
      <c r="M171" s="32">
        <f>$M$48</f>
        <v>45291</v>
      </c>
      <c r="N171" s="32">
        <f>$N$48</f>
        <v>45657</v>
      </c>
      <c r="P171" s="788"/>
      <c r="Q171" s="788"/>
      <c r="R171" s="788"/>
      <c r="S171" s="788"/>
      <c r="T171" s="788"/>
      <c r="U171" s="788"/>
      <c r="V171" s="788"/>
      <c r="W171" s="788"/>
      <c r="X171" s="788"/>
      <c r="Y171" s="788"/>
      <c r="Z171" s="788"/>
      <c r="AA171" s="788"/>
    </row>
    <row r="172" spans="2:27" outlineLevel="1" x14ac:dyDescent="0.25">
      <c r="B172" s="164"/>
      <c r="C172" s="164"/>
      <c r="D172" s="42"/>
      <c r="E172" s="21"/>
      <c r="H172" s="654"/>
      <c r="I172" s="618"/>
      <c r="J172" s="527"/>
      <c r="K172" s="164"/>
      <c r="L172" s="164"/>
      <c r="M172" s="22"/>
      <c r="N172" s="22"/>
      <c r="P172" s="788"/>
      <c r="Q172" s="788"/>
      <c r="R172" s="788"/>
      <c r="S172" s="788"/>
      <c r="T172" s="788"/>
      <c r="U172" s="788"/>
      <c r="V172" s="788"/>
      <c r="W172" s="788"/>
      <c r="X172" s="788"/>
      <c r="Y172" s="788"/>
      <c r="Z172" s="788"/>
      <c r="AA172" s="788"/>
    </row>
    <row r="173" spans="2:27" outlineLevel="1" x14ac:dyDescent="0.25">
      <c r="B173" s="164"/>
      <c r="C173" s="615" t="s">
        <v>442</v>
      </c>
      <c r="D173" s="40" t="s">
        <v>46</v>
      </c>
      <c r="E173" s="51"/>
      <c r="F173" s="616"/>
      <c r="G173" s="616"/>
      <c r="H173" s="655"/>
      <c r="I173" s="648"/>
      <c r="J173" s="656"/>
      <c r="K173" s="648">
        <f>+K146+K152+K154+K155+K157+K159+K160+K163</f>
        <v>-270.21453793223594</v>
      </c>
      <c r="L173" s="648">
        <f t="shared" ref="L173:N173" si="75">+L146+L152+L154+L155+L157+L159+L160+L163</f>
        <v>-164.13081819774965</v>
      </c>
      <c r="M173" s="648">
        <f t="shared" si="75"/>
        <v>-157.471196060756</v>
      </c>
      <c r="N173" s="648">
        <f t="shared" si="75"/>
        <v>-53.033726947101648</v>
      </c>
      <c r="P173" s="788"/>
      <c r="Q173" s="788"/>
      <c r="R173" s="788"/>
      <c r="S173" s="788"/>
      <c r="T173" s="788"/>
      <c r="U173" s="788"/>
      <c r="V173" s="788"/>
      <c r="W173" s="788"/>
      <c r="X173" s="788"/>
      <c r="Y173" s="788"/>
      <c r="Z173" s="788"/>
      <c r="AA173" s="788"/>
    </row>
    <row r="174" spans="2:27" outlineLevel="1" x14ac:dyDescent="0.25">
      <c r="B174" s="164"/>
      <c r="C174" s="615" t="s">
        <v>443</v>
      </c>
      <c r="D174" s="650" t="s">
        <v>46</v>
      </c>
      <c r="E174" s="21"/>
      <c r="H174" s="528"/>
      <c r="I174" s="164"/>
      <c r="J174" s="657"/>
      <c r="K174" s="173">
        <f>K167</f>
        <v>348.00000000000006</v>
      </c>
      <c r="L174" s="173">
        <f t="shared" ref="L174:N174" si="76">L167</f>
        <v>67.785462067764115</v>
      </c>
      <c r="M174" s="173">
        <f t="shared" si="76"/>
        <v>50</v>
      </c>
      <c r="N174" s="173">
        <f t="shared" si="76"/>
        <v>49.999999999999993</v>
      </c>
      <c r="P174" s="788"/>
      <c r="Q174" s="788"/>
      <c r="R174" s="788"/>
      <c r="S174" s="788"/>
      <c r="T174" s="788"/>
      <c r="U174" s="788"/>
      <c r="V174" s="788"/>
      <c r="W174" s="788"/>
      <c r="X174" s="788"/>
      <c r="Y174" s="788"/>
      <c r="Z174" s="788"/>
      <c r="AA174" s="788"/>
    </row>
    <row r="175" spans="2:27" outlineLevel="1" x14ac:dyDescent="0.25">
      <c r="B175" s="164"/>
      <c r="C175" s="24" t="s">
        <v>441</v>
      </c>
      <c r="D175" s="40" t="s">
        <v>46</v>
      </c>
      <c r="E175" s="651"/>
      <c r="F175" s="25"/>
      <c r="G175" s="25"/>
      <c r="H175" s="436"/>
      <c r="I175" s="25"/>
      <c r="J175" s="658"/>
      <c r="K175" s="25">
        <f>SUM(K173:K174)</f>
        <v>77.785462067764115</v>
      </c>
      <c r="L175" s="25">
        <f t="shared" ref="L175:N175" si="77">SUM(L173:L174)</f>
        <v>-96.345356129985532</v>
      </c>
      <c r="M175" s="25">
        <f t="shared" si="77"/>
        <v>-107.471196060756</v>
      </c>
      <c r="N175" s="25">
        <f t="shared" si="77"/>
        <v>-3.0337269471016555</v>
      </c>
      <c r="P175" s="788"/>
      <c r="Q175" s="788"/>
      <c r="R175" s="788"/>
      <c r="S175" s="788"/>
      <c r="T175" s="788"/>
      <c r="U175" s="788"/>
      <c r="V175" s="788"/>
      <c r="W175" s="788"/>
      <c r="X175" s="788"/>
      <c r="Y175" s="788"/>
      <c r="Z175" s="788"/>
      <c r="AA175" s="788"/>
    </row>
    <row r="176" spans="2:27" outlineLevel="1" x14ac:dyDescent="0.25">
      <c r="B176" s="164"/>
      <c r="C176" s="615" t="s">
        <v>444</v>
      </c>
      <c r="D176" s="650" t="s">
        <v>46</v>
      </c>
      <c r="E176" s="21"/>
      <c r="H176" s="528"/>
      <c r="I176" s="164"/>
      <c r="J176" s="657"/>
      <c r="K176" s="173">
        <f>-Sub_Min_Cash</f>
        <v>-50</v>
      </c>
      <c r="L176" s="173">
        <f>-Sub_Min_Cash</f>
        <v>-50</v>
      </c>
      <c r="M176" s="173">
        <f>-Sub_Min_Cash</f>
        <v>-50</v>
      </c>
      <c r="N176" s="173">
        <f>-Sub_Min_Cash</f>
        <v>-50</v>
      </c>
      <c r="P176" s="788"/>
      <c r="Q176" s="788"/>
      <c r="R176" s="788"/>
      <c r="S176" s="788"/>
      <c r="T176" s="788"/>
      <c r="U176" s="788"/>
      <c r="V176" s="788"/>
      <c r="W176" s="788"/>
      <c r="X176" s="788"/>
      <c r="Y176" s="788"/>
      <c r="Z176" s="788"/>
      <c r="AA176" s="788"/>
    </row>
    <row r="177" spans="2:27" outlineLevel="1" x14ac:dyDescent="0.25">
      <c r="B177" s="164"/>
      <c r="C177" s="24" t="s">
        <v>445</v>
      </c>
      <c r="D177" s="40" t="s">
        <v>46</v>
      </c>
      <c r="E177" s="649"/>
      <c r="F177" s="618"/>
      <c r="G177" s="618"/>
      <c r="H177" s="654"/>
      <c r="I177" s="618"/>
      <c r="J177" s="527"/>
      <c r="K177" s="25">
        <f>SUM(K175:K176)</f>
        <v>27.785462067764115</v>
      </c>
      <c r="L177" s="25">
        <f t="shared" ref="L177:N177" si="78">SUM(L175:L176)</f>
        <v>-146.34535612998553</v>
      </c>
      <c r="M177" s="25">
        <f t="shared" si="78"/>
        <v>-157.471196060756</v>
      </c>
      <c r="N177" s="25">
        <f t="shared" si="78"/>
        <v>-53.033726947101655</v>
      </c>
      <c r="P177" s="788"/>
      <c r="Q177" s="788"/>
      <c r="R177" s="788"/>
      <c r="S177" s="788"/>
      <c r="T177" s="788"/>
      <c r="U177" s="788"/>
      <c r="V177" s="788"/>
      <c r="W177" s="788"/>
      <c r="X177" s="788"/>
      <c r="Y177" s="788"/>
      <c r="Z177" s="788"/>
      <c r="AA177" s="788"/>
    </row>
    <row r="178" spans="2:27" outlineLevel="1" x14ac:dyDescent="0.25">
      <c r="B178" s="164"/>
      <c r="D178" s="42"/>
      <c r="E178" s="21"/>
      <c r="H178" s="528"/>
      <c r="I178" s="164"/>
      <c r="J178" s="657"/>
      <c r="K178" s="164"/>
      <c r="L178" s="164"/>
      <c r="M178" s="22"/>
      <c r="N178" s="22"/>
      <c r="P178" s="788"/>
      <c r="Q178" s="788"/>
      <c r="R178" s="788"/>
      <c r="S178" s="788"/>
      <c r="T178" s="788"/>
      <c r="U178" s="788"/>
      <c r="V178" s="788"/>
      <c r="W178" s="788"/>
      <c r="X178" s="788"/>
      <c r="Y178" s="788"/>
      <c r="Z178" s="788"/>
      <c r="AA178" s="788"/>
    </row>
    <row r="179" spans="2:27" outlineLevel="1" x14ac:dyDescent="0.25">
      <c r="B179" s="164"/>
      <c r="C179" s="647" t="s">
        <v>446</v>
      </c>
      <c r="D179" s="40" t="s">
        <v>46</v>
      </c>
      <c r="E179" s="21"/>
      <c r="H179" s="528"/>
      <c r="I179" s="164"/>
      <c r="J179" s="657"/>
      <c r="K179" s="652">
        <f>-MIN(K177,0)</f>
        <v>0</v>
      </c>
      <c r="L179" s="652">
        <f t="shared" ref="L179:N179" si="79">-MIN(L177,0)</f>
        <v>146.34535612998553</v>
      </c>
      <c r="M179" s="652">
        <f t="shared" si="79"/>
        <v>157.471196060756</v>
      </c>
      <c r="N179" s="652">
        <f t="shared" si="79"/>
        <v>53.033726947101655</v>
      </c>
      <c r="P179" s="788"/>
      <c r="Q179" s="788"/>
      <c r="R179" s="788"/>
      <c r="S179" s="788"/>
      <c r="T179" s="788"/>
      <c r="U179" s="788"/>
      <c r="V179" s="788"/>
      <c r="W179" s="788"/>
      <c r="X179" s="788"/>
      <c r="Y179" s="788"/>
      <c r="Z179" s="788"/>
      <c r="AA179" s="788"/>
    </row>
    <row r="180" spans="2:27" outlineLevel="1" x14ac:dyDescent="0.25">
      <c r="B180" s="164"/>
      <c r="C180" s="647" t="s">
        <v>448</v>
      </c>
      <c r="D180" s="40" t="s">
        <v>46</v>
      </c>
      <c r="E180" s="21"/>
      <c r="H180" s="528"/>
      <c r="I180" s="164"/>
      <c r="J180" s="657"/>
      <c r="K180" s="652">
        <f>IF(K179=0,-MIN(J183,K177),MIN(K179,Max_Revolver-J183))</f>
        <v>-10</v>
      </c>
      <c r="L180" s="652">
        <f>IF(L179=0,-MIN(K183,L177),MIN(L179,Max_Revolver-K183))</f>
        <v>100</v>
      </c>
      <c r="M180" s="652">
        <f>IF(M179=0,-MIN(L183,M177),MIN(M179,Max_Revolver-L183))</f>
        <v>0</v>
      </c>
      <c r="N180" s="652">
        <f>IF(N179=0,-MIN(M183,N177),MIN(N179,Max_Revolver-M183))</f>
        <v>0</v>
      </c>
      <c r="P180" s="788"/>
      <c r="Q180" s="788"/>
      <c r="R180" s="788"/>
      <c r="S180" s="788"/>
      <c r="T180" s="788"/>
      <c r="U180" s="788"/>
      <c r="V180" s="788"/>
      <c r="W180" s="788"/>
      <c r="X180" s="788"/>
      <c r="Y180" s="788"/>
      <c r="Z180" s="788"/>
      <c r="AA180" s="788"/>
    </row>
    <row r="181" spans="2:27" outlineLevel="1" x14ac:dyDescent="0.25">
      <c r="B181" s="164"/>
      <c r="C181" s="647" t="s">
        <v>454</v>
      </c>
      <c r="D181" s="40" t="s">
        <v>46</v>
      </c>
      <c r="E181" s="21"/>
      <c r="H181" s="528"/>
      <c r="I181" s="164"/>
      <c r="J181" s="657"/>
      <c r="K181" s="652">
        <f>IF(K179&gt;0,K179-K180,0)</f>
        <v>0</v>
      </c>
      <c r="L181" s="652">
        <f t="shared" ref="L181:N181" si="80">IF(L179&gt;0,L179-L180,0)</f>
        <v>46.345356129985532</v>
      </c>
      <c r="M181" s="652">
        <f t="shared" si="80"/>
        <v>157.471196060756</v>
      </c>
      <c r="N181" s="652">
        <f t="shared" si="80"/>
        <v>53.033726947101655</v>
      </c>
      <c r="P181" s="788"/>
      <c r="Q181" s="792"/>
      <c r="R181" s="788"/>
      <c r="S181" s="788"/>
      <c r="T181" s="788"/>
      <c r="U181" s="788"/>
      <c r="V181" s="788"/>
      <c r="W181" s="788"/>
      <c r="X181" s="788"/>
      <c r="Y181" s="788"/>
      <c r="Z181" s="788"/>
      <c r="AA181" s="788"/>
    </row>
    <row r="182" spans="2:27" outlineLevel="1" x14ac:dyDescent="0.25">
      <c r="B182" s="164"/>
      <c r="C182" s="164"/>
      <c r="D182" s="42"/>
      <c r="E182" s="21"/>
      <c r="H182" s="528"/>
      <c r="I182" s="164"/>
      <c r="J182" s="657"/>
      <c r="K182" s="164"/>
      <c r="L182" s="164"/>
      <c r="M182" s="164"/>
      <c r="N182" s="164"/>
      <c r="P182" s="788"/>
      <c r="Q182" s="788"/>
      <c r="R182" s="788"/>
      <c r="S182" s="788"/>
      <c r="T182" s="788"/>
      <c r="U182" s="788"/>
      <c r="V182" s="788"/>
      <c r="W182" s="788"/>
      <c r="X182" s="788"/>
      <c r="Y182" s="788"/>
      <c r="Z182" s="788"/>
      <c r="AA182" s="788"/>
    </row>
    <row r="183" spans="2:27" outlineLevel="1" x14ac:dyDescent="0.25">
      <c r="B183" s="164"/>
      <c r="C183" s="647" t="s">
        <v>447</v>
      </c>
      <c r="D183" s="40" t="s">
        <v>46</v>
      </c>
      <c r="E183" s="21"/>
      <c r="H183" s="528"/>
      <c r="I183" s="164"/>
      <c r="J183" s="659">
        <f>$K$8</f>
        <v>10</v>
      </c>
      <c r="K183" s="173">
        <f>J183+K180</f>
        <v>0</v>
      </c>
      <c r="L183" s="173">
        <f t="shared" ref="L183:N183" si="81">K183+L180</f>
        <v>100</v>
      </c>
      <c r="M183" s="173">
        <f t="shared" si="81"/>
        <v>100</v>
      </c>
      <c r="N183" s="173">
        <f t="shared" si="81"/>
        <v>100</v>
      </c>
      <c r="P183" s="788"/>
      <c r="Q183" s="788"/>
      <c r="R183" s="788"/>
      <c r="S183" s="788"/>
      <c r="T183" s="788"/>
      <c r="U183" s="788"/>
      <c r="V183" s="788"/>
      <c r="W183" s="788"/>
      <c r="X183" s="788"/>
      <c r="Y183" s="788"/>
      <c r="Z183" s="788"/>
      <c r="AA183" s="788"/>
    </row>
    <row r="184" spans="2:27" outlineLevel="1" x14ac:dyDescent="0.25">
      <c r="B184" s="164"/>
      <c r="C184" s="647" t="s">
        <v>449</v>
      </c>
      <c r="D184" s="40" t="s">
        <v>46</v>
      </c>
      <c r="E184" s="21"/>
      <c r="H184" s="528"/>
      <c r="I184" s="164"/>
      <c r="J184" s="659">
        <f>Max_Revolver-J183</f>
        <v>90</v>
      </c>
      <c r="K184" s="653">
        <f>Max_Revolver-K183</f>
        <v>100</v>
      </c>
      <c r="L184" s="653">
        <f>Max_Revolver-L183</f>
        <v>0</v>
      </c>
      <c r="M184" s="653">
        <f>Max_Revolver-M183</f>
        <v>0</v>
      </c>
      <c r="N184" s="653">
        <f>Max_Revolver-N183</f>
        <v>0</v>
      </c>
      <c r="P184" s="788"/>
      <c r="Q184" s="792"/>
      <c r="R184" s="788"/>
      <c r="S184" s="788"/>
      <c r="T184" s="788"/>
      <c r="U184" s="788"/>
      <c r="V184" s="788"/>
      <c r="W184" s="788"/>
      <c r="X184" s="788"/>
      <c r="Y184" s="788"/>
      <c r="Z184" s="788"/>
      <c r="AA184" s="788"/>
    </row>
    <row r="185" spans="2:27" outlineLevel="1" x14ac:dyDescent="0.25">
      <c r="B185" s="164"/>
      <c r="C185" s="164"/>
      <c r="D185" s="42"/>
      <c r="E185" s="21"/>
      <c r="H185" s="528"/>
      <c r="I185" s="164"/>
      <c r="J185" s="657"/>
      <c r="K185" s="164"/>
      <c r="L185" s="164"/>
      <c r="M185" s="22"/>
      <c r="N185" s="22"/>
      <c r="P185" s="788"/>
      <c r="Q185" s="788"/>
      <c r="R185" s="788"/>
      <c r="S185" s="788"/>
      <c r="T185" s="788"/>
      <c r="U185" s="788"/>
      <c r="V185" s="788"/>
      <c r="W185" s="788"/>
      <c r="X185" s="788"/>
      <c r="Y185" s="788"/>
      <c r="Z185" s="788"/>
      <c r="AA185" s="788"/>
    </row>
    <row r="186" spans="2:27" outlineLevel="1" x14ac:dyDescent="0.25">
      <c r="B186" s="164"/>
      <c r="C186" s="615" t="s">
        <v>452</v>
      </c>
      <c r="D186" s="40" t="s">
        <v>46</v>
      </c>
      <c r="E186" s="653"/>
      <c r="F186" s="653"/>
      <c r="G186" s="653"/>
      <c r="H186" s="660"/>
      <c r="I186" s="653"/>
      <c r="J186" s="659"/>
      <c r="K186" s="653">
        <f>+J183*$K$9</f>
        <v>0.47499999999999998</v>
      </c>
      <c r="L186" s="653">
        <f t="shared" ref="L186:N186" si="82">+K183*$K$9</f>
        <v>0</v>
      </c>
      <c r="M186" s="653">
        <f t="shared" si="82"/>
        <v>4.75</v>
      </c>
      <c r="N186" s="653">
        <f t="shared" si="82"/>
        <v>4.75</v>
      </c>
      <c r="P186" s="788"/>
      <c r="Q186" s="788"/>
      <c r="R186" s="788"/>
      <c r="S186" s="788"/>
      <c r="T186" s="788"/>
      <c r="U186" s="788"/>
      <c r="V186" s="788"/>
      <c r="W186" s="788"/>
      <c r="X186" s="788"/>
      <c r="Y186" s="788"/>
      <c r="Z186" s="788"/>
      <c r="AA186" s="788"/>
    </row>
    <row r="187" spans="2:27" outlineLevel="1" x14ac:dyDescent="0.25">
      <c r="B187" s="164"/>
      <c r="C187" s="615" t="s">
        <v>451</v>
      </c>
      <c r="D187" s="40" t="s">
        <v>46</v>
      </c>
      <c r="E187" s="653"/>
      <c r="F187" s="653"/>
      <c r="G187" s="653"/>
      <c r="H187" s="660"/>
      <c r="I187" s="653"/>
      <c r="J187" s="659"/>
      <c r="K187" s="653">
        <f>+J184*$K$11</f>
        <v>1.3499999999999999</v>
      </c>
      <c r="L187" s="653">
        <f t="shared" ref="L187:N187" si="83">+K184*$K$11</f>
        <v>1.5</v>
      </c>
      <c r="M187" s="653">
        <f t="shared" si="83"/>
        <v>0</v>
      </c>
      <c r="N187" s="653">
        <f t="shared" si="83"/>
        <v>0</v>
      </c>
      <c r="P187" s="788"/>
      <c r="Q187" s="788"/>
      <c r="R187" s="788"/>
      <c r="S187" s="788"/>
      <c r="T187" s="788"/>
      <c r="U187" s="788"/>
      <c r="V187" s="788"/>
      <c r="W187" s="788"/>
      <c r="X187" s="788"/>
      <c r="Y187" s="788"/>
      <c r="Z187" s="788"/>
      <c r="AA187" s="788"/>
    </row>
    <row r="188" spans="2:27" outlineLevel="1" x14ac:dyDescent="0.25">
      <c r="B188" s="164"/>
      <c r="C188" s="615" t="s">
        <v>453</v>
      </c>
      <c r="D188" s="650" t="s">
        <v>46</v>
      </c>
      <c r="E188" s="173"/>
      <c r="F188" s="173"/>
      <c r="G188" s="173"/>
      <c r="H188" s="661"/>
      <c r="I188" s="173"/>
      <c r="J188" s="547"/>
      <c r="K188" s="173">
        <f>$K$15</f>
        <v>0.3</v>
      </c>
      <c r="L188" s="173">
        <f t="shared" ref="L188:N188" si="84">$K$15</f>
        <v>0.3</v>
      </c>
      <c r="M188" s="173">
        <f t="shared" si="84"/>
        <v>0.3</v>
      </c>
      <c r="N188" s="173">
        <f t="shared" si="84"/>
        <v>0.3</v>
      </c>
      <c r="P188" s="788"/>
      <c r="Q188" s="788"/>
      <c r="R188" s="788"/>
      <c r="S188" s="788"/>
      <c r="T188" s="788"/>
      <c r="U188" s="788"/>
      <c r="V188" s="788"/>
      <c r="W188" s="788"/>
      <c r="X188" s="788"/>
      <c r="Y188" s="788"/>
      <c r="Z188" s="788"/>
      <c r="AA188" s="788"/>
    </row>
    <row r="189" spans="2:27" outlineLevel="1" x14ac:dyDescent="0.25">
      <c r="B189" s="164"/>
      <c r="C189" s="24" t="s">
        <v>450</v>
      </c>
      <c r="D189" s="40" t="s">
        <v>46</v>
      </c>
      <c r="E189" s="25"/>
      <c r="F189" s="25"/>
      <c r="G189" s="25"/>
      <c r="H189" s="436"/>
      <c r="I189" s="25"/>
      <c r="J189" s="437"/>
      <c r="K189" s="25">
        <f>SUM(K186:K188)</f>
        <v>2.1249999999999996</v>
      </c>
      <c r="L189" s="25">
        <f t="shared" ref="L189:N189" si="85">SUM(L186:L188)</f>
        <v>1.8</v>
      </c>
      <c r="M189" s="25">
        <f t="shared" si="85"/>
        <v>5.05</v>
      </c>
      <c r="N189" s="25">
        <f t="shared" si="85"/>
        <v>5.05</v>
      </c>
      <c r="P189" s="788"/>
      <c r="Q189" s="788"/>
      <c r="R189" s="788"/>
      <c r="S189" s="788"/>
      <c r="T189" s="788"/>
      <c r="U189" s="788"/>
      <c r="V189" s="788"/>
      <c r="W189" s="788"/>
      <c r="X189" s="788"/>
      <c r="Y189" s="788"/>
      <c r="Z189" s="788"/>
      <c r="AA189" s="788"/>
    </row>
    <row r="190" spans="2:27" outlineLevel="1" x14ac:dyDescent="0.25">
      <c r="B190" s="164"/>
      <c r="C190" s="164"/>
      <c r="D190" s="42"/>
      <c r="E190" s="21"/>
      <c r="H190" s="528"/>
      <c r="I190" s="164"/>
      <c r="J190" s="657"/>
      <c r="K190" s="164"/>
      <c r="L190" s="164"/>
      <c r="M190" s="22"/>
      <c r="N190" s="22"/>
      <c r="P190" s="788"/>
      <c r="Q190" s="788"/>
      <c r="R190" s="788"/>
      <c r="S190" s="788"/>
      <c r="T190" s="788"/>
      <c r="U190" s="788"/>
      <c r="V190" s="788"/>
      <c r="W190" s="788"/>
      <c r="X190" s="788"/>
      <c r="Y190" s="788"/>
      <c r="Z190" s="788"/>
      <c r="AA190" s="788"/>
    </row>
    <row r="191" spans="2:27" outlineLevel="1" x14ac:dyDescent="0.25">
      <c r="B191" s="164"/>
      <c r="C191" s="647" t="s">
        <v>457</v>
      </c>
      <c r="D191" s="42"/>
      <c r="E191" s="21"/>
      <c r="H191" s="528"/>
      <c r="I191" s="164"/>
      <c r="J191" s="659">
        <f>$K$17</f>
        <v>200</v>
      </c>
      <c r="K191" s="173">
        <f>J191</f>
        <v>200</v>
      </c>
      <c r="L191" s="173">
        <f t="shared" ref="L191:N191" si="86">K191</f>
        <v>200</v>
      </c>
      <c r="M191" s="173">
        <f t="shared" si="86"/>
        <v>200</v>
      </c>
      <c r="N191" s="173">
        <f t="shared" si="86"/>
        <v>200</v>
      </c>
      <c r="P191" s="788"/>
      <c r="Q191" s="788"/>
      <c r="R191" s="788"/>
      <c r="S191" s="788"/>
      <c r="T191" s="788"/>
      <c r="U191" s="788"/>
      <c r="V191" s="788"/>
      <c r="W191" s="788"/>
      <c r="X191" s="788"/>
      <c r="Y191" s="788"/>
      <c r="Z191" s="788"/>
      <c r="AA191" s="788"/>
    </row>
    <row r="192" spans="2:27" outlineLevel="1" x14ac:dyDescent="0.25">
      <c r="B192" s="164"/>
      <c r="C192" s="164"/>
      <c r="D192" s="42"/>
      <c r="E192" s="21"/>
      <c r="H192" s="528"/>
      <c r="I192" s="164"/>
      <c r="J192" s="657"/>
      <c r="K192" s="164"/>
      <c r="L192" s="164"/>
      <c r="M192" s="22"/>
      <c r="N192" s="22"/>
      <c r="P192" s="788"/>
      <c r="Q192" s="788"/>
      <c r="R192" s="788"/>
      <c r="S192" s="788"/>
      <c r="T192" s="788"/>
      <c r="U192" s="788"/>
      <c r="V192" s="788"/>
      <c r="W192" s="788"/>
      <c r="X192" s="788"/>
      <c r="Y192" s="788"/>
      <c r="Z192" s="788"/>
      <c r="AA192" s="788"/>
    </row>
    <row r="193" spans="2:27" outlineLevel="1" x14ac:dyDescent="0.25">
      <c r="B193" s="164"/>
      <c r="C193" s="615" t="s">
        <v>452</v>
      </c>
      <c r="D193" s="40" t="s">
        <v>46</v>
      </c>
      <c r="E193" s="653"/>
      <c r="F193" s="653"/>
      <c r="G193" s="653"/>
      <c r="H193" s="660"/>
      <c r="I193" s="653"/>
      <c r="J193" s="659"/>
      <c r="K193" s="653">
        <f>J191*$K$18</f>
        <v>13</v>
      </c>
      <c r="L193" s="653">
        <f t="shared" ref="L193:N193" si="87">K191*$K$18</f>
        <v>13</v>
      </c>
      <c r="M193" s="653">
        <f t="shared" si="87"/>
        <v>13</v>
      </c>
      <c r="N193" s="653">
        <f t="shared" si="87"/>
        <v>13</v>
      </c>
      <c r="P193" s="788"/>
      <c r="Q193" s="788"/>
      <c r="R193" s="788"/>
      <c r="S193" s="788"/>
      <c r="T193" s="788"/>
      <c r="U193" s="788"/>
      <c r="V193" s="788"/>
      <c r="W193" s="788"/>
      <c r="X193" s="788"/>
      <c r="Y193" s="788"/>
      <c r="Z193" s="788"/>
      <c r="AA193" s="788"/>
    </row>
    <row r="194" spans="2:27" outlineLevel="1" x14ac:dyDescent="0.25">
      <c r="B194" s="164"/>
      <c r="C194" s="790" t="s">
        <v>545</v>
      </c>
      <c r="D194" s="40"/>
      <c r="E194" s="653"/>
      <c r="F194" s="653"/>
      <c r="G194" s="653"/>
      <c r="H194" s="660"/>
      <c r="I194" s="653"/>
      <c r="J194" s="659"/>
      <c r="K194" s="653">
        <f>$N$26</f>
        <v>10.433400000000001</v>
      </c>
      <c r="L194" s="653">
        <f t="shared" ref="L194:N194" si="88">$N$26</f>
        <v>10.433400000000001</v>
      </c>
      <c r="M194" s="653">
        <f t="shared" si="88"/>
        <v>10.433400000000001</v>
      </c>
      <c r="N194" s="653">
        <f t="shared" si="88"/>
        <v>10.433400000000001</v>
      </c>
      <c r="P194" s="788"/>
      <c r="Q194" s="788"/>
      <c r="R194" s="788"/>
      <c r="S194" s="788"/>
      <c r="T194" s="788"/>
      <c r="U194" s="788"/>
      <c r="V194" s="788"/>
      <c r="W194" s="788"/>
      <c r="X194" s="788"/>
      <c r="Y194" s="788"/>
      <c r="Z194" s="788"/>
      <c r="AA194" s="788"/>
    </row>
    <row r="195" spans="2:27" outlineLevel="1" x14ac:dyDescent="0.25">
      <c r="B195" s="164"/>
      <c r="C195" s="615" t="s">
        <v>453</v>
      </c>
      <c r="D195" s="650" t="s">
        <v>46</v>
      </c>
      <c r="E195" s="173"/>
      <c r="F195" s="173"/>
      <c r="G195" s="173"/>
      <c r="H195" s="661"/>
      <c r="I195" s="173"/>
      <c r="J195" s="547"/>
      <c r="K195" s="173">
        <f>$K$26</f>
        <v>1.8</v>
      </c>
      <c r="L195" s="173">
        <f t="shared" ref="L195:N195" si="89">$K$26</f>
        <v>1.8</v>
      </c>
      <c r="M195" s="173">
        <f t="shared" si="89"/>
        <v>1.8</v>
      </c>
      <c r="N195" s="173">
        <f t="shared" si="89"/>
        <v>1.8</v>
      </c>
      <c r="P195" s="788"/>
      <c r="Q195" s="788"/>
      <c r="R195" s="788"/>
      <c r="S195" s="788"/>
      <c r="T195" s="788"/>
      <c r="U195" s="788"/>
      <c r="V195" s="788"/>
      <c r="W195" s="788"/>
      <c r="X195" s="788"/>
      <c r="Y195" s="788"/>
      <c r="Z195" s="788"/>
      <c r="AA195" s="788"/>
    </row>
    <row r="196" spans="2:27" outlineLevel="1" x14ac:dyDescent="0.25">
      <c r="B196" s="164"/>
      <c r="C196" s="24" t="s">
        <v>458</v>
      </c>
      <c r="D196" s="40" t="s">
        <v>46</v>
      </c>
      <c r="E196" s="25"/>
      <c r="F196" s="25"/>
      <c r="G196" s="25"/>
      <c r="H196" s="436"/>
      <c r="I196" s="25"/>
      <c r="J196" s="437"/>
      <c r="K196" s="25">
        <f>SUM(K193:K195)</f>
        <v>25.2334</v>
      </c>
      <c r="L196" s="25">
        <f t="shared" ref="L196:N196" si="90">SUM(L193:L195)</f>
        <v>25.2334</v>
      </c>
      <c r="M196" s="25">
        <f t="shared" si="90"/>
        <v>25.2334</v>
      </c>
      <c r="N196" s="25">
        <f t="shared" si="90"/>
        <v>25.2334</v>
      </c>
      <c r="P196" s="788"/>
      <c r="Q196" s="788"/>
      <c r="R196" s="788"/>
      <c r="S196" s="788"/>
      <c r="T196" s="788"/>
      <c r="U196" s="788"/>
      <c r="V196" s="788"/>
      <c r="W196" s="788"/>
      <c r="X196" s="788"/>
      <c r="Y196" s="788"/>
      <c r="Z196" s="788"/>
      <c r="AA196" s="788"/>
    </row>
    <row r="197" spans="2:27" x14ac:dyDescent="0.25">
      <c r="B197" s="164"/>
      <c r="C197" s="164"/>
      <c r="D197" s="42"/>
      <c r="E197" s="21"/>
      <c r="J197" s="16"/>
      <c r="K197" s="164"/>
      <c r="L197" s="164"/>
      <c r="M197" s="22"/>
      <c r="N197" s="22"/>
      <c r="P197" s="788"/>
      <c r="Q197" s="788"/>
      <c r="R197" s="788"/>
      <c r="S197" s="788"/>
      <c r="T197" s="788"/>
      <c r="U197" s="788"/>
      <c r="V197" s="788"/>
      <c r="W197" s="788"/>
      <c r="X197" s="788"/>
      <c r="Y197" s="788"/>
      <c r="Z197" s="788"/>
      <c r="AA197" s="788"/>
    </row>
    <row r="198" spans="2:27" x14ac:dyDescent="0.25">
      <c r="B198" s="28"/>
      <c r="C198" s="29"/>
      <c r="D198" s="29"/>
      <c r="E198" s="33" t="str">
        <f>$E$47</f>
        <v>Historical:</v>
      </c>
      <c r="F198" s="34"/>
      <c r="G198" s="33" t="str">
        <f>$G$47</f>
        <v>Projected:</v>
      </c>
      <c r="H198" s="415" t="str">
        <f>$H$47</f>
        <v>Transaction Adjustments:</v>
      </c>
      <c r="I198" s="33"/>
      <c r="J198" s="34"/>
      <c r="K198" s="33" t="str">
        <f>$K$47</f>
        <v>Separated Company:</v>
      </c>
      <c r="L198" s="33"/>
      <c r="M198" s="33"/>
      <c r="N198" s="33"/>
      <c r="P198" s="788"/>
      <c r="Q198" s="788"/>
      <c r="R198" s="788"/>
      <c r="S198" s="788"/>
      <c r="T198" s="788"/>
      <c r="U198" s="788"/>
      <c r="V198" s="788"/>
      <c r="W198" s="788"/>
      <c r="X198" s="788"/>
      <c r="Y198" s="788"/>
      <c r="Z198" s="788"/>
      <c r="AA198" s="788"/>
    </row>
    <row r="199" spans="2:27" x14ac:dyDescent="0.25">
      <c r="B199" s="30" t="s">
        <v>532</v>
      </c>
      <c r="C199" s="31"/>
      <c r="D199" s="36" t="str">
        <f>SPWR!$D$5</f>
        <v>Units:</v>
      </c>
      <c r="E199" s="32">
        <f>$E$48</f>
        <v>43465</v>
      </c>
      <c r="F199" s="32">
        <f>$F$48</f>
        <v>43830</v>
      </c>
      <c r="G199" s="544">
        <f>$G$48</f>
        <v>44196</v>
      </c>
      <c r="H199" s="416" t="str">
        <f>$H$48</f>
        <v>Debit</v>
      </c>
      <c r="I199" s="32" t="str">
        <f>$I$48</f>
        <v>Credit</v>
      </c>
      <c r="J199" s="35">
        <f>$J$48</f>
        <v>44196</v>
      </c>
      <c r="K199" s="32">
        <f>$K$48</f>
        <v>44561</v>
      </c>
      <c r="L199" s="32">
        <f>$L$48</f>
        <v>44926</v>
      </c>
      <c r="M199" s="32">
        <f>$M$48</f>
        <v>45291</v>
      </c>
      <c r="N199" s="32">
        <f>$N$48</f>
        <v>45657</v>
      </c>
      <c r="Z199" s="788"/>
      <c r="AA199" s="788"/>
    </row>
    <row r="200" spans="2:27" outlineLevel="1" x14ac:dyDescent="0.25">
      <c r="B200" s="164"/>
      <c r="C200" s="164"/>
      <c r="D200" s="42"/>
      <c r="E200" s="21"/>
      <c r="H200" s="654"/>
      <c r="I200" s="618"/>
      <c r="J200" s="527"/>
      <c r="K200" s="164"/>
      <c r="L200" s="164"/>
      <c r="M200" s="22"/>
      <c r="N200" s="22"/>
      <c r="Z200" s="788"/>
      <c r="AA200" s="788"/>
    </row>
    <row r="201" spans="2:27" outlineLevel="1" x14ac:dyDescent="0.25">
      <c r="B201" s="164"/>
      <c r="C201" s="380" t="s">
        <v>300</v>
      </c>
      <c r="D201" s="48" t="s">
        <v>46</v>
      </c>
      <c r="E201" s="383"/>
      <c r="F201" s="383"/>
      <c r="H201" s="528"/>
      <c r="I201" s="164"/>
      <c r="J201" s="529"/>
      <c r="K201" s="383">
        <f>K70</f>
        <v>-147.28109269314851</v>
      </c>
      <c r="L201" s="383">
        <f t="shared" ref="L201:N201" si="91">L70</f>
        <v>-103.56780863004445</v>
      </c>
      <c r="M201" s="383">
        <f t="shared" si="91"/>
        <v>-93.109281207628385</v>
      </c>
      <c r="N201" s="383">
        <f t="shared" si="91"/>
        <v>-28.542251531343723</v>
      </c>
      <c r="Z201" s="788"/>
      <c r="AA201" s="788"/>
    </row>
    <row r="202" spans="2:27" outlineLevel="1" x14ac:dyDescent="0.25">
      <c r="B202" s="164"/>
      <c r="C202" s="381" t="s">
        <v>59</v>
      </c>
      <c r="D202" s="48" t="s">
        <v>46</v>
      </c>
      <c r="E202" s="383"/>
      <c r="F202" s="383"/>
      <c r="H202" s="528"/>
      <c r="I202" s="164"/>
      <c r="J202" s="529"/>
      <c r="K202" s="23">
        <f>MAXN!H81</f>
        <v>8.1482096709859082</v>
      </c>
      <c r="L202" s="23">
        <f>MAXN!I81</f>
        <v>10.051316966037268</v>
      </c>
      <c r="M202" s="23">
        <f>MAXN!J81</f>
        <v>12.182609783294044</v>
      </c>
      <c r="N202" s="23">
        <f>MAXN!K81</f>
        <v>14.447667639071126</v>
      </c>
      <c r="Z202" s="788"/>
      <c r="AA202" s="788"/>
    </row>
    <row r="203" spans="2:27" outlineLevel="1" x14ac:dyDescent="0.25">
      <c r="B203" s="164"/>
      <c r="C203" s="381" t="s">
        <v>303</v>
      </c>
      <c r="D203" s="48" t="s">
        <v>46</v>
      </c>
      <c r="E203" s="383"/>
      <c r="F203" s="383"/>
      <c r="H203" s="528"/>
      <c r="I203" s="164"/>
      <c r="J203" s="529"/>
      <c r="K203" s="23">
        <f>MAXN!H82</f>
        <v>0</v>
      </c>
      <c r="L203" s="23">
        <f>MAXN!I82</f>
        <v>0</v>
      </c>
      <c r="M203" s="23">
        <f>MAXN!J82</f>
        <v>0</v>
      </c>
      <c r="N203" s="23">
        <f>MAXN!K82</f>
        <v>0</v>
      </c>
      <c r="Z203" s="788"/>
      <c r="AA203" s="788"/>
    </row>
    <row r="204" spans="2:27" outlineLevel="1" x14ac:dyDescent="0.25">
      <c r="B204" s="164"/>
      <c r="C204" s="381" t="s">
        <v>301</v>
      </c>
      <c r="D204" s="48" t="s">
        <v>46</v>
      </c>
      <c r="E204" s="383"/>
      <c r="F204" s="383"/>
      <c r="G204" s="164"/>
      <c r="H204" s="528"/>
      <c r="I204" s="164"/>
      <c r="J204" s="529"/>
      <c r="K204" s="383">
        <f>K127</f>
        <v>3.1831160154109983</v>
      </c>
      <c r="L204" s="383">
        <f t="shared" ref="L204:N204" si="92">L127</f>
        <v>5.2354254169463106</v>
      </c>
      <c r="M204" s="383">
        <f t="shared" si="92"/>
        <v>6.3455510476595922</v>
      </c>
      <c r="N204" s="383">
        <f t="shared" si="92"/>
        <v>7.525350820073343</v>
      </c>
      <c r="Z204" s="788"/>
      <c r="AA204" s="788"/>
    </row>
    <row r="205" spans="2:27" outlineLevel="1" x14ac:dyDescent="0.25">
      <c r="B205" s="164"/>
      <c r="C205" s="793" t="s">
        <v>388</v>
      </c>
      <c r="D205" s="460" t="s">
        <v>46</v>
      </c>
      <c r="E205" s="533"/>
      <c r="F205" s="533"/>
      <c r="G205" s="533"/>
      <c r="H205" s="534"/>
      <c r="I205" s="533"/>
      <c r="J205" s="535"/>
      <c r="K205" s="533">
        <f t="shared" ref="K205:N205" si="93">K128</f>
        <v>7.12</v>
      </c>
      <c r="L205" s="533">
        <f t="shared" si="93"/>
        <v>7.12</v>
      </c>
      <c r="M205" s="533">
        <f t="shared" si="93"/>
        <v>7.12</v>
      </c>
      <c r="N205" s="533">
        <f t="shared" si="93"/>
        <v>7.12</v>
      </c>
      <c r="Z205" s="788"/>
      <c r="AA205" s="788"/>
    </row>
    <row r="206" spans="2:27" outlineLevel="1" x14ac:dyDescent="0.25">
      <c r="B206" s="164"/>
      <c r="C206" s="24" t="s">
        <v>302</v>
      </c>
      <c r="D206" s="382" t="s">
        <v>46</v>
      </c>
      <c r="E206" s="25"/>
      <c r="F206" s="25"/>
      <c r="H206" s="528"/>
      <c r="I206" s="164"/>
      <c r="J206" s="529"/>
      <c r="K206" s="25">
        <f>SUM(K201:K205)</f>
        <v>-128.82976700675158</v>
      </c>
      <c r="L206" s="25">
        <f t="shared" ref="L206:N206" si="94">SUM(L201:L205)</f>
        <v>-81.161066247060873</v>
      </c>
      <c r="M206" s="25">
        <f t="shared" si="94"/>
        <v>-67.461120376674742</v>
      </c>
      <c r="N206" s="25">
        <f t="shared" si="94"/>
        <v>0.55076692780074588</v>
      </c>
      <c r="Z206" s="788"/>
      <c r="AA206" s="788"/>
    </row>
    <row r="207" spans="2:27" outlineLevel="1" x14ac:dyDescent="0.25">
      <c r="B207" s="164"/>
      <c r="C207" s="164"/>
      <c r="D207" s="164"/>
      <c r="E207" s="55"/>
      <c r="F207" s="354"/>
      <c r="H207" s="528"/>
      <c r="I207" s="164"/>
      <c r="J207" s="529"/>
      <c r="K207" s="164"/>
      <c r="L207" s="164"/>
      <c r="M207" s="164"/>
      <c r="N207" s="164"/>
      <c r="Z207" s="788"/>
      <c r="AA207" s="788"/>
    </row>
    <row r="208" spans="2:27" outlineLevel="1" x14ac:dyDescent="0.25">
      <c r="B208" s="164"/>
      <c r="C208" s="380" t="s">
        <v>304</v>
      </c>
      <c r="D208" s="48" t="s">
        <v>46</v>
      </c>
      <c r="E208" s="55"/>
      <c r="F208" s="354"/>
      <c r="H208" s="528"/>
      <c r="I208" s="164"/>
      <c r="J208" s="529"/>
      <c r="K208" s="663">
        <f>+J211</f>
        <v>791.87662514593012</v>
      </c>
      <c r="L208" s="663">
        <f t="shared" ref="L208:N208" si="95">+K211</f>
        <v>920.7063921526817</v>
      </c>
      <c r="M208" s="663">
        <f t="shared" si="95"/>
        <v>1001.8674583997425</v>
      </c>
      <c r="N208" s="663">
        <f t="shared" si="95"/>
        <v>1069.3285787764173</v>
      </c>
      <c r="Z208" s="788"/>
      <c r="AA208" s="788"/>
    </row>
    <row r="209" spans="2:27" outlineLevel="1" x14ac:dyDescent="0.25">
      <c r="B209" s="164"/>
      <c r="C209" s="381" t="s">
        <v>305</v>
      </c>
      <c r="D209" s="48" t="s">
        <v>46</v>
      </c>
      <c r="E209" s="55"/>
      <c r="F209" s="354"/>
      <c r="H209" s="528"/>
      <c r="I209" s="164"/>
      <c r="J209" s="529"/>
      <c r="K209" s="383">
        <f t="shared" ref="K209:N209" si="96">MAX(0,-K206)</f>
        <v>128.82976700675158</v>
      </c>
      <c r="L209" s="383">
        <f t="shared" si="96"/>
        <v>81.161066247060873</v>
      </c>
      <c r="M209" s="383">
        <f t="shared" si="96"/>
        <v>67.461120376674742</v>
      </c>
      <c r="N209" s="383">
        <f t="shared" si="96"/>
        <v>0</v>
      </c>
      <c r="Z209" s="788"/>
      <c r="AA209" s="788"/>
    </row>
    <row r="210" spans="2:27" outlineLevel="1" x14ac:dyDescent="0.25">
      <c r="B210" s="164"/>
      <c r="C210" s="381" t="s">
        <v>306</v>
      </c>
      <c r="D210" s="48" t="s">
        <v>46</v>
      </c>
      <c r="E210" s="385"/>
      <c r="F210" s="386"/>
      <c r="G210" s="662"/>
      <c r="H210" s="664"/>
      <c r="I210" s="662"/>
      <c r="J210" s="665"/>
      <c r="K210" s="383">
        <f t="shared" ref="K210:N210" si="97">-MIN(+K208+K209,MAX(K206,0))</f>
        <v>0</v>
      </c>
      <c r="L210" s="383">
        <f t="shared" si="97"/>
        <v>0</v>
      </c>
      <c r="M210" s="383">
        <f t="shared" si="97"/>
        <v>0</v>
      </c>
      <c r="N210" s="383">
        <f t="shared" si="97"/>
        <v>-0.55076692780074588</v>
      </c>
      <c r="Z210" s="788"/>
      <c r="AA210" s="788"/>
    </row>
    <row r="211" spans="2:27" outlineLevel="1" x14ac:dyDescent="0.25">
      <c r="B211" s="164"/>
      <c r="C211" s="24" t="s">
        <v>307</v>
      </c>
      <c r="D211" s="382" t="s">
        <v>46</v>
      </c>
      <c r="E211" s="55"/>
      <c r="F211" s="354"/>
      <c r="G211" s="531">
        <f>MAXN!G89</f>
        <v>791.87662514593012</v>
      </c>
      <c r="H211" s="532">
        <v>0</v>
      </c>
      <c r="I211" s="651">
        <v>0</v>
      </c>
      <c r="J211" s="433">
        <f>+G211+H211+I211</f>
        <v>791.87662514593012</v>
      </c>
      <c r="K211" s="25">
        <f t="shared" ref="K211:N211" si="98">SUM(K208:K210)</f>
        <v>920.7063921526817</v>
      </c>
      <c r="L211" s="25">
        <f t="shared" si="98"/>
        <v>1001.8674583997425</v>
      </c>
      <c r="M211" s="25">
        <f t="shared" si="98"/>
        <v>1069.3285787764173</v>
      </c>
      <c r="N211" s="25">
        <f t="shared" si="98"/>
        <v>1068.7778118486165</v>
      </c>
      <c r="P211" s="788"/>
      <c r="Q211" s="788"/>
      <c r="R211" s="788"/>
      <c r="S211" s="788"/>
      <c r="T211" s="788"/>
      <c r="U211" s="788"/>
      <c r="V211" s="788"/>
      <c r="W211" s="788"/>
      <c r="X211" s="788"/>
      <c r="Y211" s="788"/>
      <c r="Z211" s="788"/>
      <c r="AA211" s="788"/>
    </row>
    <row r="212" spans="2:27" outlineLevel="1" x14ac:dyDescent="0.25">
      <c r="B212" s="164"/>
      <c r="C212" s="164"/>
      <c r="D212" s="164"/>
      <c r="E212" s="55"/>
      <c r="F212" s="354"/>
      <c r="H212" s="528"/>
      <c r="I212" s="164"/>
      <c r="J212" s="529"/>
      <c r="K212" s="164"/>
      <c r="L212" s="164"/>
      <c r="M212" s="164"/>
      <c r="N212" s="164"/>
      <c r="P212" s="788"/>
      <c r="Q212" s="788"/>
      <c r="R212" s="788"/>
      <c r="S212" s="788"/>
      <c r="T212" s="788"/>
      <c r="U212" s="788"/>
      <c r="V212" s="788"/>
      <c r="W212" s="788"/>
      <c r="X212" s="788"/>
      <c r="Y212" s="788"/>
      <c r="Z212" s="788"/>
      <c r="AA212" s="788"/>
    </row>
    <row r="213" spans="2:27" outlineLevel="1" x14ac:dyDescent="0.25">
      <c r="B213" s="164"/>
      <c r="C213" s="380" t="s">
        <v>308</v>
      </c>
      <c r="D213" s="48" t="s">
        <v>46</v>
      </c>
      <c r="E213" s="383"/>
      <c r="F213" s="383"/>
      <c r="H213" s="528"/>
      <c r="I213" s="164"/>
      <c r="J213" s="529"/>
      <c r="K213" s="383">
        <f t="shared" ref="K213:N213" si="99">+K206+K210</f>
        <v>-128.82976700675158</v>
      </c>
      <c r="L213" s="383">
        <f t="shared" si="99"/>
        <v>-81.161066247060873</v>
      </c>
      <c r="M213" s="383">
        <f t="shared" si="99"/>
        <v>-67.461120376674742</v>
      </c>
      <c r="N213" s="383">
        <f t="shared" si="99"/>
        <v>0</v>
      </c>
    </row>
    <row r="214" spans="2:27" outlineLevel="1" x14ac:dyDescent="0.25">
      <c r="B214" s="164"/>
      <c r="C214" s="380"/>
      <c r="D214" s="380"/>
      <c r="E214" s="164"/>
      <c r="F214" s="164"/>
      <c r="H214" s="528"/>
      <c r="I214" s="164"/>
      <c r="J214" s="529"/>
      <c r="K214" s="164"/>
      <c r="L214" s="164"/>
      <c r="M214" s="164"/>
      <c r="N214" s="164"/>
    </row>
    <row r="215" spans="2:27" outlineLevel="1" x14ac:dyDescent="0.25">
      <c r="B215" s="164"/>
      <c r="C215" s="380" t="s">
        <v>309</v>
      </c>
      <c r="D215" s="48" t="s">
        <v>46</v>
      </c>
      <c r="E215" s="383"/>
      <c r="F215" s="383"/>
      <c r="H215" s="528"/>
      <c r="I215" s="164"/>
      <c r="J215" s="529"/>
      <c r="K215" s="383">
        <f>-MAX(K213,0)*Sub_Tax_Rate</f>
        <v>0</v>
      </c>
      <c r="L215" s="383">
        <f>-MAX(L213,0)*Sub_Tax_Rate</f>
        <v>0</v>
      </c>
      <c r="M215" s="383">
        <f>-MAX(M213,0)*Sub_Tax_Rate</f>
        <v>0</v>
      </c>
      <c r="N215" s="383">
        <f>-MAX(N213,0)*Sub_Tax_Rate</f>
        <v>0</v>
      </c>
    </row>
    <row r="216" spans="2:27" outlineLevel="1" x14ac:dyDescent="0.25">
      <c r="B216" s="164"/>
      <c r="C216" s="380"/>
      <c r="D216" s="380"/>
      <c r="E216" s="164"/>
      <c r="F216" s="164"/>
      <c r="H216" s="528"/>
      <c r="I216" s="164"/>
      <c r="J216" s="529"/>
      <c r="K216" s="164"/>
      <c r="L216" s="164"/>
      <c r="M216" s="164"/>
      <c r="N216" s="164"/>
    </row>
    <row r="217" spans="2:27" outlineLevel="1" x14ac:dyDescent="0.25">
      <c r="B217" s="164"/>
      <c r="C217" s="2" t="s">
        <v>310</v>
      </c>
      <c r="D217" s="48" t="s">
        <v>46</v>
      </c>
      <c r="E217" s="14"/>
      <c r="F217" s="14"/>
      <c r="H217" s="528"/>
      <c r="I217" s="164"/>
      <c r="J217" s="529"/>
      <c r="K217" s="14">
        <f>K215-K71</f>
        <v>-29.456218538629702</v>
      </c>
      <c r="L217" s="14">
        <f t="shared" ref="L217:N217" si="100">L215-L71</f>
        <v>-20.713561726008891</v>
      </c>
      <c r="M217" s="14">
        <f t="shared" si="100"/>
        <v>-18.621856241525677</v>
      </c>
      <c r="N217" s="14">
        <f t="shared" si="100"/>
        <v>-5.7084503062687446</v>
      </c>
    </row>
    <row r="218" spans="2:27" x14ac:dyDescent="0.25">
      <c r="B218" s="164"/>
      <c r="C218" s="164"/>
      <c r="D218" s="42"/>
      <c r="E218" s="21"/>
      <c r="J218" s="16"/>
      <c r="K218" s="164"/>
      <c r="L218" s="164"/>
      <c r="M218" s="22"/>
      <c r="N218" s="22"/>
    </row>
    <row r="219" spans="2:27" x14ac:dyDescent="0.25">
      <c r="B219" s="28"/>
      <c r="C219" s="29"/>
      <c r="D219" s="29"/>
      <c r="E219" s="33" t="str">
        <f>$E$47</f>
        <v>Historical:</v>
      </c>
      <c r="F219" s="34"/>
      <c r="G219" s="33" t="str">
        <f>$G$47</f>
        <v>Projected:</v>
      </c>
      <c r="H219" s="415" t="str">
        <f>$H$47</f>
        <v>Transaction Adjustments:</v>
      </c>
      <c r="I219" s="33"/>
      <c r="J219" s="34"/>
      <c r="K219" s="33" t="str">
        <f>$K$47</f>
        <v>Separated Company:</v>
      </c>
      <c r="L219" s="33"/>
      <c r="M219" s="33"/>
      <c r="N219" s="33"/>
    </row>
    <row r="220" spans="2:27" x14ac:dyDescent="0.25">
      <c r="B220" s="30" t="s">
        <v>533</v>
      </c>
      <c r="C220" s="31"/>
      <c r="D220" s="36" t="str">
        <f>SPWR!$D$5</f>
        <v>Units:</v>
      </c>
      <c r="E220" s="32">
        <f>$E$48</f>
        <v>43465</v>
      </c>
      <c r="F220" s="32">
        <f>$F$48</f>
        <v>43830</v>
      </c>
      <c r="G220" s="544">
        <f>$G$48</f>
        <v>44196</v>
      </c>
      <c r="H220" s="416" t="str">
        <f>$H$48</f>
        <v>Debit</v>
      </c>
      <c r="I220" s="32" t="str">
        <f>$I$48</f>
        <v>Credit</v>
      </c>
      <c r="J220" s="35">
        <f>$J$48</f>
        <v>44196</v>
      </c>
      <c r="K220" s="32">
        <f>$K$48</f>
        <v>44561</v>
      </c>
      <c r="L220" s="32">
        <f>$L$48</f>
        <v>44926</v>
      </c>
      <c r="M220" s="32">
        <f>$M$48</f>
        <v>45291</v>
      </c>
      <c r="N220" s="32">
        <f>$N$48</f>
        <v>45657</v>
      </c>
    </row>
    <row r="221" spans="2:27" outlineLevel="1" x14ac:dyDescent="0.25">
      <c r="H221" s="654"/>
      <c r="I221" s="618"/>
      <c r="J221" s="552"/>
    </row>
    <row r="222" spans="2:27" outlineLevel="1" x14ac:dyDescent="0.25">
      <c r="C222" s="16" t="s">
        <v>0</v>
      </c>
      <c r="D222" s="39" t="s">
        <v>46</v>
      </c>
      <c r="E222" s="50">
        <f>E61</f>
        <v>-589.76699999999994</v>
      </c>
      <c r="F222" s="50">
        <f t="shared" ref="F222:G222" si="101">F61</f>
        <v>-135.64599999999996</v>
      </c>
      <c r="G222" s="50">
        <f t="shared" si="101"/>
        <v>-134.28793708927995</v>
      </c>
      <c r="H222" s="446"/>
      <c r="I222" s="50"/>
      <c r="J222" s="447"/>
      <c r="K222" s="50">
        <f t="shared" ref="K222:N222" si="102">K61</f>
        <v>-119.21593905707863</v>
      </c>
      <c r="L222" s="50">
        <f t="shared" si="102"/>
        <v>-77.84269062709734</v>
      </c>
      <c r="M222" s="50">
        <f t="shared" si="102"/>
        <v>-62.372816428723468</v>
      </c>
      <c r="N222" s="50">
        <f t="shared" si="102"/>
        <v>-0.9502458996332166</v>
      </c>
    </row>
    <row r="223" spans="2:27" outlineLevel="1" x14ac:dyDescent="0.25">
      <c r="C223" s="169" t="s">
        <v>131</v>
      </c>
      <c r="D223" s="39" t="s">
        <v>46</v>
      </c>
      <c r="E223" s="15">
        <f>E125</f>
        <v>75.694000000000003</v>
      </c>
      <c r="F223" s="15">
        <f t="shared" ref="F223:G223" si="103">F125</f>
        <v>46.148000000000003</v>
      </c>
      <c r="G223" s="15">
        <f t="shared" si="103"/>
        <v>47.840077588056005</v>
      </c>
      <c r="H223" s="424"/>
      <c r="I223" s="15"/>
      <c r="J223" s="425"/>
      <c r="K223" s="15">
        <f t="shared" ref="K223:N223" si="104">K125</f>
        <v>66.845436323630963</v>
      </c>
      <c r="L223" s="15">
        <f t="shared" si="104"/>
        <v>79.840237608431224</v>
      </c>
      <c r="M223" s="15">
        <f t="shared" si="104"/>
        <v>92.010490191064093</v>
      </c>
      <c r="N223" s="15">
        <f t="shared" si="104"/>
        <v>103.47357377600846</v>
      </c>
    </row>
    <row r="224" spans="2:27" outlineLevel="1" x14ac:dyDescent="0.25">
      <c r="C224" s="631" t="s">
        <v>393</v>
      </c>
      <c r="D224" s="503" t="s">
        <v>46</v>
      </c>
      <c r="E224" s="499">
        <f t="shared" ref="E224:G224" si="105">E126</f>
        <v>0</v>
      </c>
      <c r="F224" s="499">
        <f t="shared" si="105"/>
        <v>0</v>
      </c>
      <c r="G224" s="499">
        <f t="shared" si="105"/>
        <v>0</v>
      </c>
      <c r="H224" s="572"/>
      <c r="I224" s="504"/>
      <c r="J224" s="500"/>
      <c r="K224" s="499">
        <f t="shared" ref="K224:N224" si="106">K126</f>
        <v>2.6539999999999999</v>
      </c>
      <c r="L224" s="499">
        <f t="shared" si="106"/>
        <v>2.6539999999999999</v>
      </c>
      <c r="M224" s="499">
        <f t="shared" si="106"/>
        <v>2.6539999999999999</v>
      </c>
      <c r="N224" s="499">
        <f t="shared" si="106"/>
        <v>2.6539999999999999</v>
      </c>
    </row>
    <row r="225" spans="3:14" outlineLevel="1" x14ac:dyDescent="0.25">
      <c r="C225" s="169" t="s">
        <v>145</v>
      </c>
      <c r="D225" s="39" t="s">
        <v>46</v>
      </c>
      <c r="E225" s="15">
        <f>E127</f>
        <v>7.2</v>
      </c>
      <c r="F225" s="15">
        <f t="shared" ref="F225:G225" si="107">F127</f>
        <v>7.3</v>
      </c>
      <c r="G225" s="15">
        <f t="shared" si="107"/>
        <v>2.517898820424</v>
      </c>
      <c r="H225" s="424"/>
      <c r="I225" s="15"/>
      <c r="J225" s="425"/>
      <c r="K225" s="15">
        <f t="shared" ref="K225:N225" si="108">K127</f>
        <v>3.1831160154109983</v>
      </c>
      <c r="L225" s="15">
        <f t="shared" si="108"/>
        <v>5.2354254169463106</v>
      </c>
      <c r="M225" s="15">
        <f t="shared" si="108"/>
        <v>6.3455510476595922</v>
      </c>
      <c r="N225" s="15">
        <f t="shared" si="108"/>
        <v>7.525350820073343</v>
      </c>
    </row>
    <row r="226" spans="3:14" outlineLevel="1" x14ac:dyDescent="0.25">
      <c r="C226" s="631" t="s">
        <v>394</v>
      </c>
      <c r="D226" s="503" t="s">
        <v>46</v>
      </c>
      <c r="E226" s="499">
        <f t="shared" ref="E226:G226" si="109">E128</f>
        <v>0</v>
      </c>
      <c r="F226" s="499">
        <f t="shared" si="109"/>
        <v>0</v>
      </c>
      <c r="G226" s="499">
        <f t="shared" si="109"/>
        <v>0</v>
      </c>
      <c r="H226" s="498"/>
      <c r="I226" s="499"/>
      <c r="J226" s="500"/>
      <c r="K226" s="499">
        <f t="shared" ref="K226:N226" si="110">K128</f>
        <v>7.12</v>
      </c>
      <c r="L226" s="499">
        <f t="shared" si="110"/>
        <v>7.12</v>
      </c>
      <c r="M226" s="499">
        <f t="shared" si="110"/>
        <v>7.12</v>
      </c>
      <c r="N226" s="499">
        <f t="shared" si="110"/>
        <v>7.12</v>
      </c>
    </row>
    <row r="227" spans="3:14" outlineLevel="1" x14ac:dyDescent="0.25">
      <c r="C227" s="352" t="s">
        <v>231</v>
      </c>
      <c r="D227" s="58" t="s">
        <v>46</v>
      </c>
      <c r="E227" s="11">
        <f>MAXN!E216</f>
        <v>354.76799999999997</v>
      </c>
      <c r="F227" s="11">
        <f>MAXN!F216</f>
        <v>0</v>
      </c>
      <c r="G227" s="11">
        <f>MAXN!G216</f>
        <v>0</v>
      </c>
      <c r="H227" s="424"/>
      <c r="I227" s="15"/>
      <c r="J227" s="425"/>
      <c r="K227" s="11">
        <f>MAXN!H216</f>
        <v>0</v>
      </c>
      <c r="L227" s="11">
        <f>MAXN!I216</f>
        <v>0</v>
      </c>
      <c r="M227" s="11">
        <f>MAXN!J216</f>
        <v>0</v>
      </c>
      <c r="N227" s="11">
        <f>MAXN!K216</f>
        <v>0</v>
      </c>
    </row>
    <row r="228" spans="3:14" outlineLevel="1" x14ac:dyDescent="0.25">
      <c r="C228" s="24" t="s">
        <v>20</v>
      </c>
      <c r="D228" s="39" t="s">
        <v>46</v>
      </c>
      <c r="E228" s="25">
        <f>SUM(E222:E227)</f>
        <v>-152.10500000000002</v>
      </c>
      <c r="F228" s="25">
        <f t="shared" ref="F228:G228" si="111">SUM(F222:F227)</f>
        <v>-82.197999999999965</v>
      </c>
      <c r="G228" s="25">
        <f t="shared" si="111"/>
        <v>-83.929960680799951</v>
      </c>
      <c r="H228" s="436"/>
      <c r="I228" s="25"/>
      <c r="J228" s="437"/>
      <c r="K228" s="25">
        <f t="shared" ref="K228" si="112">SUM(K222:K227)</f>
        <v>-39.413386718036676</v>
      </c>
      <c r="L228" s="25">
        <f t="shared" ref="L228" si="113">SUM(L222:L227)</f>
        <v>17.006972398280194</v>
      </c>
      <c r="M228" s="25">
        <f t="shared" ref="M228" si="114">SUM(M222:M227)</f>
        <v>45.75722481000021</v>
      </c>
      <c r="N228" s="25">
        <f t="shared" ref="N228" si="115">SUM(N222:N227)</f>
        <v>119.82267869644859</v>
      </c>
    </row>
    <row r="229" spans="3:14" outlineLevel="1" x14ac:dyDescent="0.25">
      <c r="F229" s="171"/>
      <c r="G229" s="171"/>
      <c r="H229" s="661"/>
      <c r="I229" s="173"/>
      <c r="J229" s="529"/>
    </row>
    <row r="230" spans="3:14" outlineLevel="1" x14ac:dyDescent="0.25">
      <c r="C230" s="26" t="s">
        <v>15</v>
      </c>
      <c r="D230" s="37" t="s">
        <v>32</v>
      </c>
      <c r="E230" s="536" t="str">
        <f>MAXN!E219</f>
        <v>N/A</v>
      </c>
      <c r="F230" s="536">
        <f>MAXN!F219</f>
        <v>0.3134757479066943</v>
      </c>
      <c r="G230" s="536">
        <f>MAXN!G219</f>
        <v>-0.29959199999999997</v>
      </c>
      <c r="H230" s="475"/>
      <c r="I230" s="27"/>
      <c r="J230" s="476"/>
      <c r="K230" s="27">
        <f>IFERROR(+K50/G50-1,"N/A")</f>
        <v>0.26419536384507292</v>
      </c>
      <c r="L230" s="27">
        <f>IFERROR(+L50/K50-1,"N/A")</f>
        <v>0.23356140451661833</v>
      </c>
      <c r="M230" s="27">
        <f t="shared" ref="M230:N230" si="116">IFERROR(+M50/L50-1,"N/A")</f>
        <v>0.21204115087189801</v>
      </c>
      <c r="N230" s="27">
        <f t="shared" si="116"/>
        <v>0.18592550332549806</v>
      </c>
    </row>
    <row r="231" spans="3:14" outlineLevel="1" x14ac:dyDescent="0.25">
      <c r="C231" s="26" t="s">
        <v>294</v>
      </c>
      <c r="D231" s="37" t="s">
        <v>32</v>
      </c>
      <c r="E231" s="27">
        <f>E52/E50</f>
        <v>-0.49317394359172784</v>
      </c>
      <c r="F231" s="27">
        <f t="shared" ref="F231:G231" si="117">F52/F50</f>
        <v>-1.9268948285947932E-3</v>
      </c>
      <c r="G231" s="27">
        <f t="shared" si="117"/>
        <v>4.5000000000000068E-2</v>
      </c>
      <c r="H231" s="475"/>
      <c r="I231" s="27"/>
      <c r="J231" s="476"/>
      <c r="K231" s="27">
        <f t="shared" ref="K231:N231" si="118">K52/K50</f>
        <v>0.12400000000000001</v>
      </c>
      <c r="L231" s="27">
        <f t="shared" si="118"/>
        <v>0.15199999999999997</v>
      </c>
      <c r="M231" s="27">
        <f t="shared" si="118"/>
        <v>0.16</v>
      </c>
      <c r="N231" s="27">
        <f t="shared" si="118"/>
        <v>0.17000000000000004</v>
      </c>
    </row>
    <row r="232" spans="3:14" outlineLevel="1" x14ac:dyDescent="0.25">
      <c r="C232" s="26" t="s">
        <v>16</v>
      </c>
      <c r="D232" s="37" t="s">
        <v>32</v>
      </c>
      <c r="E232" s="27">
        <f>E222/E50</f>
        <v>-0.64645247848052145</v>
      </c>
      <c r="F232" s="27">
        <f t="shared" ref="F232:G232" si="119">F222/F50</f>
        <v>-0.11319860368972401</v>
      </c>
      <c r="G232" s="27">
        <f t="shared" si="119"/>
        <v>-0.15999999999999995</v>
      </c>
      <c r="H232" s="475"/>
      <c r="I232" s="27"/>
      <c r="J232" s="476"/>
      <c r="K232" s="27">
        <f t="shared" ref="K232:N232" si="120">K222/K50</f>
        <v>-0.1123577700089128</v>
      </c>
      <c r="L232" s="27">
        <f t="shared" si="120"/>
        <v>-5.9473822604850318E-2</v>
      </c>
      <c r="M232" s="27">
        <f t="shared" si="120"/>
        <v>-3.9317509833430922E-2</v>
      </c>
      <c r="N232" s="27">
        <f t="shared" si="120"/>
        <v>-5.0509055184430878E-4</v>
      </c>
    </row>
    <row r="233" spans="3:14" outlineLevel="1" x14ac:dyDescent="0.25">
      <c r="C233" s="26" t="s">
        <v>17</v>
      </c>
      <c r="D233" s="37" t="s">
        <v>32</v>
      </c>
      <c r="E233" s="27">
        <f>E228/E50</f>
        <v>-0.16672457807791846</v>
      </c>
      <c r="F233" s="27">
        <f t="shared" ref="F233:G233" si="121">F228/F50</f>
        <v>-6.8595453062294004E-2</v>
      </c>
      <c r="G233" s="27">
        <f t="shared" si="121"/>
        <v>-9.9999999999999936E-2</v>
      </c>
      <c r="H233" s="475"/>
      <c r="I233" s="27"/>
      <c r="J233" s="476"/>
      <c r="K233" s="27">
        <f t="shared" ref="K233:N233" si="122">K228/K50</f>
        <v>-3.7146041671636355E-2</v>
      </c>
      <c r="L233" s="27">
        <f t="shared" si="122"/>
        <v>1.2993765391619255E-2</v>
      </c>
      <c r="M233" s="27">
        <f t="shared" si="122"/>
        <v>2.8843657212009471E-2</v>
      </c>
      <c r="N233" s="27">
        <f t="shared" si="122"/>
        <v>6.3690148970506483E-2</v>
      </c>
    </row>
    <row r="234" spans="3:14" outlineLevel="1" x14ac:dyDescent="0.25">
      <c r="C234" s="26" t="s">
        <v>18</v>
      </c>
      <c r="D234" s="37" t="s">
        <v>32</v>
      </c>
      <c r="E234" s="27">
        <f>E75/E50</f>
        <v>-0.6618496064398951</v>
      </c>
      <c r="F234" s="27">
        <f t="shared" ref="F234:G234" si="123">F75/F50</f>
        <v>-0.15276545709300082</v>
      </c>
      <c r="G234" s="27">
        <f t="shared" si="123"/>
        <v>-0.14418714002486396</v>
      </c>
      <c r="H234" s="475"/>
      <c r="I234" s="27"/>
      <c r="J234" s="476"/>
      <c r="K234" s="27">
        <f t="shared" ref="K234:N234" si="124">K75/K50</f>
        <v>-0.11010425657335136</v>
      </c>
      <c r="L234" s="27">
        <f t="shared" si="124"/>
        <v>-6.330278081001664E-2</v>
      </c>
      <c r="M234" s="27">
        <f t="shared" si="124"/>
        <v>-4.7584472585052787E-2</v>
      </c>
      <c r="N234" s="27">
        <f t="shared" si="124"/>
        <v>-1.4263149647985954E-2</v>
      </c>
    </row>
    <row r="235" spans="3:14" outlineLevel="1" x14ac:dyDescent="0.25">
      <c r="D235" s="26"/>
      <c r="E235" s="380"/>
      <c r="F235" s="380"/>
      <c r="G235" s="380"/>
      <c r="H235" s="528"/>
      <c r="I235" s="164"/>
      <c r="J235" s="529"/>
    </row>
    <row r="236" spans="3:14" outlineLevel="1" x14ac:dyDescent="0.25">
      <c r="C236" s="26" t="s">
        <v>19</v>
      </c>
      <c r="D236" s="37" t="s">
        <v>32</v>
      </c>
      <c r="E236" s="27">
        <f>-E71/E70</f>
        <v>1.7436444161033039E-3</v>
      </c>
      <c r="F236" s="27">
        <f t="shared" ref="F236:G236" si="125">-F71/F70</f>
        <v>-6.1931741700216612E-2</v>
      </c>
      <c r="G236" s="27">
        <f t="shared" si="125"/>
        <v>0.22</v>
      </c>
      <c r="H236" s="475"/>
      <c r="I236" s="27"/>
      <c r="J236" s="476"/>
      <c r="K236" s="27">
        <f t="shared" ref="K236:N236" si="126">-K71/K70</f>
        <v>0.2</v>
      </c>
      <c r="L236" s="27">
        <f t="shared" si="126"/>
        <v>0.2</v>
      </c>
      <c r="M236" s="27">
        <f t="shared" si="126"/>
        <v>0.2</v>
      </c>
      <c r="N236" s="27">
        <f t="shared" si="126"/>
        <v>0.2</v>
      </c>
    </row>
    <row r="237" spans="3:14" outlineLevel="1" x14ac:dyDescent="0.25">
      <c r="D237" s="26"/>
      <c r="E237" s="380"/>
      <c r="F237" s="380"/>
      <c r="G237" s="380"/>
      <c r="H237" s="528"/>
      <c r="I237" s="164"/>
      <c r="J237" s="529"/>
    </row>
    <row r="238" spans="3:14" outlineLevel="1" x14ac:dyDescent="0.25">
      <c r="C238" s="26" t="s">
        <v>130</v>
      </c>
      <c r="D238" s="37" t="s">
        <v>32</v>
      </c>
      <c r="E238" s="27">
        <f>-SUM(E125:E126)/E50</f>
        <v>-8.2969331797310794E-2</v>
      </c>
      <c r="F238" s="27">
        <f t="shared" ref="F238:G238" si="127">-SUM(F125:F126)/F50</f>
        <v>-3.8511192096142795E-2</v>
      </c>
      <c r="G238" s="27">
        <f t="shared" si="127"/>
        <v>-5.7000000000000002E-2</v>
      </c>
      <c r="H238" s="475"/>
      <c r="I238" s="27"/>
      <c r="J238" s="476"/>
      <c r="K238" s="27">
        <f t="shared" ref="K238:N238" si="128">-SUM(K125:K126)/K50</f>
        <v>-6.5501322591276001E-2</v>
      </c>
      <c r="L238" s="27">
        <f t="shared" si="128"/>
        <v>-6.3027724426297338E-2</v>
      </c>
      <c r="M238" s="27">
        <f t="shared" si="128"/>
        <v>-5.9672983153120404E-2</v>
      </c>
      <c r="N238" s="27">
        <f t="shared" si="128"/>
        <v>-5.6410698351986796E-2</v>
      </c>
    </row>
    <row r="239" spans="3:14" outlineLevel="1" x14ac:dyDescent="0.25">
      <c r="C239" s="26" t="s">
        <v>21</v>
      </c>
      <c r="D239" s="37" t="s">
        <v>32</v>
      </c>
      <c r="E239" s="27">
        <f>-E148/E50</f>
        <v>4.3429173978667412E-2</v>
      </c>
      <c r="F239" s="27">
        <f t="shared" ref="F239:G239" si="129">-F148/F50</f>
        <v>3.497034551419051E-2</v>
      </c>
      <c r="G239" s="27">
        <f t="shared" si="129"/>
        <v>8.9360222966430064E-2</v>
      </c>
      <c r="H239" s="475"/>
      <c r="I239" s="27"/>
      <c r="J239" s="476"/>
      <c r="K239" s="27">
        <f t="shared" ref="K239:N239" si="130">-K148/K50</f>
        <v>0.15079563474158297</v>
      </c>
      <c r="L239" s="27">
        <f t="shared" si="130"/>
        <v>0.11457000000000001</v>
      </c>
      <c r="M239" s="27">
        <f t="shared" si="130"/>
        <v>0.08</v>
      </c>
      <c r="N239" s="27">
        <f t="shared" si="130"/>
        <v>7.0000000000000007E-2</v>
      </c>
    </row>
    <row r="240" spans="3:14" outlineLevel="1" x14ac:dyDescent="0.25">
      <c r="E240" s="380"/>
      <c r="F240" s="380"/>
      <c r="G240" s="380"/>
      <c r="H240" s="528"/>
      <c r="I240" s="164"/>
      <c r="J240" s="529"/>
      <c r="K240" s="380"/>
      <c r="L240" s="380"/>
      <c r="M240" s="380"/>
      <c r="N240" s="380"/>
    </row>
    <row r="241" spans="3:14" outlineLevel="1" x14ac:dyDescent="0.25">
      <c r="C241" s="26" t="s">
        <v>211</v>
      </c>
      <c r="D241" s="37" t="s">
        <v>32</v>
      </c>
      <c r="E241" s="27">
        <f>-SUM(E127:E128)/E50</f>
        <v>-7.8920282841524782E-3</v>
      </c>
      <c r="F241" s="27">
        <f t="shared" ref="F241:G241" si="131">-SUM(F154:F155)/F54</f>
        <v>-1.8936979233071135E-2</v>
      </c>
      <c r="G241" s="27">
        <f t="shared" si="131"/>
        <v>-5.8120470222068357E-2</v>
      </c>
      <c r="H241" s="475"/>
      <c r="I241" s="27"/>
      <c r="J241" s="476"/>
      <c r="K241" s="27">
        <f t="shared" ref="K241:N241" si="132">-SUM(K154:K155)/K54</f>
        <v>-0.18849454342697874</v>
      </c>
      <c r="L241" s="27">
        <f t="shared" si="132"/>
        <v>-4.197943858942641E-3</v>
      </c>
      <c r="M241" s="27">
        <f t="shared" si="132"/>
        <v>-0.14048087624436556</v>
      </c>
      <c r="N241" s="27">
        <f t="shared" si="132"/>
        <v>0</v>
      </c>
    </row>
    <row r="242" spans="3:14" outlineLevel="1" x14ac:dyDescent="0.25">
      <c r="C242" s="26" t="s">
        <v>210</v>
      </c>
      <c r="D242" s="37" t="s">
        <v>32</v>
      </c>
      <c r="E242" s="27">
        <f>-E150/E50</f>
        <v>0</v>
      </c>
      <c r="F242" s="27">
        <f t="shared" ref="F242:G242" si="133">-F150/F50</f>
        <v>1.9277293434621185E-4</v>
      </c>
      <c r="G242" s="27">
        <f t="shared" si="133"/>
        <v>5.0000000000000001E-3</v>
      </c>
      <c r="H242" s="475"/>
      <c r="I242" s="27"/>
      <c r="J242" s="476"/>
      <c r="K242" s="27">
        <f t="shared" ref="K242:N242" si="134">-K150/K50</f>
        <v>7.0000000000000001E-3</v>
      </c>
      <c r="L242" s="27">
        <f t="shared" si="134"/>
        <v>8.0000000000000002E-3</v>
      </c>
      <c r="M242" s="27">
        <f t="shared" si="134"/>
        <v>0.01</v>
      </c>
      <c r="N242" s="27">
        <f t="shared" si="134"/>
        <v>0.01</v>
      </c>
    </row>
    <row r="243" spans="3:14" outlineLevel="1" x14ac:dyDescent="0.25">
      <c r="E243" s="380"/>
      <c r="F243" s="380"/>
      <c r="G243" s="380"/>
      <c r="H243" s="528"/>
      <c r="I243" s="164"/>
      <c r="J243" s="529"/>
      <c r="K243" s="380"/>
      <c r="L243" s="380"/>
      <c r="M243" s="380"/>
      <c r="N243" s="380"/>
    </row>
    <row r="244" spans="3:14" outlineLevel="1" x14ac:dyDescent="0.25">
      <c r="C244" s="539" t="s">
        <v>401</v>
      </c>
      <c r="D244" s="540" t="s">
        <v>46</v>
      </c>
      <c r="E244" s="15">
        <f>+E111+E104</f>
        <v>470.13100000000009</v>
      </c>
      <c r="F244" s="15">
        <f t="shared" ref="F244:G244" si="135">+F111+F104</f>
        <v>420.74900000000002</v>
      </c>
      <c r="G244" s="15">
        <f t="shared" si="135"/>
        <v>514.59064130736067</v>
      </c>
      <c r="H244" s="424"/>
      <c r="I244" s="15"/>
      <c r="J244" s="425">
        <f t="shared" ref="J244:N244" si="136">+J111+J104</f>
        <v>762.22105386976182</v>
      </c>
      <c r="K244" s="15">
        <f t="shared" si="136"/>
        <v>613.98582134090555</v>
      </c>
      <c r="L244" s="15">
        <f t="shared" si="136"/>
        <v>693.20130674569373</v>
      </c>
      <c r="M244" s="15">
        <f t="shared" si="136"/>
        <v>754.5398863684029</v>
      </c>
      <c r="N244" s="15">
        <f t="shared" si="136"/>
        <v>796.18387755280446</v>
      </c>
    </row>
    <row r="245" spans="3:14" outlineLevel="1" x14ac:dyDescent="0.25">
      <c r="C245" s="539" t="s">
        <v>399</v>
      </c>
      <c r="D245" s="540" t="s">
        <v>46</v>
      </c>
      <c r="E245" s="15">
        <f>E222*(1-E236)</f>
        <v>-588.73865606364791</v>
      </c>
      <c r="F245" s="15">
        <f t="shared" ref="F245:G245" si="137">F222*(1-F236)</f>
        <v>-144.04679303466753</v>
      </c>
      <c r="G245" s="15">
        <f t="shared" si="137"/>
        <v>-104.74459092963836</v>
      </c>
      <c r="H245" s="424"/>
      <c r="I245" s="15"/>
      <c r="J245" s="425"/>
      <c r="K245" s="15">
        <f t="shared" ref="K245:N245" si="138">K222*(1-K236)</f>
        <v>-95.372751245662911</v>
      </c>
      <c r="L245" s="15">
        <f t="shared" si="138"/>
        <v>-62.274152501677875</v>
      </c>
      <c r="M245" s="15">
        <f t="shared" si="138"/>
        <v>-49.898253142978774</v>
      </c>
      <c r="N245" s="15">
        <f t="shared" si="138"/>
        <v>-0.76019671970657332</v>
      </c>
    </row>
    <row r="246" spans="3:14" outlineLevel="1" x14ac:dyDescent="0.25">
      <c r="C246" s="26" t="s">
        <v>400</v>
      </c>
      <c r="D246" s="37" t="s">
        <v>32</v>
      </c>
      <c r="E246" s="27" t="s">
        <v>31</v>
      </c>
      <c r="F246" s="27">
        <f>+F245/AVERAGE(E244,F244)</f>
        <v>-0.32338091108716666</v>
      </c>
      <c r="G246" s="27">
        <f>+G245/AVERAGE(F244,G244)</f>
        <v>-0.22397124275248884</v>
      </c>
      <c r="H246" s="475"/>
      <c r="I246" s="27"/>
      <c r="J246" s="476"/>
      <c r="K246" s="27">
        <f>+K245/AVERAGE(J244,K244)</f>
        <v>-0.13860234673084801</v>
      </c>
      <c r="L246" s="27">
        <f t="shared" ref="L246:N246" si="139">+L245/AVERAGE(K244,L244)</f>
        <v>-9.527962931035272E-2</v>
      </c>
      <c r="M246" s="27">
        <f t="shared" si="139"/>
        <v>-6.8932559742459834E-2</v>
      </c>
      <c r="N246" s="27">
        <f t="shared" si="139"/>
        <v>-9.8044118158648291E-4</v>
      </c>
    </row>
  </sheetData>
  <dataValidations disablePrompts="1" count="1">
    <dataValidation type="decimal" allowBlank="1" showInputMessage="1" showErrorMessage="1" sqref="K8" xr:uid="{11BB465B-5A40-47D1-884D-E34708BD31D4}">
      <formula1>0</formula1>
      <formula2>K7</formula2>
    </dataValidation>
  </dataValidations>
  <pageMargins left="0.7" right="0.7" top="0.75" bottom="0.75" header="0.3" footer="0.3"/>
  <pageSetup scale="40" orientation="portrait" horizontalDpi="300" verticalDpi="300" r:id="rId1"/>
  <rowBreaks count="4" manualBreakCount="4">
    <brk id="46" max="15" man="1"/>
    <brk id="76" max="15" man="1"/>
    <brk id="118" max="15" man="1"/>
    <brk id="197" max="14" man="1"/>
  </rowBreaks>
  <ignoredErrors>
    <ignoredError sqref="K176 L176:N176" 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776E-CDDA-4597-9A01-97416870E4F3}">
  <sheetPr>
    <pageSetUpPr autoPageBreaks="0"/>
  </sheetPr>
  <dimension ref="A1:AJ108"/>
  <sheetViews>
    <sheetView showGridLines="0" zoomScaleNormal="100" workbookViewId="0">
      <selection activeCell="B2" sqref="B2"/>
    </sheetView>
  </sheetViews>
  <sheetFormatPr defaultColWidth="8.85546875" defaultRowHeight="15.75" outlineLevelRow="1" outlineLevelCol="1" x14ac:dyDescent="0.25"/>
  <cols>
    <col min="1" max="2" width="2.7109375" style="178" customWidth="1"/>
    <col min="3" max="3" width="47.7109375" style="178" bestFit="1" customWidth="1"/>
    <col min="4" max="4" width="12.7109375" style="183" customWidth="1"/>
    <col min="5" max="6" width="12.7109375" style="178" customWidth="1" outlineLevel="1"/>
    <col min="7" max="21" width="12.7109375" style="178" customWidth="1"/>
    <col min="22" max="23" width="2.7109375" style="178" customWidth="1"/>
    <col min="24" max="32" width="12.7109375" style="178" customWidth="1"/>
    <col min="33" max="16384" width="8.85546875" style="178"/>
  </cols>
  <sheetData>
    <row r="1" spans="2:36" ht="15.75" customHeight="1" x14ac:dyDescent="0.25"/>
    <row r="2" spans="2:36" ht="15.75" customHeight="1" x14ac:dyDescent="0.3">
      <c r="B2" s="184" t="str">
        <f>Parent_Name&amp;" - Discounted Cash Flow Analysis"</f>
        <v>SunPower Corporation - Discounted Cash Flow Analysis</v>
      </c>
    </row>
    <row r="3" spans="2:36" ht="15.75" customHeight="1" x14ac:dyDescent="0.25">
      <c r="B3" s="391" t="str">
        <f>SPWR!$B$3</f>
        <v>($ USD in Millions Except for Per-Share Figures and Other Per-Unit Data)</v>
      </c>
    </row>
    <row r="4" spans="2:36" ht="15.75" customHeight="1" x14ac:dyDescent="0.25"/>
    <row r="5" spans="2:36" ht="15.75" customHeight="1" x14ac:dyDescent="0.25">
      <c r="B5" s="185"/>
      <c r="C5" s="185"/>
      <c r="D5" s="186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</row>
    <row r="6" spans="2:36" ht="15.75" customHeight="1" x14ac:dyDescent="0.25">
      <c r="B6" s="187" t="s">
        <v>149</v>
      </c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spans="2:36" ht="15.75" customHeight="1" outlineLevel="1" x14ac:dyDescent="0.25">
      <c r="D7" s="189"/>
      <c r="AF7" s="346"/>
      <c r="AG7" s="346"/>
      <c r="AH7" s="346"/>
      <c r="AI7" s="346"/>
      <c r="AJ7" s="346"/>
    </row>
    <row r="8" spans="2:36" ht="15.75" customHeight="1" outlineLevel="1" x14ac:dyDescent="0.25">
      <c r="C8" s="190" t="s">
        <v>150</v>
      </c>
      <c r="D8" s="191">
        <f>SPWR_WACC!L37</f>
        <v>8.5966929491576985E-2</v>
      </c>
      <c r="G8" s="192" t="s">
        <v>151</v>
      </c>
      <c r="H8" s="193"/>
      <c r="I8" s="193"/>
      <c r="J8" s="193"/>
      <c r="K8" s="92"/>
      <c r="L8" s="192" t="s">
        <v>152</v>
      </c>
      <c r="M8" s="193"/>
      <c r="N8" s="193"/>
      <c r="O8" s="193"/>
      <c r="AF8" s="346"/>
      <c r="AG8" s="346"/>
      <c r="AH8" s="346"/>
      <c r="AI8" s="346"/>
      <c r="AJ8" s="346"/>
    </row>
    <row r="9" spans="2:36" ht="15.75" customHeight="1" outlineLevel="1" x14ac:dyDescent="0.25">
      <c r="C9" s="330"/>
      <c r="D9" s="331"/>
      <c r="G9" s="92"/>
      <c r="H9" s="92"/>
      <c r="I9" s="92"/>
      <c r="J9" s="92"/>
      <c r="K9" s="92"/>
      <c r="L9" s="92"/>
      <c r="M9" s="92"/>
      <c r="N9" s="92"/>
      <c r="O9" s="92"/>
      <c r="AF9" s="346"/>
      <c r="AG9" s="346"/>
      <c r="AH9" s="346"/>
      <c r="AI9" s="346"/>
      <c r="AJ9" s="346"/>
    </row>
    <row r="10" spans="2:36" ht="15.75" customHeight="1" outlineLevel="1" x14ac:dyDescent="0.25">
      <c r="C10" s="68" t="s">
        <v>548</v>
      </c>
      <c r="D10" s="796">
        <f>SPWR_Adj!K17</f>
        <v>794.41068416999985</v>
      </c>
      <c r="G10" s="190" t="s">
        <v>215</v>
      </c>
      <c r="H10" s="194"/>
      <c r="I10" s="194"/>
      <c r="J10" s="195" t="s">
        <v>550</v>
      </c>
      <c r="K10" s="92"/>
      <c r="L10" s="190" t="s">
        <v>153</v>
      </c>
      <c r="M10" s="92"/>
      <c r="N10" s="92"/>
      <c r="O10" s="196">
        <v>0.02</v>
      </c>
      <c r="AF10" s="346"/>
      <c r="AG10" s="346"/>
      <c r="AH10" s="346"/>
      <c r="AI10" s="346"/>
      <c r="AJ10" s="346"/>
    </row>
    <row r="11" spans="2:36" ht="15.75" customHeight="1" outlineLevel="1" x14ac:dyDescent="0.25">
      <c r="C11" s="199" t="s">
        <v>37</v>
      </c>
      <c r="D11" s="336">
        <f>SPWR_Adj!K18</f>
        <v>-574.34399999999994</v>
      </c>
      <c r="G11" s="194"/>
      <c r="H11" s="194"/>
      <c r="I11" s="194"/>
      <c r="J11" s="194"/>
      <c r="K11" s="92"/>
      <c r="L11" s="92"/>
      <c r="M11" s="92"/>
      <c r="N11" s="92"/>
      <c r="O11" s="92"/>
      <c r="AF11" s="346"/>
      <c r="AG11" s="346"/>
      <c r="AH11" s="346"/>
      <c r="AI11" s="346"/>
      <c r="AJ11" s="346"/>
    </row>
    <row r="12" spans="2:36" ht="15.75" customHeight="1" outlineLevel="1" x14ac:dyDescent="0.25">
      <c r="C12" s="200" t="s">
        <v>137</v>
      </c>
      <c r="D12" s="336">
        <f>SPWR_Adj!K19</f>
        <v>0</v>
      </c>
      <c r="G12" s="190" t="s">
        <v>154</v>
      </c>
      <c r="H12" s="194"/>
      <c r="I12" s="197"/>
      <c r="J12" s="195">
        <v>7.7210836714541609</v>
      </c>
      <c r="K12" s="92"/>
      <c r="L12" s="190" t="s">
        <v>155</v>
      </c>
      <c r="M12" s="92"/>
      <c r="N12" s="198"/>
      <c r="O12" s="196">
        <v>0.01</v>
      </c>
      <c r="AF12" s="346"/>
      <c r="AG12" s="346"/>
      <c r="AH12" s="346"/>
      <c r="AI12" s="346"/>
      <c r="AJ12" s="346"/>
    </row>
    <row r="13" spans="2:36" ht="15.75" customHeight="1" outlineLevel="1" x14ac:dyDescent="0.25">
      <c r="C13" s="200" t="s">
        <v>38</v>
      </c>
      <c r="D13" s="336">
        <f>SPWR_Adj!K20</f>
        <v>-191.20900000000003</v>
      </c>
      <c r="G13" s="194"/>
      <c r="H13" s="194"/>
      <c r="I13" s="197"/>
      <c r="J13" s="201"/>
      <c r="K13" s="92"/>
      <c r="L13" s="92"/>
      <c r="M13" s="92"/>
      <c r="N13" s="198"/>
      <c r="O13" s="202"/>
      <c r="AF13" s="346"/>
      <c r="AG13" s="346"/>
      <c r="AH13" s="346"/>
      <c r="AI13" s="346"/>
      <c r="AJ13" s="346"/>
    </row>
    <row r="14" spans="2:36" ht="15.75" customHeight="1" outlineLevel="1" x14ac:dyDescent="0.25">
      <c r="C14" s="200" t="s">
        <v>39</v>
      </c>
      <c r="D14" s="336">
        <f>SPWR_Adj!K21</f>
        <v>0</v>
      </c>
      <c r="G14" s="190" t="s">
        <v>156</v>
      </c>
      <c r="H14" s="194"/>
      <c r="I14" s="194"/>
      <c r="J14" s="332">
        <f>+Parent_Terminal_Multiple*U76</f>
        <v>5737.792167618577</v>
      </c>
      <c r="K14" s="92"/>
      <c r="L14" s="190" t="s">
        <v>156</v>
      </c>
      <c r="M14" s="92"/>
      <c r="N14" s="92"/>
      <c r="O14" s="334">
        <f>+U71*(1+Parent_Terminal_Growth_Rate)/(Parent_Discount_Rate-Parent_Terminal_Growth_Rate)</f>
        <v>5737.792167618577</v>
      </c>
      <c r="AF14" s="346"/>
      <c r="AG14" s="346"/>
      <c r="AH14" s="346"/>
      <c r="AI14" s="346"/>
      <c r="AJ14" s="346"/>
    </row>
    <row r="15" spans="2:36" ht="15.75" customHeight="1" outlineLevel="1" x14ac:dyDescent="0.25">
      <c r="C15" s="200" t="s">
        <v>40</v>
      </c>
      <c r="D15" s="336">
        <f>SPWR_Adj!K22</f>
        <v>-32.252510447535748</v>
      </c>
      <c r="G15" s="190" t="s">
        <v>157</v>
      </c>
      <c r="H15" s="194"/>
      <c r="I15" s="197"/>
      <c r="J15" s="203">
        <f>(J14*Parent_Discount_Rate-U71)/(J14+U71)</f>
        <v>9.9999999999999967E-3</v>
      </c>
      <c r="K15" s="92"/>
      <c r="L15" s="190" t="s">
        <v>158</v>
      </c>
      <c r="M15" s="92"/>
      <c r="N15" s="92"/>
      <c r="O15" s="204">
        <f>+O14/U76</f>
        <v>7.7210836714541609</v>
      </c>
      <c r="AF15" s="346"/>
      <c r="AG15" s="346"/>
      <c r="AH15" s="346"/>
      <c r="AI15" s="346"/>
      <c r="AJ15" s="346"/>
    </row>
    <row r="16" spans="2:36" ht="15.75" customHeight="1" outlineLevel="1" x14ac:dyDescent="0.25">
      <c r="C16" s="200" t="s">
        <v>140</v>
      </c>
      <c r="D16" s="336">
        <f>SPWR_Adj!K23</f>
        <v>864.15914876300099</v>
      </c>
      <c r="G16" s="194"/>
      <c r="H16" s="194"/>
      <c r="I16" s="194"/>
      <c r="J16" s="194"/>
      <c r="K16" s="92"/>
      <c r="L16" s="92"/>
      <c r="M16" s="92"/>
      <c r="N16" s="92"/>
      <c r="O16" s="92"/>
      <c r="AF16" s="346"/>
      <c r="AG16" s="346"/>
      <c r="AH16" s="346"/>
      <c r="AI16" s="346"/>
      <c r="AJ16" s="346"/>
    </row>
    <row r="17" spans="3:36" ht="15.75" customHeight="1" outlineLevel="1" x14ac:dyDescent="0.25">
      <c r="C17" s="200" t="s">
        <v>41</v>
      </c>
      <c r="D17" s="336">
        <f>SPWR_Adj!K24</f>
        <v>0</v>
      </c>
      <c r="G17" s="199" t="s">
        <v>159</v>
      </c>
      <c r="H17" s="194"/>
      <c r="I17" s="194"/>
      <c r="J17" s="333">
        <f>+J14/((1+Parent_Discount_Rate)^(YEAR($U$42)-YEAR($F$42)))</f>
        <v>1665.3127702784609</v>
      </c>
      <c r="K17" s="92"/>
      <c r="L17" s="199" t="str">
        <f>+G17</f>
        <v>(+) PV of Terminal Value:</v>
      </c>
      <c r="M17" s="92"/>
      <c r="N17" s="92"/>
      <c r="O17" s="333">
        <f>+O14/((1+Parent_Discount_Rate)^(YEAR($U$42)-YEAR($F$42)))</f>
        <v>1665.3127702784609</v>
      </c>
      <c r="AF17" s="346"/>
      <c r="AG17" s="346"/>
      <c r="AH17" s="346"/>
      <c r="AI17" s="346"/>
      <c r="AJ17" s="346"/>
    </row>
    <row r="18" spans="3:36" ht="15.75" customHeight="1" outlineLevel="1" x14ac:dyDescent="0.25">
      <c r="C18" s="200" t="s">
        <v>138</v>
      </c>
      <c r="D18" s="336">
        <f>SPWR_Adj!K25</f>
        <v>0</v>
      </c>
      <c r="G18" s="683" t="s">
        <v>477</v>
      </c>
      <c r="J18" s="333">
        <f>$U$53*Parent_Tax_Rate/((1+Parent_Discount_Rate)^(YEAR($U$42)-YEAR($F$42)))</f>
        <v>0</v>
      </c>
      <c r="L18" s="216" t="str">
        <f>+G18</f>
        <v>(+) PV of Year 15 NOL Balance:</v>
      </c>
      <c r="O18" s="333">
        <f>$U$53*Parent_Tax_Rate/((1+Parent_Discount_Rate)^(YEAR($U$42)-YEAR($F$42)))</f>
        <v>0</v>
      </c>
      <c r="AF18" s="346"/>
      <c r="AG18" s="346"/>
      <c r="AH18" s="346"/>
      <c r="AI18" s="346"/>
      <c r="AJ18" s="346"/>
    </row>
    <row r="19" spans="3:36" ht="15.75" customHeight="1" outlineLevel="1" x14ac:dyDescent="0.25">
      <c r="C19" s="200" t="s">
        <v>42</v>
      </c>
      <c r="D19" s="336">
        <f>SPWR_Adj!K26</f>
        <v>5.032</v>
      </c>
      <c r="G19" s="205" t="s">
        <v>160</v>
      </c>
      <c r="H19" s="206"/>
      <c r="I19" s="206"/>
      <c r="J19" s="328">
        <f>SUM($G$74:$U$74)</f>
        <v>1919.45262303651</v>
      </c>
      <c r="K19" s="92"/>
      <c r="L19" s="205" t="str">
        <f t="shared" ref="L19:L20" si="0">+G19</f>
        <v>(+) Sum of PV of Free Cash Flows:</v>
      </c>
      <c r="M19" s="207"/>
      <c r="N19" s="207"/>
      <c r="O19" s="328">
        <f>SUM($G$74:$U$74)</f>
        <v>1919.45262303651</v>
      </c>
      <c r="AF19" s="346"/>
      <c r="AG19" s="346"/>
      <c r="AH19" s="346"/>
      <c r="AI19" s="346"/>
      <c r="AJ19" s="346"/>
    </row>
    <row r="20" spans="3:36" ht="15.75" customHeight="1" outlineLevel="1" x14ac:dyDescent="0.25">
      <c r="C20" s="216" t="s">
        <v>139</v>
      </c>
      <c r="D20" s="708">
        <f>SPWR_Adj!K27</f>
        <v>0</v>
      </c>
      <c r="G20" s="208" t="s">
        <v>161</v>
      </c>
      <c r="H20" s="209"/>
      <c r="I20" s="209"/>
      <c r="J20" s="329">
        <f>SUM(J17:J19)</f>
        <v>3584.7653933149709</v>
      </c>
      <c r="K20" s="92"/>
      <c r="L20" s="208" t="str">
        <f t="shared" si="0"/>
        <v>Implied Enterprise Value:</v>
      </c>
      <c r="M20" s="210"/>
      <c r="N20" s="210"/>
      <c r="O20" s="329">
        <f>SUM(O17:O19)</f>
        <v>3584.7653933149709</v>
      </c>
      <c r="AF20" s="346"/>
      <c r="AG20" s="346"/>
      <c r="AH20" s="346"/>
      <c r="AI20" s="346"/>
      <c r="AJ20" s="346"/>
    </row>
    <row r="21" spans="3:36" ht="15.75" customHeight="1" outlineLevel="1" x14ac:dyDescent="0.25">
      <c r="C21" s="70" t="s">
        <v>485</v>
      </c>
      <c r="D21" s="337">
        <f>SUM(D10:D20)</f>
        <v>865.79632248546511</v>
      </c>
      <c r="G21" s="194"/>
      <c r="H21" s="194"/>
      <c r="I21" s="194"/>
      <c r="J21" s="194"/>
      <c r="K21" s="92"/>
      <c r="L21" s="92"/>
      <c r="M21" s="92"/>
      <c r="N21" s="92"/>
      <c r="O21" s="92"/>
      <c r="AF21" s="346"/>
      <c r="AG21" s="346"/>
      <c r="AH21" s="346"/>
      <c r="AI21" s="346"/>
      <c r="AJ21" s="346"/>
    </row>
    <row r="22" spans="3:36" ht="15.75" customHeight="1" outlineLevel="1" x14ac:dyDescent="0.25">
      <c r="G22" s="211" t="s">
        <v>204</v>
      </c>
      <c r="H22" s="194"/>
      <c r="I22" s="194"/>
      <c r="J22" s="212">
        <f>+J17/J20</f>
        <v>0.46455279148365186</v>
      </c>
      <c r="K22" s="92"/>
      <c r="L22" s="213" t="str">
        <f>+G22</f>
        <v>% of Implied TEV from Terminal Value:</v>
      </c>
      <c r="M22" s="92"/>
      <c r="N22" s="92"/>
      <c r="O22" s="212">
        <f>+O17/O20</f>
        <v>0.46455279148365186</v>
      </c>
      <c r="AF22" s="346"/>
      <c r="AG22" s="346"/>
      <c r="AH22" s="346"/>
      <c r="AI22" s="346"/>
      <c r="AJ22" s="346"/>
    </row>
    <row r="23" spans="3:36" ht="15.75" customHeight="1" outlineLevel="1" x14ac:dyDescent="0.25">
      <c r="G23" s="194"/>
      <c r="H23" s="194"/>
      <c r="I23" s="194"/>
      <c r="J23" s="194"/>
      <c r="K23" s="92"/>
      <c r="L23" s="92"/>
      <c r="M23" s="92"/>
      <c r="N23" s="92"/>
      <c r="O23" s="92"/>
      <c r="AF23" s="346"/>
      <c r="AG23" s="346"/>
      <c r="AH23" s="346"/>
      <c r="AI23" s="346"/>
      <c r="AJ23" s="346"/>
    </row>
    <row r="24" spans="3:36" ht="15.75" customHeight="1" outlineLevel="1" x14ac:dyDescent="0.25">
      <c r="D24" s="178"/>
      <c r="G24" s="199" t="s">
        <v>162</v>
      </c>
      <c r="H24" s="194"/>
      <c r="I24" s="194"/>
      <c r="J24" s="340">
        <f>-$D$11</f>
        <v>574.34399999999994</v>
      </c>
      <c r="K24" s="92"/>
      <c r="L24" s="199" t="s">
        <v>162</v>
      </c>
      <c r="M24" s="92"/>
      <c r="N24" s="92"/>
      <c r="O24" s="340">
        <f>-$D$11</f>
        <v>574.34399999999994</v>
      </c>
      <c r="AF24" s="346"/>
      <c r="AG24" s="346"/>
      <c r="AH24" s="346"/>
      <c r="AI24" s="346"/>
      <c r="AJ24" s="346"/>
    </row>
    <row r="25" spans="3:36" ht="15.75" customHeight="1" outlineLevel="1" x14ac:dyDescent="0.25">
      <c r="D25" s="178"/>
      <c r="G25" s="200" t="s">
        <v>205</v>
      </c>
      <c r="H25" s="215"/>
      <c r="I25" s="215"/>
      <c r="J25" s="340">
        <f>-$D$12</f>
        <v>0</v>
      </c>
      <c r="K25" s="92"/>
      <c r="L25" s="200" t="s">
        <v>205</v>
      </c>
      <c r="O25" s="340">
        <f>-$D$12</f>
        <v>0</v>
      </c>
      <c r="AF25" s="346"/>
      <c r="AG25" s="346"/>
      <c r="AH25" s="346"/>
      <c r="AI25" s="346"/>
      <c r="AJ25" s="346"/>
    </row>
    <row r="26" spans="3:36" ht="15.75" customHeight="1" outlineLevel="1" x14ac:dyDescent="0.25">
      <c r="C26" s="688"/>
      <c r="D26" s="178"/>
      <c r="G26" s="200" t="s">
        <v>163</v>
      </c>
      <c r="H26" s="215"/>
      <c r="I26" s="215"/>
      <c r="J26" s="340">
        <f>-$D$13</f>
        <v>191.20900000000003</v>
      </c>
      <c r="K26" s="92"/>
      <c r="L26" s="200" t="s">
        <v>163</v>
      </c>
      <c r="O26" s="340">
        <f>-$D$13</f>
        <v>191.20900000000003</v>
      </c>
      <c r="AF26" s="346"/>
      <c r="AG26" s="346"/>
      <c r="AH26" s="346"/>
      <c r="AI26" s="346"/>
      <c r="AJ26" s="346"/>
    </row>
    <row r="27" spans="3:36" ht="15.75" customHeight="1" outlineLevel="1" x14ac:dyDescent="0.25">
      <c r="D27" s="178"/>
      <c r="G27" s="200" t="s">
        <v>164</v>
      </c>
      <c r="H27" s="215"/>
      <c r="I27" s="215"/>
      <c r="J27" s="340">
        <f>-$D$14</f>
        <v>0</v>
      </c>
      <c r="K27" s="92"/>
      <c r="L27" s="200" t="s">
        <v>164</v>
      </c>
      <c r="O27" s="340">
        <f>-$D$14</f>
        <v>0</v>
      </c>
      <c r="AF27" s="346"/>
      <c r="AG27" s="346"/>
      <c r="AH27" s="346"/>
      <c r="AI27" s="346"/>
      <c r="AJ27" s="346"/>
    </row>
    <row r="28" spans="3:36" ht="15.75" customHeight="1" outlineLevel="1" x14ac:dyDescent="0.25">
      <c r="C28" s="688"/>
      <c r="D28" s="178"/>
      <c r="G28" s="200" t="s">
        <v>165</v>
      </c>
      <c r="H28" s="215"/>
      <c r="I28" s="215"/>
      <c r="J28" s="154">
        <v>0</v>
      </c>
      <c r="K28" s="92"/>
      <c r="L28" s="200" t="s">
        <v>165</v>
      </c>
      <c r="O28" s="154">
        <v>0</v>
      </c>
      <c r="AF28" s="346"/>
      <c r="AG28" s="346"/>
      <c r="AH28" s="346"/>
      <c r="AI28" s="346"/>
      <c r="AJ28" s="346"/>
    </row>
    <row r="29" spans="3:36" ht="15.75" customHeight="1" outlineLevel="1" x14ac:dyDescent="0.25">
      <c r="D29" s="178"/>
      <c r="G29" s="200" t="s">
        <v>206</v>
      </c>
      <c r="H29" s="215"/>
      <c r="I29" s="215"/>
      <c r="J29" s="340">
        <f>-$D$16</f>
        <v>-864.15914876300099</v>
      </c>
      <c r="K29" s="92"/>
      <c r="L29" s="200" t="s">
        <v>206</v>
      </c>
      <c r="O29" s="340">
        <f>-$D$16</f>
        <v>-864.15914876300099</v>
      </c>
      <c r="AF29" s="346"/>
      <c r="AG29" s="346"/>
      <c r="AH29" s="346"/>
      <c r="AI29" s="346"/>
      <c r="AJ29" s="346"/>
    </row>
    <row r="30" spans="3:36" ht="15.75" customHeight="1" outlineLevel="1" x14ac:dyDescent="0.25">
      <c r="D30" s="178"/>
      <c r="G30" s="200" t="s">
        <v>166</v>
      </c>
      <c r="H30" s="215"/>
      <c r="I30" s="215"/>
      <c r="J30" s="340">
        <f>-$D$17</f>
        <v>0</v>
      </c>
      <c r="K30" s="92"/>
      <c r="L30" s="200" t="s">
        <v>166</v>
      </c>
      <c r="O30" s="340">
        <f>-$D$17</f>
        <v>0</v>
      </c>
      <c r="AF30" s="346"/>
      <c r="AG30" s="346"/>
      <c r="AH30" s="346"/>
      <c r="AI30" s="346"/>
      <c r="AJ30" s="346"/>
    </row>
    <row r="31" spans="3:36" ht="15.75" customHeight="1" outlineLevel="1" x14ac:dyDescent="0.25">
      <c r="D31" s="178"/>
      <c r="G31" s="200" t="s">
        <v>207</v>
      </c>
      <c r="H31" s="215"/>
      <c r="I31" s="215"/>
      <c r="J31" s="340">
        <f>-$D$18</f>
        <v>0</v>
      </c>
      <c r="K31" s="92"/>
      <c r="L31" s="200" t="s">
        <v>207</v>
      </c>
      <c r="O31" s="340">
        <f>-$D$18</f>
        <v>0</v>
      </c>
      <c r="AF31" s="346"/>
      <c r="AG31" s="346"/>
      <c r="AH31" s="346"/>
      <c r="AI31" s="346"/>
      <c r="AJ31" s="346"/>
    </row>
    <row r="32" spans="3:36" ht="15.75" customHeight="1" outlineLevel="1" x14ac:dyDescent="0.25">
      <c r="C32" s="92"/>
      <c r="D32" s="217"/>
      <c r="G32" s="200" t="s">
        <v>167</v>
      </c>
      <c r="H32" s="215"/>
      <c r="I32" s="215"/>
      <c r="J32" s="340">
        <f>-$D$19</f>
        <v>-5.032</v>
      </c>
      <c r="K32" s="92"/>
      <c r="L32" s="200" t="s">
        <v>167</v>
      </c>
      <c r="O32" s="340">
        <f>-$D$19</f>
        <v>-5.032</v>
      </c>
      <c r="AF32" s="346"/>
      <c r="AG32" s="346"/>
      <c r="AH32" s="346"/>
      <c r="AI32" s="346"/>
      <c r="AJ32" s="346"/>
    </row>
    <row r="33" spans="1:36" ht="15.75" customHeight="1" outlineLevel="1" x14ac:dyDescent="0.25">
      <c r="D33" s="189"/>
      <c r="G33" s="200" t="s">
        <v>208</v>
      </c>
      <c r="H33" s="215"/>
      <c r="I33" s="215"/>
      <c r="J33" s="341">
        <f>-$D$20</f>
        <v>0</v>
      </c>
      <c r="K33" s="92"/>
      <c r="L33" s="200" t="s">
        <v>208</v>
      </c>
      <c r="O33" s="341">
        <f>-$D$20</f>
        <v>0</v>
      </c>
      <c r="AF33" s="346"/>
      <c r="AG33" s="346"/>
      <c r="AH33" s="346"/>
      <c r="AI33" s="346"/>
      <c r="AJ33" s="346"/>
    </row>
    <row r="34" spans="1:36" ht="15.75" customHeight="1" outlineLevel="1" x14ac:dyDescent="0.25">
      <c r="D34" s="189"/>
      <c r="G34" s="70" t="s">
        <v>168</v>
      </c>
      <c r="H34" s="218"/>
      <c r="I34" s="218"/>
      <c r="J34" s="342">
        <f>+J20+SUM(J24:J33)</f>
        <v>3481.1272445519699</v>
      </c>
      <c r="K34" s="92"/>
      <c r="L34" s="70" t="s">
        <v>168</v>
      </c>
      <c r="M34" s="219"/>
      <c r="N34" s="219"/>
      <c r="O34" s="342">
        <f>+O20+SUM(O24:O33)</f>
        <v>3481.1272445519699</v>
      </c>
      <c r="AF34" s="346"/>
      <c r="AG34" s="346"/>
      <c r="AH34" s="346"/>
      <c r="AI34" s="346"/>
      <c r="AJ34" s="346"/>
    </row>
    <row r="35" spans="1:36" ht="15.75" customHeight="1" outlineLevel="1" x14ac:dyDescent="0.25">
      <c r="D35" s="189"/>
      <c r="G35" s="194"/>
      <c r="H35" s="194"/>
      <c r="I35" s="194"/>
      <c r="J35" s="194"/>
      <c r="K35" s="92"/>
      <c r="L35" s="92"/>
      <c r="M35" s="92"/>
      <c r="N35" s="92"/>
      <c r="O35" s="111"/>
      <c r="AF35" s="346"/>
      <c r="AG35" s="346"/>
      <c r="AH35" s="346"/>
      <c r="AI35" s="346"/>
      <c r="AJ35" s="346"/>
    </row>
    <row r="36" spans="1:36" ht="15.75" customHeight="1" outlineLevel="1" x14ac:dyDescent="0.25">
      <c r="D36" s="189"/>
      <c r="G36" s="190" t="s">
        <v>127</v>
      </c>
      <c r="H36" s="194"/>
      <c r="I36" s="194"/>
      <c r="J36" s="220">
        <f>Parent_Diluted_Shares</f>
        <v>177.72051099999999</v>
      </c>
      <c r="K36" s="92"/>
      <c r="L36" s="92" t="s">
        <v>127</v>
      </c>
      <c r="M36" s="92"/>
      <c r="N36" s="92"/>
      <c r="O36" s="220">
        <f>Parent_Diluted_Shares</f>
        <v>177.72051099999999</v>
      </c>
      <c r="AF36" s="346"/>
      <c r="AG36" s="346"/>
      <c r="AH36" s="346"/>
      <c r="AI36" s="346"/>
      <c r="AJ36" s="346"/>
    </row>
    <row r="37" spans="1:36" ht="15.75" customHeight="1" outlineLevel="1" x14ac:dyDescent="0.25">
      <c r="D37" s="189"/>
      <c r="G37" s="194"/>
      <c r="H37" s="194"/>
      <c r="I37" s="221"/>
      <c r="J37" s="221"/>
      <c r="K37" s="92"/>
      <c r="L37" s="92"/>
      <c r="M37" s="92"/>
      <c r="N37" s="92"/>
      <c r="O37" s="92"/>
      <c r="AF37" s="346"/>
      <c r="AG37" s="346"/>
      <c r="AH37" s="346"/>
      <c r="AI37" s="346"/>
      <c r="AJ37" s="346"/>
    </row>
    <row r="38" spans="1:36" ht="15.75" customHeight="1" outlineLevel="1" x14ac:dyDescent="0.25">
      <c r="D38" s="189"/>
      <c r="G38" s="222" t="s">
        <v>169</v>
      </c>
      <c r="H38" s="223"/>
      <c r="I38" s="223"/>
      <c r="J38" s="224">
        <f>+J34/J36</f>
        <v>19.587650434743406</v>
      </c>
      <c r="K38" s="92"/>
      <c r="L38" s="222" t="s">
        <v>169</v>
      </c>
      <c r="M38" s="225"/>
      <c r="N38" s="225"/>
      <c r="O38" s="224">
        <f>+O34/O36</f>
        <v>19.587650434743406</v>
      </c>
      <c r="AF38" s="346"/>
      <c r="AG38" s="346"/>
      <c r="AH38" s="346"/>
      <c r="AI38" s="346"/>
      <c r="AJ38" s="346"/>
    </row>
    <row r="39" spans="1:36" ht="15.75" customHeight="1" x14ac:dyDescent="0.25">
      <c r="D39" s="189"/>
      <c r="G39" s="226" t="s">
        <v>549</v>
      </c>
      <c r="H39" s="227"/>
      <c r="I39" s="227"/>
      <c r="J39" s="228">
        <f>+J38/(SPWR_Adj!$K$17/Parent_Diluted_Shares)-1</f>
        <v>3.382024705759151</v>
      </c>
      <c r="K39" s="92"/>
      <c r="L39" s="226" t="s">
        <v>549</v>
      </c>
      <c r="M39" s="229"/>
      <c r="N39" s="229"/>
      <c r="O39" s="228">
        <f>+O38/(SPWR_Adj!$K$17/Parent_Diluted_Shares)-1</f>
        <v>3.382024705759151</v>
      </c>
      <c r="AF39" s="346"/>
      <c r="AG39" s="346"/>
      <c r="AH39" s="346"/>
      <c r="AI39" s="346"/>
      <c r="AJ39" s="346"/>
    </row>
    <row r="40" spans="1:36" ht="15.75" customHeight="1" x14ac:dyDescent="0.25">
      <c r="D40" s="189"/>
      <c r="AF40" s="346"/>
      <c r="AG40" s="346"/>
      <c r="AH40" s="346"/>
      <c r="AI40" s="346"/>
      <c r="AJ40" s="346"/>
    </row>
    <row r="41" spans="1:36" ht="15.75" customHeight="1" x14ac:dyDescent="0.25">
      <c r="B41" s="230"/>
      <c r="C41" s="230"/>
      <c r="D41" s="231"/>
      <c r="E41" s="232" t="s">
        <v>69</v>
      </c>
      <c r="F41" s="233"/>
      <c r="G41" s="232" t="s">
        <v>70</v>
      </c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AF41" s="346"/>
      <c r="AG41" s="346"/>
      <c r="AH41" s="346"/>
      <c r="AI41" s="346"/>
      <c r="AJ41" s="346"/>
    </row>
    <row r="42" spans="1:36" ht="15.75" customHeight="1" x14ac:dyDescent="0.25">
      <c r="A42" s="234"/>
      <c r="B42" s="235" t="s">
        <v>171</v>
      </c>
      <c r="C42" s="235"/>
      <c r="D42" s="36" t="str">
        <f>SPWR!$D$5</f>
        <v>Units:</v>
      </c>
      <c r="E42" s="236">
        <f>MAXN_Adj!E48</f>
        <v>43465</v>
      </c>
      <c r="F42" s="320">
        <f>MAXN_Adj!F48</f>
        <v>43830</v>
      </c>
      <c r="G42" s="236">
        <f>MAXN_Adj!G48</f>
        <v>44196</v>
      </c>
      <c r="H42" s="236">
        <f>MAXN_Adj!K48</f>
        <v>44561</v>
      </c>
      <c r="I42" s="236">
        <f>MAXN_Adj!L48</f>
        <v>44926</v>
      </c>
      <c r="J42" s="236">
        <f>MAXN_Adj!M48</f>
        <v>45291</v>
      </c>
      <c r="K42" s="236">
        <f>MAXN_Adj!N48</f>
        <v>45657</v>
      </c>
      <c r="L42" s="236">
        <f>EOMONTH(K42,12)</f>
        <v>46022</v>
      </c>
      <c r="M42" s="236">
        <f t="shared" ref="M42:U42" si="1">EOMONTH(L42,12)</f>
        <v>46387</v>
      </c>
      <c r="N42" s="236">
        <f t="shared" si="1"/>
        <v>46752</v>
      </c>
      <c r="O42" s="236">
        <f t="shared" si="1"/>
        <v>47118</v>
      </c>
      <c r="P42" s="236">
        <f t="shared" si="1"/>
        <v>47483</v>
      </c>
      <c r="Q42" s="236">
        <f t="shared" si="1"/>
        <v>47848</v>
      </c>
      <c r="R42" s="236">
        <f t="shared" si="1"/>
        <v>48213</v>
      </c>
      <c r="S42" s="236">
        <f t="shared" si="1"/>
        <v>48579</v>
      </c>
      <c r="T42" s="236">
        <f t="shared" si="1"/>
        <v>48944</v>
      </c>
      <c r="U42" s="236">
        <f t="shared" si="1"/>
        <v>49309</v>
      </c>
      <c r="AI42" s="346"/>
      <c r="AJ42" s="346"/>
    </row>
    <row r="43" spans="1:36" ht="15.75" customHeight="1" outlineLevel="1" x14ac:dyDescent="0.25">
      <c r="A43" s="234"/>
      <c r="B43" s="237"/>
      <c r="C43" s="237"/>
      <c r="D43" s="238"/>
      <c r="E43" s="239"/>
      <c r="F43" s="239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AI43" s="346"/>
      <c r="AJ43" s="346"/>
    </row>
    <row r="44" spans="1:36" ht="15.75" customHeight="1" outlineLevel="1" x14ac:dyDescent="0.25">
      <c r="A44" s="234"/>
      <c r="C44" s="240" t="s">
        <v>35</v>
      </c>
      <c r="D44" s="241" t="s">
        <v>46</v>
      </c>
      <c r="E44" s="323">
        <f>SPWR_Adj!E40</f>
        <v>1726.085</v>
      </c>
      <c r="F44" s="323">
        <f>SPWR_Adj!F40</f>
        <v>1864.2250000000004</v>
      </c>
      <c r="G44" s="323">
        <f>SPWR_Adj!G40</f>
        <v>1395.0798631410003</v>
      </c>
      <c r="H44" s="323">
        <f>SPWR_Adj!K40</f>
        <v>1397.7846201364091</v>
      </c>
      <c r="I44" s="323">
        <f>SPWR_Adj!L40</f>
        <v>1639.0167246535086</v>
      </c>
      <c r="J44" s="323">
        <f>SPWR_Adj!M40</f>
        <v>1902.9890183644984</v>
      </c>
      <c r="K44" s="323">
        <f>SPWR_Adj!N40</f>
        <v>2197.8691002440187</v>
      </c>
      <c r="L44" s="324">
        <f>+K44*(1+L45)</f>
        <v>2527.5494652806215</v>
      </c>
      <c r="M44" s="324">
        <f t="shared" ref="M44:U44" si="2">+L44*(1+M45)</f>
        <v>2881.4063904199088</v>
      </c>
      <c r="N44" s="324">
        <f t="shared" si="2"/>
        <v>3255.9892211744968</v>
      </c>
      <c r="O44" s="324">
        <f t="shared" si="2"/>
        <v>3646.7079277154367</v>
      </c>
      <c r="P44" s="324">
        <f t="shared" si="2"/>
        <v>4047.8457997641349</v>
      </c>
      <c r="Q44" s="324">
        <f t="shared" si="2"/>
        <v>4452.630379740549</v>
      </c>
      <c r="R44" s="324">
        <f t="shared" si="2"/>
        <v>4853.3671139171984</v>
      </c>
      <c r="S44" s="324">
        <f t="shared" si="2"/>
        <v>5241.6364830305747</v>
      </c>
      <c r="T44" s="324">
        <f t="shared" si="2"/>
        <v>5608.5510368427149</v>
      </c>
      <c r="U44" s="324">
        <f t="shared" si="2"/>
        <v>5945.0640990532784</v>
      </c>
      <c r="AI44" s="346"/>
      <c r="AJ44" s="346"/>
    </row>
    <row r="45" spans="1:36" ht="15.75" customHeight="1" outlineLevel="1" x14ac:dyDescent="0.25">
      <c r="A45" s="234"/>
      <c r="C45" s="200" t="s">
        <v>118</v>
      </c>
      <c r="D45" s="241" t="s">
        <v>32</v>
      </c>
      <c r="E45" s="764">
        <f>SPWR_Adj!E216</f>
        <v>-0.32379338713468619</v>
      </c>
      <c r="F45" s="242">
        <f>IFERROR(F44/E44-1,"N/A")</f>
        <v>8.0030821193626256E-2</v>
      </c>
      <c r="G45" s="242">
        <f t="shared" ref="G45:H45" si="3">IFERROR(G44/F44-1,"N/A")</f>
        <v>-0.2516569281385026</v>
      </c>
      <c r="H45" s="242">
        <f t="shared" si="3"/>
        <v>1.9387829090438125E-3</v>
      </c>
      <c r="I45" s="242">
        <f t="shared" ref="I45" si="4">IFERROR(I44/H44-1,"N/A")</f>
        <v>0.17258174188063236</v>
      </c>
      <c r="J45" s="242">
        <f t="shared" ref="J45" si="5">IFERROR(J44/I44-1,"N/A")</f>
        <v>0.16105527767985039</v>
      </c>
      <c r="K45" s="242">
        <f t="shared" ref="K45" si="6">IFERROR(K44/J44-1,"N/A")</f>
        <v>0.15495627091582032</v>
      </c>
      <c r="L45" s="243">
        <v>0.15</v>
      </c>
      <c r="M45" s="243">
        <v>0.14000000000000001</v>
      </c>
      <c r="N45" s="243">
        <v>0.13</v>
      </c>
      <c r="O45" s="243">
        <v>0.12</v>
      </c>
      <c r="P45" s="243">
        <v>0.11</v>
      </c>
      <c r="Q45" s="243">
        <v>0.1</v>
      </c>
      <c r="R45" s="243">
        <v>0.09</v>
      </c>
      <c r="S45" s="243">
        <v>0.08</v>
      </c>
      <c r="T45" s="243">
        <v>7.0000000000000007E-2</v>
      </c>
      <c r="U45" s="243">
        <v>0.06</v>
      </c>
      <c r="AI45" s="346"/>
      <c r="AJ45" s="346"/>
    </row>
    <row r="46" spans="1:36" ht="15.75" customHeight="1" outlineLevel="1" x14ac:dyDescent="0.25">
      <c r="C46" s="244"/>
      <c r="D46" s="180"/>
      <c r="E46" s="245"/>
      <c r="F46" s="245"/>
      <c r="G46" s="245"/>
      <c r="H46" s="245"/>
      <c r="I46" s="245"/>
      <c r="J46" s="245"/>
      <c r="K46" s="245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AI46" s="346"/>
      <c r="AJ46" s="346"/>
    </row>
    <row r="47" spans="1:36" outlineLevel="1" x14ac:dyDescent="0.25">
      <c r="C47" s="260" t="s">
        <v>212</v>
      </c>
      <c r="D47" s="180" t="s">
        <v>46</v>
      </c>
      <c r="E47" s="687">
        <f>SPWR_Adj!E56</f>
        <v>-849.03099999999995</v>
      </c>
      <c r="F47" s="687">
        <f>SPWR_Adj!F56</f>
        <v>-98.114999999999782</v>
      </c>
      <c r="G47" s="687">
        <f>SPWR_Adj!G56</f>
        <v>-146.18483387002476</v>
      </c>
      <c r="H47" s="687">
        <f>SPWR_Adj!K56</f>
        <v>106.13913315657953</v>
      </c>
      <c r="I47" s="687">
        <f>SPWR_Adj!L56</f>
        <v>181.40990714102571</v>
      </c>
      <c r="J47" s="687">
        <f>SPWR_Adj!M56</f>
        <v>222.84062994833732</v>
      </c>
      <c r="K47" s="687">
        <f>SPWR_Adj!N56</f>
        <v>244.44335838777926</v>
      </c>
      <c r="L47" s="686">
        <f>+L48*L44</f>
        <v>278.03044118086837</v>
      </c>
      <c r="M47" s="686">
        <f t="shared" ref="M47:U47" si="7">+M48*M44</f>
        <v>316.95470294618997</v>
      </c>
      <c r="N47" s="686">
        <f t="shared" si="7"/>
        <v>358.15881432919463</v>
      </c>
      <c r="O47" s="686">
        <f t="shared" si="7"/>
        <v>401.13787204869806</v>
      </c>
      <c r="P47" s="686">
        <f t="shared" si="7"/>
        <v>445.26303797405484</v>
      </c>
      <c r="Q47" s="686">
        <f t="shared" si="7"/>
        <v>489.78934177146039</v>
      </c>
      <c r="R47" s="686">
        <f t="shared" si="7"/>
        <v>533.87038253089179</v>
      </c>
      <c r="S47" s="686">
        <f t="shared" si="7"/>
        <v>576.5800131333632</v>
      </c>
      <c r="T47" s="686">
        <f t="shared" si="7"/>
        <v>616.94061405269861</v>
      </c>
      <c r="U47" s="686">
        <f t="shared" si="7"/>
        <v>653.95705089586068</v>
      </c>
      <c r="AI47" s="346"/>
      <c r="AJ47" s="346"/>
    </row>
    <row r="48" spans="1:36" outlineLevel="1" x14ac:dyDescent="0.25">
      <c r="C48" s="216" t="s">
        <v>213</v>
      </c>
      <c r="D48" s="247" t="s">
        <v>32</v>
      </c>
      <c r="E48" s="248">
        <f>E47/E44</f>
        <v>-0.49188249709602944</v>
      </c>
      <c r="F48" s="248">
        <f t="shared" ref="F48:H48" si="8">F47/F44</f>
        <v>-5.2630449650658995E-2</v>
      </c>
      <c r="G48" s="248">
        <f t="shared" si="8"/>
        <v>-0.10478599665318938</v>
      </c>
      <c r="H48" s="248">
        <f t="shared" si="8"/>
        <v>7.5933825302943639E-2</v>
      </c>
      <c r="I48" s="248">
        <f t="shared" ref="I48" si="9">I47/I44</f>
        <v>0.11068215742543819</v>
      </c>
      <c r="J48" s="248">
        <f t="shared" ref="J48" si="10">J47/J44</f>
        <v>0.11710032364761364</v>
      </c>
      <c r="K48" s="248">
        <f t="shared" ref="K48" si="11">K47/K44</f>
        <v>0.11121834251213591</v>
      </c>
      <c r="L48" s="243">
        <v>0.11</v>
      </c>
      <c r="M48" s="763">
        <f>+L48</f>
        <v>0.11</v>
      </c>
      <c r="N48" s="763">
        <f t="shared" ref="N48:U48" si="12">+M48</f>
        <v>0.11</v>
      </c>
      <c r="O48" s="763">
        <f t="shared" si="12"/>
        <v>0.11</v>
      </c>
      <c r="P48" s="763">
        <f t="shared" si="12"/>
        <v>0.11</v>
      </c>
      <c r="Q48" s="763">
        <f t="shared" si="12"/>
        <v>0.11</v>
      </c>
      <c r="R48" s="763">
        <f t="shared" si="12"/>
        <v>0.11</v>
      </c>
      <c r="S48" s="763">
        <f t="shared" si="12"/>
        <v>0.11</v>
      </c>
      <c r="T48" s="763">
        <f t="shared" si="12"/>
        <v>0.11</v>
      </c>
      <c r="U48" s="763">
        <f t="shared" si="12"/>
        <v>0.11</v>
      </c>
      <c r="AI48" s="346"/>
      <c r="AJ48" s="346"/>
    </row>
    <row r="49" spans="3:21" outlineLevel="1" x14ac:dyDescent="0.25"/>
    <row r="50" spans="3:21" outlineLevel="1" x14ac:dyDescent="0.25">
      <c r="C50" s="682" t="s">
        <v>473</v>
      </c>
      <c r="D50" s="48" t="s">
        <v>46</v>
      </c>
      <c r="E50" s="321"/>
      <c r="F50" s="321"/>
      <c r="G50" s="322">
        <f>SPWR_Adj!E31</f>
        <v>470.75000000000011</v>
      </c>
      <c r="H50" s="321">
        <f>G53</f>
        <v>616.93483387002493</v>
      </c>
      <c r="I50" s="321">
        <f t="shared" ref="I50:U50" si="13">H53</f>
        <v>510.7957007134454</v>
      </c>
      <c r="J50" s="321">
        <f t="shared" si="13"/>
        <v>329.38579357241969</v>
      </c>
      <c r="K50" s="321">
        <f t="shared" si="13"/>
        <v>106.54516362408236</v>
      </c>
      <c r="L50" s="321">
        <f t="shared" si="13"/>
        <v>0</v>
      </c>
      <c r="M50" s="321">
        <f t="shared" si="13"/>
        <v>0</v>
      </c>
      <c r="N50" s="321">
        <f t="shared" si="13"/>
        <v>0</v>
      </c>
      <c r="O50" s="321">
        <f t="shared" si="13"/>
        <v>0</v>
      </c>
      <c r="P50" s="321">
        <f t="shared" si="13"/>
        <v>0</v>
      </c>
      <c r="Q50" s="321">
        <f t="shared" si="13"/>
        <v>0</v>
      </c>
      <c r="R50" s="321">
        <f t="shared" si="13"/>
        <v>0</v>
      </c>
      <c r="S50" s="321">
        <f t="shared" si="13"/>
        <v>0</v>
      </c>
      <c r="T50" s="321">
        <f t="shared" si="13"/>
        <v>0</v>
      </c>
      <c r="U50" s="321">
        <f t="shared" si="13"/>
        <v>0</v>
      </c>
    </row>
    <row r="51" spans="3:21" outlineLevel="1" x14ac:dyDescent="0.25">
      <c r="C51" s="683" t="s">
        <v>305</v>
      </c>
      <c r="D51" s="48" t="s">
        <v>46</v>
      </c>
      <c r="E51" s="321"/>
      <c r="F51" s="321"/>
      <c r="G51" s="321">
        <f>MAX(0,-G47)</f>
        <v>146.18483387002476</v>
      </c>
      <c r="H51" s="321">
        <f t="shared" ref="H51:U51" si="14">MAX(0,-H47)</f>
        <v>0</v>
      </c>
      <c r="I51" s="321">
        <f t="shared" si="14"/>
        <v>0</v>
      </c>
      <c r="J51" s="321">
        <f t="shared" si="14"/>
        <v>0</v>
      </c>
      <c r="K51" s="321">
        <f t="shared" si="14"/>
        <v>0</v>
      </c>
      <c r="L51" s="321">
        <f t="shared" si="14"/>
        <v>0</v>
      </c>
      <c r="M51" s="321">
        <f t="shared" si="14"/>
        <v>0</v>
      </c>
      <c r="N51" s="321">
        <f t="shared" si="14"/>
        <v>0</v>
      </c>
      <c r="O51" s="321">
        <f t="shared" si="14"/>
        <v>0</v>
      </c>
      <c r="P51" s="321">
        <f t="shared" si="14"/>
        <v>0</v>
      </c>
      <c r="Q51" s="321">
        <f t="shared" si="14"/>
        <v>0</v>
      </c>
      <c r="R51" s="321">
        <f t="shared" si="14"/>
        <v>0</v>
      </c>
      <c r="S51" s="321">
        <f t="shared" si="14"/>
        <v>0</v>
      </c>
      <c r="T51" s="321">
        <f t="shared" si="14"/>
        <v>0</v>
      </c>
      <c r="U51" s="321">
        <f t="shared" si="14"/>
        <v>0</v>
      </c>
    </row>
    <row r="52" spans="3:21" outlineLevel="1" x14ac:dyDescent="0.25">
      <c r="C52" s="683" t="s">
        <v>306</v>
      </c>
      <c r="D52" s="58" t="s">
        <v>46</v>
      </c>
      <c r="E52" s="685"/>
      <c r="F52" s="685"/>
      <c r="G52" s="685">
        <f>-MIN(G50+G51,MAX(G47,0))</f>
        <v>0</v>
      </c>
      <c r="H52" s="685">
        <f t="shared" ref="H52:U52" si="15">-MIN(H50+H51,MAX(H47,0))</f>
        <v>-106.13913315657953</v>
      </c>
      <c r="I52" s="685">
        <f t="shared" si="15"/>
        <v>-181.40990714102571</v>
      </c>
      <c r="J52" s="685">
        <f t="shared" si="15"/>
        <v>-222.84062994833732</v>
      </c>
      <c r="K52" s="685">
        <f t="shared" si="15"/>
        <v>-106.54516362408236</v>
      </c>
      <c r="L52" s="685">
        <f t="shared" si="15"/>
        <v>0</v>
      </c>
      <c r="M52" s="685">
        <f t="shared" si="15"/>
        <v>0</v>
      </c>
      <c r="N52" s="685">
        <f t="shared" si="15"/>
        <v>0</v>
      </c>
      <c r="O52" s="685">
        <f t="shared" si="15"/>
        <v>0</v>
      </c>
      <c r="P52" s="685">
        <f t="shared" si="15"/>
        <v>0</v>
      </c>
      <c r="Q52" s="685">
        <f t="shared" si="15"/>
        <v>0</v>
      </c>
      <c r="R52" s="685">
        <f t="shared" si="15"/>
        <v>0</v>
      </c>
      <c r="S52" s="685">
        <f t="shared" si="15"/>
        <v>0</v>
      </c>
      <c r="T52" s="685">
        <f t="shared" si="15"/>
        <v>0</v>
      </c>
      <c r="U52" s="685">
        <f t="shared" si="15"/>
        <v>0</v>
      </c>
    </row>
    <row r="53" spans="3:21" outlineLevel="1" x14ac:dyDescent="0.25">
      <c r="C53" s="684" t="s">
        <v>307</v>
      </c>
      <c r="D53" s="48" t="s">
        <v>46</v>
      </c>
      <c r="E53" s="686"/>
      <c r="F53" s="686"/>
      <c r="G53" s="686">
        <f>SUM(G50:G52)</f>
        <v>616.93483387002493</v>
      </c>
      <c r="H53" s="686">
        <f t="shared" ref="H53:U53" si="16">SUM(H50:H52)</f>
        <v>510.7957007134454</v>
      </c>
      <c r="I53" s="686">
        <f t="shared" si="16"/>
        <v>329.38579357241969</v>
      </c>
      <c r="J53" s="686">
        <f t="shared" si="16"/>
        <v>106.54516362408236</v>
      </c>
      <c r="K53" s="686">
        <f t="shared" si="16"/>
        <v>0</v>
      </c>
      <c r="L53" s="686">
        <f t="shared" si="16"/>
        <v>0</v>
      </c>
      <c r="M53" s="686">
        <f t="shared" si="16"/>
        <v>0</v>
      </c>
      <c r="N53" s="686">
        <f t="shared" si="16"/>
        <v>0</v>
      </c>
      <c r="O53" s="686">
        <f t="shared" si="16"/>
        <v>0</v>
      </c>
      <c r="P53" s="686">
        <f t="shared" si="16"/>
        <v>0</v>
      </c>
      <c r="Q53" s="686">
        <f t="shared" si="16"/>
        <v>0</v>
      </c>
      <c r="R53" s="686">
        <f t="shared" si="16"/>
        <v>0</v>
      </c>
      <c r="S53" s="686">
        <f t="shared" si="16"/>
        <v>0</v>
      </c>
      <c r="T53" s="686">
        <f t="shared" si="16"/>
        <v>0</v>
      </c>
      <c r="U53" s="686">
        <f t="shared" si="16"/>
        <v>0</v>
      </c>
    </row>
    <row r="54" spans="3:21" outlineLevel="1" x14ac:dyDescent="0.25">
      <c r="C54" s="177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</row>
    <row r="55" spans="3:21" outlineLevel="1" x14ac:dyDescent="0.25">
      <c r="C55" s="93" t="s">
        <v>476</v>
      </c>
      <c r="D55" s="180" t="s">
        <v>46</v>
      </c>
      <c r="E55" s="686"/>
      <c r="F55" s="686"/>
      <c r="G55" s="686">
        <f>+G47+G52</f>
        <v>-146.18483387002476</v>
      </c>
      <c r="H55" s="686">
        <f t="shared" ref="H55:U55" si="17">+H47+H52</f>
        <v>0</v>
      </c>
      <c r="I55" s="686">
        <f t="shared" si="17"/>
        <v>0</v>
      </c>
      <c r="J55" s="686">
        <f t="shared" si="17"/>
        <v>0</v>
      </c>
      <c r="K55" s="686">
        <f t="shared" si="17"/>
        <v>137.89819476369689</v>
      </c>
      <c r="L55" s="686">
        <f t="shared" si="17"/>
        <v>278.03044118086837</v>
      </c>
      <c r="M55" s="686">
        <f t="shared" si="17"/>
        <v>316.95470294618997</v>
      </c>
      <c r="N55" s="686">
        <f t="shared" si="17"/>
        <v>358.15881432919463</v>
      </c>
      <c r="O55" s="686">
        <f t="shared" si="17"/>
        <v>401.13787204869806</v>
      </c>
      <c r="P55" s="686">
        <f t="shared" si="17"/>
        <v>445.26303797405484</v>
      </c>
      <c r="Q55" s="686">
        <f t="shared" si="17"/>
        <v>489.78934177146039</v>
      </c>
      <c r="R55" s="686">
        <f t="shared" si="17"/>
        <v>533.87038253089179</v>
      </c>
      <c r="S55" s="686">
        <f t="shared" si="17"/>
        <v>576.5800131333632</v>
      </c>
      <c r="T55" s="686">
        <f t="shared" si="17"/>
        <v>616.94061405269861</v>
      </c>
      <c r="U55" s="686">
        <f t="shared" si="17"/>
        <v>653.95705089586068</v>
      </c>
    </row>
    <row r="56" spans="3:21" outlineLevel="1" x14ac:dyDescent="0.25">
      <c r="C56" s="177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</row>
    <row r="57" spans="3:21" outlineLevel="1" x14ac:dyDescent="0.25">
      <c r="C57" s="92" t="s">
        <v>474</v>
      </c>
      <c r="D57" s="180" t="s">
        <v>46</v>
      </c>
      <c r="E57" s="321"/>
      <c r="F57" s="321"/>
      <c r="G57" s="321">
        <f t="shared" ref="G57:U57" si="18">-MAX(G55,0)*Parent_Tax_Rate</f>
        <v>0</v>
      </c>
      <c r="H57" s="321">
        <f t="shared" si="18"/>
        <v>0</v>
      </c>
      <c r="I57" s="321">
        <f t="shared" si="18"/>
        <v>0</v>
      </c>
      <c r="J57" s="321">
        <f t="shared" si="18"/>
        <v>0</v>
      </c>
      <c r="K57" s="321">
        <f t="shared" si="18"/>
        <v>-30.337602848013315</v>
      </c>
      <c r="L57" s="321">
        <f t="shared" si="18"/>
        <v>-61.166697059791041</v>
      </c>
      <c r="M57" s="321">
        <f t="shared" si="18"/>
        <v>-69.730034648161791</v>
      </c>
      <c r="N57" s="321">
        <f t="shared" si="18"/>
        <v>-78.794939152422813</v>
      </c>
      <c r="O57" s="321">
        <f t="shared" si="18"/>
        <v>-88.250331850713579</v>
      </c>
      <c r="P57" s="321">
        <f t="shared" si="18"/>
        <v>-97.95786835429206</v>
      </c>
      <c r="Q57" s="321">
        <f t="shared" si="18"/>
        <v>-107.75365518972129</v>
      </c>
      <c r="R57" s="321">
        <f t="shared" si="18"/>
        <v>-117.4514841567962</v>
      </c>
      <c r="S57" s="321">
        <f t="shared" si="18"/>
        <v>-126.84760288933991</v>
      </c>
      <c r="T57" s="321">
        <f t="shared" si="18"/>
        <v>-135.7269350915937</v>
      </c>
      <c r="U57" s="321">
        <f t="shared" si="18"/>
        <v>-143.87055119708936</v>
      </c>
    </row>
    <row r="58" spans="3:21" outlineLevel="1" x14ac:dyDescent="0.25">
      <c r="C58" s="9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</row>
    <row r="59" spans="3:21" outlineLevel="1" x14ac:dyDescent="0.25">
      <c r="C59" s="93" t="s">
        <v>172</v>
      </c>
      <c r="D59" s="180" t="s">
        <v>46</v>
      </c>
      <c r="E59" s="183"/>
      <c r="F59" s="183"/>
      <c r="G59" s="686">
        <f>+G47+G57</f>
        <v>-146.18483387002476</v>
      </c>
      <c r="H59" s="686">
        <f t="shared" ref="H59:U59" si="19">+H47+H57</f>
        <v>106.13913315657953</v>
      </c>
      <c r="I59" s="686">
        <f t="shared" si="19"/>
        <v>181.40990714102571</v>
      </c>
      <c r="J59" s="686">
        <f t="shared" si="19"/>
        <v>222.84062994833732</v>
      </c>
      <c r="K59" s="686">
        <f t="shared" si="19"/>
        <v>214.10575553976594</v>
      </c>
      <c r="L59" s="686">
        <f t="shared" si="19"/>
        <v>216.86374412107733</v>
      </c>
      <c r="M59" s="686">
        <f t="shared" si="19"/>
        <v>247.22466829802818</v>
      </c>
      <c r="N59" s="686">
        <f t="shared" si="19"/>
        <v>279.36387517677178</v>
      </c>
      <c r="O59" s="686">
        <f t="shared" si="19"/>
        <v>312.88754019798449</v>
      </c>
      <c r="P59" s="686">
        <f t="shared" si="19"/>
        <v>347.30516961976275</v>
      </c>
      <c r="Q59" s="686">
        <f t="shared" si="19"/>
        <v>382.03568658173913</v>
      </c>
      <c r="R59" s="686">
        <f t="shared" si="19"/>
        <v>416.41889837409559</v>
      </c>
      <c r="S59" s="686">
        <f t="shared" si="19"/>
        <v>449.7324102440233</v>
      </c>
      <c r="T59" s="686">
        <f t="shared" si="19"/>
        <v>481.2136789611049</v>
      </c>
      <c r="U59" s="686">
        <f t="shared" si="19"/>
        <v>510.08649969877132</v>
      </c>
    </row>
    <row r="60" spans="3:21" outlineLevel="1" x14ac:dyDescent="0.25"/>
    <row r="61" spans="3:21" outlineLevel="1" x14ac:dyDescent="0.25">
      <c r="C61" s="249" t="s">
        <v>173</v>
      </c>
    </row>
    <row r="62" spans="3:21" outlineLevel="1" x14ac:dyDescent="0.25">
      <c r="C62" s="179" t="s">
        <v>45</v>
      </c>
      <c r="D62" s="180" t="s">
        <v>46</v>
      </c>
      <c r="E62" s="321"/>
      <c r="F62" s="321"/>
      <c r="G62" s="321">
        <f>SUM(SPWR_Adj!G139:G142)</f>
        <v>82.309711925319021</v>
      </c>
      <c r="H62" s="321">
        <f>SUM(SPWR_Adj!K139:K142)</f>
        <v>35.762142382141583</v>
      </c>
      <c r="I62" s="321">
        <f>SUM(SPWR_Adj!L139:L142)</f>
        <v>34.856752445786263</v>
      </c>
      <c r="J62" s="321">
        <f>SUM(SPWR_Adj!M139:M142)</f>
        <v>38.423783533010969</v>
      </c>
      <c r="K62" s="321">
        <f>SUM(SPWR_Adj!N139:N142)</f>
        <v>34.236934003887676</v>
      </c>
      <c r="L62" s="321">
        <f>+L63*L44</f>
        <v>37.913241979209317</v>
      </c>
      <c r="M62" s="321">
        <f>+M63*M44</f>
        <v>43.221095856298632</v>
      </c>
      <c r="N62" s="321">
        <f t="shared" ref="N62:U62" si="20">+N63*N44</f>
        <v>48.839838317617449</v>
      </c>
      <c r="O62" s="321">
        <f t="shared" si="20"/>
        <v>54.700618915731546</v>
      </c>
      <c r="P62" s="321">
        <f t="shared" si="20"/>
        <v>60.717686996462021</v>
      </c>
      <c r="Q62" s="321">
        <f t="shared" si="20"/>
        <v>66.789455696108234</v>
      </c>
      <c r="R62" s="321">
        <f t="shared" si="20"/>
        <v>72.800506708757979</v>
      </c>
      <c r="S62" s="321">
        <f t="shared" si="20"/>
        <v>78.624547245458615</v>
      </c>
      <c r="T62" s="321">
        <f t="shared" si="20"/>
        <v>84.128265552640727</v>
      </c>
      <c r="U62" s="321">
        <f t="shared" si="20"/>
        <v>89.175961485799178</v>
      </c>
    </row>
    <row r="63" spans="3:21" outlineLevel="1" x14ac:dyDescent="0.25">
      <c r="C63" s="250" t="s">
        <v>174</v>
      </c>
      <c r="D63" s="247" t="s">
        <v>32</v>
      </c>
      <c r="E63" s="248"/>
      <c r="F63" s="248"/>
      <c r="G63" s="248">
        <f>G62/G44</f>
        <v>5.9000000000000004E-2</v>
      </c>
      <c r="H63" s="248">
        <f>H62/H44</f>
        <v>2.5584873282302658E-2</v>
      </c>
      <c r="I63" s="248">
        <f t="shared" ref="I63:K63" si="21">I62/I44</f>
        <v>2.1266868068814275E-2</v>
      </c>
      <c r="J63" s="248">
        <f t="shared" si="21"/>
        <v>2.019127969852072E-2</v>
      </c>
      <c r="K63" s="248">
        <f t="shared" si="21"/>
        <v>1.5577330788301504E-2</v>
      </c>
      <c r="L63" s="243">
        <v>1.4999999999999999E-2</v>
      </c>
      <c r="M63" s="763">
        <f>+L63</f>
        <v>1.4999999999999999E-2</v>
      </c>
      <c r="N63" s="763">
        <f t="shared" ref="N63:U63" si="22">+M63</f>
        <v>1.4999999999999999E-2</v>
      </c>
      <c r="O63" s="763">
        <f t="shared" si="22"/>
        <v>1.4999999999999999E-2</v>
      </c>
      <c r="P63" s="763">
        <f t="shared" si="22"/>
        <v>1.4999999999999999E-2</v>
      </c>
      <c r="Q63" s="763">
        <f t="shared" si="22"/>
        <v>1.4999999999999999E-2</v>
      </c>
      <c r="R63" s="763">
        <f t="shared" si="22"/>
        <v>1.4999999999999999E-2</v>
      </c>
      <c r="S63" s="763">
        <f t="shared" si="22"/>
        <v>1.4999999999999999E-2</v>
      </c>
      <c r="T63" s="763">
        <f t="shared" si="22"/>
        <v>1.4999999999999999E-2</v>
      </c>
      <c r="U63" s="763">
        <f t="shared" si="22"/>
        <v>1.4999999999999999E-2</v>
      </c>
    </row>
    <row r="64" spans="3:21" outlineLevel="1" x14ac:dyDescent="0.25">
      <c r="C64" s="179"/>
      <c r="D64" s="180"/>
      <c r="E64" s="246"/>
      <c r="F64" s="246"/>
      <c r="G64" s="246"/>
      <c r="H64" s="246"/>
      <c r="I64" s="246"/>
      <c r="J64" s="246"/>
      <c r="K64" s="246"/>
    </row>
    <row r="65" spans="2:21" outlineLevel="1" x14ac:dyDescent="0.25">
      <c r="C65" s="683" t="s">
        <v>475</v>
      </c>
      <c r="D65" s="180" t="s">
        <v>46</v>
      </c>
      <c r="E65" s="246"/>
      <c r="F65" s="246"/>
      <c r="G65" s="321">
        <f>SUM(SPWR_Adj!G150:G157)</f>
        <v>-17.826382206375143</v>
      </c>
      <c r="H65" s="321">
        <f>SUM(SPWR_Adj!K150:K157)</f>
        <v>78.049659379431006</v>
      </c>
      <c r="I65" s="321">
        <f>SUM(SPWR_Adj!L150:L157)</f>
        <v>32.855043028115162</v>
      </c>
      <c r="J65" s="321">
        <f>SUM(SPWR_Adj!M150:M157)</f>
        <v>37.263909676690595</v>
      </c>
      <c r="K65" s="321">
        <f>SUM(SPWR_Adj!N150:N157)</f>
        <v>40.072169738409514</v>
      </c>
      <c r="L65" s="321">
        <f>L66*(L44-K44)</f>
        <v>39.561643804392332</v>
      </c>
      <c r="M65" s="321">
        <f>M66*(M44-L44)</f>
        <v>42.462831016714482</v>
      </c>
      <c r="N65" s="321">
        <f t="shared" ref="N65:U65" si="23">N66*(N44-M44)</f>
        <v>44.949939690550565</v>
      </c>
      <c r="O65" s="321">
        <f t="shared" si="23"/>
        <v>46.886244784912776</v>
      </c>
      <c r="P65" s="321">
        <f t="shared" si="23"/>
        <v>48.136544645843784</v>
      </c>
      <c r="Q65" s="321">
        <f t="shared" si="23"/>
        <v>48.574149597169686</v>
      </c>
      <c r="R65" s="321">
        <f t="shared" si="23"/>
        <v>48.088408101197928</v>
      </c>
      <c r="S65" s="321">
        <f t="shared" si="23"/>
        <v>46.592324293605159</v>
      </c>
      <c r="T65" s="321">
        <f t="shared" si="23"/>
        <v>44.029746457456824</v>
      </c>
      <c r="U65" s="321">
        <f t="shared" si="23"/>
        <v>40.381567465267615</v>
      </c>
    </row>
    <row r="66" spans="2:21" outlineLevel="1" x14ac:dyDescent="0.25">
      <c r="C66" s="250" t="s">
        <v>175</v>
      </c>
      <c r="D66" s="247" t="s">
        <v>32</v>
      </c>
      <c r="E66" s="248"/>
      <c r="F66" s="248"/>
      <c r="G66" s="248">
        <f>G65/(G44-F44)</f>
        <v>3.799758498132487E-2</v>
      </c>
      <c r="H66" s="248">
        <f>H65/(H44-G44)</f>
        <v>28.85644052752815</v>
      </c>
      <c r="I66" s="248">
        <f t="shared" ref="I66:K66" si="24">I65/(I44-H44)</f>
        <v>0.13619680968204737</v>
      </c>
      <c r="J66" s="248">
        <f t="shared" si="24"/>
        <v>0.14116598811498379</v>
      </c>
      <c r="K66" s="248">
        <f t="shared" si="24"/>
        <v>0.13589310435277849</v>
      </c>
      <c r="L66" s="243">
        <v>0.12</v>
      </c>
      <c r="M66" s="763">
        <f>+L66</f>
        <v>0.12</v>
      </c>
      <c r="N66" s="763">
        <f t="shared" ref="N66:U66" si="25">+M66</f>
        <v>0.12</v>
      </c>
      <c r="O66" s="763">
        <f t="shared" si="25"/>
        <v>0.12</v>
      </c>
      <c r="P66" s="763">
        <f t="shared" si="25"/>
        <v>0.12</v>
      </c>
      <c r="Q66" s="763">
        <f t="shared" si="25"/>
        <v>0.12</v>
      </c>
      <c r="R66" s="763">
        <f t="shared" si="25"/>
        <v>0.12</v>
      </c>
      <c r="S66" s="763">
        <f t="shared" si="25"/>
        <v>0.12</v>
      </c>
      <c r="T66" s="763">
        <f t="shared" si="25"/>
        <v>0.12</v>
      </c>
      <c r="U66" s="763">
        <f t="shared" si="25"/>
        <v>0.12</v>
      </c>
    </row>
    <row r="67" spans="2:21" outlineLevel="1" x14ac:dyDescent="0.25">
      <c r="C67" s="177"/>
      <c r="E67" s="183"/>
      <c r="F67" s="183"/>
      <c r="G67" s="183"/>
      <c r="H67" s="183"/>
      <c r="I67" s="183"/>
      <c r="J67" s="183"/>
      <c r="K67" s="183"/>
    </row>
    <row r="68" spans="2:21" outlineLevel="1" x14ac:dyDescent="0.25">
      <c r="C68" s="179" t="s">
        <v>176</v>
      </c>
      <c r="D68" s="180" t="s">
        <v>46</v>
      </c>
      <c r="E68" s="321"/>
      <c r="F68" s="321"/>
      <c r="G68" s="321">
        <f>SPWR_Adj!G160+SPWR_Adj!G162</f>
        <v>-96.260510556729017</v>
      </c>
      <c r="H68" s="321">
        <f>SPWR_Adj!K160+SPWR_Adj!K162</f>
        <v>-46.490355696160918</v>
      </c>
      <c r="I68" s="321">
        <f>SPWR_Adj!L160+SPWR_Adj!L162</f>
        <v>-63.611830656869245</v>
      </c>
      <c r="J68" s="321">
        <f>SPWR_Adj!M160+SPWR_Adj!M162</f>
        <v>-63.098331464143591</v>
      </c>
      <c r="K68" s="321">
        <f>SPWR_Adj!N160+SPWR_Adj!N162</f>
        <v>-73.849357887962626</v>
      </c>
      <c r="L68" s="321">
        <f>L69*L44</f>
        <v>-88.464231284821764</v>
      </c>
      <c r="M68" s="321">
        <f>M69*M44</f>
        <v>-100.84922366469682</v>
      </c>
      <c r="N68" s="321">
        <f t="shared" ref="N68:U68" si="26">N69*N44</f>
        <v>-113.9596227411074</v>
      </c>
      <c r="O68" s="321">
        <f t="shared" si="26"/>
        <v>-127.63477747004029</v>
      </c>
      <c r="P68" s="321">
        <f t="shared" si="26"/>
        <v>-141.67460299174473</v>
      </c>
      <c r="Q68" s="321">
        <f t="shared" si="26"/>
        <v>-155.84206329091924</v>
      </c>
      <c r="R68" s="321">
        <f t="shared" si="26"/>
        <v>-169.86784898710195</v>
      </c>
      <c r="S68" s="321">
        <f t="shared" si="26"/>
        <v>-183.45727690607012</v>
      </c>
      <c r="T68" s="321">
        <f t="shared" si="26"/>
        <v>-196.29928628949503</v>
      </c>
      <c r="U68" s="321">
        <f t="shared" si="26"/>
        <v>-208.07724346686476</v>
      </c>
    </row>
    <row r="69" spans="2:21" outlineLevel="1" x14ac:dyDescent="0.25">
      <c r="C69" s="250" t="s">
        <v>174</v>
      </c>
      <c r="D69" s="247" t="s">
        <v>32</v>
      </c>
      <c r="E69" s="248"/>
      <c r="F69" s="248"/>
      <c r="G69" s="248">
        <f>G68/G44</f>
        <v>-6.9000000000000006E-2</v>
      </c>
      <c r="H69" s="248">
        <f>H68/H44</f>
        <v>-3.3260028066143657E-2</v>
      </c>
      <c r="I69" s="248">
        <f t="shared" ref="I69:K69" si="27">I68/I44</f>
        <v>-3.8810971053585136E-2</v>
      </c>
      <c r="J69" s="248">
        <f t="shared" si="27"/>
        <v>-3.3157485857891453E-2</v>
      </c>
      <c r="K69" s="248">
        <f t="shared" si="27"/>
        <v>-3.3600435021250125E-2</v>
      </c>
      <c r="L69" s="243">
        <v>-3.5000000000000003E-2</v>
      </c>
      <c r="M69" s="763">
        <f>+L69</f>
        <v>-3.5000000000000003E-2</v>
      </c>
      <c r="N69" s="763">
        <f t="shared" ref="N69:U69" si="28">+M69</f>
        <v>-3.5000000000000003E-2</v>
      </c>
      <c r="O69" s="763">
        <f t="shared" si="28"/>
        <v>-3.5000000000000003E-2</v>
      </c>
      <c r="P69" s="763">
        <f t="shared" si="28"/>
        <v>-3.5000000000000003E-2</v>
      </c>
      <c r="Q69" s="763">
        <f t="shared" si="28"/>
        <v>-3.5000000000000003E-2</v>
      </c>
      <c r="R69" s="763">
        <f t="shared" si="28"/>
        <v>-3.5000000000000003E-2</v>
      </c>
      <c r="S69" s="763">
        <f t="shared" si="28"/>
        <v>-3.5000000000000003E-2</v>
      </c>
      <c r="T69" s="763">
        <f t="shared" si="28"/>
        <v>-3.5000000000000003E-2</v>
      </c>
      <c r="U69" s="763">
        <f t="shared" si="28"/>
        <v>-3.5000000000000003E-2</v>
      </c>
    </row>
    <row r="70" spans="2:21" outlineLevel="1" x14ac:dyDescent="0.25">
      <c r="C70" s="177"/>
    </row>
    <row r="71" spans="2:21" outlineLevel="1" x14ac:dyDescent="0.25">
      <c r="C71" s="251" t="s">
        <v>177</v>
      </c>
      <c r="D71" s="252" t="s">
        <v>46</v>
      </c>
      <c r="E71" s="326"/>
      <c r="F71" s="326"/>
      <c r="G71" s="326">
        <f>+G59+G62+G65+G68</f>
        <v>-177.96201470780989</v>
      </c>
      <c r="H71" s="326">
        <f t="shared" ref="H71:U71" si="29">+H59+H62+H65+H68</f>
        <v>173.4605792219912</v>
      </c>
      <c r="I71" s="326">
        <f t="shared" si="29"/>
        <v>185.50987195805789</v>
      </c>
      <c r="J71" s="326">
        <f t="shared" si="29"/>
        <v>235.42999169389532</v>
      </c>
      <c r="K71" s="326">
        <f t="shared" si="29"/>
        <v>214.56550139410052</v>
      </c>
      <c r="L71" s="326">
        <f t="shared" si="29"/>
        <v>205.87439861985723</v>
      </c>
      <c r="M71" s="326">
        <f t="shared" si="29"/>
        <v>232.05937150634446</v>
      </c>
      <c r="N71" s="326">
        <f t="shared" si="29"/>
        <v>259.19403044383239</v>
      </c>
      <c r="O71" s="326">
        <f t="shared" si="29"/>
        <v>286.83962642858853</v>
      </c>
      <c r="P71" s="326">
        <f t="shared" si="29"/>
        <v>314.48479827032384</v>
      </c>
      <c r="Q71" s="326">
        <f t="shared" si="29"/>
        <v>341.55722858409786</v>
      </c>
      <c r="R71" s="326">
        <f t="shared" si="29"/>
        <v>367.43996419694952</v>
      </c>
      <c r="S71" s="326">
        <f t="shared" si="29"/>
        <v>391.49200487701705</v>
      </c>
      <c r="T71" s="326">
        <f t="shared" si="29"/>
        <v>413.07240468170733</v>
      </c>
      <c r="U71" s="326">
        <f t="shared" si="29"/>
        <v>431.56678518297338</v>
      </c>
    </row>
    <row r="72" spans="2:21" outlineLevel="1" x14ac:dyDescent="0.25">
      <c r="C72" s="253" t="s">
        <v>118</v>
      </c>
      <c r="D72" s="254" t="s">
        <v>32</v>
      </c>
      <c r="E72" s="347"/>
      <c r="F72" s="347"/>
      <c r="G72" s="347" t="str">
        <f t="shared" ref="G72" si="30">IFERROR(G71/F71-1,"N/A")</f>
        <v>N/A</v>
      </c>
      <c r="H72" s="347">
        <f t="shared" ref="H72" si="31">IFERROR(H71/G71-1,"N/A")</f>
        <v>-1.9747056387667365</v>
      </c>
      <c r="I72" s="347">
        <f t="shared" ref="I72" si="32">IFERROR(I71/H71-1,"N/A")</f>
        <v>6.9464156006571631E-2</v>
      </c>
      <c r="J72" s="347">
        <f t="shared" ref="J72" si="33">IFERROR(J71/I71-1,"N/A")</f>
        <v>0.26909683678248619</v>
      </c>
      <c r="K72" s="347">
        <f t="shared" ref="K72" si="34">IFERROR(K71/J71-1,"N/A")</f>
        <v>-8.8622907173707466E-2</v>
      </c>
      <c r="L72" s="347">
        <f t="shared" ref="L72" si="35">IFERROR(L71/K71-1,"N/A")</f>
        <v>-4.0505592547610991E-2</v>
      </c>
      <c r="M72" s="347">
        <f t="shared" ref="M72" si="36">IFERROR(M71/L71-1,"N/A")</f>
        <v>0.12718906800469765</v>
      </c>
      <c r="N72" s="347">
        <f t="shared" ref="N72" si="37">IFERROR(N71/M71-1,"N/A")</f>
        <v>0.11692981309632677</v>
      </c>
      <c r="O72" s="347">
        <f t="shared" ref="O72" si="38">IFERROR(O71/N71-1,"N/A")</f>
        <v>0.10665984836694364</v>
      </c>
      <c r="P72" s="347">
        <f t="shared" ref="P72" si="39">IFERROR(P71/O71-1,"N/A")</f>
        <v>9.6378496185978824E-2</v>
      </c>
      <c r="Q72" s="347">
        <f t="shared" ref="Q72" si="40">IFERROR(Q71/P71-1,"N/A")</f>
        <v>8.6085020524595324E-2</v>
      </c>
      <c r="R72" s="347">
        <f t="shared" ref="R72" si="41">IFERROR(R71/Q71-1,"N/A")</f>
        <v>7.5778620526190554E-2</v>
      </c>
      <c r="S72" s="347">
        <f t="shared" ref="S72" si="42">IFERROR(S71/R71-1,"N/A")</f>
        <v>6.5458423208357264E-2</v>
      </c>
      <c r="T72" s="347">
        <f t="shared" ref="T72" si="43">IFERROR(T71/S71-1,"N/A")</f>
        <v>5.5123475156202861E-2</v>
      </c>
      <c r="U72" s="347">
        <f t="shared" ref="U72" si="44">IFERROR(U71/T71-1,"N/A")</f>
        <v>4.4772733040632229E-2</v>
      </c>
    </row>
    <row r="73" spans="2:21" outlineLevel="1" x14ac:dyDescent="0.25">
      <c r="C73" s="253"/>
      <c r="D73" s="25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</row>
    <row r="74" spans="2:21" outlineLevel="1" x14ac:dyDescent="0.25">
      <c r="C74" s="92" t="s">
        <v>178</v>
      </c>
      <c r="D74" s="180" t="s">
        <v>46</v>
      </c>
      <c r="G74" s="327">
        <f t="shared" ref="G74:U74" si="45">+G71/((1+Parent_Discount_Rate)^((YEAR(G42)-YEAR($F42))-1))</f>
        <v>-177.96201470780989</v>
      </c>
      <c r="H74" s="327">
        <f t="shared" si="45"/>
        <v>159.72915427839149</v>
      </c>
      <c r="I74" s="327">
        <f t="shared" si="45"/>
        <v>157.30184827079339</v>
      </c>
      <c r="J74" s="327">
        <f t="shared" si="45"/>
        <v>183.82813752345564</v>
      </c>
      <c r="K74" s="327">
        <f t="shared" si="45"/>
        <v>154.27426840174175</v>
      </c>
      <c r="L74" s="327">
        <f t="shared" si="45"/>
        <v>136.30737154637094</v>
      </c>
      <c r="M74" s="327">
        <f t="shared" si="45"/>
        <v>141.48145300101939</v>
      </c>
      <c r="N74" s="327">
        <f t="shared" si="45"/>
        <v>145.51534541757056</v>
      </c>
      <c r="O74" s="327">
        <f t="shared" si="45"/>
        <v>148.28811607574931</v>
      </c>
      <c r="P74" s="327">
        <f t="shared" si="45"/>
        <v>149.70980910210386</v>
      </c>
      <c r="Q74" s="327">
        <f t="shared" si="45"/>
        <v>149.7260889588193</v>
      </c>
      <c r="R74" s="327">
        <f t="shared" si="45"/>
        <v>148.32139088462881</v>
      </c>
      <c r="S74" s="327">
        <f t="shared" si="45"/>
        <v>145.52033857420767</v>
      </c>
      <c r="T74" s="327">
        <f t="shared" si="45"/>
        <v>141.38729382321961</v>
      </c>
      <c r="U74" s="327">
        <f t="shared" si="45"/>
        <v>136.02402188624822</v>
      </c>
    </row>
    <row r="75" spans="2:21" outlineLevel="1" x14ac:dyDescent="0.25">
      <c r="C75" s="92"/>
    </row>
    <row r="76" spans="2:21" outlineLevel="1" x14ac:dyDescent="0.25">
      <c r="C76" s="255" t="s">
        <v>20</v>
      </c>
      <c r="D76" s="256" t="s">
        <v>46</v>
      </c>
      <c r="E76" s="325"/>
      <c r="F76" s="325"/>
      <c r="G76" s="325">
        <f>+G47+G62</f>
        <v>-63.875121944705739</v>
      </c>
      <c r="H76" s="325">
        <f t="shared" ref="H76:U76" si="46">+H47+H62</f>
        <v>141.90127553872111</v>
      </c>
      <c r="I76" s="325">
        <f t="shared" si="46"/>
        <v>216.26665958681198</v>
      </c>
      <c r="J76" s="325">
        <f t="shared" si="46"/>
        <v>261.2644134813483</v>
      </c>
      <c r="K76" s="325">
        <f t="shared" si="46"/>
        <v>278.68029239166691</v>
      </c>
      <c r="L76" s="325">
        <f t="shared" si="46"/>
        <v>315.94368316007768</v>
      </c>
      <c r="M76" s="325">
        <f t="shared" si="46"/>
        <v>360.1757988024886</v>
      </c>
      <c r="N76" s="325">
        <f t="shared" si="46"/>
        <v>406.99865264681205</v>
      </c>
      <c r="O76" s="325">
        <f t="shared" si="46"/>
        <v>455.83849096442958</v>
      </c>
      <c r="P76" s="325">
        <f t="shared" si="46"/>
        <v>505.98072497051686</v>
      </c>
      <c r="Q76" s="325">
        <f t="shared" si="46"/>
        <v>556.57879746756862</v>
      </c>
      <c r="R76" s="325">
        <f t="shared" si="46"/>
        <v>606.6708892396498</v>
      </c>
      <c r="S76" s="325">
        <f t="shared" si="46"/>
        <v>655.20456037882184</v>
      </c>
      <c r="T76" s="325">
        <f t="shared" si="46"/>
        <v>701.06887960533936</v>
      </c>
      <c r="U76" s="325">
        <f t="shared" si="46"/>
        <v>743.13301238165991</v>
      </c>
    </row>
    <row r="77" spans="2:21" outlineLevel="1" x14ac:dyDescent="0.25">
      <c r="C77" s="253" t="s">
        <v>118</v>
      </c>
      <c r="D77" s="254" t="s">
        <v>32</v>
      </c>
      <c r="E77" s="347"/>
      <c r="F77" s="347"/>
      <c r="G77" s="347" t="str">
        <f t="shared" ref="G77" si="47">IFERROR(G76/F76-1,"N/A")</f>
        <v>N/A</v>
      </c>
      <c r="H77" s="347">
        <f t="shared" ref="H77" si="48">IFERROR(H76/G76-1,"N/A")</f>
        <v>-3.2215421469028214</v>
      </c>
      <c r="I77" s="347">
        <f t="shared" ref="I77" si="49">IFERROR(I76/H76-1,"N/A")</f>
        <v>0.52406423949162129</v>
      </c>
      <c r="J77" s="347">
        <f t="shared" ref="J77" si="50">IFERROR(J76/I76-1,"N/A")</f>
        <v>0.20806606982558806</v>
      </c>
      <c r="K77" s="347">
        <f t="shared" ref="K77" si="51">IFERROR(K76/J76-1,"N/A")</f>
        <v>6.6659973619261903E-2</v>
      </c>
      <c r="L77" s="347">
        <f t="shared" ref="L77" si="52">IFERROR(L76/K76-1,"N/A")</f>
        <v>0.13371376371329302</v>
      </c>
      <c r="M77" s="347">
        <f t="shared" ref="M77" si="53">IFERROR(M76/L76-1,"N/A")</f>
        <v>0.14000000000000012</v>
      </c>
      <c r="N77" s="347">
        <f t="shared" ref="N77" si="54">IFERROR(N76/M76-1,"N/A")</f>
        <v>0.12999999999999989</v>
      </c>
      <c r="O77" s="347">
        <f t="shared" ref="O77" si="55">IFERROR(O76/N76-1,"N/A")</f>
        <v>0.12000000000000033</v>
      </c>
      <c r="P77" s="347">
        <f t="shared" ref="P77" si="56">IFERROR(P76/O76-1,"N/A")</f>
        <v>0.1100000000000001</v>
      </c>
      <c r="Q77" s="347">
        <f t="shared" ref="Q77" si="57">IFERROR(Q76/P76-1,"N/A")</f>
        <v>0.10000000000000009</v>
      </c>
      <c r="R77" s="347">
        <f t="shared" ref="R77" si="58">IFERROR(R76/Q76-1,"N/A")</f>
        <v>9.000000000000008E-2</v>
      </c>
      <c r="S77" s="347">
        <f t="shared" ref="S77" si="59">IFERROR(S76/R76-1,"N/A")</f>
        <v>8.0000000000000071E-2</v>
      </c>
      <c r="T77" s="347">
        <f t="shared" ref="T77" si="60">IFERROR(T76/S76-1,"N/A")</f>
        <v>7.0000000000000062E-2</v>
      </c>
      <c r="U77" s="347">
        <f t="shared" ref="U77" si="61">IFERROR(U76/T76-1,"N/A")</f>
        <v>6.0000000000000275E-2</v>
      </c>
    </row>
    <row r="78" spans="2:21" outlineLevel="1" x14ac:dyDescent="0.25">
      <c r="C78" s="762" t="s">
        <v>541</v>
      </c>
      <c r="D78" s="254" t="s">
        <v>32</v>
      </c>
      <c r="E78" s="347"/>
      <c r="F78" s="347"/>
      <c r="G78" s="347">
        <f>G76/G44</f>
        <v>-4.578599665318938E-2</v>
      </c>
      <c r="H78" s="347">
        <f t="shared" ref="H78:U78" si="62">H76/H44</f>
        <v>0.1015186985852463</v>
      </c>
      <c r="I78" s="347">
        <f t="shared" si="62"/>
        <v>0.13194902549425247</v>
      </c>
      <c r="J78" s="347">
        <f t="shared" si="62"/>
        <v>0.13729160334613436</v>
      </c>
      <c r="K78" s="347">
        <f t="shared" si="62"/>
        <v>0.12679567330043739</v>
      </c>
      <c r="L78" s="347">
        <f t="shared" si="62"/>
        <v>0.125</v>
      </c>
      <c r="M78" s="347">
        <f t="shared" si="62"/>
        <v>0.125</v>
      </c>
      <c r="N78" s="347">
        <f t="shared" si="62"/>
        <v>0.12499999999999999</v>
      </c>
      <c r="O78" s="347">
        <f t="shared" si="62"/>
        <v>0.125</v>
      </c>
      <c r="P78" s="347">
        <f t="shared" si="62"/>
        <v>0.125</v>
      </c>
      <c r="Q78" s="347">
        <f t="shared" si="62"/>
        <v>0.125</v>
      </c>
      <c r="R78" s="347">
        <f t="shared" si="62"/>
        <v>0.125</v>
      </c>
      <c r="S78" s="347">
        <f t="shared" si="62"/>
        <v>0.125</v>
      </c>
      <c r="T78" s="347">
        <f t="shared" si="62"/>
        <v>0.125</v>
      </c>
      <c r="U78" s="347">
        <f t="shared" si="62"/>
        <v>0.12500000000000003</v>
      </c>
    </row>
    <row r="80" spans="2:21" x14ac:dyDescent="0.25">
      <c r="B80" s="235" t="s">
        <v>179</v>
      </c>
      <c r="C80" s="235"/>
      <c r="D80" s="257"/>
      <c r="E80" s="258"/>
      <c r="F80" s="258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</row>
    <row r="81" spans="3:17" outlineLevel="1" x14ac:dyDescent="0.25">
      <c r="E81" s="183"/>
      <c r="F81" s="183"/>
    </row>
    <row r="82" spans="3:17" outlineLevel="1" x14ac:dyDescent="0.25">
      <c r="C82" s="260" t="s">
        <v>502</v>
      </c>
      <c r="E82" s="183"/>
    </row>
    <row r="83" spans="3:17" outlineLevel="1" x14ac:dyDescent="0.25">
      <c r="C83" s="183"/>
      <c r="E83" s="183"/>
    </row>
    <row r="84" spans="3:17" outlineLevel="1" x14ac:dyDescent="0.25">
      <c r="C84" s="261"/>
      <c r="D84" s="262"/>
      <c r="E84" s="263" t="s">
        <v>180</v>
      </c>
      <c r="F84" s="263"/>
      <c r="G84" s="263"/>
      <c r="H84" s="263"/>
      <c r="I84" s="263"/>
      <c r="J84" s="263"/>
      <c r="K84" s="263"/>
      <c r="L84" s="263"/>
      <c r="M84" s="264"/>
      <c r="N84" s="734"/>
      <c r="O84" s="734"/>
    </row>
    <row r="85" spans="3:17" outlineLevel="1" x14ac:dyDescent="0.25">
      <c r="C85" s="265"/>
      <c r="D85" s="266">
        <f>$O$20</f>
        <v>3584.7653933149709</v>
      </c>
      <c r="E85" s="267">
        <v>0</v>
      </c>
      <c r="F85" s="267">
        <f>E85+0.25%</f>
        <v>2.5000000000000001E-3</v>
      </c>
      <c r="G85" s="267">
        <f t="shared" ref="G85:M85" si="63">F85+0.25%</f>
        <v>5.0000000000000001E-3</v>
      </c>
      <c r="H85" s="267">
        <f t="shared" si="63"/>
        <v>7.4999999999999997E-3</v>
      </c>
      <c r="I85" s="267">
        <f t="shared" si="63"/>
        <v>0.01</v>
      </c>
      <c r="J85" s="267">
        <f t="shared" si="63"/>
        <v>1.2500000000000001E-2</v>
      </c>
      <c r="K85" s="267">
        <f t="shared" si="63"/>
        <v>1.5000000000000001E-2</v>
      </c>
      <c r="L85" s="267">
        <f t="shared" si="63"/>
        <v>1.7500000000000002E-2</v>
      </c>
      <c r="M85" s="730">
        <f t="shared" si="63"/>
        <v>0.02</v>
      </c>
      <c r="N85" s="729"/>
      <c r="O85" s="729"/>
    </row>
    <row r="86" spans="3:17" outlineLevel="1" x14ac:dyDescent="0.25">
      <c r="C86" s="800" t="s">
        <v>150</v>
      </c>
      <c r="D86" s="268">
        <v>9.6000000000000002E-2</v>
      </c>
      <c r="E86" s="722">
        <f t="dataTable" ref="E86:M94" dt2D="1" dtr="1" r1="O12" r2="D8"/>
        <v>2920.9789613394082</v>
      </c>
      <c r="F86" s="723">
        <v>2954.2876411084635</v>
      </c>
      <c r="G86" s="723">
        <v>2989.4264681175769</v>
      </c>
      <c r="H86" s="723">
        <v>3026.550539590482</v>
      </c>
      <c r="I86" s="724">
        <v>3065.8329873118118</v>
      </c>
      <c r="J86" s="723">
        <v>3107.4676774116642</v>
      </c>
      <c r="K86" s="723">
        <v>3151.6724101102727</v>
      </c>
      <c r="L86" s="723">
        <v>3198.6927308788572</v>
      </c>
      <c r="M86" s="725">
        <v>3248.8064938032685</v>
      </c>
      <c r="N86" s="725"/>
      <c r="O86" s="725"/>
      <c r="Q86" s="270"/>
    </row>
    <row r="87" spans="3:17" outlineLevel="1" x14ac:dyDescent="0.25">
      <c r="C87" s="801"/>
      <c r="D87" s="268">
        <f>D86-0.25%</f>
        <v>9.35E-2</v>
      </c>
      <c r="E87" s="719">
        <v>3024.4940140304047</v>
      </c>
      <c r="F87" s="720">
        <v>3060.7744080307139</v>
      </c>
      <c r="G87" s="720">
        <v>3099.1045418050512</v>
      </c>
      <c r="H87" s="720">
        <v>3139.6631717290597</v>
      </c>
      <c r="I87" s="721">
        <v>3182.6504621275594</v>
      </c>
      <c r="J87" s="720">
        <v>3228.2912889704112</v>
      </c>
      <c r="K87" s="720">
        <v>3276.8391748478389</v>
      </c>
      <c r="L87" s="720">
        <v>3328.5810005856247</v>
      </c>
      <c r="M87" s="721">
        <v>3383.8426784144162</v>
      </c>
      <c r="N87" s="721"/>
      <c r="O87" s="721"/>
    </row>
    <row r="88" spans="3:17" outlineLevel="1" x14ac:dyDescent="0.25">
      <c r="C88" s="801"/>
      <c r="D88" s="268">
        <f t="shared" ref="D88:D94" si="64">D87-0.25%</f>
        <v>9.0999999999999998E-2</v>
      </c>
      <c r="E88" s="719">
        <v>3134.2566704083965</v>
      </c>
      <c r="F88" s="720">
        <v>3173.8349443326797</v>
      </c>
      <c r="G88" s="735">
        <v>3215.7142806944212</v>
      </c>
      <c r="H88" s="720">
        <v>3260.1013617484823</v>
      </c>
      <c r="I88" s="721">
        <v>3307.228386077486</v>
      </c>
      <c r="J88" s="720">
        <v>3357.3571317013302</v>
      </c>
      <c r="K88" s="720">
        <v>3410.783821116217</v>
      </c>
      <c r="L88" s="720">
        <v>3467.8449791987832</v>
      </c>
      <c r="M88" s="721">
        <v>3528.9245286956148</v>
      </c>
      <c r="N88" s="721"/>
      <c r="O88" s="721"/>
    </row>
    <row r="89" spans="3:17" outlineLevel="1" x14ac:dyDescent="0.25">
      <c r="C89" s="801"/>
      <c r="D89" s="268">
        <f t="shared" si="64"/>
        <v>8.8499999999999995E-2</v>
      </c>
      <c r="E89" s="719">
        <v>3250.8163089379968</v>
      </c>
      <c r="F89" s="720">
        <v>3294.0625367740026</v>
      </c>
      <c r="G89" s="720">
        <v>3339.8983590912067</v>
      </c>
      <c r="H89" s="720">
        <v>3388.5635531563871</v>
      </c>
      <c r="I89" s="721">
        <v>3440.328441111069</v>
      </c>
      <c r="J89" s="720">
        <v>3495.4989137996108</v>
      </c>
      <c r="K89" s="720">
        <v>3554.4224798683263</v>
      </c>
      <c r="L89" s="720">
        <v>3617.4955928432892</v>
      </c>
      <c r="M89" s="721">
        <v>3685.1725826777383</v>
      </c>
      <c r="N89" s="721"/>
      <c r="O89" s="721"/>
    </row>
    <row r="90" spans="3:17" outlineLevel="1" x14ac:dyDescent="0.25">
      <c r="C90" s="801"/>
      <c r="D90" s="268">
        <f t="shared" si="64"/>
        <v>8.5999999999999993E-2</v>
      </c>
      <c r="E90" s="719">
        <v>3374.7870294032755</v>
      </c>
      <c r="F90" s="720">
        <v>3422.1223737674072</v>
      </c>
      <c r="G90" s="720">
        <v>3472.3796529688307</v>
      </c>
      <c r="H90" s="720">
        <v>3525.8380327563332</v>
      </c>
      <c r="I90" s="736">
        <v>3582.8134112140647</v>
      </c>
      <c r="J90" s="720">
        <v>3643.6646657573569</v>
      </c>
      <c r="K90" s="720">
        <v>3708.8012199163741</v>
      </c>
      <c r="L90" s="720">
        <v>3778.6922670796989</v>
      </c>
      <c r="M90" s="721">
        <v>3853.8780905432759</v>
      </c>
      <c r="N90" s="721"/>
      <c r="O90" s="721"/>
    </row>
    <row r="91" spans="3:17" outlineLevel="1" x14ac:dyDescent="0.25">
      <c r="C91" s="801"/>
      <c r="D91" s="268">
        <f t="shared" si="64"/>
        <v>8.3499999999999991E-2</v>
      </c>
      <c r="E91" s="719">
        <v>3506.8573813182848</v>
      </c>
      <c r="F91" s="720">
        <v>3558.7626815780131</v>
      </c>
      <c r="G91" s="720">
        <v>3613.9740519179786</v>
      </c>
      <c r="H91" s="720">
        <v>3672.8177492539953</v>
      </c>
      <c r="I91" s="721">
        <v>3735.664419197903</v>
      </c>
      <c r="J91" s="720">
        <v>3802.9369109688473</v>
      </c>
      <c r="K91" s="720">
        <v>3875.1198035989846</v>
      </c>
      <c r="L91" s="720">
        <v>3952.7710971859506</v>
      </c>
      <c r="M91" s="721">
        <v>4036.5366658585044</v>
      </c>
      <c r="N91" s="721"/>
      <c r="O91" s="721"/>
    </row>
    <row r="92" spans="3:17" outlineLevel="1" x14ac:dyDescent="0.25">
      <c r="C92" s="801"/>
      <c r="D92" s="272">
        <f t="shared" si="64"/>
        <v>8.0999999999999989E-2</v>
      </c>
      <c r="E92" s="719">
        <v>3647.8018959114697</v>
      </c>
      <c r="F92" s="720">
        <v>3704.827990519203</v>
      </c>
      <c r="G92" s="720">
        <v>3765.6058018774456</v>
      </c>
      <c r="H92" s="720">
        <v>3830.5181582260448</v>
      </c>
      <c r="I92" s="721">
        <v>3900.0018072752491</v>
      </c>
      <c r="J92" s="720">
        <v>3974.5572555251256</v>
      </c>
      <c r="K92" s="735">
        <v>4054.7608437939321</v>
      </c>
      <c r="L92" s="720">
        <v>4141.2796752335107</v>
      </c>
      <c r="M92" s="721">
        <v>4234.8902141681374</v>
      </c>
      <c r="N92" s="721"/>
      <c r="O92" s="721"/>
    </row>
    <row r="93" spans="3:17" outlineLevel="1" x14ac:dyDescent="0.25">
      <c r="C93" s="801"/>
      <c r="D93" s="272">
        <f t="shared" si="64"/>
        <v>7.8499999999999986E-2</v>
      </c>
      <c r="E93" s="719">
        <v>3798.4948238635875</v>
      </c>
      <c r="F93" s="720">
        <v>3861.2750217165744</v>
      </c>
      <c r="G93" s="720">
        <v>3928.3259813282684</v>
      </c>
      <c r="H93" s="720">
        <v>4000.0988395041663</v>
      </c>
      <c r="I93" s="721">
        <v>4077.1105924374278</v>
      </c>
      <c r="J93" s="720">
        <v>4159.9565690777554</v>
      </c>
      <c r="K93" s="720">
        <v>4249.3258509653533</v>
      </c>
      <c r="L93" s="720">
        <v>4346.0204838273439</v>
      </c>
      <c r="M93" s="721">
        <v>4450.9796152245472</v>
      </c>
      <c r="N93" s="721"/>
      <c r="O93" s="721"/>
    </row>
    <row r="94" spans="3:17" outlineLevel="1" x14ac:dyDescent="0.25">
      <c r="C94" s="802"/>
      <c r="D94" s="273">
        <f t="shared" si="64"/>
        <v>7.5999999999999984E-2</v>
      </c>
      <c r="E94" s="719">
        <v>3959.9265868216771</v>
      </c>
      <c r="F94" s="720">
        <v>4029.1918185067193</v>
      </c>
      <c r="G94" s="720">
        <v>4103.3348834090175</v>
      </c>
      <c r="H94" s="720">
        <v>4182.88985085893</v>
      </c>
      <c r="I94" s="721">
        <v>4268.4717097823195</v>
      </c>
      <c r="J94" s="720">
        <v>4360.7922977547942</v>
      </c>
      <c r="K94" s="720">
        <v>4460.680147036489</v>
      </c>
      <c r="L94" s="720">
        <v>4569.1054193337141</v>
      </c>
      <c r="M94" s="721">
        <v>4687.2115195146189</v>
      </c>
      <c r="N94" s="721"/>
      <c r="O94" s="721"/>
    </row>
    <row r="95" spans="3:17" outlineLevel="1" x14ac:dyDescent="0.25">
      <c r="C95" s="183"/>
      <c r="E95" s="183"/>
    </row>
    <row r="96" spans="3:17" outlineLevel="1" x14ac:dyDescent="0.25">
      <c r="C96" s="260" t="s">
        <v>503</v>
      </c>
      <c r="E96" s="183"/>
    </row>
    <row r="97" spans="3:15" outlineLevel="1" x14ac:dyDescent="0.25">
      <c r="C97" s="183"/>
      <c r="E97" s="183"/>
    </row>
    <row r="98" spans="3:15" outlineLevel="1" x14ac:dyDescent="0.25">
      <c r="C98" s="261"/>
      <c r="D98" s="262"/>
      <c r="E98" s="263" t="s">
        <v>181</v>
      </c>
      <c r="F98" s="263"/>
      <c r="G98" s="263"/>
      <c r="H98" s="263"/>
      <c r="I98" s="263"/>
      <c r="J98" s="263"/>
      <c r="K98" s="263"/>
      <c r="L98" s="263"/>
      <c r="M98" s="263"/>
      <c r="N98" s="734"/>
      <c r="O98" s="734"/>
    </row>
    <row r="99" spans="3:15" outlineLevel="1" x14ac:dyDescent="0.25">
      <c r="C99" s="265"/>
      <c r="D99" s="266">
        <f>$J$20</f>
        <v>3584.7653933149709</v>
      </c>
      <c r="E99" s="274">
        <v>6.8</v>
      </c>
      <c r="F99" s="274">
        <f>E99+0.23</f>
        <v>7.03</v>
      </c>
      <c r="G99" s="274">
        <f t="shared" ref="G99:M99" si="65">F99+0.23</f>
        <v>7.2600000000000007</v>
      </c>
      <c r="H99" s="274">
        <f t="shared" si="65"/>
        <v>7.4900000000000011</v>
      </c>
      <c r="I99" s="274">
        <f t="shared" si="65"/>
        <v>7.7200000000000015</v>
      </c>
      <c r="J99" s="274">
        <f t="shared" si="65"/>
        <v>7.950000000000002</v>
      </c>
      <c r="K99" s="274">
        <f t="shared" si="65"/>
        <v>8.1800000000000015</v>
      </c>
      <c r="L99" s="274">
        <f t="shared" si="65"/>
        <v>8.4100000000000019</v>
      </c>
      <c r="M99" s="275">
        <f t="shared" si="65"/>
        <v>8.6400000000000023</v>
      </c>
      <c r="N99" s="731"/>
    </row>
    <row r="100" spans="3:15" outlineLevel="1" x14ac:dyDescent="0.25">
      <c r="C100" s="800" t="str">
        <f>+C86</f>
        <v>Discount Rate (WACC):</v>
      </c>
      <c r="D100" s="268">
        <f>D86</f>
        <v>9.6000000000000002E-2</v>
      </c>
      <c r="E100" s="726">
        <f t="dataTable" ref="E100:M108" dt2D="1" dtr="1" r1="J12" r2="D8" ca="1"/>
        <v>3062.0161171533582</v>
      </c>
      <c r="F100" s="727">
        <v>3105.2312724790072</v>
      </c>
      <c r="G100" s="727">
        <v>3148.4464278046562</v>
      </c>
      <c r="H100" s="727">
        <v>3191.6615831303052</v>
      </c>
      <c r="I100" s="728">
        <v>3234.8767384559537</v>
      </c>
      <c r="J100" s="727">
        <v>3278.0918937816023</v>
      </c>
      <c r="K100" s="727">
        <v>3321.3070491072513</v>
      </c>
      <c r="L100" s="727">
        <v>3364.5222044328998</v>
      </c>
      <c r="M100" s="725">
        <v>3407.7373597585483</v>
      </c>
      <c r="N100" s="732"/>
    </row>
    <row r="101" spans="3:15" outlineLevel="1" x14ac:dyDescent="0.25">
      <c r="C101" s="801"/>
      <c r="D101" s="268">
        <f t="shared" ref="D101:D108" si="66">D87</f>
        <v>9.35E-2</v>
      </c>
      <c r="E101" s="719">
        <v>3138.9958147134876</v>
      </c>
      <c r="F101" s="720">
        <v>3183.7169252801227</v>
      </c>
      <c r="G101" s="720">
        <v>3228.4380358467579</v>
      </c>
      <c r="H101" s="720">
        <v>3273.1591464133926</v>
      </c>
      <c r="I101" s="721">
        <v>3317.8802569800278</v>
      </c>
      <c r="J101" s="720">
        <v>3362.6013675466629</v>
      </c>
      <c r="K101" s="720">
        <v>3407.3224781132976</v>
      </c>
      <c r="L101" s="720">
        <v>3452.0435886799323</v>
      </c>
      <c r="M101" s="721">
        <v>3496.7646992465679</v>
      </c>
      <c r="N101" s="733"/>
      <c r="O101" s="733"/>
    </row>
    <row r="102" spans="3:15" outlineLevel="1" x14ac:dyDescent="0.25">
      <c r="C102" s="801"/>
      <c r="D102" s="268">
        <f t="shared" si="66"/>
        <v>9.0999999999999998E-2</v>
      </c>
      <c r="E102" s="719">
        <v>3218.4207916374753</v>
      </c>
      <c r="F102" s="720">
        <v>3264.703965362542</v>
      </c>
      <c r="G102" s="735">
        <v>3310.9871390876092</v>
      </c>
      <c r="H102" s="720">
        <v>3357.2703128126759</v>
      </c>
      <c r="I102" s="721">
        <v>3403.5534865377431</v>
      </c>
      <c r="J102" s="720">
        <v>3449.8366602628103</v>
      </c>
      <c r="K102" s="720">
        <v>3496.119833987877</v>
      </c>
      <c r="L102" s="720">
        <v>3542.4030077129437</v>
      </c>
      <c r="M102" s="721">
        <v>3588.6861814380109</v>
      </c>
      <c r="N102" s="733"/>
      <c r="O102" s="733"/>
    </row>
    <row r="103" spans="3:15" outlineLevel="1" x14ac:dyDescent="0.25">
      <c r="C103" s="801"/>
      <c r="D103" s="268">
        <f t="shared" si="66"/>
        <v>8.8499999999999995E-2</v>
      </c>
      <c r="E103" s="719">
        <v>3300.379919021756</v>
      </c>
      <c r="F103" s="720">
        <v>3348.2834900775806</v>
      </c>
      <c r="G103" s="720">
        <v>3396.1870611334052</v>
      </c>
      <c r="H103" s="720">
        <v>3444.0906321892298</v>
      </c>
      <c r="I103" s="721">
        <v>3491.9942032450545</v>
      </c>
      <c r="J103" s="720">
        <v>3539.8977743008786</v>
      </c>
      <c r="K103" s="720">
        <v>3587.8013453567028</v>
      </c>
      <c r="L103" s="720">
        <v>3635.7049164125274</v>
      </c>
      <c r="M103" s="721">
        <v>3683.608487468352</v>
      </c>
      <c r="N103" s="733"/>
      <c r="O103" s="733"/>
    </row>
    <row r="104" spans="3:15" outlineLevel="1" x14ac:dyDescent="0.25">
      <c r="C104" s="801"/>
      <c r="D104" s="268">
        <f t="shared" si="66"/>
        <v>8.5999999999999993E-2</v>
      </c>
      <c r="E104" s="719">
        <v>3384.9656077035038</v>
      </c>
      <c r="F104" s="720">
        <v>3434.5502302651294</v>
      </c>
      <c r="G104" s="720">
        <v>3484.1348528267549</v>
      </c>
      <c r="H104" s="720">
        <v>3533.7194753883805</v>
      </c>
      <c r="I104" s="736">
        <v>3583.3040979500056</v>
      </c>
      <c r="J104" s="720">
        <v>3632.8887205116316</v>
      </c>
      <c r="K104" s="720">
        <v>3682.4733430732567</v>
      </c>
      <c r="L104" s="720">
        <v>3732.0579656348818</v>
      </c>
      <c r="M104" s="721">
        <v>3781.6425881965069</v>
      </c>
      <c r="N104" s="733"/>
      <c r="O104" s="733"/>
    </row>
    <row r="105" spans="3:15" outlineLevel="1" x14ac:dyDescent="0.25">
      <c r="C105" s="801"/>
      <c r="D105" s="268">
        <f t="shared" si="66"/>
        <v>8.3499999999999991E-2</v>
      </c>
      <c r="E105" s="719">
        <v>3472.2739600165764</v>
      </c>
      <c r="F105" s="720">
        <v>3523.602706186397</v>
      </c>
      <c r="G105" s="720">
        <v>3574.9314523562175</v>
      </c>
      <c r="H105" s="720">
        <v>3626.260198526038</v>
      </c>
      <c r="I105" s="721">
        <v>3677.5889446958586</v>
      </c>
      <c r="J105" s="720">
        <v>3728.9176908656791</v>
      </c>
      <c r="K105" s="720">
        <v>3780.2464370354992</v>
      </c>
      <c r="L105" s="720">
        <v>3831.5751832053197</v>
      </c>
      <c r="M105" s="721">
        <v>3882.9039293751403</v>
      </c>
      <c r="N105" s="733"/>
      <c r="O105" s="733"/>
    </row>
    <row r="106" spans="3:15" outlineLevel="1" x14ac:dyDescent="0.25">
      <c r="C106" s="801"/>
      <c r="D106" s="272">
        <f t="shared" si="66"/>
        <v>8.0999999999999989E-2</v>
      </c>
      <c r="E106" s="719">
        <v>3562.404928483139</v>
      </c>
      <c r="F106" s="720">
        <v>3615.5433905886716</v>
      </c>
      <c r="G106" s="720">
        <v>3668.6818526942043</v>
      </c>
      <c r="H106" s="720">
        <v>3721.8203147997365</v>
      </c>
      <c r="I106" s="721">
        <v>3774.9587769052687</v>
      </c>
      <c r="J106" s="720">
        <v>3828.0972390108013</v>
      </c>
      <c r="K106" s="735">
        <v>3881.2357011163331</v>
      </c>
      <c r="L106" s="720">
        <v>3934.3741632218653</v>
      </c>
      <c r="M106" s="721">
        <v>3987.5126253273979</v>
      </c>
      <c r="N106" s="733"/>
      <c r="O106" s="733"/>
    </row>
    <row r="107" spans="3:15" outlineLevel="1" x14ac:dyDescent="0.25">
      <c r="C107" s="801"/>
      <c r="D107" s="272">
        <f t="shared" si="66"/>
        <v>7.8499999999999986E-2</v>
      </c>
      <c r="E107" s="719">
        <v>3655.4624817767881</v>
      </c>
      <c r="F107" s="720">
        <v>3710.4788792476415</v>
      </c>
      <c r="G107" s="720">
        <v>3765.495276718495</v>
      </c>
      <c r="H107" s="720">
        <v>3820.5116741893489</v>
      </c>
      <c r="I107" s="721">
        <v>3875.5280716602024</v>
      </c>
      <c r="J107" s="720">
        <v>3930.5444691310558</v>
      </c>
      <c r="K107" s="720">
        <v>3985.5608666019089</v>
      </c>
      <c r="L107" s="720">
        <v>4040.5772640727623</v>
      </c>
      <c r="M107" s="721">
        <v>4095.5936615436158</v>
      </c>
      <c r="N107" s="733"/>
      <c r="O107" s="733"/>
    </row>
    <row r="108" spans="3:15" outlineLevel="1" x14ac:dyDescent="0.25">
      <c r="C108" s="802"/>
      <c r="D108" s="273">
        <f t="shared" si="66"/>
        <v>7.5999999999999984E-2</v>
      </c>
      <c r="E108" s="719">
        <v>3751.5547783101292</v>
      </c>
      <c r="F108" s="720">
        <v>3808.5200693504503</v>
      </c>
      <c r="G108" s="720">
        <v>3865.4853603907704</v>
      </c>
      <c r="H108" s="720">
        <v>3922.450651431091</v>
      </c>
      <c r="I108" s="721">
        <v>3979.4159424714117</v>
      </c>
      <c r="J108" s="720">
        <v>4036.3812335117318</v>
      </c>
      <c r="K108" s="720">
        <v>4093.3465245520524</v>
      </c>
      <c r="L108" s="720">
        <v>4150.311815592373</v>
      </c>
      <c r="M108" s="721">
        <v>4207.2771066326932</v>
      </c>
      <c r="N108" s="733"/>
      <c r="O108" s="733"/>
    </row>
  </sheetData>
  <mergeCells count="2">
    <mergeCell ref="C86:C94"/>
    <mergeCell ref="C100:C108"/>
  </mergeCells>
  <pageMargins left="0.7" right="0.7" top="0.75" bottom="0.75" header="0.3" footer="0.3"/>
  <pageSetup scale="31" orientation="portrait" r:id="rId1"/>
  <rowBreaks count="2" manualBreakCount="2">
    <brk id="40" max="21" man="1"/>
    <brk id="79" max="21" man="1"/>
  </row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1F81-7E00-4B09-BC19-E0E579462186}">
  <sheetPr>
    <pageSetUpPr autoPageBreaks="0"/>
  </sheetPr>
  <dimension ref="A1:U108"/>
  <sheetViews>
    <sheetView showGridLines="0" zoomScaleNormal="100" workbookViewId="0">
      <selection activeCell="B2" sqref="B2"/>
    </sheetView>
  </sheetViews>
  <sheetFormatPr defaultColWidth="8.85546875" defaultRowHeight="15.75" outlineLevelRow="1" outlineLevelCol="1" x14ac:dyDescent="0.25"/>
  <cols>
    <col min="1" max="2" width="2.7109375" style="178" customWidth="1"/>
    <col min="3" max="3" width="47.7109375" style="178" bestFit="1" customWidth="1"/>
    <col min="4" max="4" width="12.7109375" style="183" customWidth="1"/>
    <col min="5" max="6" width="12.7109375" style="178" customWidth="1" outlineLevel="1"/>
    <col min="7" max="21" width="12.7109375" style="178" customWidth="1"/>
    <col min="22" max="22" width="2.7109375" style="178" customWidth="1"/>
    <col min="23" max="16384" width="8.85546875" style="178"/>
  </cols>
  <sheetData>
    <row r="1" spans="2:21" ht="15.75" customHeight="1" x14ac:dyDescent="0.25"/>
    <row r="2" spans="2:21" ht="15.75" customHeight="1" x14ac:dyDescent="0.3">
      <c r="B2" s="184" t="str">
        <f>Sub_Name&amp;" - Discounted Cash Flow Analysis"</f>
        <v>Maxeon Solar Technologies, Ltd. - Discounted Cash Flow Analysis</v>
      </c>
    </row>
    <row r="3" spans="2:21" ht="15.75" customHeight="1" x14ac:dyDescent="0.25">
      <c r="B3" s="391" t="str">
        <f>SPWR!$B$3</f>
        <v>($ USD in Millions Except for Per-Share Figures and Other Per-Unit Data)</v>
      </c>
    </row>
    <row r="4" spans="2:21" ht="15.75" customHeight="1" x14ac:dyDescent="0.25"/>
    <row r="5" spans="2:21" ht="15.75" customHeight="1" x14ac:dyDescent="0.25">
      <c r="B5" s="185"/>
      <c r="C5" s="185"/>
      <c r="D5" s="186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</row>
    <row r="6" spans="2:21" ht="15.75" customHeight="1" x14ac:dyDescent="0.25">
      <c r="B6" s="187" t="s">
        <v>149</v>
      </c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spans="2:21" ht="15.75" customHeight="1" outlineLevel="1" x14ac:dyDescent="0.25">
      <c r="D7" s="189"/>
    </row>
    <row r="8" spans="2:21" ht="15.75" customHeight="1" outlineLevel="1" x14ac:dyDescent="0.25">
      <c r="C8" s="190" t="s">
        <v>150</v>
      </c>
      <c r="D8" s="191">
        <f>MAXN_WACC!L37</f>
        <v>9.8971226952004332E-2</v>
      </c>
      <c r="G8" s="192" t="s">
        <v>151</v>
      </c>
      <c r="H8" s="193"/>
      <c r="I8" s="193"/>
      <c r="J8" s="193"/>
      <c r="K8" s="92"/>
      <c r="L8" s="192" t="s">
        <v>152</v>
      </c>
      <c r="M8" s="193"/>
      <c r="N8" s="193"/>
      <c r="O8" s="193"/>
    </row>
    <row r="9" spans="2:21" ht="15.75" customHeight="1" outlineLevel="1" x14ac:dyDescent="0.25">
      <c r="C9" s="330"/>
      <c r="D9" s="331"/>
      <c r="G9" s="92"/>
      <c r="H9" s="92"/>
      <c r="I9" s="92"/>
      <c r="J9" s="92"/>
      <c r="K9" s="92"/>
      <c r="L9" s="92"/>
      <c r="M9" s="92"/>
      <c r="N9" s="92"/>
      <c r="O9" s="92"/>
    </row>
    <row r="10" spans="2:21" ht="15.75" customHeight="1" outlineLevel="1" x14ac:dyDescent="0.25">
      <c r="C10" s="68" t="s">
        <v>44</v>
      </c>
      <c r="D10" s="335">
        <f>MAXN_Adj!K30</f>
        <v>1017.76806955</v>
      </c>
      <c r="G10" s="190" t="s">
        <v>215</v>
      </c>
      <c r="H10" s="194"/>
      <c r="I10" s="194"/>
      <c r="J10" s="195">
        <v>5.7</v>
      </c>
      <c r="K10" s="92"/>
      <c r="L10" s="190" t="s">
        <v>153</v>
      </c>
      <c r="M10" s="92"/>
      <c r="N10" s="92"/>
      <c r="O10" s="196">
        <v>0.02</v>
      </c>
    </row>
    <row r="11" spans="2:21" ht="15.75" customHeight="1" outlineLevel="1" x14ac:dyDescent="0.25">
      <c r="C11" s="199" t="s">
        <v>37</v>
      </c>
      <c r="D11" s="336">
        <f>MAXN_Adj!K31</f>
        <v>-355.19641256240106</v>
      </c>
      <c r="G11" s="194"/>
      <c r="H11" s="194"/>
      <c r="I11" s="194"/>
      <c r="J11" s="194"/>
      <c r="K11" s="92"/>
      <c r="L11" s="92"/>
      <c r="M11" s="92"/>
      <c r="N11" s="92"/>
      <c r="O11" s="92"/>
    </row>
    <row r="12" spans="2:21" ht="15.75" customHeight="1" outlineLevel="1" x14ac:dyDescent="0.25">
      <c r="C12" s="200" t="s">
        <v>137</v>
      </c>
      <c r="D12" s="336">
        <f>MAXN_Adj!K32</f>
        <v>0</v>
      </c>
      <c r="G12" s="190" t="s">
        <v>154</v>
      </c>
      <c r="H12" s="194"/>
      <c r="I12" s="197"/>
      <c r="J12" s="195">
        <v>4.3738746207455561</v>
      </c>
      <c r="K12" s="92"/>
      <c r="L12" s="190" t="s">
        <v>155</v>
      </c>
      <c r="M12" s="92"/>
      <c r="N12" s="198"/>
      <c r="O12" s="196">
        <v>0.01</v>
      </c>
    </row>
    <row r="13" spans="2:21" ht="15.75" customHeight="1" outlineLevel="1" x14ac:dyDescent="0.25">
      <c r="C13" s="200" t="s">
        <v>38</v>
      </c>
      <c r="D13" s="336">
        <f>MAXN_Adj!K33</f>
        <v>-34.393000000000001</v>
      </c>
      <c r="G13" s="194"/>
      <c r="H13" s="194"/>
      <c r="I13" s="197"/>
      <c r="J13" s="201"/>
      <c r="K13" s="92"/>
      <c r="L13" s="92"/>
      <c r="M13" s="92"/>
      <c r="N13" s="198"/>
      <c r="O13" s="202"/>
    </row>
    <row r="14" spans="2:21" ht="15.75" customHeight="1" outlineLevel="1" x14ac:dyDescent="0.25">
      <c r="C14" s="200" t="s">
        <v>39</v>
      </c>
      <c r="D14" s="336">
        <f>MAXN_Adj!K34</f>
        <v>0</v>
      </c>
      <c r="G14" s="190" t="s">
        <v>156</v>
      </c>
      <c r="H14" s="194"/>
      <c r="I14" s="194"/>
      <c r="J14" s="332">
        <f>Sub_Terminal_Multiple*U76</f>
        <v>3537.7156516431023</v>
      </c>
      <c r="K14" s="92"/>
      <c r="L14" s="190" t="s">
        <v>156</v>
      </c>
      <c r="M14" s="92"/>
      <c r="N14" s="92"/>
      <c r="O14" s="334">
        <f>+U71*(1+Sub_Terminal_Growth_Rate)/(Sub_Discount_Rate-Sub_Terminal_Growth_Rate)</f>
        <v>3537.7156516431023</v>
      </c>
    </row>
    <row r="15" spans="2:21" ht="15.75" customHeight="1" outlineLevel="1" x14ac:dyDescent="0.25">
      <c r="C15" s="200" t="s">
        <v>40</v>
      </c>
      <c r="D15" s="336">
        <f>MAXN_Adj!K35</f>
        <v>-12.100595021499821</v>
      </c>
      <c r="G15" s="190" t="s">
        <v>157</v>
      </c>
      <c r="H15" s="194"/>
      <c r="I15" s="197"/>
      <c r="J15" s="203">
        <f>(J14*Sub_Discount_Rate-U71)/(J14+U71)</f>
        <v>9.9999999999999967E-3</v>
      </c>
      <c r="K15" s="92"/>
      <c r="L15" s="190" t="s">
        <v>158</v>
      </c>
      <c r="M15" s="92"/>
      <c r="N15" s="92"/>
      <c r="O15" s="204">
        <f>+O14/U76</f>
        <v>4.3738746207455561</v>
      </c>
    </row>
    <row r="16" spans="2:21" ht="15.75" customHeight="1" outlineLevel="1" x14ac:dyDescent="0.25">
      <c r="C16" s="200" t="s">
        <v>140</v>
      </c>
      <c r="D16" s="336">
        <f>MAXN_Adj!K36</f>
        <v>271.18700000000001</v>
      </c>
      <c r="G16" s="194"/>
      <c r="H16" s="194"/>
      <c r="I16" s="194"/>
      <c r="J16" s="194"/>
      <c r="K16" s="92"/>
      <c r="L16" s="92"/>
      <c r="M16" s="92"/>
      <c r="N16" s="92"/>
      <c r="O16" s="92"/>
    </row>
    <row r="17" spans="3:15" ht="15.75" customHeight="1" outlineLevel="1" x14ac:dyDescent="0.25">
      <c r="C17" s="200" t="s">
        <v>41</v>
      </c>
      <c r="D17" s="336">
        <f>MAXN_Adj!K37</f>
        <v>0</v>
      </c>
      <c r="G17" s="199" t="s">
        <v>159</v>
      </c>
      <c r="H17" s="194"/>
      <c r="I17" s="194"/>
      <c r="J17" s="333">
        <f>+J14/((1+Sub_Discount_Rate)^(YEAR($U$42)-YEAR($F$42)))</f>
        <v>858.87130591505183</v>
      </c>
      <c r="K17" s="92"/>
      <c r="L17" s="199" t="str">
        <f>+G17</f>
        <v>(+) PV of Terminal Value:</v>
      </c>
      <c r="M17" s="92"/>
      <c r="N17" s="92"/>
      <c r="O17" s="333">
        <f>+O14/((1+Sub_Discount_Rate)^(YEAR($U$42)-YEAR($F$42)))</f>
        <v>858.87130591505183</v>
      </c>
    </row>
    <row r="18" spans="3:15" ht="15.75" customHeight="1" outlineLevel="1" x14ac:dyDescent="0.25">
      <c r="C18" s="200" t="s">
        <v>138</v>
      </c>
      <c r="D18" s="336">
        <f>MAXN_Adj!K38</f>
        <v>0</v>
      </c>
      <c r="G18" s="683" t="s">
        <v>477</v>
      </c>
      <c r="J18" s="333">
        <f>$U$53*Sub_Tax_Rate/((1+Sub_Discount_Rate)^(YEAR($U$42)-YEAR($F$42)))</f>
        <v>0</v>
      </c>
      <c r="L18" s="216" t="str">
        <f>+G18</f>
        <v>(+) PV of Year 15 NOL Balance:</v>
      </c>
      <c r="O18" s="333">
        <f>$U$53*Sub_Tax_Rate/((1+Sub_Discount_Rate)^(YEAR($U$42)-YEAR($F$42)))</f>
        <v>0</v>
      </c>
    </row>
    <row r="19" spans="3:15" ht="15.75" customHeight="1" outlineLevel="1" x14ac:dyDescent="0.25">
      <c r="C19" s="200" t="s">
        <v>42</v>
      </c>
      <c r="D19" s="336">
        <f>MAXN_Adj!K39</f>
        <v>5.3040000000000003</v>
      </c>
      <c r="G19" s="205" t="s">
        <v>160</v>
      </c>
      <c r="H19" s="206"/>
      <c r="I19" s="206"/>
      <c r="J19" s="328">
        <f>SUM($G$74:$U$74)</f>
        <v>52.508477574430941</v>
      </c>
      <c r="K19" s="92"/>
      <c r="L19" s="205" t="str">
        <f t="shared" ref="L19:L20" si="0">+G19</f>
        <v>(+) Sum of PV of Free Cash Flows:</v>
      </c>
      <c r="M19" s="207"/>
      <c r="N19" s="207"/>
      <c r="O19" s="328">
        <f>SUM($G$74:$U$74)</f>
        <v>52.508477574430941</v>
      </c>
    </row>
    <row r="20" spans="3:15" ht="15.75" customHeight="1" outlineLevel="1" x14ac:dyDescent="0.25">
      <c r="C20" s="216" t="s">
        <v>139</v>
      </c>
      <c r="D20" s="708">
        <f>MAXN_Adj!K40</f>
        <v>0</v>
      </c>
      <c r="G20" s="208" t="s">
        <v>161</v>
      </c>
      <c r="H20" s="209"/>
      <c r="I20" s="209"/>
      <c r="J20" s="329">
        <f>SUM(J17:J19)</f>
        <v>911.37978348948275</v>
      </c>
      <c r="K20" s="92"/>
      <c r="L20" s="208" t="str">
        <f t="shared" si="0"/>
        <v>Implied Enterprise Value:</v>
      </c>
      <c r="M20" s="210"/>
      <c r="N20" s="210"/>
      <c r="O20" s="329">
        <f>SUM(O17:O19)</f>
        <v>911.37978348948275</v>
      </c>
    </row>
    <row r="21" spans="3:15" ht="15.75" customHeight="1" outlineLevel="1" x14ac:dyDescent="0.25">
      <c r="C21" s="70" t="s">
        <v>43</v>
      </c>
      <c r="D21" s="337">
        <f>SUM(D10:D20)</f>
        <v>892.56906196609907</v>
      </c>
      <c r="G21" s="194"/>
      <c r="H21" s="194"/>
      <c r="I21" s="194"/>
      <c r="J21" s="194"/>
      <c r="K21" s="92"/>
      <c r="L21" s="92"/>
      <c r="M21" s="92"/>
      <c r="N21" s="92"/>
      <c r="O21" s="92"/>
    </row>
    <row r="22" spans="3:15" ht="15.75" customHeight="1" outlineLevel="1" x14ac:dyDescent="0.25">
      <c r="G22" s="211" t="s">
        <v>204</v>
      </c>
      <c r="H22" s="194"/>
      <c r="I22" s="194"/>
      <c r="J22" s="212">
        <f>+J17/J20</f>
        <v>0.94238573366924283</v>
      </c>
      <c r="K22" s="92"/>
      <c r="L22" s="213" t="str">
        <f>+G22</f>
        <v>% of Implied TEV from Terminal Value:</v>
      </c>
      <c r="M22" s="92"/>
      <c r="N22" s="92"/>
      <c r="O22" s="212">
        <f>+O17/O20</f>
        <v>0.94238573366924283</v>
      </c>
    </row>
    <row r="23" spans="3:15" ht="15.75" customHeight="1" outlineLevel="1" x14ac:dyDescent="0.25">
      <c r="G23" s="194"/>
      <c r="H23" s="194"/>
      <c r="I23" s="194"/>
      <c r="J23" s="194"/>
      <c r="K23" s="92"/>
      <c r="L23" s="92"/>
      <c r="M23" s="92"/>
      <c r="N23" s="92"/>
      <c r="O23" s="92"/>
    </row>
    <row r="24" spans="3:15" ht="15.75" customHeight="1" outlineLevel="1" x14ac:dyDescent="0.25">
      <c r="D24" s="178"/>
      <c r="G24" s="199" t="s">
        <v>162</v>
      </c>
      <c r="H24" s="194"/>
      <c r="I24" s="194"/>
      <c r="J24" s="338">
        <f>-$D$11</f>
        <v>355.19641256240106</v>
      </c>
      <c r="K24" s="92"/>
      <c r="L24" s="199" t="s">
        <v>162</v>
      </c>
      <c r="M24" s="92"/>
      <c r="N24" s="92"/>
      <c r="O24" s="338">
        <f>-$D$11</f>
        <v>355.19641256240106</v>
      </c>
    </row>
    <row r="25" spans="3:15" ht="15.75" customHeight="1" outlineLevel="1" x14ac:dyDescent="0.25">
      <c r="D25" s="178"/>
      <c r="G25" s="200" t="s">
        <v>205</v>
      </c>
      <c r="H25" s="215"/>
      <c r="I25" s="215"/>
      <c r="J25" s="338">
        <f>-$D$12</f>
        <v>0</v>
      </c>
      <c r="K25" s="92"/>
      <c r="L25" s="200" t="s">
        <v>205</v>
      </c>
      <c r="O25" s="338">
        <f>-$D$12</f>
        <v>0</v>
      </c>
    </row>
    <row r="26" spans="3:15" ht="15.75" customHeight="1" outlineLevel="1" x14ac:dyDescent="0.25">
      <c r="C26" s="688"/>
      <c r="D26" s="178"/>
      <c r="G26" s="200" t="s">
        <v>163</v>
      </c>
      <c r="H26" s="215"/>
      <c r="I26" s="215"/>
      <c r="J26" s="338">
        <f>-$D$13</f>
        <v>34.393000000000001</v>
      </c>
      <c r="K26" s="92"/>
      <c r="L26" s="200" t="s">
        <v>163</v>
      </c>
      <c r="O26" s="338">
        <f>-$D$13</f>
        <v>34.393000000000001</v>
      </c>
    </row>
    <row r="27" spans="3:15" ht="15.75" customHeight="1" outlineLevel="1" x14ac:dyDescent="0.25">
      <c r="D27" s="178"/>
      <c r="G27" s="200" t="s">
        <v>164</v>
      </c>
      <c r="H27" s="215"/>
      <c r="I27" s="215"/>
      <c r="J27" s="338">
        <f>-$D$14</f>
        <v>0</v>
      </c>
      <c r="K27" s="92"/>
      <c r="L27" s="200" t="s">
        <v>164</v>
      </c>
      <c r="O27" s="338">
        <f>-$D$14</f>
        <v>0</v>
      </c>
    </row>
    <row r="28" spans="3:15" ht="15.75" customHeight="1" outlineLevel="1" x14ac:dyDescent="0.25">
      <c r="C28" s="688"/>
      <c r="D28" s="178"/>
      <c r="G28" s="200" t="s">
        <v>165</v>
      </c>
      <c r="H28" s="215"/>
      <c r="I28" s="215"/>
      <c r="J28" s="154">
        <v>0</v>
      </c>
      <c r="K28" s="92"/>
      <c r="L28" s="200" t="s">
        <v>165</v>
      </c>
      <c r="O28" s="154">
        <v>0</v>
      </c>
    </row>
    <row r="29" spans="3:15" ht="15.75" customHeight="1" outlineLevel="1" x14ac:dyDescent="0.25">
      <c r="D29" s="178"/>
      <c r="G29" s="200" t="s">
        <v>206</v>
      </c>
      <c r="H29" s="215"/>
      <c r="I29" s="215"/>
      <c r="J29" s="338">
        <f>-$D$16</f>
        <v>-271.18700000000001</v>
      </c>
      <c r="K29" s="92"/>
      <c r="L29" s="200" t="s">
        <v>206</v>
      </c>
      <c r="O29" s="338">
        <f>-$D$16</f>
        <v>-271.18700000000001</v>
      </c>
    </row>
    <row r="30" spans="3:15" ht="15.75" customHeight="1" outlineLevel="1" x14ac:dyDescent="0.25">
      <c r="D30" s="178"/>
      <c r="G30" s="200" t="s">
        <v>166</v>
      </c>
      <c r="H30" s="215"/>
      <c r="I30" s="215"/>
      <c r="J30" s="338">
        <f>-$D$17</f>
        <v>0</v>
      </c>
      <c r="K30" s="92"/>
      <c r="L30" s="200" t="s">
        <v>166</v>
      </c>
      <c r="O30" s="338">
        <f>-$D$17</f>
        <v>0</v>
      </c>
    </row>
    <row r="31" spans="3:15" ht="15.75" customHeight="1" outlineLevel="1" x14ac:dyDescent="0.25">
      <c r="D31" s="178"/>
      <c r="G31" s="200" t="s">
        <v>207</v>
      </c>
      <c r="H31" s="215"/>
      <c r="I31" s="215"/>
      <c r="J31" s="338">
        <f>-$D$18</f>
        <v>0</v>
      </c>
      <c r="K31" s="92"/>
      <c r="L31" s="200" t="s">
        <v>207</v>
      </c>
      <c r="O31" s="338">
        <f>-$D$18</f>
        <v>0</v>
      </c>
    </row>
    <row r="32" spans="3:15" ht="15.75" customHeight="1" outlineLevel="1" x14ac:dyDescent="0.25">
      <c r="C32" s="92"/>
      <c r="D32" s="217"/>
      <c r="G32" s="200" t="s">
        <v>167</v>
      </c>
      <c r="H32" s="215"/>
      <c r="I32" s="215"/>
      <c r="J32" s="338">
        <f>-$D$19</f>
        <v>-5.3040000000000003</v>
      </c>
      <c r="K32" s="92"/>
      <c r="L32" s="200" t="s">
        <v>167</v>
      </c>
      <c r="O32" s="338">
        <f>-$D$19</f>
        <v>-5.3040000000000003</v>
      </c>
    </row>
    <row r="33" spans="1:21" ht="15.75" customHeight="1" outlineLevel="1" x14ac:dyDescent="0.25">
      <c r="D33" s="189"/>
      <c r="G33" s="200" t="s">
        <v>208</v>
      </c>
      <c r="H33" s="215"/>
      <c r="I33" s="215"/>
      <c r="J33" s="339">
        <f>-$D$20</f>
        <v>0</v>
      </c>
      <c r="K33" s="92"/>
      <c r="L33" s="200" t="s">
        <v>208</v>
      </c>
      <c r="O33" s="339">
        <f>-$D$20</f>
        <v>0</v>
      </c>
    </row>
    <row r="34" spans="1:21" ht="15.75" customHeight="1" outlineLevel="1" x14ac:dyDescent="0.25">
      <c r="D34" s="189"/>
      <c r="G34" s="70" t="s">
        <v>168</v>
      </c>
      <c r="H34" s="218"/>
      <c r="I34" s="218"/>
      <c r="J34" s="342">
        <f>J20+SUM(J24:J33)</f>
        <v>1024.4781960518837</v>
      </c>
      <c r="K34" s="92"/>
      <c r="L34" s="70" t="s">
        <v>168</v>
      </c>
      <c r="M34" s="219"/>
      <c r="N34" s="219"/>
      <c r="O34" s="342">
        <f>O20+SUM(O24:O33)</f>
        <v>1024.4781960518837</v>
      </c>
    </row>
    <row r="35" spans="1:21" ht="15.75" customHeight="1" outlineLevel="1" x14ac:dyDescent="0.25">
      <c r="D35" s="189"/>
      <c r="G35" s="194"/>
      <c r="H35" s="194"/>
      <c r="I35" s="194"/>
      <c r="J35" s="194"/>
      <c r="K35" s="92"/>
      <c r="L35" s="92"/>
      <c r="M35" s="92"/>
      <c r="N35" s="92"/>
      <c r="O35" s="111"/>
    </row>
    <row r="36" spans="1:21" ht="15.75" customHeight="1" outlineLevel="1" x14ac:dyDescent="0.25">
      <c r="D36" s="189"/>
      <c r="G36" s="190" t="s">
        <v>127</v>
      </c>
      <c r="H36" s="194"/>
      <c r="I36" s="194"/>
      <c r="J36" s="220">
        <f>Sub_Total_Shares</f>
        <v>31.41259473919753</v>
      </c>
      <c r="K36" s="92"/>
      <c r="L36" s="92" t="s">
        <v>127</v>
      </c>
      <c r="M36" s="92"/>
      <c r="N36" s="92"/>
      <c r="O36" s="220">
        <f>Sub_Total_Shares</f>
        <v>31.41259473919753</v>
      </c>
    </row>
    <row r="37" spans="1:21" ht="15.75" customHeight="1" outlineLevel="1" x14ac:dyDescent="0.25">
      <c r="D37" s="189"/>
      <c r="G37" s="194"/>
      <c r="H37" s="194"/>
      <c r="I37" s="221"/>
      <c r="J37" s="221"/>
      <c r="K37" s="92"/>
      <c r="L37" s="92"/>
      <c r="M37" s="92"/>
      <c r="N37" s="92"/>
      <c r="O37" s="92"/>
    </row>
    <row r="38" spans="1:21" ht="15.75" customHeight="1" outlineLevel="1" x14ac:dyDescent="0.25">
      <c r="D38" s="189"/>
      <c r="G38" s="222" t="s">
        <v>169</v>
      </c>
      <c r="H38" s="223"/>
      <c r="I38" s="223"/>
      <c r="J38" s="224">
        <f>J34/J36</f>
        <v>32.613612614863385</v>
      </c>
      <c r="K38" s="92"/>
      <c r="L38" s="222" t="s">
        <v>169</v>
      </c>
      <c r="M38" s="225"/>
      <c r="N38" s="225"/>
      <c r="O38" s="224">
        <f>O34/O36</f>
        <v>32.613612614863385</v>
      </c>
    </row>
    <row r="39" spans="1:21" ht="15.75" customHeight="1" x14ac:dyDescent="0.25">
      <c r="D39" s="189"/>
      <c r="G39" s="226" t="s">
        <v>170</v>
      </c>
      <c r="H39" s="227"/>
      <c r="I39" s="227"/>
      <c r="J39" s="228">
        <f>J38/Sub_New_Share_Price-1</f>
        <v>6.5929819402279488E-3</v>
      </c>
      <c r="K39" s="92"/>
      <c r="L39" s="226" t="s">
        <v>170</v>
      </c>
      <c r="M39" s="229"/>
      <c r="N39" s="229"/>
      <c r="O39" s="228">
        <f>O38/Sub_New_Share_Price-1</f>
        <v>6.5929819402279488E-3</v>
      </c>
    </row>
    <row r="40" spans="1:21" ht="15.75" customHeight="1" x14ac:dyDescent="0.25">
      <c r="D40" s="189"/>
    </row>
    <row r="41" spans="1:21" ht="15.75" customHeight="1" x14ac:dyDescent="0.25">
      <c r="B41" s="230"/>
      <c r="C41" s="230"/>
      <c r="D41" s="231"/>
      <c r="E41" s="232" t="s">
        <v>69</v>
      </c>
      <c r="F41" s="233"/>
      <c r="G41" s="232" t="s">
        <v>70</v>
      </c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</row>
    <row r="42" spans="1:21" ht="15.75" customHeight="1" x14ac:dyDescent="0.25">
      <c r="A42" s="234"/>
      <c r="B42" s="235" t="s">
        <v>171</v>
      </c>
      <c r="C42" s="235"/>
      <c r="D42" s="36" t="str">
        <f>SPWR!$D$5</f>
        <v>Units:</v>
      </c>
      <c r="E42" s="236">
        <f>MAXN_Adj!E48</f>
        <v>43465</v>
      </c>
      <c r="F42" s="320">
        <f>MAXN_Adj!F48</f>
        <v>43830</v>
      </c>
      <c r="G42" s="236">
        <f>MAXN_Adj!G48</f>
        <v>44196</v>
      </c>
      <c r="H42" s="236">
        <f>MAXN_Adj!K48</f>
        <v>44561</v>
      </c>
      <c r="I42" s="236">
        <f>MAXN_Adj!L48</f>
        <v>44926</v>
      </c>
      <c r="J42" s="236">
        <f>MAXN_Adj!M48</f>
        <v>45291</v>
      </c>
      <c r="K42" s="236">
        <f>MAXN_Adj!N48</f>
        <v>45657</v>
      </c>
      <c r="L42" s="236">
        <f>EOMONTH(K42,12)</f>
        <v>46022</v>
      </c>
      <c r="M42" s="236">
        <f t="shared" ref="M42:P42" si="1">EOMONTH(L42,12)</f>
        <v>46387</v>
      </c>
      <c r="N42" s="236">
        <f t="shared" si="1"/>
        <v>46752</v>
      </c>
      <c r="O42" s="236">
        <f t="shared" si="1"/>
        <v>47118</v>
      </c>
      <c r="P42" s="236">
        <f t="shared" si="1"/>
        <v>47483</v>
      </c>
      <c r="Q42" s="236">
        <f t="shared" ref="Q42:U42" si="2">EOMONTH(P42,12)</f>
        <v>47848</v>
      </c>
      <c r="R42" s="236">
        <f t="shared" si="2"/>
        <v>48213</v>
      </c>
      <c r="S42" s="236">
        <f t="shared" si="2"/>
        <v>48579</v>
      </c>
      <c r="T42" s="236">
        <f t="shared" si="2"/>
        <v>48944</v>
      </c>
      <c r="U42" s="236">
        <f t="shared" si="2"/>
        <v>49309</v>
      </c>
    </row>
    <row r="43" spans="1:21" ht="15.75" customHeight="1" outlineLevel="1" x14ac:dyDescent="0.25">
      <c r="A43" s="234"/>
      <c r="B43" s="237"/>
      <c r="C43" s="237"/>
      <c r="D43" s="238"/>
      <c r="E43" s="239"/>
      <c r="F43" s="239"/>
      <c r="G43" s="239"/>
      <c r="H43" s="239"/>
      <c r="I43" s="239"/>
      <c r="J43" s="239"/>
      <c r="K43" s="239"/>
      <c r="L43" s="239"/>
      <c r="M43" s="239"/>
      <c r="N43" s="239"/>
      <c r="O43" s="239"/>
      <c r="P43" s="239"/>
    </row>
    <row r="44" spans="1:21" ht="15.75" customHeight="1" outlineLevel="1" x14ac:dyDescent="0.25">
      <c r="A44" s="234"/>
      <c r="C44" s="240" t="s">
        <v>35</v>
      </c>
      <c r="D44" s="241" t="s">
        <v>46</v>
      </c>
      <c r="E44" s="323">
        <f>MAXN_Adj!E50</f>
        <v>912.31299999999999</v>
      </c>
      <c r="F44" s="323">
        <f>MAXN_Adj!F50</f>
        <v>1198.3009999999999</v>
      </c>
      <c r="G44" s="323">
        <f>MAXN_Adj!G50</f>
        <v>839.29960680800002</v>
      </c>
      <c r="H44" s="323">
        <f>MAXN_Adj!K50</f>
        <v>1061.0386718036661</v>
      </c>
      <c r="I44" s="323">
        <f>MAXN_Adj!L50</f>
        <v>1308.8563542365775</v>
      </c>
      <c r="J44" s="323">
        <f>MAXN_Adj!M50</f>
        <v>1586.387761914898</v>
      </c>
      <c r="K44" s="323">
        <f>MAXN_Adj!N50</f>
        <v>1881.3377050183358</v>
      </c>
      <c r="L44" s="324">
        <f>+K44*(1+L45)</f>
        <v>2219.9784919216363</v>
      </c>
      <c r="M44" s="324">
        <f t="shared" ref="M44:U44" si="3">+L44*(1+M45)</f>
        <v>2586.2749430887066</v>
      </c>
      <c r="N44" s="324">
        <f t="shared" si="3"/>
        <v>2974.2161845520122</v>
      </c>
      <c r="O44" s="324">
        <f t="shared" si="3"/>
        <v>3375.7353694665339</v>
      </c>
      <c r="P44" s="324">
        <f t="shared" si="3"/>
        <v>3780.8236138025186</v>
      </c>
      <c r="Q44" s="324">
        <f t="shared" si="3"/>
        <v>4177.8100932517827</v>
      </c>
      <c r="R44" s="324">
        <f t="shared" si="3"/>
        <v>4553.8130016444438</v>
      </c>
      <c r="S44" s="324">
        <f t="shared" si="3"/>
        <v>4918.1180417759997</v>
      </c>
      <c r="T44" s="324">
        <f t="shared" si="3"/>
        <v>5262.3863047003197</v>
      </c>
      <c r="U44" s="324">
        <f t="shared" si="3"/>
        <v>5578.1294829823391</v>
      </c>
    </row>
    <row r="45" spans="1:21" ht="15.75" customHeight="1" outlineLevel="1" x14ac:dyDescent="0.25">
      <c r="A45" s="234"/>
      <c r="C45" s="200" t="s">
        <v>118</v>
      </c>
      <c r="D45" s="241" t="s">
        <v>32</v>
      </c>
      <c r="E45" s="242" t="str">
        <f>MAXN_Adj!E230</f>
        <v>N/A</v>
      </c>
      <c r="F45" s="242">
        <f>IFERROR(F44/E44-1,"N/A")</f>
        <v>0.3134757479066943</v>
      </c>
      <c r="G45" s="242">
        <f t="shared" ref="G45:K45" si="4">IFERROR(G44/F44-1,"N/A")</f>
        <v>-0.29959199999999997</v>
      </c>
      <c r="H45" s="242">
        <f t="shared" si="4"/>
        <v>0.26419536384507292</v>
      </c>
      <c r="I45" s="242">
        <f t="shared" si="4"/>
        <v>0.23356140451661833</v>
      </c>
      <c r="J45" s="242">
        <f t="shared" si="4"/>
        <v>0.21204115087189801</v>
      </c>
      <c r="K45" s="242">
        <f t="shared" si="4"/>
        <v>0.18592550332549806</v>
      </c>
      <c r="L45" s="243">
        <v>0.18</v>
      </c>
      <c r="M45" s="243">
        <v>0.16500000000000001</v>
      </c>
      <c r="N45" s="243">
        <v>0.15</v>
      </c>
      <c r="O45" s="243">
        <v>0.13500000000000001</v>
      </c>
      <c r="P45" s="243">
        <v>0.12</v>
      </c>
      <c r="Q45" s="243">
        <v>0.105</v>
      </c>
      <c r="R45" s="243">
        <v>0.09</v>
      </c>
      <c r="S45" s="243">
        <v>0.08</v>
      </c>
      <c r="T45" s="243">
        <v>7.0000000000000007E-2</v>
      </c>
      <c r="U45" s="243">
        <v>0.06</v>
      </c>
    </row>
    <row r="46" spans="1:21" ht="15.75" customHeight="1" outlineLevel="1" x14ac:dyDescent="0.25">
      <c r="C46" s="244"/>
      <c r="D46" s="180"/>
      <c r="E46" s="245"/>
      <c r="F46" s="245"/>
      <c r="G46" s="245"/>
      <c r="H46" s="245"/>
      <c r="I46" s="245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</row>
    <row r="47" spans="1:21" outlineLevel="1" x14ac:dyDescent="0.25">
      <c r="C47" s="260" t="s">
        <v>212</v>
      </c>
      <c r="D47" s="180" t="s">
        <v>46</v>
      </c>
      <c r="E47" s="687">
        <f>MAXN_Adj!E61</f>
        <v>-589.76699999999994</v>
      </c>
      <c r="F47" s="687">
        <f>MAXN_Adj!F61</f>
        <v>-135.64599999999996</v>
      </c>
      <c r="G47" s="687">
        <f>MAXN_Adj!G61</f>
        <v>-134.28793708927995</v>
      </c>
      <c r="H47" s="687">
        <f>MAXN_Adj!K61</f>
        <v>-119.21593905707863</v>
      </c>
      <c r="I47" s="687">
        <f>MAXN_Adj!L61</f>
        <v>-77.84269062709734</v>
      </c>
      <c r="J47" s="687">
        <f>MAXN_Adj!M61</f>
        <v>-62.372816428723468</v>
      </c>
      <c r="K47" s="687">
        <f>MAXN_Adj!N61</f>
        <v>-0.9502458996332166</v>
      </c>
      <c r="L47" s="686">
        <f>L48*L44</f>
        <v>44.399569838432726</v>
      </c>
      <c r="M47" s="686">
        <f t="shared" ref="M47:U47" si="5">M48*M44</f>
        <v>103.45099772354827</v>
      </c>
      <c r="N47" s="686">
        <f t="shared" si="5"/>
        <v>148.71080922760061</v>
      </c>
      <c r="O47" s="686">
        <f t="shared" si="5"/>
        <v>202.54412216799201</v>
      </c>
      <c r="P47" s="686">
        <f t="shared" si="5"/>
        <v>264.65765296617633</v>
      </c>
      <c r="Q47" s="686">
        <f t="shared" si="5"/>
        <v>334.22480746014264</v>
      </c>
      <c r="R47" s="686">
        <f t="shared" si="5"/>
        <v>409.84317014799996</v>
      </c>
      <c r="S47" s="686">
        <f t="shared" si="5"/>
        <v>442.63062375983998</v>
      </c>
      <c r="T47" s="686">
        <f t="shared" si="5"/>
        <v>473.61476742302875</v>
      </c>
      <c r="U47" s="686">
        <f t="shared" si="5"/>
        <v>502.03165346841052</v>
      </c>
    </row>
    <row r="48" spans="1:21" outlineLevel="1" x14ac:dyDescent="0.25">
      <c r="C48" s="216" t="s">
        <v>213</v>
      </c>
      <c r="D48" s="247" t="s">
        <v>32</v>
      </c>
      <c r="E48" s="248">
        <f>E47/E44</f>
        <v>-0.64645247848052145</v>
      </c>
      <c r="F48" s="248">
        <f t="shared" ref="F48:K48" si="6">F47/F44</f>
        <v>-0.11319860368972401</v>
      </c>
      <c r="G48" s="248">
        <f t="shared" si="6"/>
        <v>-0.15999999999999995</v>
      </c>
      <c r="H48" s="248">
        <f t="shared" si="6"/>
        <v>-0.1123577700089128</v>
      </c>
      <c r="I48" s="248">
        <f t="shared" si="6"/>
        <v>-5.9473822604850318E-2</v>
      </c>
      <c r="J48" s="248">
        <f t="shared" si="6"/>
        <v>-3.9317509833430922E-2</v>
      </c>
      <c r="K48" s="248">
        <f t="shared" si="6"/>
        <v>-5.0509055184430878E-4</v>
      </c>
      <c r="L48" s="243">
        <v>0.02</v>
      </c>
      <c r="M48" s="243">
        <v>0.04</v>
      </c>
      <c r="N48" s="243">
        <v>0.05</v>
      </c>
      <c r="O48" s="243">
        <v>0.06</v>
      </c>
      <c r="P48" s="243">
        <v>7.0000000000000007E-2</v>
      </c>
      <c r="Q48" s="243">
        <v>0.08</v>
      </c>
      <c r="R48" s="243">
        <v>0.09</v>
      </c>
      <c r="S48" s="243">
        <v>0.09</v>
      </c>
      <c r="T48" s="243">
        <v>0.09</v>
      </c>
      <c r="U48" s="243">
        <v>0.09</v>
      </c>
    </row>
    <row r="49" spans="3:21" outlineLevel="1" x14ac:dyDescent="0.25"/>
    <row r="50" spans="3:21" outlineLevel="1" x14ac:dyDescent="0.25">
      <c r="C50" s="682" t="s">
        <v>473</v>
      </c>
      <c r="D50" s="48" t="s">
        <v>46</v>
      </c>
      <c r="E50" s="321"/>
      <c r="F50" s="321"/>
      <c r="G50" s="322">
        <f>MAXN!G86</f>
        <v>645.69090909090903</v>
      </c>
      <c r="H50" s="321">
        <f>G53</f>
        <v>779.97884618018895</v>
      </c>
      <c r="I50" s="321">
        <f t="shared" ref="I50:U50" si="7">H53</f>
        <v>899.19478523726752</v>
      </c>
      <c r="J50" s="321">
        <f t="shared" si="7"/>
        <v>977.03747586436486</v>
      </c>
      <c r="K50" s="321">
        <f t="shared" si="7"/>
        <v>1039.4102922930883</v>
      </c>
      <c r="L50" s="321">
        <f t="shared" si="7"/>
        <v>1040.3605381927216</v>
      </c>
      <c r="M50" s="321">
        <f t="shared" si="7"/>
        <v>995.96096835428887</v>
      </c>
      <c r="N50" s="321">
        <f t="shared" si="7"/>
        <v>892.50997063074055</v>
      </c>
      <c r="O50" s="321">
        <f t="shared" si="7"/>
        <v>743.79916140313992</v>
      </c>
      <c r="P50" s="321">
        <f t="shared" si="7"/>
        <v>541.25503923514793</v>
      </c>
      <c r="Q50" s="321">
        <f t="shared" si="7"/>
        <v>276.5973862689716</v>
      </c>
      <c r="R50" s="321">
        <f t="shared" si="7"/>
        <v>0</v>
      </c>
      <c r="S50" s="321">
        <f t="shared" si="7"/>
        <v>0</v>
      </c>
      <c r="T50" s="321">
        <f t="shared" si="7"/>
        <v>0</v>
      </c>
      <c r="U50" s="321">
        <f t="shared" si="7"/>
        <v>0</v>
      </c>
    </row>
    <row r="51" spans="3:21" outlineLevel="1" x14ac:dyDescent="0.25">
      <c r="C51" s="683" t="s">
        <v>305</v>
      </c>
      <c r="D51" s="48" t="s">
        <v>46</v>
      </c>
      <c r="E51" s="321"/>
      <c r="F51" s="321"/>
      <c r="G51" s="321">
        <f>MAX(0,-G47)</f>
        <v>134.28793708927995</v>
      </c>
      <c r="H51" s="321">
        <f t="shared" ref="H51:U51" si="8">MAX(0,-H47)</f>
        <v>119.21593905707863</v>
      </c>
      <c r="I51" s="321">
        <f t="shared" si="8"/>
        <v>77.84269062709734</v>
      </c>
      <c r="J51" s="321">
        <f t="shared" si="8"/>
        <v>62.372816428723468</v>
      </c>
      <c r="K51" s="321">
        <f t="shared" si="8"/>
        <v>0.9502458996332166</v>
      </c>
      <c r="L51" s="321">
        <f t="shared" si="8"/>
        <v>0</v>
      </c>
      <c r="M51" s="321">
        <f t="shared" si="8"/>
        <v>0</v>
      </c>
      <c r="N51" s="321">
        <f t="shared" si="8"/>
        <v>0</v>
      </c>
      <c r="O51" s="321">
        <f t="shared" si="8"/>
        <v>0</v>
      </c>
      <c r="P51" s="321">
        <f t="shared" si="8"/>
        <v>0</v>
      </c>
      <c r="Q51" s="321">
        <f t="shared" si="8"/>
        <v>0</v>
      </c>
      <c r="R51" s="321">
        <f t="shared" si="8"/>
        <v>0</v>
      </c>
      <c r="S51" s="321">
        <f t="shared" si="8"/>
        <v>0</v>
      </c>
      <c r="T51" s="321">
        <f t="shared" si="8"/>
        <v>0</v>
      </c>
      <c r="U51" s="321">
        <f t="shared" si="8"/>
        <v>0</v>
      </c>
    </row>
    <row r="52" spans="3:21" outlineLevel="1" x14ac:dyDescent="0.25">
      <c r="C52" s="683" t="s">
        <v>306</v>
      </c>
      <c r="D52" s="58" t="s">
        <v>46</v>
      </c>
      <c r="E52" s="685"/>
      <c r="F52" s="685"/>
      <c r="G52" s="685">
        <f>-MIN(G50+G51,MAX(G47,0))</f>
        <v>0</v>
      </c>
      <c r="H52" s="685">
        <f t="shared" ref="H52:U52" si="9">-MIN(H50+H51,MAX(H47,0))</f>
        <v>0</v>
      </c>
      <c r="I52" s="685">
        <f t="shared" si="9"/>
        <v>0</v>
      </c>
      <c r="J52" s="685">
        <f t="shared" si="9"/>
        <v>0</v>
      </c>
      <c r="K52" s="685">
        <f t="shared" si="9"/>
        <v>0</v>
      </c>
      <c r="L52" s="685">
        <f t="shared" si="9"/>
        <v>-44.399569838432726</v>
      </c>
      <c r="M52" s="685">
        <f t="shared" si="9"/>
        <v>-103.45099772354827</v>
      </c>
      <c r="N52" s="685">
        <f t="shared" si="9"/>
        <v>-148.71080922760061</v>
      </c>
      <c r="O52" s="685">
        <f t="shared" si="9"/>
        <v>-202.54412216799201</v>
      </c>
      <c r="P52" s="685">
        <f t="shared" si="9"/>
        <v>-264.65765296617633</v>
      </c>
      <c r="Q52" s="685">
        <f t="shared" si="9"/>
        <v>-276.5973862689716</v>
      </c>
      <c r="R52" s="685">
        <f t="shared" si="9"/>
        <v>0</v>
      </c>
      <c r="S52" s="685">
        <f t="shared" si="9"/>
        <v>0</v>
      </c>
      <c r="T52" s="685">
        <f t="shared" si="9"/>
        <v>0</v>
      </c>
      <c r="U52" s="685">
        <f t="shared" si="9"/>
        <v>0</v>
      </c>
    </row>
    <row r="53" spans="3:21" outlineLevel="1" x14ac:dyDescent="0.25">
      <c r="C53" s="684" t="s">
        <v>307</v>
      </c>
      <c r="D53" s="48" t="s">
        <v>46</v>
      </c>
      <c r="E53" s="686"/>
      <c r="F53" s="686"/>
      <c r="G53" s="686">
        <f>SUM(G50:G52)</f>
        <v>779.97884618018895</v>
      </c>
      <c r="H53" s="686">
        <f t="shared" ref="H53:U53" si="10">SUM(H50:H52)</f>
        <v>899.19478523726752</v>
      </c>
      <c r="I53" s="686">
        <f t="shared" si="10"/>
        <v>977.03747586436486</v>
      </c>
      <c r="J53" s="686">
        <f t="shared" si="10"/>
        <v>1039.4102922930883</v>
      </c>
      <c r="K53" s="686">
        <f t="shared" si="10"/>
        <v>1040.3605381927216</v>
      </c>
      <c r="L53" s="686">
        <f t="shared" si="10"/>
        <v>995.96096835428887</v>
      </c>
      <c r="M53" s="686">
        <f t="shared" si="10"/>
        <v>892.50997063074055</v>
      </c>
      <c r="N53" s="686">
        <f t="shared" si="10"/>
        <v>743.79916140313992</v>
      </c>
      <c r="O53" s="686">
        <f t="shared" si="10"/>
        <v>541.25503923514793</v>
      </c>
      <c r="P53" s="686">
        <f t="shared" si="10"/>
        <v>276.5973862689716</v>
      </c>
      <c r="Q53" s="686">
        <f t="shared" si="10"/>
        <v>0</v>
      </c>
      <c r="R53" s="686">
        <f t="shared" si="10"/>
        <v>0</v>
      </c>
      <c r="S53" s="686">
        <f t="shared" si="10"/>
        <v>0</v>
      </c>
      <c r="T53" s="686">
        <f t="shared" si="10"/>
        <v>0</v>
      </c>
      <c r="U53" s="686">
        <f t="shared" si="10"/>
        <v>0</v>
      </c>
    </row>
    <row r="54" spans="3:21" outlineLevel="1" x14ac:dyDescent="0.25">
      <c r="C54" s="177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</row>
    <row r="55" spans="3:21" outlineLevel="1" x14ac:dyDescent="0.25">
      <c r="C55" s="93" t="s">
        <v>476</v>
      </c>
      <c r="D55" s="180" t="s">
        <v>46</v>
      </c>
      <c r="E55" s="686"/>
      <c r="F55" s="686"/>
      <c r="G55" s="686">
        <f>+G47+G52</f>
        <v>-134.28793708927995</v>
      </c>
      <c r="H55" s="686">
        <f t="shared" ref="H55:U55" si="11">+H47+H52</f>
        <v>-119.21593905707863</v>
      </c>
      <c r="I55" s="686">
        <f t="shared" si="11"/>
        <v>-77.84269062709734</v>
      </c>
      <c r="J55" s="686">
        <f t="shared" si="11"/>
        <v>-62.372816428723468</v>
      </c>
      <c r="K55" s="686">
        <f t="shared" si="11"/>
        <v>-0.9502458996332166</v>
      </c>
      <c r="L55" s="686">
        <f t="shared" si="11"/>
        <v>0</v>
      </c>
      <c r="M55" s="686">
        <f t="shared" si="11"/>
        <v>0</v>
      </c>
      <c r="N55" s="686">
        <f t="shared" si="11"/>
        <v>0</v>
      </c>
      <c r="O55" s="686">
        <f t="shared" si="11"/>
        <v>0</v>
      </c>
      <c r="P55" s="686">
        <f t="shared" si="11"/>
        <v>0</v>
      </c>
      <c r="Q55" s="686">
        <f t="shared" si="11"/>
        <v>57.627421191171038</v>
      </c>
      <c r="R55" s="686">
        <f t="shared" si="11"/>
        <v>409.84317014799996</v>
      </c>
      <c r="S55" s="686">
        <f t="shared" si="11"/>
        <v>442.63062375983998</v>
      </c>
      <c r="T55" s="686">
        <f t="shared" si="11"/>
        <v>473.61476742302875</v>
      </c>
      <c r="U55" s="686">
        <f t="shared" si="11"/>
        <v>502.03165346841052</v>
      </c>
    </row>
    <row r="56" spans="3:21" outlineLevel="1" x14ac:dyDescent="0.25">
      <c r="C56" s="177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</row>
    <row r="57" spans="3:21" outlineLevel="1" x14ac:dyDescent="0.25">
      <c r="C57" s="92" t="s">
        <v>474</v>
      </c>
      <c r="D57" s="180" t="s">
        <v>46</v>
      </c>
      <c r="E57" s="321"/>
      <c r="F57" s="321"/>
      <c r="G57" s="321">
        <f t="shared" ref="G57:U57" si="12">-MAX(G55,0)*Sub_Tax_Rate</f>
        <v>0</v>
      </c>
      <c r="H57" s="321">
        <f t="shared" si="12"/>
        <v>0</v>
      </c>
      <c r="I57" s="321">
        <f t="shared" si="12"/>
        <v>0</v>
      </c>
      <c r="J57" s="321">
        <f t="shared" si="12"/>
        <v>0</v>
      </c>
      <c r="K57" s="321">
        <f t="shared" si="12"/>
        <v>0</v>
      </c>
      <c r="L57" s="321">
        <f t="shared" si="12"/>
        <v>0</v>
      </c>
      <c r="M57" s="321">
        <f t="shared" si="12"/>
        <v>0</v>
      </c>
      <c r="N57" s="321">
        <f t="shared" si="12"/>
        <v>0</v>
      </c>
      <c r="O57" s="321">
        <f t="shared" si="12"/>
        <v>0</v>
      </c>
      <c r="P57" s="321">
        <f t="shared" si="12"/>
        <v>0</v>
      </c>
      <c r="Q57" s="321">
        <f t="shared" si="12"/>
        <v>-11.525484238234208</v>
      </c>
      <c r="R57" s="321">
        <f t="shared" si="12"/>
        <v>-81.968634029599997</v>
      </c>
      <c r="S57" s="321">
        <f t="shared" si="12"/>
        <v>-88.526124751967998</v>
      </c>
      <c r="T57" s="321">
        <f t="shared" si="12"/>
        <v>-94.722953484605753</v>
      </c>
      <c r="U57" s="321">
        <f t="shared" si="12"/>
        <v>-100.40633069368211</v>
      </c>
    </row>
    <row r="58" spans="3:21" outlineLevel="1" x14ac:dyDescent="0.25">
      <c r="C58" s="9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</row>
    <row r="59" spans="3:21" outlineLevel="1" x14ac:dyDescent="0.25">
      <c r="C59" s="93" t="s">
        <v>172</v>
      </c>
      <c r="D59" s="180" t="s">
        <v>46</v>
      </c>
      <c r="E59" s="183"/>
      <c r="F59" s="183"/>
      <c r="G59" s="686">
        <f>+G47+G57</f>
        <v>-134.28793708927995</v>
      </c>
      <c r="H59" s="686">
        <f t="shared" ref="H59:U59" si="13">+H47+H57</f>
        <v>-119.21593905707863</v>
      </c>
      <c r="I59" s="686">
        <f t="shared" si="13"/>
        <v>-77.84269062709734</v>
      </c>
      <c r="J59" s="686">
        <f t="shared" si="13"/>
        <v>-62.372816428723468</v>
      </c>
      <c r="K59" s="686">
        <f t="shared" si="13"/>
        <v>-0.9502458996332166</v>
      </c>
      <c r="L59" s="686">
        <f t="shared" si="13"/>
        <v>44.399569838432726</v>
      </c>
      <c r="M59" s="686">
        <f t="shared" si="13"/>
        <v>103.45099772354827</v>
      </c>
      <c r="N59" s="686">
        <f t="shared" si="13"/>
        <v>148.71080922760061</v>
      </c>
      <c r="O59" s="686">
        <f t="shared" si="13"/>
        <v>202.54412216799201</v>
      </c>
      <c r="P59" s="686">
        <f t="shared" si="13"/>
        <v>264.65765296617633</v>
      </c>
      <c r="Q59" s="686">
        <f t="shared" si="13"/>
        <v>322.69932322190846</v>
      </c>
      <c r="R59" s="686">
        <f t="shared" si="13"/>
        <v>327.87453611839999</v>
      </c>
      <c r="S59" s="686">
        <f t="shared" si="13"/>
        <v>354.10449900787199</v>
      </c>
      <c r="T59" s="686">
        <f t="shared" si="13"/>
        <v>378.89181393842301</v>
      </c>
      <c r="U59" s="686">
        <f t="shared" si="13"/>
        <v>401.62532277472843</v>
      </c>
    </row>
    <row r="60" spans="3:21" outlineLevel="1" x14ac:dyDescent="0.25"/>
    <row r="61" spans="3:21" outlineLevel="1" x14ac:dyDescent="0.25">
      <c r="C61" s="249" t="s">
        <v>173</v>
      </c>
    </row>
    <row r="62" spans="3:21" outlineLevel="1" x14ac:dyDescent="0.25">
      <c r="C62" s="179" t="s">
        <v>45</v>
      </c>
      <c r="D62" s="180" t="s">
        <v>46</v>
      </c>
      <c r="E62" s="321"/>
      <c r="F62" s="321"/>
      <c r="G62" s="321">
        <f>SUM(MAXN_Adj!G125:G128)</f>
        <v>50.357976408480006</v>
      </c>
      <c r="H62" s="321">
        <f>SUM(MAXN_Adj!K125:K128)</f>
        <v>79.802552339041966</v>
      </c>
      <c r="I62" s="321">
        <f>SUM(MAXN_Adj!L125:L128)</f>
        <v>94.849663025377538</v>
      </c>
      <c r="J62" s="321">
        <f>SUM(MAXN_Adj!M125:M128)</f>
        <v>108.13004123872369</v>
      </c>
      <c r="K62" s="321">
        <f>SUM(MAXN_Adj!N125:N128)</f>
        <v>120.77292459608181</v>
      </c>
      <c r="L62" s="321">
        <f>+L63*L44</f>
        <v>128.75875253145492</v>
      </c>
      <c r="M62" s="321">
        <f t="shared" ref="M62:U62" si="14">+M63*M44</f>
        <v>147.41767175605628</v>
      </c>
      <c r="N62" s="321">
        <f t="shared" si="14"/>
        <v>166.5561063349127</v>
      </c>
      <c r="O62" s="321">
        <f t="shared" si="14"/>
        <v>185.66544532065936</v>
      </c>
      <c r="P62" s="321">
        <f t="shared" si="14"/>
        <v>207.94529875913852</v>
      </c>
      <c r="Q62" s="321">
        <f t="shared" si="14"/>
        <v>229.77955512884805</v>
      </c>
      <c r="R62" s="321">
        <f t="shared" si="14"/>
        <v>250.4597150904444</v>
      </c>
      <c r="S62" s="321">
        <f t="shared" si="14"/>
        <v>270.49649229767999</v>
      </c>
      <c r="T62" s="321">
        <f t="shared" si="14"/>
        <v>289.4312467585176</v>
      </c>
      <c r="U62" s="321">
        <f t="shared" si="14"/>
        <v>306.79712156402866</v>
      </c>
    </row>
    <row r="63" spans="3:21" outlineLevel="1" x14ac:dyDescent="0.25">
      <c r="C63" s="250" t="s">
        <v>174</v>
      </c>
      <c r="D63" s="247" t="s">
        <v>32</v>
      </c>
      <c r="E63" s="248"/>
      <c r="F63" s="248"/>
      <c r="G63" s="248">
        <f>G62/G$44</f>
        <v>6.0000000000000005E-2</v>
      </c>
      <c r="H63" s="248">
        <f>H62/H$44</f>
        <v>7.5211728337276448E-2</v>
      </c>
      <c r="I63" s="248">
        <f t="shared" ref="I63:K63" si="15">I62/I$44</f>
        <v>7.2467587996469573E-2</v>
      </c>
      <c r="J63" s="248">
        <f t="shared" si="15"/>
        <v>6.8161167045440396E-2</v>
      </c>
      <c r="K63" s="248">
        <f t="shared" si="15"/>
        <v>6.4195239522350789E-2</v>
      </c>
      <c r="L63" s="243">
        <v>5.8000000000000003E-2</v>
      </c>
      <c r="M63" s="243">
        <v>5.7000000000000002E-2</v>
      </c>
      <c r="N63" s="243">
        <v>5.6000000000000001E-2</v>
      </c>
      <c r="O63" s="243">
        <v>5.5E-2</v>
      </c>
      <c r="P63" s="243">
        <v>5.5E-2</v>
      </c>
      <c r="Q63" s="243">
        <v>5.5E-2</v>
      </c>
      <c r="R63" s="243">
        <v>5.5E-2</v>
      </c>
      <c r="S63" s="243">
        <v>5.5E-2</v>
      </c>
      <c r="T63" s="243">
        <v>5.5E-2</v>
      </c>
      <c r="U63" s="243">
        <v>5.5E-2</v>
      </c>
    </row>
    <row r="64" spans="3:21" outlineLevel="1" x14ac:dyDescent="0.25">
      <c r="C64" s="179"/>
      <c r="D64" s="180"/>
      <c r="E64" s="246"/>
      <c r="F64" s="246"/>
      <c r="G64" s="246"/>
      <c r="H64" s="246"/>
      <c r="I64" s="246"/>
      <c r="J64" s="246"/>
      <c r="K64" s="246"/>
    </row>
    <row r="65" spans="2:21" outlineLevel="1" x14ac:dyDescent="0.25">
      <c r="C65" s="683" t="s">
        <v>475</v>
      </c>
      <c r="D65" s="180" t="s">
        <v>46</v>
      </c>
      <c r="E65" s="246"/>
      <c r="F65" s="246"/>
      <c r="G65" s="321">
        <f>SUM(MAXN_Adj!G138:G145)</f>
        <v>-33.126255084560164</v>
      </c>
      <c r="H65" s="321">
        <f>SUM(MAXN_Adj!K138:K145)</f>
        <v>-8.9578685011661925</v>
      </c>
      <c r="I65" s="321">
        <f>SUM(MAXN_Adj!L138:L145)</f>
        <v>-5.7700254331436867</v>
      </c>
      <c r="J65" s="321">
        <f>SUM(MAXN_Adj!M138:M145)</f>
        <v>-4.1313660475662246</v>
      </c>
      <c r="K65" s="321">
        <f>SUM(MAXN_Adj!N138:N145)</f>
        <v>-5.260949072747735</v>
      </c>
      <c r="L65" s="321">
        <f>+L66*(L44-K44)</f>
        <v>-6.7728157380660106</v>
      </c>
      <c r="M65" s="321">
        <f t="shared" ref="M65:U65" si="16">+M66*(M44-L44)</f>
        <v>-7.3259290233414047</v>
      </c>
      <c r="N65" s="321">
        <f t="shared" si="16"/>
        <v>-7.7588248292661142</v>
      </c>
      <c r="O65" s="321">
        <f t="shared" si="16"/>
        <v>-8.030383698290434</v>
      </c>
      <c r="P65" s="321">
        <f t="shared" si="16"/>
        <v>-8.1017648867196925</v>
      </c>
      <c r="Q65" s="321">
        <f t="shared" si="16"/>
        <v>-7.9397295889852835</v>
      </c>
      <c r="R65" s="321">
        <f t="shared" si="16"/>
        <v>-7.5200581678532217</v>
      </c>
      <c r="S65" s="321">
        <f t="shared" si="16"/>
        <v>-7.2861008026311174</v>
      </c>
      <c r="T65" s="321">
        <f t="shared" si="16"/>
        <v>-6.8853652584863996</v>
      </c>
      <c r="U65" s="321">
        <f t="shared" si="16"/>
        <v>-6.3148635656403895</v>
      </c>
    </row>
    <row r="66" spans="2:21" outlineLevel="1" x14ac:dyDescent="0.25">
      <c r="C66" s="250" t="s">
        <v>175</v>
      </c>
      <c r="D66" s="247" t="s">
        <v>32</v>
      </c>
      <c r="E66" s="248"/>
      <c r="F66" s="248"/>
      <c r="G66" s="248">
        <f>G65/(G44-F44)</f>
        <v>9.2273332952899412E-2</v>
      </c>
      <c r="H66" s="248">
        <f>H65/(H44-G44)</f>
        <v>-4.039824241768708E-2</v>
      </c>
      <c r="I66" s="248">
        <f t="shared" ref="I66:K66" si="17">I65/(I44-H44)</f>
        <v>-2.3283348373277335E-2</v>
      </c>
      <c r="J66" s="248">
        <f t="shared" si="17"/>
        <v>-1.4886120753420405E-2</v>
      </c>
      <c r="K66" s="248">
        <f t="shared" si="17"/>
        <v>-1.7836752288854452E-2</v>
      </c>
      <c r="L66" s="243">
        <v>-0.02</v>
      </c>
      <c r="M66" s="243">
        <v>-0.02</v>
      </c>
      <c r="N66" s="243">
        <v>-0.02</v>
      </c>
      <c r="O66" s="243">
        <v>-0.02</v>
      </c>
      <c r="P66" s="243">
        <v>-0.02</v>
      </c>
      <c r="Q66" s="243">
        <v>-0.02</v>
      </c>
      <c r="R66" s="243">
        <v>-0.02</v>
      </c>
      <c r="S66" s="243">
        <v>-0.02</v>
      </c>
      <c r="T66" s="243">
        <v>-0.02</v>
      </c>
      <c r="U66" s="243">
        <v>-0.02</v>
      </c>
    </row>
    <row r="67" spans="2:21" outlineLevel="1" x14ac:dyDescent="0.25">
      <c r="C67" s="177"/>
      <c r="E67" s="183"/>
      <c r="F67" s="183"/>
      <c r="G67" s="183"/>
      <c r="H67" s="183"/>
      <c r="I67" s="183"/>
      <c r="J67" s="183"/>
      <c r="K67" s="183"/>
    </row>
    <row r="68" spans="2:21" outlineLevel="1" x14ac:dyDescent="0.25">
      <c r="C68" s="179" t="s">
        <v>176</v>
      </c>
      <c r="D68" s="180" t="s">
        <v>46</v>
      </c>
      <c r="E68" s="321"/>
      <c r="F68" s="321"/>
      <c r="G68" s="321">
        <f>MAXN_Adj!G148+MAXN_Adj!G150</f>
        <v>-79.196498034039976</v>
      </c>
      <c r="H68" s="321">
        <f>MAXN_Adj!K148+MAXN_Adj!K150</f>
        <v>-167.42727070262563</v>
      </c>
      <c r="I68" s="321">
        <f>MAXN_Adj!L148+MAXN_Adj!L150</f>
        <v>-160.42652333877732</v>
      </c>
      <c r="J68" s="321">
        <f>MAXN_Adj!M148+MAXN_Adj!M150</f>
        <v>-142.77489857234082</v>
      </c>
      <c r="K68" s="321">
        <f>MAXN_Adj!N148+MAXN_Adj!N150</f>
        <v>-150.50701640146687</v>
      </c>
      <c r="L68" s="321">
        <f>L69*L44</f>
        <v>-170.93834387796599</v>
      </c>
      <c r="M68" s="321">
        <f t="shared" ref="M68:U68" si="18">M69*M44</f>
        <v>-193.97062073165299</v>
      </c>
      <c r="N68" s="321">
        <f t="shared" si="18"/>
        <v>-217.11778147229688</v>
      </c>
      <c r="O68" s="321">
        <f t="shared" si="18"/>
        <v>-236.30147586265741</v>
      </c>
      <c r="P68" s="321">
        <f t="shared" si="18"/>
        <v>-264.65765296617633</v>
      </c>
      <c r="Q68" s="321">
        <f t="shared" si="18"/>
        <v>-292.44670652762483</v>
      </c>
      <c r="R68" s="321">
        <f t="shared" si="18"/>
        <v>-318.7669101151111</v>
      </c>
      <c r="S68" s="321">
        <f t="shared" si="18"/>
        <v>-344.26826292432003</v>
      </c>
      <c r="T68" s="321">
        <f t="shared" si="18"/>
        <v>-368.36704132902241</v>
      </c>
      <c r="U68" s="321">
        <f t="shared" si="18"/>
        <v>-390.46906380876379</v>
      </c>
    </row>
    <row r="69" spans="2:21" outlineLevel="1" x14ac:dyDescent="0.25">
      <c r="C69" s="250" t="s">
        <v>174</v>
      </c>
      <c r="D69" s="247" t="s">
        <v>32</v>
      </c>
      <c r="E69" s="248"/>
      <c r="F69" s="248"/>
      <c r="G69" s="248">
        <f>G68/G$44</f>
        <v>-9.4360222966430082E-2</v>
      </c>
      <c r="H69" s="248">
        <f>H68/H$44</f>
        <v>-0.15779563474158298</v>
      </c>
      <c r="I69" s="248">
        <f t="shared" ref="I69:K69" si="19">I68/I$44</f>
        <v>-0.12257</v>
      </c>
      <c r="J69" s="248">
        <f t="shared" si="19"/>
        <v>-0.09</v>
      </c>
      <c r="K69" s="248">
        <f t="shared" si="19"/>
        <v>-0.08</v>
      </c>
      <c r="L69" s="243">
        <v>-7.6999999999999999E-2</v>
      </c>
      <c r="M69" s="243">
        <v>-7.4999999999999997E-2</v>
      </c>
      <c r="N69" s="243">
        <v>-7.2999999999999995E-2</v>
      </c>
      <c r="O69" s="243">
        <v>-7.0000000000000007E-2</v>
      </c>
      <c r="P69" s="243">
        <v>-7.0000000000000007E-2</v>
      </c>
      <c r="Q69" s="243">
        <v>-7.0000000000000007E-2</v>
      </c>
      <c r="R69" s="243">
        <v>-7.0000000000000007E-2</v>
      </c>
      <c r="S69" s="243">
        <v>-7.0000000000000007E-2</v>
      </c>
      <c r="T69" s="243">
        <v>-7.0000000000000007E-2</v>
      </c>
      <c r="U69" s="243">
        <v>-7.0000000000000007E-2</v>
      </c>
    </row>
    <row r="70" spans="2:21" outlineLevel="1" x14ac:dyDescent="0.25">
      <c r="C70" s="177"/>
    </row>
    <row r="71" spans="2:21" outlineLevel="1" x14ac:dyDescent="0.25">
      <c r="C71" s="251" t="s">
        <v>177</v>
      </c>
      <c r="D71" s="252" t="s">
        <v>46</v>
      </c>
      <c r="E71" s="326"/>
      <c r="F71" s="326"/>
      <c r="G71" s="326">
        <f>+G59+G62+G65+G68</f>
        <v>-196.25271379940011</v>
      </c>
      <c r="H71" s="326">
        <f t="shared" ref="H71:U71" si="20">+H59+H62+H65+H68</f>
        <v>-215.79852592182849</v>
      </c>
      <c r="I71" s="326">
        <f t="shared" si="20"/>
        <v>-149.18957637364082</v>
      </c>
      <c r="J71" s="326">
        <f t="shared" si="20"/>
        <v>-101.14903980990681</v>
      </c>
      <c r="K71" s="326">
        <f t="shared" si="20"/>
        <v>-35.945286777766015</v>
      </c>
      <c r="L71" s="326">
        <f t="shared" si="20"/>
        <v>-4.552837246144378</v>
      </c>
      <c r="M71" s="326">
        <f t="shared" si="20"/>
        <v>49.572119724610133</v>
      </c>
      <c r="N71" s="326">
        <f t="shared" si="20"/>
        <v>90.390309260950289</v>
      </c>
      <c r="O71" s="326">
        <f t="shared" si="20"/>
        <v>143.87770792770351</v>
      </c>
      <c r="P71" s="326">
        <f t="shared" si="20"/>
        <v>199.84353387241879</v>
      </c>
      <c r="Q71" s="326">
        <f t="shared" si="20"/>
        <v>252.0924422341464</v>
      </c>
      <c r="R71" s="326">
        <f t="shared" si="20"/>
        <v>252.0472829258801</v>
      </c>
      <c r="S71" s="326">
        <f t="shared" si="20"/>
        <v>273.04662757860086</v>
      </c>
      <c r="T71" s="326">
        <f t="shared" si="20"/>
        <v>293.07065410943176</v>
      </c>
      <c r="U71" s="326">
        <f t="shared" si="20"/>
        <v>311.63851696435285</v>
      </c>
    </row>
    <row r="72" spans="2:21" outlineLevel="1" x14ac:dyDescent="0.25">
      <c r="C72" s="253" t="s">
        <v>118</v>
      </c>
      <c r="D72" s="254" t="s">
        <v>32</v>
      </c>
      <c r="E72" s="347"/>
      <c r="F72" s="347"/>
      <c r="G72" s="347" t="str">
        <f t="shared" ref="G72" si="21">IFERROR(G71/F71-1,"N/A")</f>
        <v>N/A</v>
      </c>
      <c r="H72" s="347">
        <f t="shared" ref="H72" si="22">IFERROR(H71/G71-1,"N/A")</f>
        <v>9.9595117662460098E-2</v>
      </c>
      <c r="I72" s="347">
        <f t="shared" ref="I72" si="23">IFERROR(I71/H71-1,"N/A")</f>
        <v>-0.30866267164547867</v>
      </c>
      <c r="J72" s="347">
        <f t="shared" ref="J72" si="24">IFERROR(J71/I71-1,"N/A")</f>
        <v>-0.32201000721000728</v>
      </c>
      <c r="K72" s="347">
        <f t="shared" ref="K72" si="25">IFERROR(K71/J71-1,"N/A")</f>
        <v>-0.64463046959892711</v>
      </c>
      <c r="L72" s="347">
        <f t="shared" ref="L72" si="26">IFERROR(L71/K71-1,"N/A")</f>
        <v>-0.87333979905925974</v>
      </c>
      <c r="M72" s="347">
        <f t="shared" ref="M72" si="27">IFERROR(M71/L71-1,"N/A")</f>
        <v>-11.888181818181804</v>
      </c>
      <c r="N72" s="347">
        <f t="shared" ref="N72" si="28">IFERROR(N71/M71-1,"N/A")</f>
        <v>0.82341021047917629</v>
      </c>
      <c r="O72" s="347">
        <f t="shared" ref="O72" si="29">IFERROR(O71/N71-1,"N/A")</f>
        <v>0.59173819742489164</v>
      </c>
      <c r="P72" s="347">
        <f t="shared" ref="P72" si="30">IFERROR(P71/O71-1,"N/A")</f>
        <v>0.38898191214470357</v>
      </c>
      <c r="Q72" s="347">
        <f t="shared" ref="Q72" si="31">IFERROR(Q71/P71-1,"N/A")</f>
        <v>0.26144908143529721</v>
      </c>
      <c r="R72" s="347">
        <f t="shared" ref="R72" si="32">IFERROR(R71/Q71-1,"N/A")</f>
        <v>-1.7913789031553939E-4</v>
      </c>
      <c r="S72" s="347">
        <f t="shared" ref="S72" si="33">IFERROR(S71/R71-1,"N/A")</f>
        <v>8.3315100281783572E-2</v>
      </c>
      <c r="T72" s="347">
        <f t="shared" ref="T72" si="34">IFERROR(T71/S71-1,"N/A")</f>
        <v>7.333555703802519E-2</v>
      </c>
      <c r="U72" s="347">
        <f t="shared" ref="U72" si="35">IFERROR(U71/T71-1,"N/A")</f>
        <v>6.3356267830172897E-2</v>
      </c>
    </row>
    <row r="73" spans="2:21" outlineLevel="1" x14ac:dyDescent="0.25">
      <c r="C73" s="253"/>
      <c r="D73" s="25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</row>
    <row r="74" spans="2:21" outlineLevel="1" x14ac:dyDescent="0.25">
      <c r="C74" s="92" t="s">
        <v>178</v>
      </c>
      <c r="D74" s="180" t="s">
        <v>46</v>
      </c>
      <c r="G74" s="327">
        <f t="shared" ref="G74:U74" si="36">+G71/((1+Sub_Discount_Rate)^((YEAR(G42)-YEAR($F42))-1))</f>
        <v>-196.25271379940011</v>
      </c>
      <c r="H74" s="327">
        <f t="shared" si="36"/>
        <v>-196.36412731236419</v>
      </c>
      <c r="I74" s="327">
        <f t="shared" si="36"/>
        <v>-123.52812142071282</v>
      </c>
      <c r="J74" s="327">
        <f t="shared" si="36"/>
        <v>-76.208392082905831</v>
      </c>
      <c r="K74" s="327">
        <f t="shared" si="36"/>
        <v>-24.643175219641893</v>
      </c>
      <c r="L74" s="327">
        <f t="shared" si="36"/>
        <v>-2.8402104155125723</v>
      </c>
      <c r="M74" s="327">
        <f t="shared" si="36"/>
        <v>28.139706161156077</v>
      </c>
      <c r="N74" s="327">
        <f t="shared" si="36"/>
        <v>46.689327505365767</v>
      </c>
      <c r="O74" s="327">
        <f t="shared" si="36"/>
        <v>67.624323712723537</v>
      </c>
      <c r="P74" s="327">
        <f t="shared" si="36"/>
        <v>85.469901444556498</v>
      </c>
      <c r="Q74" s="327">
        <f t="shared" si="36"/>
        <v>98.106234288434052</v>
      </c>
      <c r="R74" s="327">
        <f t="shared" si="36"/>
        <v>89.254984424520032</v>
      </c>
      <c r="S74" s="327">
        <f t="shared" si="36"/>
        <v>87.983443088561174</v>
      </c>
      <c r="T74" s="327">
        <f t="shared" si="36"/>
        <v>85.931055865312942</v>
      </c>
      <c r="U74" s="327">
        <f t="shared" si="36"/>
        <v>83.146241334338313</v>
      </c>
    </row>
    <row r="75" spans="2:21" outlineLevel="1" x14ac:dyDescent="0.25">
      <c r="C75" s="92"/>
    </row>
    <row r="76" spans="2:21" outlineLevel="1" x14ac:dyDescent="0.25">
      <c r="C76" s="255" t="s">
        <v>20</v>
      </c>
      <c r="D76" s="256" t="s">
        <v>46</v>
      </c>
      <c r="E76" s="325"/>
      <c r="F76" s="325"/>
      <c r="G76" s="325">
        <f>+G47+G62</f>
        <v>-83.929960680799951</v>
      </c>
      <c r="H76" s="325">
        <f t="shared" ref="H76:U76" si="37">+H47+H62</f>
        <v>-39.413386718036662</v>
      </c>
      <c r="I76" s="325">
        <f t="shared" si="37"/>
        <v>17.006972398280197</v>
      </c>
      <c r="J76" s="325">
        <f t="shared" si="37"/>
        <v>45.757224810000224</v>
      </c>
      <c r="K76" s="325">
        <f t="shared" si="37"/>
        <v>119.82267869644859</v>
      </c>
      <c r="L76" s="325">
        <f t="shared" si="37"/>
        <v>173.15832236988763</v>
      </c>
      <c r="M76" s="325">
        <f t="shared" si="37"/>
        <v>250.86866947960453</v>
      </c>
      <c r="N76" s="325">
        <f t="shared" si="37"/>
        <v>315.2669155625133</v>
      </c>
      <c r="O76" s="325">
        <f t="shared" si="37"/>
        <v>388.20956748865137</v>
      </c>
      <c r="P76" s="325">
        <f t="shared" si="37"/>
        <v>472.60295172531482</v>
      </c>
      <c r="Q76" s="325">
        <f t="shared" si="37"/>
        <v>564.00436258899072</v>
      </c>
      <c r="R76" s="325">
        <f t="shared" si="37"/>
        <v>660.30288523844433</v>
      </c>
      <c r="S76" s="325">
        <f t="shared" si="37"/>
        <v>713.12711605751997</v>
      </c>
      <c r="T76" s="325">
        <f t="shared" si="37"/>
        <v>763.0460141815463</v>
      </c>
      <c r="U76" s="325">
        <f t="shared" si="37"/>
        <v>808.82877503243913</v>
      </c>
    </row>
    <row r="77" spans="2:21" outlineLevel="1" x14ac:dyDescent="0.25">
      <c r="C77" s="253" t="s">
        <v>118</v>
      </c>
      <c r="D77" s="254" t="s">
        <v>32</v>
      </c>
      <c r="E77" s="347"/>
      <c r="F77" s="347"/>
      <c r="G77" s="347" t="str">
        <f t="shared" ref="G77" si="38">IFERROR(G76/F76-1,"N/A")</f>
        <v>N/A</v>
      </c>
      <c r="H77" s="347">
        <f t="shared" ref="H77" si="39">IFERROR(H76/G76-1,"N/A")</f>
        <v>-0.53040146333521432</v>
      </c>
      <c r="I77" s="347">
        <f t="shared" ref="I77" si="40">IFERROR(I76/H76-1,"N/A")</f>
        <v>-1.4315024364677937</v>
      </c>
      <c r="J77" s="347">
        <f t="shared" ref="J77" si="41">IFERROR(J76/I76-1,"N/A")</f>
        <v>1.6904979756789249</v>
      </c>
      <c r="K77" s="347">
        <f t="shared" ref="K77" si="42">IFERROR(K76/J76-1,"N/A")</f>
        <v>1.6186614068924343</v>
      </c>
      <c r="L77" s="347">
        <f t="shared" ref="L77" si="43">IFERROR(L76/K76-1,"N/A")</f>
        <v>0.4451214432332653</v>
      </c>
      <c r="M77" s="347">
        <f t="shared" ref="M77" si="44">IFERROR(M76/L76-1,"N/A")</f>
        <v>0.44878205128205151</v>
      </c>
      <c r="N77" s="347">
        <f t="shared" ref="N77" si="45">IFERROR(N76/M76-1,"N/A")</f>
        <v>0.25670103092783503</v>
      </c>
      <c r="O77" s="347">
        <f t="shared" ref="O77" si="46">IFERROR(O76/N76-1,"N/A")</f>
        <v>0.23136792452830179</v>
      </c>
      <c r="P77" s="347">
        <f t="shared" ref="P77" si="47">IFERROR(P76/O76-1,"N/A")</f>
        <v>0.21739130434782639</v>
      </c>
      <c r="Q77" s="347">
        <f t="shared" ref="Q77" si="48">IFERROR(Q76/P76-1,"N/A")</f>
        <v>0.19340000000000002</v>
      </c>
      <c r="R77" s="347">
        <f t="shared" ref="R77" si="49">IFERROR(R76/Q76-1,"N/A")</f>
        <v>0.17074074074074086</v>
      </c>
      <c r="S77" s="347">
        <f t="shared" ref="S77" si="50">IFERROR(S76/R76-1,"N/A")</f>
        <v>8.0000000000000071E-2</v>
      </c>
      <c r="T77" s="347">
        <f t="shared" ref="T77" si="51">IFERROR(T76/S76-1,"N/A")</f>
        <v>6.999999999999984E-2</v>
      </c>
      <c r="U77" s="347">
        <f t="shared" ref="U77" si="52">IFERROR(U76/T76-1,"N/A")</f>
        <v>6.0000000000000053E-2</v>
      </c>
    </row>
    <row r="78" spans="2:21" outlineLevel="1" x14ac:dyDescent="0.25">
      <c r="C78" s="762" t="s">
        <v>541</v>
      </c>
      <c r="D78" s="254" t="s">
        <v>32</v>
      </c>
      <c r="E78" s="347"/>
      <c r="F78" s="347"/>
      <c r="G78" s="347">
        <f>G76/G44</f>
        <v>-9.9999999999999936E-2</v>
      </c>
      <c r="H78" s="347">
        <f t="shared" ref="H78:U78" si="53">H76/H44</f>
        <v>-3.7146041671636348E-2</v>
      </c>
      <c r="I78" s="347">
        <f t="shared" si="53"/>
        <v>1.2993765391619259E-2</v>
      </c>
      <c r="J78" s="347">
        <f t="shared" si="53"/>
        <v>2.8843657212009481E-2</v>
      </c>
      <c r="K78" s="347">
        <f t="shared" si="53"/>
        <v>6.3690148970506483E-2</v>
      </c>
      <c r="L78" s="347">
        <f t="shared" si="53"/>
        <v>7.8E-2</v>
      </c>
      <c r="M78" s="347">
        <f t="shared" si="53"/>
        <v>9.7000000000000003E-2</v>
      </c>
      <c r="N78" s="347">
        <f t="shared" si="53"/>
        <v>0.106</v>
      </c>
      <c r="O78" s="347">
        <f t="shared" si="53"/>
        <v>0.11499999999999999</v>
      </c>
      <c r="P78" s="347">
        <f t="shared" si="53"/>
        <v>0.125</v>
      </c>
      <c r="Q78" s="347">
        <f t="shared" si="53"/>
        <v>0.13500000000000001</v>
      </c>
      <c r="R78" s="347">
        <f t="shared" si="53"/>
        <v>0.14499999999999999</v>
      </c>
      <c r="S78" s="347">
        <f t="shared" si="53"/>
        <v>0.14499999999999999</v>
      </c>
      <c r="T78" s="347">
        <f t="shared" si="53"/>
        <v>0.14499999999999999</v>
      </c>
      <c r="U78" s="347">
        <f t="shared" si="53"/>
        <v>0.14499999999999999</v>
      </c>
    </row>
    <row r="80" spans="2:21" x14ac:dyDescent="0.25">
      <c r="B80" s="235" t="s">
        <v>179</v>
      </c>
      <c r="C80" s="235"/>
      <c r="D80" s="257"/>
      <c r="E80" s="258"/>
      <c r="F80" s="258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</row>
    <row r="81" spans="3:17" outlineLevel="1" x14ac:dyDescent="0.25">
      <c r="E81" s="183"/>
      <c r="F81" s="183"/>
    </row>
    <row r="82" spans="3:17" outlineLevel="1" x14ac:dyDescent="0.25">
      <c r="C82" s="260" t="s">
        <v>502</v>
      </c>
      <c r="E82" s="183"/>
    </row>
    <row r="83" spans="3:17" outlineLevel="1" x14ac:dyDescent="0.25">
      <c r="C83" s="183"/>
      <c r="E83" s="183"/>
    </row>
    <row r="84" spans="3:17" outlineLevel="1" x14ac:dyDescent="0.25">
      <c r="C84" s="261"/>
      <c r="D84" s="262"/>
      <c r="E84" s="263" t="s">
        <v>180</v>
      </c>
      <c r="F84" s="263"/>
      <c r="G84" s="263"/>
      <c r="H84" s="263"/>
      <c r="I84" s="263"/>
      <c r="J84" s="263"/>
      <c r="K84" s="263"/>
      <c r="L84" s="263"/>
      <c r="M84" s="264"/>
      <c r="N84" s="734"/>
      <c r="O84" s="734"/>
    </row>
    <row r="85" spans="3:17" outlineLevel="1" x14ac:dyDescent="0.25">
      <c r="C85" s="265"/>
      <c r="D85" s="266">
        <f>$O$20</f>
        <v>911.37978348948275</v>
      </c>
      <c r="E85" s="267">
        <v>0</v>
      </c>
      <c r="F85" s="267">
        <f>E85+0.25%</f>
        <v>2.5000000000000001E-3</v>
      </c>
      <c r="G85" s="267">
        <f t="shared" ref="G85:M85" si="54">F85+0.25%</f>
        <v>5.0000000000000001E-3</v>
      </c>
      <c r="H85" s="267">
        <f t="shared" si="54"/>
        <v>7.4999999999999997E-3</v>
      </c>
      <c r="I85" s="267">
        <f t="shared" si="54"/>
        <v>0.01</v>
      </c>
      <c r="J85" s="267">
        <f t="shared" si="54"/>
        <v>1.2500000000000001E-2</v>
      </c>
      <c r="K85" s="267">
        <f t="shared" si="54"/>
        <v>1.5000000000000001E-2</v>
      </c>
      <c r="L85" s="267">
        <f t="shared" si="54"/>
        <v>1.7500000000000002E-2</v>
      </c>
      <c r="M85" s="730">
        <f t="shared" si="54"/>
        <v>0.02</v>
      </c>
      <c r="N85" s="742"/>
      <c r="O85" s="742"/>
    </row>
    <row r="86" spans="3:17" outlineLevel="1" x14ac:dyDescent="0.25">
      <c r="C86" s="800" t="s">
        <v>150</v>
      </c>
      <c r="D86" s="268">
        <v>0.109</v>
      </c>
      <c r="E86" s="722">
        <f t="dataTable" ref="E86:M94" dt2D="1" dtr="1" r1="O12" r2="D8"/>
        <v>603.83945168486116</v>
      </c>
      <c r="F86" s="723">
        <v>619.60733457814251</v>
      </c>
      <c r="G86" s="723">
        <v>636.13328876437004</v>
      </c>
      <c r="H86" s="723">
        <v>653.47332936371242</v>
      </c>
      <c r="I86" s="724">
        <v>671.68912958928411</v>
      </c>
      <c r="J86" s="723">
        <v>690.84875366074039</v>
      </c>
      <c r="K86" s="723">
        <v>711.02750667216753</v>
      </c>
      <c r="L86" s="723">
        <v>732.30892378258011</v>
      </c>
      <c r="M86" s="725">
        <v>754.78592612391458</v>
      </c>
      <c r="N86" s="269"/>
      <c r="O86" s="269"/>
      <c r="Q86" s="270"/>
    </row>
    <row r="87" spans="3:17" outlineLevel="1" x14ac:dyDescent="0.25">
      <c r="C87" s="801"/>
      <c r="D87" s="268">
        <f>D86-0.25%</f>
        <v>0.1065</v>
      </c>
      <c r="E87" s="719">
        <v>652.35096761527723</v>
      </c>
      <c r="F87" s="720">
        <v>669.40740541596665</v>
      </c>
      <c r="G87" s="720">
        <v>687.30406182752733</v>
      </c>
      <c r="H87" s="720">
        <v>706.10458977502549</v>
      </c>
      <c r="I87" s="721">
        <v>725.87923834156516</v>
      </c>
      <c r="J87" s="720">
        <v>746.70572991696315</v>
      </c>
      <c r="K87" s="720">
        <v>768.67028114128982</v>
      </c>
      <c r="L87" s="720">
        <v>791.86879591754541</v>
      </c>
      <c r="M87" s="721">
        <v>816.40826530514494</v>
      </c>
      <c r="N87" s="271"/>
      <c r="O87" s="271"/>
    </row>
    <row r="88" spans="3:17" outlineLevel="1" x14ac:dyDescent="0.25">
      <c r="C88" s="801"/>
      <c r="D88" s="268">
        <f t="shared" ref="D88:D94" si="55">D87-0.25%</f>
        <v>0.104</v>
      </c>
      <c r="E88" s="719">
        <v>703.76856116915155</v>
      </c>
      <c r="F88" s="720">
        <v>722.24102090329757</v>
      </c>
      <c r="G88" s="735">
        <v>741.64643314926911</v>
      </c>
      <c r="H88" s="720">
        <v>762.05730716964354</v>
      </c>
      <c r="I88" s="721">
        <v>783.55386597833581</v>
      </c>
      <c r="J88" s="720">
        <v>806.22510013176498</v>
      </c>
      <c r="K88" s="720">
        <v>830.16999912527467</v>
      </c>
      <c r="L88" s="720">
        <v>855.49899632650181</v>
      </c>
      <c r="M88" s="721">
        <v>882.33567193256386</v>
      </c>
      <c r="N88" s="271"/>
      <c r="O88" s="271"/>
    </row>
    <row r="89" spans="3:17" outlineLevel="1" x14ac:dyDescent="0.25">
      <c r="C89" s="801"/>
      <c r="D89" s="268">
        <f t="shared" si="55"/>
        <v>0.10149999999999999</v>
      </c>
      <c r="E89" s="719">
        <v>758.3227052624967</v>
      </c>
      <c r="F89" s="720">
        <v>778.35390124061769</v>
      </c>
      <c r="G89" s="720">
        <v>799.42298302071367</v>
      </c>
      <c r="H89" s="720">
        <v>821.61276064017659</v>
      </c>
      <c r="I89" s="721">
        <v>845.01509441370854</v>
      </c>
      <c r="J89" s="720">
        <v>869.73216603968604</v>
      </c>
      <c r="K89" s="720">
        <v>895.87797012959277</v>
      </c>
      <c r="L89" s="720">
        <v>923.58007208199433</v>
      </c>
      <c r="M89" s="721">
        <v>952.98168949159822</v>
      </c>
      <c r="N89" s="271"/>
      <c r="O89" s="271"/>
    </row>
    <row r="90" spans="3:17" outlineLevel="1" x14ac:dyDescent="0.25">
      <c r="C90" s="801"/>
      <c r="D90" s="268">
        <f t="shared" si="55"/>
        <v>9.8999999999999991E-2</v>
      </c>
      <c r="E90" s="719">
        <v>816.26770624392884</v>
      </c>
      <c r="F90" s="720">
        <v>838.01779010300572</v>
      </c>
      <c r="G90" s="720">
        <v>860.92479331628863</v>
      </c>
      <c r="H90" s="720">
        <v>885.08354533904082</v>
      </c>
      <c r="I90" s="736">
        <v>910.59953062149805</v>
      </c>
      <c r="J90" s="720">
        <v>937.5904283480279</v>
      </c>
      <c r="K90" s="720">
        <v>966.18792712970821</v>
      </c>
      <c r="L90" s="720">
        <v>996.53987368940614</v>
      </c>
      <c r="M90" s="721">
        <v>1028.812829525034</v>
      </c>
      <c r="N90" s="271"/>
      <c r="O90" s="271"/>
    </row>
    <row r="91" spans="3:17" outlineLevel="1" x14ac:dyDescent="0.25">
      <c r="C91" s="801"/>
      <c r="D91" s="268">
        <f t="shared" si="55"/>
        <v>9.6499999999999989E-2</v>
      </c>
      <c r="E91" s="719">
        <v>877.8848142514164</v>
      </c>
      <c r="F91" s="720">
        <v>901.53393868983051</v>
      </c>
      <c r="G91" s="720">
        <v>926.47536501012496</v>
      </c>
      <c r="H91" s="720">
        <v>952.81799505627885</v>
      </c>
      <c r="I91" s="721">
        <v>980.68332048082311</v>
      </c>
      <c r="J91" s="720">
        <v>1010.207296228257</v>
      </c>
      <c r="K91" s="720">
        <v>1041.5425588313612</v>
      </c>
      <c r="L91" s="720">
        <v>1074.8610659030171</v>
      </c>
      <c r="M91" s="721">
        <v>1110.3572531754344</v>
      </c>
      <c r="N91" s="271"/>
      <c r="O91" s="271"/>
    </row>
    <row r="92" spans="3:17" outlineLevel="1" x14ac:dyDescent="0.25">
      <c r="C92" s="801"/>
      <c r="D92" s="272">
        <f t="shared" si="55"/>
        <v>9.3999999999999986E-2</v>
      </c>
      <c r="E92" s="719">
        <v>943.48583099064274</v>
      </c>
      <c r="F92" s="720">
        <v>969.23716203839842</v>
      </c>
      <c r="G92" s="720">
        <v>996.43519707760072</v>
      </c>
      <c r="H92" s="720">
        <v>1025.2053728705143</v>
      </c>
      <c r="I92" s="721">
        <v>1055.688059127292</v>
      </c>
      <c r="J92" s="720">
        <v>1088.0408488354058</v>
      </c>
      <c r="K92" s="735">
        <v>1122.4412834617542</v>
      </c>
      <c r="L92" s="720">
        <v>1159.0901125081257</v>
      </c>
      <c r="M92" s="721">
        <v>1198.2152137873602</v>
      </c>
      <c r="N92" s="271"/>
      <c r="O92" s="271"/>
    </row>
    <row r="93" spans="3:17" outlineLevel="1" x14ac:dyDescent="0.25">
      <c r="C93" s="801"/>
      <c r="D93" s="272">
        <f t="shared" si="55"/>
        <v>9.1499999999999984E-2</v>
      </c>
      <c r="E93" s="719">
        <v>1013.4173101259993</v>
      </c>
      <c r="F93" s="720">
        <v>1041.5005801822977</v>
      </c>
      <c r="G93" s="720">
        <v>1071.2071606464742</v>
      </c>
      <c r="H93" s="720">
        <v>1102.6819899478046</v>
      </c>
      <c r="I93" s="721">
        <v>1136.0877903719156</v>
      </c>
      <c r="J93" s="720">
        <v>1171.6078819621102</v>
      </c>
      <c r="K93" s="720">
        <v>1209.4495481660424</v>
      </c>
      <c r="L93" s="720">
        <v>1249.8480837080783</v>
      </c>
      <c r="M93" s="721">
        <v>1293.0716916656415</v>
      </c>
      <c r="N93" s="271"/>
      <c r="O93" s="271"/>
    </row>
    <row r="94" spans="3:17" outlineLevel="1" x14ac:dyDescent="0.25">
      <c r="C94" s="802"/>
      <c r="D94" s="273">
        <f t="shared" si="55"/>
        <v>8.8999999999999982E-2</v>
      </c>
      <c r="E94" s="719">
        <v>1088.0654668694699</v>
      </c>
      <c r="F94" s="720">
        <v>1118.7411827684839</v>
      </c>
      <c r="G94" s="720">
        <v>1151.2428341376769</v>
      </c>
      <c r="H94" s="720">
        <v>1185.7384518485387</v>
      </c>
      <c r="I94" s="721">
        <v>1222.4173365031259</v>
      </c>
      <c r="J94" s="720">
        <v>1261.4935338802352</v>
      </c>
      <c r="K94" s="720">
        <v>1303.2100148639056</v>
      </c>
      <c r="L94" s="720">
        <v>1347.8437322800007</v>
      </c>
      <c r="M94" s="721">
        <v>1395.7117770450884</v>
      </c>
      <c r="N94" s="271"/>
      <c r="O94" s="271"/>
    </row>
    <row r="95" spans="3:17" outlineLevel="1" x14ac:dyDescent="0.25">
      <c r="C95" s="183"/>
      <c r="E95" s="183"/>
    </row>
    <row r="96" spans="3:17" outlineLevel="1" x14ac:dyDescent="0.25">
      <c r="C96" s="260" t="s">
        <v>503</v>
      </c>
      <c r="E96" s="183"/>
    </row>
    <row r="97" spans="3:15" outlineLevel="1" x14ac:dyDescent="0.25">
      <c r="C97" s="183"/>
      <c r="E97" s="183"/>
    </row>
    <row r="98" spans="3:15" outlineLevel="1" x14ac:dyDescent="0.25">
      <c r="C98" s="261"/>
      <c r="D98" s="262"/>
      <c r="E98" s="263" t="s">
        <v>181</v>
      </c>
      <c r="F98" s="263"/>
      <c r="G98" s="263"/>
      <c r="H98" s="263"/>
      <c r="I98" s="263"/>
      <c r="J98" s="263"/>
      <c r="K98" s="263"/>
      <c r="L98" s="263"/>
      <c r="M98" s="264"/>
      <c r="N98" s="734"/>
      <c r="O98" s="734"/>
    </row>
    <row r="99" spans="3:15" outlineLevel="1" x14ac:dyDescent="0.25">
      <c r="C99" s="265"/>
      <c r="D99" s="266">
        <f>$J$20</f>
        <v>911.37978348948275</v>
      </c>
      <c r="E99" s="274">
        <v>3.9</v>
      </c>
      <c r="F99" s="274">
        <f>E99+0.12</f>
        <v>4.0199999999999996</v>
      </c>
      <c r="G99" s="274">
        <f t="shared" ref="G99:M99" si="56">F99+0.12</f>
        <v>4.1399999999999997</v>
      </c>
      <c r="H99" s="274">
        <f t="shared" si="56"/>
        <v>4.26</v>
      </c>
      <c r="I99" s="274">
        <f t="shared" si="56"/>
        <v>4.38</v>
      </c>
      <c r="J99" s="274">
        <f t="shared" si="56"/>
        <v>4.5</v>
      </c>
      <c r="K99" s="274">
        <f t="shared" si="56"/>
        <v>4.62</v>
      </c>
      <c r="L99" s="274">
        <f t="shared" si="56"/>
        <v>4.74</v>
      </c>
      <c r="M99" s="275">
        <f t="shared" si="56"/>
        <v>4.8600000000000003</v>
      </c>
      <c r="N99" s="743"/>
      <c r="O99" s="743"/>
    </row>
    <row r="100" spans="3:15" outlineLevel="1" x14ac:dyDescent="0.25">
      <c r="C100" s="800" t="str">
        <f>+C86</f>
        <v>Discount Rate (WACC):</v>
      </c>
      <c r="D100" s="268">
        <f>D86</f>
        <v>0.109</v>
      </c>
      <c r="E100" s="722">
        <f t="dataTable" ref="E100:M108" dt2D="1" dtr="1" r1="J12" r2="D8" ca="1"/>
        <v>666.4119189884708</v>
      </c>
      <c r="F100" s="723">
        <v>686.97388548617459</v>
      </c>
      <c r="G100" s="723">
        <v>707.53585198387839</v>
      </c>
      <c r="H100" s="723">
        <v>728.09781848158229</v>
      </c>
      <c r="I100" s="724">
        <v>748.6597849792862</v>
      </c>
      <c r="J100" s="723">
        <v>769.22175147698999</v>
      </c>
      <c r="K100" s="723">
        <v>789.7837179746939</v>
      </c>
      <c r="L100" s="723">
        <v>810.34568447239781</v>
      </c>
      <c r="M100" s="725">
        <v>830.9076509701016</v>
      </c>
      <c r="N100" s="269"/>
      <c r="O100" s="269"/>
    </row>
    <row r="101" spans="3:15" outlineLevel="1" x14ac:dyDescent="0.25">
      <c r="C101" s="801"/>
      <c r="D101" s="268">
        <f t="shared" ref="D101:D108" si="57">D87</f>
        <v>0.1065</v>
      </c>
      <c r="E101" s="719">
        <v>702.3702598754561</v>
      </c>
      <c r="F101" s="720">
        <v>723.64021460157278</v>
      </c>
      <c r="G101" s="720">
        <v>744.91016932768957</v>
      </c>
      <c r="H101" s="720">
        <v>766.18012405380625</v>
      </c>
      <c r="I101" s="721">
        <v>787.45007877992305</v>
      </c>
      <c r="J101" s="720">
        <v>808.72003350603984</v>
      </c>
      <c r="K101" s="720">
        <v>829.98998823215652</v>
      </c>
      <c r="L101" s="720">
        <v>851.25994295827331</v>
      </c>
      <c r="M101" s="721">
        <v>872.52989768439011</v>
      </c>
      <c r="N101" s="271"/>
      <c r="O101" s="271"/>
    </row>
    <row r="102" spans="3:15" outlineLevel="1" x14ac:dyDescent="0.25">
      <c r="C102" s="801"/>
      <c r="D102" s="268">
        <f t="shared" si="57"/>
        <v>0.104</v>
      </c>
      <c r="E102" s="719">
        <v>739.56732992118145</v>
      </c>
      <c r="F102" s="720">
        <v>761.57133510257972</v>
      </c>
      <c r="G102" s="735">
        <v>783.57534028397799</v>
      </c>
      <c r="H102" s="720">
        <v>805.57934546537649</v>
      </c>
      <c r="I102" s="721">
        <v>827.58335064677476</v>
      </c>
      <c r="J102" s="720">
        <v>849.58735582817303</v>
      </c>
      <c r="K102" s="720">
        <v>871.59136100957153</v>
      </c>
      <c r="L102" s="720">
        <v>893.59536619097003</v>
      </c>
      <c r="M102" s="721">
        <v>915.5993713723683</v>
      </c>
      <c r="N102" s="271"/>
      <c r="O102" s="271"/>
    </row>
    <row r="103" spans="3:15" outlineLevel="1" x14ac:dyDescent="0.25">
      <c r="C103" s="801"/>
      <c r="D103" s="268">
        <f t="shared" si="57"/>
        <v>0.10149999999999999</v>
      </c>
      <c r="E103" s="719">
        <v>778.04869639640071</v>
      </c>
      <c r="F103" s="720">
        <v>800.81383596042406</v>
      </c>
      <c r="G103" s="720">
        <v>823.5789755244474</v>
      </c>
      <c r="H103" s="720">
        <v>846.34411508847086</v>
      </c>
      <c r="I103" s="721">
        <v>869.10925465249431</v>
      </c>
      <c r="J103" s="720">
        <v>891.87439421651777</v>
      </c>
      <c r="K103" s="720">
        <v>914.63953378054123</v>
      </c>
      <c r="L103" s="720">
        <v>937.40467334456469</v>
      </c>
      <c r="M103" s="721">
        <v>960.16981290858803</v>
      </c>
      <c r="N103" s="271"/>
      <c r="O103" s="271"/>
    </row>
    <row r="104" spans="3:15" outlineLevel="1" x14ac:dyDescent="0.25">
      <c r="C104" s="801"/>
      <c r="D104" s="268">
        <f t="shared" si="57"/>
        <v>9.8999999999999991E-2</v>
      </c>
      <c r="E104" s="719">
        <v>817.86173147596719</v>
      </c>
      <c r="F104" s="720">
        <v>841.41615355731039</v>
      </c>
      <c r="G104" s="720">
        <v>864.97057563865349</v>
      </c>
      <c r="H104" s="720">
        <v>888.52499771999669</v>
      </c>
      <c r="I104" s="736">
        <v>912.07941980134001</v>
      </c>
      <c r="J104" s="720">
        <v>935.6338418826831</v>
      </c>
      <c r="K104" s="720">
        <v>959.18826396402642</v>
      </c>
      <c r="L104" s="720">
        <v>982.74268604536962</v>
      </c>
      <c r="M104" s="721">
        <v>1006.2971081267128</v>
      </c>
      <c r="N104" s="271"/>
      <c r="O104" s="271"/>
    </row>
    <row r="105" spans="3:15" outlineLevel="1" x14ac:dyDescent="0.25">
      <c r="C105" s="801"/>
      <c r="D105" s="268">
        <f t="shared" si="57"/>
        <v>9.6499999999999989E-2</v>
      </c>
      <c r="E105" s="719">
        <v>859.05568876646566</v>
      </c>
      <c r="F105" s="720">
        <v>883.4286500850701</v>
      </c>
      <c r="G105" s="720">
        <v>907.80161140367454</v>
      </c>
      <c r="H105" s="720">
        <v>932.17457272227921</v>
      </c>
      <c r="I105" s="721">
        <v>956.54753404088376</v>
      </c>
      <c r="J105" s="720">
        <v>980.9204953594882</v>
      </c>
      <c r="K105" s="720">
        <v>1005.2934566780928</v>
      </c>
      <c r="L105" s="720">
        <v>1029.6664179966972</v>
      </c>
      <c r="M105" s="721">
        <v>1054.0393793153016</v>
      </c>
      <c r="N105" s="271"/>
      <c r="O105" s="271"/>
    </row>
    <row r="106" spans="3:15" outlineLevel="1" x14ac:dyDescent="0.25">
      <c r="C106" s="801"/>
      <c r="D106" s="272">
        <f t="shared" si="57"/>
        <v>9.3999999999999986E-2</v>
      </c>
      <c r="E106" s="719">
        <v>901.68178328634838</v>
      </c>
      <c r="F106" s="720">
        <v>926.90369548320825</v>
      </c>
      <c r="G106" s="720">
        <v>952.12560768006813</v>
      </c>
      <c r="H106" s="720">
        <v>977.34751987692823</v>
      </c>
      <c r="I106" s="721">
        <v>1002.5694320737882</v>
      </c>
      <c r="J106" s="720">
        <v>1027.7913442706481</v>
      </c>
      <c r="K106" s="735">
        <v>1053.0132564675082</v>
      </c>
      <c r="L106" s="720">
        <v>1078.2351686643681</v>
      </c>
      <c r="M106" s="721">
        <v>1103.457080861228</v>
      </c>
      <c r="N106" s="271"/>
      <c r="O106" s="271"/>
    </row>
    <row r="107" spans="3:15" outlineLevel="1" x14ac:dyDescent="0.25">
      <c r="C107" s="801"/>
      <c r="D107" s="272">
        <f t="shared" si="57"/>
        <v>9.1499999999999984E-2</v>
      </c>
      <c r="E107" s="719">
        <v>945.79327506352001</v>
      </c>
      <c r="F107" s="720">
        <v>971.89575308553685</v>
      </c>
      <c r="G107" s="720">
        <v>997.99823110755381</v>
      </c>
      <c r="H107" s="720">
        <v>1024.100709129571</v>
      </c>
      <c r="I107" s="721">
        <v>1050.2031871515878</v>
      </c>
      <c r="J107" s="720">
        <v>1076.3056651736049</v>
      </c>
      <c r="K107" s="720">
        <v>1102.408143195622</v>
      </c>
      <c r="L107" s="720">
        <v>1128.5106212176388</v>
      </c>
      <c r="M107" s="721">
        <v>1154.6130992396561</v>
      </c>
      <c r="N107" s="271"/>
      <c r="O107" s="271"/>
    </row>
    <row r="108" spans="3:15" outlineLevel="1" x14ac:dyDescent="0.25">
      <c r="C108" s="802"/>
      <c r="D108" s="273">
        <f t="shared" si="57"/>
        <v>8.8999999999999982E-2</v>
      </c>
      <c r="E108" s="719">
        <v>991.44555652359134</v>
      </c>
      <c r="F108" s="720">
        <v>1018.4614691530812</v>
      </c>
      <c r="G108" s="720">
        <v>1045.477381782571</v>
      </c>
      <c r="H108" s="720">
        <v>1072.493294412061</v>
      </c>
      <c r="I108" s="721">
        <v>1099.509207041551</v>
      </c>
      <c r="J108" s="720">
        <v>1126.5251196710408</v>
      </c>
      <c r="K108" s="720">
        <v>1153.5410323005308</v>
      </c>
      <c r="L108" s="720">
        <v>1180.5569449300208</v>
      </c>
      <c r="M108" s="721">
        <v>1207.5728575595106</v>
      </c>
      <c r="N108" s="271"/>
      <c r="O108" s="271"/>
    </row>
  </sheetData>
  <mergeCells count="2">
    <mergeCell ref="C100:C108"/>
    <mergeCell ref="C86:C94"/>
  </mergeCells>
  <pageMargins left="0.7" right="0.7" top="0.75" bottom="0.75" header="0.3" footer="0.3"/>
  <pageSetup scale="31" orientation="portrait" r:id="rId1"/>
  <rowBreaks count="2" manualBreakCount="2">
    <brk id="40" max="21" man="1"/>
    <brk id="79" max="21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43E4-8691-446D-83A3-E4720652A913}">
  <sheetPr>
    <pageSetUpPr autoPageBreaks="0"/>
  </sheetPr>
  <dimension ref="A1:T66"/>
  <sheetViews>
    <sheetView showGridLines="0" tabSelected="1" zoomScaleNormal="100" workbookViewId="0">
      <selection activeCell="K5" sqref="K5"/>
    </sheetView>
  </sheetViews>
  <sheetFormatPr defaultRowHeight="15.75" x14ac:dyDescent="0.25"/>
  <cols>
    <col min="1" max="1" width="2.5703125" style="701" customWidth="1"/>
    <col min="2" max="2" width="43" style="701" bestFit="1" customWidth="1"/>
    <col min="3" max="9" width="12.7109375" style="701" customWidth="1"/>
    <col min="10" max="11" width="2.7109375" style="701" customWidth="1"/>
    <col min="12" max="20" width="12.7109375" style="701" customWidth="1"/>
    <col min="21" max="16384" width="9.140625" style="701"/>
  </cols>
  <sheetData>
    <row r="1" spans="1:20" x14ac:dyDescent="0.25">
      <c r="A1" s="92"/>
      <c r="B1" s="92"/>
      <c r="C1" s="92"/>
    </row>
    <row r="2" spans="1:20" ht="17.850000000000001" customHeight="1" x14ac:dyDescent="0.3">
      <c r="A2" s="92"/>
      <c r="B2" s="88" t="str">
        <f>"Sum of the Parts Valuation - "&amp;Parent_Name&amp;" and "&amp;Sub_Name</f>
        <v>Sum of the Parts Valuation - SunPower Corporation and Maxeon Solar Technologies, Ltd.</v>
      </c>
      <c r="C2" s="696"/>
    </row>
    <row r="3" spans="1:20" x14ac:dyDescent="0.25">
      <c r="A3" s="92"/>
      <c r="B3" s="746" t="str">
        <f>SPWR!$B$3</f>
        <v>($ USD in Millions Except for Per-Share Figures and Other Per-Unit Data)</v>
      </c>
      <c r="C3" s="92"/>
    </row>
    <row r="4" spans="1:20" x14ac:dyDescent="0.25">
      <c r="A4" s="92"/>
      <c r="B4" s="94"/>
      <c r="C4" s="92"/>
    </row>
    <row r="5" spans="1:20" x14ac:dyDescent="0.25">
      <c r="A5" s="92"/>
      <c r="B5" s="1" t="s">
        <v>511</v>
      </c>
      <c r="C5" s="1"/>
      <c r="D5" s="1"/>
      <c r="E5" s="36" t="str">
        <f>SPWR!$D$5</f>
        <v>Units:</v>
      </c>
      <c r="F5" s="1"/>
      <c r="G5" s="1"/>
      <c r="H5" s="1"/>
      <c r="I5" s="1"/>
      <c r="K5" s="798" t="s">
        <v>551</v>
      </c>
      <c r="L5" s="797"/>
      <c r="M5" s="797"/>
      <c r="N5" s="797"/>
      <c r="O5" s="797"/>
      <c r="P5" s="797"/>
      <c r="Q5" s="797"/>
      <c r="R5" s="797"/>
      <c r="S5" s="797"/>
      <c r="T5" s="797"/>
    </row>
    <row r="6" spans="1:20" x14ac:dyDescent="0.25">
      <c r="A6" s="92"/>
      <c r="B6" s="94"/>
      <c r="C6" s="92"/>
    </row>
    <row r="7" spans="1:20" x14ac:dyDescent="0.25">
      <c r="A7" s="92"/>
      <c r="B7" s="750" t="str">
        <f>"TOTAL SE's Ownership in "&amp;Parent_Name&amp;" Pre-Transaction:"</f>
        <v>TOTAL SE's Ownership in SunPower Corporation Pre-Transaction:</v>
      </c>
      <c r="E7" s="39" t="s">
        <v>32</v>
      </c>
      <c r="F7" s="148">
        <v>0.51690000000000003</v>
      </c>
      <c r="L7" s="2" t="s">
        <v>552</v>
      </c>
    </row>
    <row r="8" spans="1:20" x14ac:dyDescent="0.25">
      <c r="A8" s="92"/>
      <c r="B8" s="750" t="str">
        <f>"New Shares in "&amp;Sub_Name&amp;" Distributed to TOTAL SE:"</f>
        <v>New Shares in Maxeon Solar Technologies, Ltd. Distributed to TOTAL SE:</v>
      </c>
      <c r="C8" s="92"/>
      <c r="E8" s="48" t="s">
        <v>119</v>
      </c>
      <c r="F8" s="751"/>
      <c r="L8" s="799" t="s">
        <v>553</v>
      </c>
    </row>
    <row r="9" spans="1:20" x14ac:dyDescent="0.25">
      <c r="A9" s="92"/>
      <c r="B9" s="94"/>
      <c r="C9" s="92"/>
      <c r="L9" s="799" t="s">
        <v>554</v>
      </c>
    </row>
    <row r="10" spans="1:20" x14ac:dyDescent="0.25">
      <c r="A10" s="92"/>
      <c r="B10" s="750" t="str">
        <f>"TOTAL SE's Ownership in "&amp;Sub_Name&amp;":"</f>
        <v>TOTAL SE's Ownership in Maxeon Solar Technologies, Ltd.:</v>
      </c>
      <c r="C10" s="92"/>
      <c r="E10" s="39" t="s">
        <v>32</v>
      </c>
      <c r="F10" s="4"/>
    </row>
    <row r="11" spans="1:20" x14ac:dyDescent="0.25">
      <c r="A11" s="92"/>
      <c r="B11" s="94"/>
      <c r="C11" s="92"/>
      <c r="L11" s="2" t="s">
        <v>555</v>
      </c>
    </row>
    <row r="12" spans="1:20" x14ac:dyDescent="0.25">
      <c r="A12" s="92"/>
      <c r="B12" s="95"/>
      <c r="C12" s="96"/>
      <c r="D12" s="100" t="s">
        <v>496</v>
      </c>
      <c r="E12" s="100" t="s">
        <v>499</v>
      </c>
      <c r="F12" s="96"/>
      <c r="G12" s="96"/>
      <c r="H12" s="96"/>
      <c r="I12" s="96"/>
      <c r="L12" s="799" t="s">
        <v>556</v>
      </c>
    </row>
    <row r="13" spans="1:20" x14ac:dyDescent="0.25">
      <c r="A13" s="92"/>
      <c r="B13" s="99"/>
      <c r="C13" s="100" t="s">
        <v>495</v>
      </c>
      <c r="D13" s="100" t="s">
        <v>497</v>
      </c>
      <c r="E13" s="100" t="s">
        <v>497</v>
      </c>
      <c r="F13" s="717" t="s">
        <v>500</v>
      </c>
      <c r="G13" s="717"/>
      <c r="H13" s="717" t="s">
        <v>504</v>
      </c>
      <c r="I13" s="717"/>
    </row>
    <row r="14" spans="1:20" x14ac:dyDescent="0.25">
      <c r="A14" s="92"/>
      <c r="B14" s="102" t="s">
        <v>493</v>
      </c>
      <c r="C14" s="103" t="s">
        <v>494</v>
      </c>
      <c r="D14" s="103" t="s">
        <v>498</v>
      </c>
      <c r="E14" s="103" t="s">
        <v>498</v>
      </c>
      <c r="F14" s="718" t="s">
        <v>501</v>
      </c>
      <c r="G14" s="718"/>
      <c r="H14" s="718" t="s">
        <v>501</v>
      </c>
      <c r="I14" s="718"/>
      <c r="K14" s="798" t="s">
        <v>564</v>
      </c>
      <c r="L14" s="797"/>
      <c r="M14" s="797"/>
      <c r="N14" s="797"/>
      <c r="O14" s="797"/>
      <c r="P14" s="797"/>
      <c r="Q14" s="797"/>
      <c r="R14" s="797"/>
      <c r="S14" s="797"/>
      <c r="T14" s="797"/>
    </row>
    <row r="15" spans="1:20" x14ac:dyDescent="0.25">
      <c r="A15" s="92"/>
      <c r="B15" s="93" t="str">
        <f>Parent_Name&amp;" - Standalone"</f>
        <v>SunPower Corporation - Standalone</v>
      </c>
      <c r="C15" s="92"/>
    </row>
    <row r="16" spans="1:20" x14ac:dyDescent="0.25">
      <c r="A16" s="92"/>
      <c r="B16" s="683" t="str">
        <f>"TEV / Revenue - FY"&amp;TEXT(SPWR_Comps!$M$21, "YY")&amp;":"</f>
        <v>TEV / Revenue - FY21:</v>
      </c>
      <c r="C16" s="741"/>
      <c r="D16" s="740"/>
      <c r="E16" s="740"/>
      <c r="F16" s="716"/>
      <c r="G16" s="716"/>
      <c r="H16" s="716"/>
      <c r="I16" s="716"/>
      <c r="L16" s="799" t="s">
        <v>558</v>
      </c>
    </row>
    <row r="17" spans="1:20" x14ac:dyDescent="0.25">
      <c r="A17" s="92"/>
      <c r="B17" s="683" t="str">
        <f>"TEV / Revenue - FY"&amp;TEXT(SPWR_Comps!$N$21, "YY")&amp;":"</f>
        <v>TEV / Revenue - FY22:</v>
      </c>
      <c r="C17" s="739"/>
      <c r="D17" s="740"/>
      <c r="E17" s="740"/>
      <c r="F17" s="121"/>
      <c r="G17" s="121"/>
      <c r="H17" s="121"/>
      <c r="I17" s="121"/>
    </row>
    <row r="18" spans="1:20" x14ac:dyDescent="0.25">
      <c r="A18" s="92"/>
      <c r="B18" s="683" t="s">
        <v>505</v>
      </c>
      <c r="C18" s="121"/>
      <c r="D18" s="139"/>
      <c r="E18" s="139"/>
      <c r="F18" s="739"/>
      <c r="G18" s="739"/>
      <c r="H18" s="121"/>
      <c r="I18" s="121"/>
      <c r="L18" s="799" t="s">
        <v>559</v>
      </c>
    </row>
    <row r="19" spans="1:20" x14ac:dyDescent="0.25">
      <c r="A19" s="92"/>
      <c r="B19" s="765" t="str">
        <f>"(Terminal FCF Growth Rate of "&amp;TEXT(SPWR_DCF!G85,"0.00%")&amp;" to "&amp;TEXT(SPWR_DCF!K85,"0.00%")&amp;" and WACC of "&amp;TEXT(SPWR_DCF!D88,"0.00%")&amp;" to "&amp;TEXT(SPWR_DCF!D92,"0.00%")&amp;")"</f>
        <v>(Terminal FCF Growth Rate of 0.50% to 1.50% and WACC of 9.10% to 8.10%)</v>
      </c>
      <c r="C19" s="92"/>
      <c r="L19" s="799" t="s">
        <v>560</v>
      </c>
    </row>
    <row r="20" spans="1:20" x14ac:dyDescent="0.25">
      <c r="A20" s="92"/>
      <c r="B20" s="666"/>
      <c r="C20" s="92"/>
    </row>
    <row r="21" spans="1:20" x14ac:dyDescent="0.25">
      <c r="A21" s="92"/>
      <c r="B21" s="737" t="s">
        <v>506</v>
      </c>
      <c r="C21" s="92"/>
      <c r="F21" s="738"/>
      <c r="G21" s="738"/>
      <c r="H21" s="738"/>
      <c r="I21" s="738"/>
      <c r="L21" s="799" t="s">
        <v>561</v>
      </c>
    </row>
    <row r="22" spans="1:20" x14ac:dyDescent="0.25">
      <c r="A22" s="92"/>
      <c r="B22" s="92"/>
      <c r="C22" s="92"/>
      <c r="L22" s="799" t="s">
        <v>562</v>
      </c>
    </row>
    <row r="23" spans="1:20" x14ac:dyDescent="0.25">
      <c r="A23" s="92"/>
      <c r="B23" s="745" t="s">
        <v>512</v>
      </c>
      <c r="C23" s="92"/>
      <c r="H23" s="121"/>
      <c r="I23" s="121"/>
    </row>
    <row r="24" spans="1:20" x14ac:dyDescent="0.25">
      <c r="A24" s="92"/>
      <c r="B24" s="745" t="s">
        <v>513</v>
      </c>
      <c r="C24" s="92"/>
      <c r="H24" s="121"/>
      <c r="I24" s="121"/>
      <c r="L24" s="799" t="s">
        <v>563</v>
      </c>
    </row>
    <row r="25" spans="1:20" x14ac:dyDescent="0.25">
      <c r="A25" s="92"/>
      <c r="B25" s="92"/>
      <c r="C25" s="92"/>
    </row>
    <row r="26" spans="1:20" x14ac:dyDescent="0.25">
      <c r="A26" s="92"/>
      <c r="B26" s="93" t="str">
        <f>Sub_Name&amp;" - Standalone"</f>
        <v>Maxeon Solar Technologies, Ltd. - Standalone</v>
      </c>
      <c r="C26" s="92"/>
      <c r="K26" s="798" t="s">
        <v>577</v>
      </c>
      <c r="L26" s="797"/>
      <c r="M26" s="797"/>
      <c r="N26" s="797"/>
      <c r="O26" s="797"/>
      <c r="P26" s="797"/>
      <c r="Q26" s="797"/>
      <c r="R26" s="797"/>
      <c r="S26" s="797"/>
      <c r="T26" s="797"/>
    </row>
    <row r="27" spans="1:20" x14ac:dyDescent="0.25">
      <c r="A27" s="92"/>
      <c r="B27" s="683" t="str">
        <f>"TEV / Revenue - FY"&amp;TEXT(MAXN_Comps!$M$25, "YY")&amp;":"</f>
        <v>TEV / Revenue - FY21:</v>
      </c>
      <c r="C27" s="739"/>
      <c r="D27" s="740"/>
      <c r="E27" s="740"/>
      <c r="F27" s="121"/>
      <c r="G27" s="121"/>
      <c r="H27" s="121"/>
      <c r="I27" s="121"/>
    </row>
    <row r="28" spans="1:20" x14ac:dyDescent="0.25">
      <c r="A28" s="92"/>
      <c r="B28" s="683" t="str">
        <f>"TEV / Revenue - FY"&amp;TEXT(MAXN_Comps!$N$25, "YY")&amp;":"</f>
        <v>TEV / Revenue - FY22:</v>
      </c>
      <c r="C28" s="739"/>
      <c r="D28" s="740"/>
      <c r="E28" s="740"/>
      <c r="F28" s="121"/>
      <c r="G28" s="121"/>
      <c r="H28" s="121"/>
      <c r="I28" s="121"/>
      <c r="L28" s="799" t="s">
        <v>565</v>
      </c>
    </row>
    <row r="29" spans="1:20" x14ac:dyDescent="0.25">
      <c r="A29" s="92"/>
      <c r="B29" s="683" t="s">
        <v>505</v>
      </c>
      <c r="C29" s="121"/>
      <c r="D29" s="139"/>
      <c r="E29" s="139"/>
      <c r="F29" s="739"/>
      <c r="G29" s="739"/>
      <c r="H29" s="121"/>
      <c r="I29" s="121"/>
      <c r="L29" s="799" t="s">
        <v>566</v>
      </c>
    </row>
    <row r="30" spans="1:20" x14ac:dyDescent="0.25">
      <c r="A30" s="92"/>
      <c r="B30" s="765" t="str">
        <f>"(Terminal FCF Growth Rate of "&amp;TEXT(MAXN_DCF!G85,"0.00%")&amp;" to "&amp;TEXT(MAXN_DCF!K85,"0.00%")&amp;" and WACC of "&amp;TEXT(MAXN_DCF!D88,"0.00%")&amp;" to "&amp;TEXT(MAXN_DCF!D92,"0.00%")&amp;")"</f>
        <v>(Terminal FCF Growth Rate of 0.50% to 1.50% and WACC of 10.40% to 9.40%)</v>
      </c>
      <c r="C30" s="92"/>
      <c r="L30" s="799" t="s">
        <v>567</v>
      </c>
    </row>
    <row r="31" spans="1:20" x14ac:dyDescent="0.25">
      <c r="A31" s="92"/>
      <c r="B31" s="92"/>
      <c r="C31" s="92"/>
    </row>
    <row r="32" spans="1:20" x14ac:dyDescent="0.25">
      <c r="A32" s="92"/>
      <c r="B32" s="737" t="s">
        <v>506</v>
      </c>
      <c r="C32" s="92"/>
      <c r="F32" s="738"/>
      <c r="G32" s="738"/>
      <c r="H32" s="738"/>
      <c r="I32" s="738"/>
      <c r="L32" s="799" t="s">
        <v>568</v>
      </c>
    </row>
    <row r="33" spans="1:20" x14ac:dyDescent="0.25">
      <c r="A33" s="92"/>
      <c r="B33" s="92"/>
      <c r="C33" s="92"/>
      <c r="L33" s="799" t="s">
        <v>569</v>
      </c>
    </row>
    <row r="34" spans="1:20" x14ac:dyDescent="0.25">
      <c r="A34" s="92"/>
      <c r="B34" s="745" t="s">
        <v>512</v>
      </c>
      <c r="C34" s="92"/>
      <c r="H34" s="121"/>
      <c r="I34" s="121"/>
    </row>
    <row r="35" spans="1:20" x14ac:dyDescent="0.25">
      <c r="A35" s="92"/>
      <c r="B35" s="745" t="s">
        <v>513</v>
      </c>
      <c r="C35" s="92"/>
      <c r="H35" s="121"/>
      <c r="I35" s="121"/>
      <c r="L35" s="799" t="s">
        <v>570</v>
      </c>
    </row>
    <row r="36" spans="1:20" x14ac:dyDescent="0.25">
      <c r="A36" s="92"/>
      <c r="B36" s="92"/>
      <c r="C36" s="92"/>
      <c r="L36" s="799" t="s">
        <v>571</v>
      </c>
    </row>
    <row r="37" spans="1:20" x14ac:dyDescent="0.25">
      <c r="A37" s="92"/>
      <c r="B37" s="92" t="s">
        <v>542</v>
      </c>
      <c r="C37" s="92"/>
      <c r="F37" s="154"/>
      <c r="G37" s="84"/>
    </row>
    <row r="38" spans="1:20" x14ac:dyDescent="0.25">
      <c r="A38" s="92"/>
      <c r="B38" s="92"/>
      <c r="C38" s="92"/>
      <c r="L38" s="2" t="s">
        <v>572</v>
      </c>
    </row>
    <row r="39" spans="1:20" x14ac:dyDescent="0.25">
      <c r="A39" s="92"/>
      <c r="B39" s="93" t="s">
        <v>507</v>
      </c>
      <c r="C39" s="92"/>
      <c r="F39" s="738"/>
      <c r="G39" s="738"/>
      <c r="L39" s="799" t="s">
        <v>573</v>
      </c>
    </row>
    <row r="40" spans="1:20" x14ac:dyDescent="0.25">
      <c r="B40" s="744" t="s">
        <v>162</v>
      </c>
      <c r="F40" s="739"/>
      <c r="G40" s="739"/>
      <c r="L40" s="799" t="s">
        <v>574</v>
      </c>
    </row>
    <row r="41" spans="1:20" x14ac:dyDescent="0.25">
      <c r="B41" s="745" t="s">
        <v>205</v>
      </c>
      <c r="F41" s="739"/>
      <c r="G41" s="739"/>
    </row>
    <row r="42" spans="1:20" x14ac:dyDescent="0.25">
      <c r="B42" s="744" t="s">
        <v>163</v>
      </c>
      <c r="F42" s="739"/>
      <c r="G42" s="739"/>
      <c r="L42" s="2" t="s">
        <v>575</v>
      </c>
    </row>
    <row r="43" spans="1:20" x14ac:dyDescent="0.25">
      <c r="B43" s="744" t="s">
        <v>164</v>
      </c>
      <c r="F43" s="739"/>
      <c r="G43" s="739"/>
      <c r="L43" s="799" t="s">
        <v>576</v>
      </c>
    </row>
    <row r="44" spans="1:20" x14ac:dyDescent="0.25">
      <c r="B44" s="744" t="s">
        <v>165</v>
      </c>
      <c r="F44" s="739"/>
      <c r="G44" s="739"/>
    </row>
    <row r="45" spans="1:20" x14ac:dyDescent="0.25">
      <c r="B45" s="744" t="s">
        <v>206</v>
      </c>
      <c r="F45" s="739"/>
      <c r="G45" s="739"/>
      <c r="L45" s="799" t="s">
        <v>578</v>
      </c>
    </row>
    <row r="46" spans="1:20" x14ac:dyDescent="0.25">
      <c r="B46" s="744" t="s">
        <v>166</v>
      </c>
      <c r="F46" s="739"/>
      <c r="G46" s="739"/>
      <c r="L46" s="799" t="s">
        <v>579</v>
      </c>
    </row>
    <row r="47" spans="1:20" x14ac:dyDescent="0.25">
      <c r="B47" s="745" t="s">
        <v>207</v>
      </c>
      <c r="F47" s="739"/>
      <c r="G47" s="739"/>
    </row>
    <row r="48" spans="1:20" x14ac:dyDescent="0.25">
      <c r="B48" s="744" t="s">
        <v>167</v>
      </c>
      <c r="F48" s="739"/>
      <c r="G48" s="739"/>
      <c r="K48" s="798" t="s">
        <v>580</v>
      </c>
      <c r="L48" s="797"/>
      <c r="M48" s="797"/>
      <c r="N48" s="797"/>
      <c r="O48" s="797"/>
      <c r="P48" s="797"/>
      <c r="Q48" s="797"/>
      <c r="R48" s="797"/>
      <c r="S48" s="797"/>
      <c r="T48" s="797"/>
    </row>
    <row r="49" spans="2:20" x14ac:dyDescent="0.25">
      <c r="B49" s="744" t="s">
        <v>208</v>
      </c>
      <c r="F49" s="739"/>
      <c r="G49" s="739"/>
    </row>
    <row r="50" spans="2:20" x14ac:dyDescent="0.25">
      <c r="B50" s="24" t="s">
        <v>508</v>
      </c>
      <c r="C50" s="747"/>
      <c r="D50" s="747"/>
      <c r="E50" s="747"/>
      <c r="F50" s="748"/>
      <c r="G50" s="748"/>
      <c r="L50" s="2" t="s">
        <v>581</v>
      </c>
    </row>
    <row r="51" spans="2:20" x14ac:dyDescent="0.25">
      <c r="L51" s="799" t="s">
        <v>557</v>
      </c>
    </row>
    <row r="52" spans="2:20" x14ac:dyDescent="0.25">
      <c r="B52" s="756" t="s">
        <v>543</v>
      </c>
      <c r="F52" s="766"/>
      <c r="G52" s="766"/>
    </row>
    <row r="53" spans="2:20" x14ac:dyDescent="0.25">
      <c r="L53" s="799" t="s">
        <v>582</v>
      </c>
    </row>
    <row r="54" spans="2:20" x14ac:dyDescent="0.25">
      <c r="B54" s="2" t="s">
        <v>509</v>
      </c>
      <c r="F54" s="749"/>
      <c r="G54" s="749"/>
      <c r="L54" s="799" t="s">
        <v>583</v>
      </c>
    </row>
    <row r="55" spans="2:20" x14ac:dyDescent="0.25">
      <c r="B55" s="701" t="s">
        <v>510</v>
      </c>
      <c r="F55" s="109"/>
      <c r="G55" s="109"/>
    </row>
    <row r="56" spans="2:20" x14ac:dyDescent="0.25">
      <c r="L56" s="799" t="s">
        <v>584</v>
      </c>
    </row>
    <row r="57" spans="2:20" x14ac:dyDescent="0.25">
      <c r="B57" s="701" t="s">
        <v>514</v>
      </c>
      <c r="H57" s="121"/>
      <c r="I57" s="121"/>
      <c r="L57" s="799" t="s">
        <v>585</v>
      </c>
    </row>
    <row r="58" spans="2:20" x14ac:dyDescent="0.25">
      <c r="B58" s="701" t="s">
        <v>515</v>
      </c>
      <c r="H58" s="121"/>
      <c r="I58" s="121"/>
    </row>
    <row r="59" spans="2:20" x14ac:dyDescent="0.25">
      <c r="L59" s="799" t="s">
        <v>586</v>
      </c>
    </row>
    <row r="60" spans="2:20" x14ac:dyDescent="0.25">
      <c r="L60" s="799" t="s">
        <v>587</v>
      </c>
    </row>
    <row r="61" spans="2:20" x14ac:dyDescent="0.25">
      <c r="L61" s="799" t="s">
        <v>588</v>
      </c>
    </row>
    <row r="63" spans="2:20" x14ac:dyDescent="0.25">
      <c r="K63" s="798" t="s">
        <v>589</v>
      </c>
      <c r="L63" s="797"/>
      <c r="M63" s="797"/>
      <c r="N63" s="797"/>
      <c r="O63" s="797"/>
      <c r="P63" s="797"/>
      <c r="Q63" s="797"/>
      <c r="R63" s="797"/>
      <c r="S63" s="797"/>
      <c r="T63" s="797"/>
    </row>
    <row r="65" spans="12:12" x14ac:dyDescent="0.25">
      <c r="L65" s="799" t="s">
        <v>590</v>
      </c>
    </row>
    <row r="66" spans="12:12" x14ac:dyDescent="0.25">
      <c r="L66" s="799" t="s">
        <v>591</v>
      </c>
    </row>
  </sheetData>
  <pageMargins left="0.7" right="0.7" top="0.75" bottom="0.75" header="0.3" footer="0.3"/>
  <pageSetup scale="38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44</vt:i4>
      </vt:variant>
    </vt:vector>
  </HeadingPairs>
  <TitlesOfParts>
    <vt:vector size="55" baseType="lpstr">
      <vt:lpstr>SPWR</vt:lpstr>
      <vt:lpstr>MAXN</vt:lpstr>
      <vt:lpstr>SPWR_Comps</vt:lpstr>
      <vt:lpstr>SPWR_WACC</vt:lpstr>
      <vt:lpstr>MAXN_Comps</vt:lpstr>
      <vt:lpstr>MAXN_WACC</vt:lpstr>
      <vt:lpstr>SPWR_Adj</vt:lpstr>
      <vt:lpstr>MAXN_Adj</vt:lpstr>
      <vt:lpstr>SPWR_DCF</vt:lpstr>
      <vt:lpstr>MAXN_DCF</vt:lpstr>
      <vt:lpstr>SOTP_Val</vt:lpstr>
      <vt:lpstr>Close_Date</vt:lpstr>
      <vt:lpstr>Dissynergies</vt:lpstr>
      <vt:lpstr>Distr_Ratio</vt:lpstr>
      <vt:lpstr>Equity_Risk_Premium</vt:lpstr>
      <vt:lpstr>Max_Revolver</vt:lpstr>
      <vt:lpstr>Parent_Basic_Shares</vt:lpstr>
      <vt:lpstr>Parent_Cost_of_Debt</vt:lpstr>
      <vt:lpstr>Parent_Cost_of_Preferred</vt:lpstr>
      <vt:lpstr>Parent_Diluted_Shares</vt:lpstr>
      <vt:lpstr>Parent_Discount_Rate</vt:lpstr>
      <vt:lpstr>Parent_Hist_Year</vt:lpstr>
      <vt:lpstr>Parent_Name</vt:lpstr>
      <vt:lpstr>Parent_Share_Price</vt:lpstr>
      <vt:lpstr>Parent_Tax_Rate</vt:lpstr>
      <vt:lpstr>Parent_Terminal_Growth_Rate</vt:lpstr>
      <vt:lpstr>Parent_Terminal_Multiple</vt:lpstr>
      <vt:lpstr>Parent_Ticker</vt:lpstr>
      <vt:lpstr>MAXN!Print_Area</vt:lpstr>
      <vt:lpstr>MAXN_Adj!Print_Area</vt:lpstr>
      <vt:lpstr>MAXN_Comps!Print_Area</vt:lpstr>
      <vt:lpstr>MAXN_DCF!Print_Area</vt:lpstr>
      <vt:lpstr>MAXN_WACC!Print_Area</vt:lpstr>
      <vt:lpstr>SOTP_Val!Print_Area</vt:lpstr>
      <vt:lpstr>SPWR!Print_Area</vt:lpstr>
      <vt:lpstr>SPWR_Adj!Print_Area</vt:lpstr>
      <vt:lpstr>SPWR_Comps!Print_Area</vt:lpstr>
      <vt:lpstr>SPWR_DCF!Print_Area</vt:lpstr>
      <vt:lpstr>SPWR_WACC!Print_Area</vt:lpstr>
      <vt:lpstr>SPWR_Comps!Pub_Comps_Data</vt:lpstr>
      <vt:lpstr>Risk_Free_Rate</vt:lpstr>
      <vt:lpstr>Sub_Cost_of_Debt</vt:lpstr>
      <vt:lpstr>Sub_Cost_of_Preferred</vt:lpstr>
      <vt:lpstr>Sub_Discount_Rate</vt:lpstr>
      <vt:lpstr>Sub_Hist_Year</vt:lpstr>
      <vt:lpstr>Sub_Min_Cash</vt:lpstr>
      <vt:lpstr>Sub_Name</vt:lpstr>
      <vt:lpstr>Sub_New_Share_Price</vt:lpstr>
      <vt:lpstr>Sub_New_Shares</vt:lpstr>
      <vt:lpstr>Sub_Tax_Rate</vt:lpstr>
      <vt:lpstr>Sub_Terminal_Growth_Rate</vt:lpstr>
      <vt:lpstr>Sub_Terminal_Multiple</vt:lpstr>
      <vt:lpstr>Sub_Ticker</vt:lpstr>
      <vt:lpstr>Sub_Total_Shares</vt:lpstr>
      <vt:lpstr>Val_Date</vt:lpstr>
    </vt:vector>
  </TitlesOfParts>
  <Company>LENOVO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BIWS</cp:lastModifiedBy>
  <cp:lastPrinted>2020-09-24T00:45:00Z</cp:lastPrinted>
  <dcterms:created xsi:type="dcterms:W3CDTF">2009-06-26T05:31:17Z</dcterms:created>
  <dcterms:modified xsi:type="dcterms:W3CDTF">2021-01-14T22:40:02Z</dcterms:modified>
</cp:coreProperties>
</file>