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dsupportingpropertybagstructure.xml" ContentType="application/vnd.ms-excel.rdsupportingpropertybagstructure+xml"/>
  <Override PartName="/xl/richData/richStyles.xml" ContentType="application/vnd.ms-excel.richstyles+xml"/>
  <Override PartName="/xl/richData/rdrichvaluestructure.xml" ContentType="application/vnd.ms-excel.rdrichvaluestructure+xml"/>
  <Override PartName="/xl/richData/rdrichvalue.xml" ContentType="application/vnd.ms-excel.rdrichvalu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91900\Dropbox\My PC (LAPTOP-BOUM6ROT)\Downloads\"/>
    </mc:Choice>
  </mc:AlternateContent>
  <xr:revisionPtr revIDLastSave="0" documentId="13_ncr:1_{63E37648-782B-4E33-AEAC-DB448BABACDE}" xr6:coauthVersionLast="47" xr6:coauthVersionMax="47" xr10:uidLastSave="{00000000-0000-0000-0000-000000000000}"/>
  <bookViews>
    <workbookView xWindow="-108" yWindow="-108" windowWidth="23256" windowHeight="12456" xr2:uid="{3E30CAE6-9DC8-449A-84D8-043C5D20B372}"/>
  </bookViews>
  <sheets>
    <sheet name="Dashboard" sheetId="2" r:id="rId1"/>
    <sheet name="Transaction Log" sheetId="1" r:id="rId2"/>
    <sheet name="Realized P&amp;L" sheetId="5" r:id="rId3"/>
    <sheet name="Pie Chart Helper"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5" l="1"/>
  <c r="H7" i="5"/>
  <c r="F13" i="5"/>
  <c r="D13" i="5"/>
  <c r="D4" i="5"/>
  <c r="M8" i="2"/>
  <c r="M9" i="2"/>
  <c r="M10" i="2"/>
  <c r="M11" i="2"/>
  <c r="M12" i="2"/>
  <c r="M13" i="2"/>
  <c r="M14" i="2"/>
  <c r="M15" i="2"/>
  <c r="M7" i="2"/>
  <c r="H5" i="5"/>
  <c r="H6" i="5"/>
  <c r="H8" i="5"/>
  <c r="H9" i="5"/>
  <c r="H10" i="5"/>
  <c r="H11" i="5"/>
  <c r="H12" i="5"/>
  <c r="H4" i="5"/>
  <c r="F9" i="5"/>
  <c r="F8" i="5"/>
  <c r="F7" i="5"/>
  <c r="F5" i="5"/>
  <c r="F4" i="5"/>
  <c r="D12" i="5"/>
  <c r="D11" i="5"/>
  <c r="D10" i="5"/>
  <c r="D9" i="5"/>
  <c r="D8" i="5"/>
  <c r="D7" i="5"/>
  <c r="D6" i="5"/>
  <c r="D5" i="5"/>
  <c r="C4" i="5"/>
  <c r="K8" i="2"/>
  <c r="K9" i="2"/>
  <c r="K10" i="2"/>
  <c r="K11" i="2"/>
  <c r="K12" i="2"/>
  <c r="K13" i="2"/>
  <c r="K14" i="2"/>
  <c r="K15" i="2"/>
  <c r="K7" i="2"/>
  <c r="H8" i="2"/>
  <c r="H9" i="2"/>
  <c r="H10" i="2"/>
  <c r="H11" i="2"/>
  <c r="H12" i="2"/>
  <c r="H13" i="2"/>
  <c r="H14" i="2"/>
  <c r="H15" i="2"/>
  <c r="H7" i="2"/>
  <c r="M21" i="2" l="1"/>
  <c r="I11" i="2"/>
  <c r="L12" i="2"/>
  <c r="I7" i="2"/>
  <c r="I9" i="2"/>
  <c r="L10" i="2"/>
  <c r="M23" i="2"/>
  <c r="I15" i="2"/>
  <c r="L8" i="2"/>
  <c r="I10" i="2"/>
  <c r="L11" i="2"/>
  <c r="I8" i="2"/>
  <c r="L15" i="2"/>
  <c r="L7" i="2"/>
  <c r="L14" i="2"/>
  <c r="L9" i="2"/>
  <c r="L13" i="2"/>
  <c r="I12" i="2"/>
  <c r="I13" i="2"/>
  <c r="I14" i="2"/>
  <c r="M25" i="2" l="1"/>
  <c r="H3" i="1"/>
  <c r="H4" i="1"/>
  <c r="H5" i="1"/>
  <c r="H6" i="1"/>
  <c r="H7" i="1"/>
  <c r="H8" i="1"/>
  <c r="H9" i="1"/>
  <c r="H10" i="1"/>
  <c r="H11" i="1"/>
  <c r="H12" i="1"/>
  <c r="H13" i="1"/>
  <c r="H14" i="1"/>
  <c r="H15" i="1"/>
  <c r="H16" i="1"/>
  <c r="H17" i="1"/>
  <c r="H18" i="1"/>
  <c r="H19" i="1"/>
  <c r="H20" i="1"/>
  <c r="D113" i="5" l="1" a="1"/>
  <c r="D113" i="5" s="1"/>
  <c r="D114" i="5" a="1"/>
  <c r="D114" i="5" s="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<sst xmlns="http://schemas.openxmlformats.org/spreadsheetml/2006/main" count="134" uniqueCount="57">
  <si>
    <t>Quantity</t>
  </si>
  <si>
    <t>Transaction</t>
  </si>
  <si>
    <t>Price</t>
  </si>
  <si>
    <t>Date</t>
  </si>
  <si>
    <t>Total Amount</t>
  </si>
  <si>
    <t>Buy</t>
  </si>
  <si>
    <t>Sell</t>
  </si>
  <si>
    <t>Stock Ticker</t>
  </si>
  <si>
    <t>Stock Portfolio Dashboard</t>
  </si>
  <si>
    <t>Name</t>
  </si>
  <si>
    <t>Sector</t>
  </si>
  <si>
    <t>Market Cap (in Billions)</t>
  </si>
  <si>
    <t>Cap Size</t>
  </si>
  <si>
    <t># of Shares</t>
  </si>
  <si>
    <t>Total Value</t>
  </si>
  <si>
    <t>Allocation</t>
  </si>
  <si>
    <t>1 Day Return $</t>
  </si>
  <si>
    <t>1 Day Return %</t>
  </si>
  <si>
    <t>Price per Share</t>
  </si>
  <si>
    <t>Individual Holdings</t>
  </si>
  <si>
    <t>Beta</t>
  </si>
  <si>
    <t>Total Gain / Loss</t>
  </si>
  <si>
    <t>Portfolio Summary</t>
  </si>
  <si>
    <t>Total Gain/ Loss $</t>
  </si>
  <si>
    <t>Daily Gain/ Loss $</t>
  </si>
  <si>
    <t>Daily Gain/ Loss %</t>
  </si>
  <si>
    <t>Allocation %</t>
  </si>
  <si>
    <t>Stock</t>
  </si>
  <si>
    <t>Purchases</t>
  </si>
  <si>
    <t>Sales</t>
  </si>
  <si>
    <t>Dividends Received</t>
  </si>
  <si>
    <t>Dividend</t>
  </si>
  <si>
    <t>Realized Gain/ (Loss) $</t>
  </si>
  <si>
    <t>Helper Columns</t>
  </si>
  <si>
    <t>Tickers</t>
  </si>
  <si>
    <t>Realized Gains</t>
  </si>
  <si>
    <t>APPLE</t>
  </si>
  <si>
    <t>MICROSOFT.LTD</t>
  </si>
  <si>
    <t>FACEBOOK</t>
  </si>
  <si>
    <t>JP MORGAN</t>
  </si>
  <si>
    <t>AMAZON</t>
  </si>
  <si>
    <t>NETFLIX</t>
  </si>
  <si>
    <t>AMD</t>
  </si>
  <si>
    <t>NVIDIA</t>
  </si>
  <si>
    <t>WALMART.INC</t>
  </si>
  <si>
    <t>TOYOTA MOTOR CORPORATION</t>
  </si>
  <si>
    <r>
      <t>AMD</t>
    </r>
    <r>
      <rPr>
        <sz val="22"/>
        <color theme="1"/>
        <rFont val="Calibri"/>
        <family val="2"/>
        <scheme val="minor"/>
      </rPr>
      <t>:</t>
    </r>
  </si>
  <si>
    <t>Technology</t>
  </si>
  <si>
    <t>Financial Services</t>
  </si>
  <si>
    <t>Consumer Discretionary</t>
  </si>
  <si>
    <t>Communication Services</t>
  </si>
  <si>
    <t>Consumer Staples</t>
  </si>
  <si>
    <t>Large</t>
  </si>
  <si>
    <t>Mid</t>
  </si>
  <si>
    <t>MID</t>
  </si>
  <si>
    <t>Small</t>
  </si>
  <si>
    <t>Facebook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</si>
</sst>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_(&quot;$&quot;* #,##0_);_(&quot;$&quot;* \(#,##0\);_(&quot;$&quot;* &quot;-&quot;??_);_(@_)"/>
  </numFmts>
  <fonts count="6" x14ac:knownFonts="1">
    <font>
      <sz val="22"/>
      <color theme="1"/>
      <name val="Calibri"/>
      <family val="2"/>
      <scheme val="minor"/>
    </font>
    <font>
      <sz val="22"/>
      <color theme="1"/>
      <name val="Calibri"/>
      <family val="2"/>
      <scheme val="minor"/>
    </font>
    <font>
      <b/>
      <sz val="22"/>
      <color theme="1"/>
      <name val="Calibri"/>
      <family val="2"/>
      <scheme val="minor"/>
    </font>
    <font>
      <b/>
      <sz val="48"/>
      <color theme="1"/>
      <name val="Calibri"/>
      <family val="2"/>
      <scheme val="minor"/>
    </font>
    <font>
      <b/>
      <sz val="20"/>
      <color theme="1"/>
      <name val="Calibri"/>
      <family val="2"/>
      <scheme val="minor"/>
    </font>
    <font>
      <b/>
      <sz val="2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55">
    <xf numFmtId="0" fontId="0" fillId="0" borderId="0" xfId="0"/>
    <xf numFmtId="14" fontId="0" fillId="0" borderId="0" xfId="0" applyNumberFormat="1"/>
    <xf numFmtId="0" fontId="0" fillId="0" borderId="8" xfId="0" applyBorder="1"/>
    <xf numFmtId="164" fontId="0" fillId="0" borderId="0" xfId="1" applyFont="1" applyBorder="1"/>
    <xf numFmtId="0" fontId="3" fillId="0" borderId="0" xfId="0" applyFont="1" applyAlignment="1">
      <alignment vertical="center"/>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11" xfId="0" applyFont="1" applyBorder="1" applyAlignment="1">
      <alignment horizontal="center" vertical="center" wrapText="1"/>
    </xf>
    <xf numFmtId="0" fontId="0" fillId="0" borderId="9" xfId="0" applyBorder="1"/>
    <xf numFmtId="0" fontId="0" fillId="2" borderId="1" xfId="0" applyFill="1" applyBorder="1"/>
    <xf numFmtId="0" fontId="0" fillId="2" borderId="3" xfId="0" applyFill="1" applyBorder="1"/>
    <xf numFmtId="165" fontId="0" fillId="0" borderId="0" xfId="1" applyNumberFormat="1" applyFont="1" applyBorder="1"/>
    <xf numFmtId="0" fontId="0" fillId="0" borderId="4" xfId="0" applyBorder="1"/>
    <xf numFmtId="0" fontId="0" fillId="2" borderId="1" xfId="0" applyFill="1" applyBorder="1" applyAlignment="1">
      <alignment horizontal="center"/>
    </xf>
    <xf numFmtId="0" fontId="0" fillId="2" borderId="3" xfId="0" applyFill="1" applyBorder="1" applyAlignment="1">
      <alignment horizontal="center"/>
    </xf>
    <xf numFmtId="0" fontId="5" fillId="2" borderId="8" xfId="0" applyFont="1" applyFill="1" applyBorder="1" applyAlignment="1">
      <alignment horizontal="center"/>
    </xf>
    <xf numFmtId="165" fontId="0" fillId="0" borderId="0" xfId="0" applyNumberFormat="1"/>
    <xf numFmtId="164" fontId="0" fillId="0" borderId="0" xfId="0" applyNumberForma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4" xfId="0" applyBorder="1" applyAlignment="1">
      <alignment horizontal="left" wrapText="1"/>
    </xf>
    <xf numFmtId="0" fontId="0" fillId="0" borderId="7" xfId="0" applyBorder="1" applyAlignment="1">
      <alignment horizontal="left"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2" fillId="2" borderId="4" xfId="0" applyFont="1" applyFill="1" applyBorder="1" applyAlignment="1">
      <alignment horizontal="center"/>
    </xf>
    <xf numFmtId="0" fontId="2" fillId="2" borderId="6" xfId="0" applyFont="1" applyFill="1" applyBorder="1" applyAlignment="1">
      <alignment horizontal="center"/>
    </xf>
    <xf numFmtId="0" fontId="0" fillId="0" borderId="4" xfId="0" applyBorder="1" applyAlignment="1">
      <alignment horizontal="left" vertical="center" wrapText="1"/>
    </xf>
    <xf numFmtId="0" fontId="0" fillId="0" borderId="7" xfId="0" applyBorder="1" applyAlignment="1">
      <alignment horizontal="left" vertical="center"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0" fillId="0" borderId="14" xfId="0" applyFont="1" applyBorder="1"/>
    <xf numFmtId="0" fontId="0" fillId="0" borderId="16" xfId="0" applyFont="1" applyBorder="1"/>
    <xf numFmtId="0" fontId="2" fillId="0" borderId="0" xfId="0" applyFont="1"/>
    <xf numFmtId="9" fontId="0" fillId="0" borderId="0" xfId="2" applyFont="1"/>
    <xf numFmtId="2" fontId="0" fillId="0" borderId="0" xfId="0" applyNumberFormat="1"/>
    <xf numFmtId="3" fontId="0" fillId="0" borderId="0" xfId="0" applyNumberFormat="1"/>
    <xf numFmtId="165" fontId="0" fillId="0" borderId="15" xfId="1" applyNumberFormat="1" applyFont="1" applyBorder="1"/>
    <xf numFmtId="0" fontId="0" fillId="0" borderId="0" xfId="0" applyFont="1" applyFill="1" applyBorder="1"/>
    <xf numFmtId="164" fontId="0" fillId="0" borderId="14" xfId="1" applyNumberFormat="1" applyFont="1" applyBorder="1"/>
    <xf numFmtId="43" fontId="0" fillId="0" borderId="0" xfId="0" applyNumberFormat="1"/>
    <xf numFmtId="2"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9" fontId="0" fillId="0" borderId="0" xfId="0" applyNumberFormat="1"/>
  </cellXfs>
  <cellStyles count="3">
    <cellStyle name="Currency" xfId="1" builtinId="4"/>
    <cellStyle name="Normal" xfId="0" builtinId="0"/>
    <cellStyle name="Percent" xfId="2" builtinId="5"/>
  </cellStyles>
  <dxfs count="6">
    <dxf>
      <font>
        <b val="0"/>
        <i val="0"/>
        <strike val="0"/>
        <condense val="0"/>
        <extend val="0"/>
        <outline val="0"/>
        <shadow val="0"/>
        <u val="none"/>
        <vertAlign val="baseline"/>
        <sz val="22"/>
        <color theme="1"/>
        <name val="Calibri"/>
        <family val="2"/>
        <scheme val="minor"/>
      </font>
      <numFmt numFmtId="165" formatCode="_(&quot;$&quot;* #,##0_);_(&quot;$&quot;* \(#,##0\);_(&quot;$&quot;* &quot;-&quot;??_);_(@_)"/>
    </dxf>
    <dxf>
      <font>
        <b val="0"/>
        <i val="0"/>
        <strike val="0"/>
        <condense val="0"/>
        <extend val="0"/>
        <outline val="0"/>
        <shadow val="0"/>
        <u val="none"/>
        <vertAlign val="baseline"/>
        <sz val="22"/>
        <color theme="1"/>
        <name val="Calibri"/>
        <family val="2"/>
        <scheme val="minor"/>
      </font>
    </dxf>
    <dxf>
      <font>
        <b val="0"/>
        <i val="0"/>
        <strike val="0"/>
        <condense val="0"/>
        <extend val="0"/>
        <outline val="0"/>
        <shadow val="0"/>
        <u val="none"/>
        <vertAlign val="baseline"/>
        <sz val="22"/>
        <color theme="1"/>
        <name val="Calibri"/>
        <family val="2"/>
        <scheme val="minor"/>
      </font>
    </dxf>
    <dxf>
      <numFmt numFmtId="167" formatCode="m/d/yyyy"/>
    </dxf>
    <dxf>
      <border outline="0">
        <bottom style="medium">
          <color indexed="64"/>
        </bottom>
      </border>
    </dxf>
    <dxf>
      <font>
        <b/>
        <i val="0"/>
        <strike val="0"/>
        <condense val="0"/>
        <extend val="0"/>
        <outline val="0"/>
        <shadow val="0"/>
        <u val="none"/>
        <vertAlign val="baseline"/>
        <sz val="22"/>
        <color auto="1"/>
        <name val="Calibri"/>
        <family val="2"/>
        <scheme val="minor"/>
      </font>
      <fill>
        <patternFill patternType="solid">
          <fgColor indexed="64"/>
          <bgColor theme="4" tint="0.7999816888943144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theme" Target="theme/theme1.xml"/><Relationship Id="rId15" Type="http://schemas.microsoft.com/office/2017/06/relationships/rdRichValue" Target="richData/rdrichvalue.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CAP SIZE ALLOCATION%</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'Pie Chart Helper'!$C$1</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03-4EEF-BEA0-51EEA22E59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03-4EEF-BEA0-51EEA22E59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503-4EEF-BEA0-51EEA22E59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503-4EEF-BEA0-51EEA22E59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 Helper'!$B$2:$B$5</c:f>
              <c:strCache>
                <c:ptCount val="4"/>
                <c:pt idx="0">
                  <c:v>Cap Size</c:v>
                </c:pt>
                <c:pt idx="1">
                  <c:v>Large</c:v>
                </c:pt>
                <c:pt idx="2">
                  <c:v>MID</c:v>
                </c:pt>
                <c:pt idx="3">
                  <c:v>Small</c:v>
                </c:pt>
              </c:strCache>
            </c:strRef>
          </c:cat>
          <c:val>
            <c:numRef>
              <c:f>'Pie Chart Helper'!$C$2:$C$5</c:f>
              <c:numCache>
                <c:formatCode>0%</c:formatCode>
                <c:ptCount val="4"/>
                <c:pt idx="0" formatCode="General">
                  <c:v>0</c:v>
                </c:pt>
                <c:pt idx="1">
                  <c:v>0.28999999999999998</c:v>
                </c:pt>
                <c:pt idx="2">
                  <c:v>0.62</c:v>
                </c:pt>
                <c:pt idx="3">
                  <c:v>0.09</c:v>
                </c:pt>
              </c:numCache>
            </c:numRef>
          </c:val>
          <c:extLst>
            <c:ext xmlns:c16="http://schemas.microsoft.com/office/drawing/2014/chart" uri="{C3380CC4-5D6E-409C-BE32-E72D297353CC}">
              <c16:uniqueId val="{00000008-1503-4EEF-BEA0-51EEA22E5947}"/>
            </c:ext>
          </c:extLst>
        </c:ser>
        <c:dLbls>
          <c:dLblPos val="ctr"/>
          <c:showLegendKey val="0"/>
          <c:showVal val="0"/>
          <c:showCatName val="0"/>
          <c:showSerName val="0"/>
          <c:showPercent val="1"/>
          <c:showBubbleSize val="0"/>
          <c:showLeaderLines val="1"/>
        </c:dLbls>
        <c:firstSliceAng val="36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Sector Allocation %</a:t>
            </a:r>
          </a:p>
        </c:rich>
      </c:tx>
      <c:layout>
        <c:manualLayout>
          <c:xMode val="edge"/>
          <c:yMode val="edge"/>
          <c:x val="0.69172002459290505"/>
          <c:y val="7.192255865918229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'Pie Chart Helper'!$F$2</c:f>
              <c:strCache>
                <c:ptCount val="1"/>
                <c:pt idx="0">
                  <c:v>Allocation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09-49B0-95DB-3AA651D1261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09-49B0-95DB-3AA651D1261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09-49B0-95DB-3AA651D1261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109-49B0-95DB-3AA651D1261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109-49B0-95DB-3AA651D126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 Helper'!$E$3:$E$7</c:f>
              <c:strCache>
                <c:ptCount val="5"/>
                <c:pt idx="0">
                  <c:v>Technology</c:v>
                </c:pt>
                <c:pt idx="1">
                  <c:v>Financial Services</c:v>
                </c:pt>
                <c:pt idx="2">
                  <c:v>Consumer Discretionary</c:v>
                </c:pt>
                <c:pt idx="3">
                  <c:v>Communication Services</c:v>
                </c:pt>
                <c:pt idx="4">
                  <c:v>Consumer Staples</c:v>
                </c:pt>
              </c:strCache>
            </c:strRef>
          </c:cat>
          <c:val>
            <c:numRef>
              <c:f>'Pie Chart Helper'!$F$3:$F$7</c:f>
              <c:numCache>
                <c:formatCode>0%</c:formatCode>
                <c:ptCount val="5"/>
                <c:pt idx="0">
                  <c:v>0.3</c:v>
                </c:pt>
                <c:pt idx="1">
                  <c:v>0.23</c:v>
                </c:pt>
                <c:pt idx="2">
                  <c:v>0.4</c:v>
                </c:pt>
                <c:pt idx="3">
                  <c:v>0.01</c:v>
                </c:pt>
                <c:pt idx="4">
                  <c:v>0.06</c:v>
                </c:pt>
              </c:numCache>
            </c:numRef>
          </c:val>
          <c:extLst>
            <c:ext xmlns:c16="http://schemas.microsoft.com/office/drawing/2014/chart" uri="{C3380CC4-5D6E-409C-BE32-E72D297353CC}">
              <c16:uniqueId val="{0000000A-9109-49B0-95DB-3AA651D126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18</xdr:row>
      <xdr:rowOff>58614</xdr:rowOff>
    </xdr:from>
    <xdr:to>
      <xdr:col>1</xdr:col>
      <xdr:colOff>5216768</xdr:colOff>
      <xdr:row>27</xdr:row>
      <xdr:rowOff>35168</xdr:rowOff>
    </xdr:to>
    <xdr:graphicFrame macro="">
      <xdr:nvGraphicFramePr>
        <xdr:cNvPr id="6" name="Chart 5">
          <a:extLst>
            <a:ext uri="{FF2B5EF4-FFF2-40B4-BE49-F238E27FC236}">
              <a16:creationId xmlns:a16="http://schemas.microsoft.com/office/drawing/2014/main" id="{DBF7DE6B-25F7-447C-96F2-15B3B1834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58614</xdr:rowOff>
    </xdr:from>
    <xdr:to>
      <xdr:col>6</xdr:col>
      <xdr:colOff>644769</xdr:colOff>
      <xdr:row>27</xdr:row>
      <xdr:rowOff>82060</xdr:rowOff>
    </xdr:to>
    <xdr:graphicFrame macro="">
      <xdr:nvGraphicFramePr>
        <xdr:cNvPr id="8" name="Chart 7">
          <a:extLst>
            <a:ext uri="{FF2B5EF4-FFF2-40B4-BE49-F238E27FC236}">
              <a16:creationId xmlns:a16="http://schemas.microsoft.com/office/drawing/2014/main" id="{A95797E7-74D4-4731-BB8C-B053FAD0E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165588</xdr:colOff>
      <xdr:row>13</xdr:row>
      <xdr:rowOff>128954</xdr:rowOff>
    </xdr:from>
    <xdr:ext cx="65" cy="172227"/>
    <xdr:sp macro="" textlink="">
      <xdr:nvSpPr>
        <xdr:cNvPr id="2" name="TextBox 1">
          <a:extLst>
            <a:ext uri="{FF2B5EF4-FFF2-40B4-BE49-F238E27FC236}">
              <a16:creationId xmlns:a16="http://schemas.microsoft.com/office/drawing/2014/main" id="{ED33020F-736B-6F47-94BD-C00EC5CFF9D9}"/>
            </a:ext>
          </a:extLst>
        </xdr:cNvPr>
        <xdr:cNvSpPr txBox="1"/>
      </xdr:nvSpPr>
      <xdr:spPr>
        <a:xfrm>
          <a:off x="13148896" y="459837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0">
  <rv s="0">
    <v>https://www.bing.com/financeapi/forcetrigger?t=a1ndcw&amp;q=XNAS%3aAMBA&amp;form=skydnc</v>
    <v>Learn more on Bing</v>
  </rv>
  <rv s="1">
    <v>en-US</v>
    <v>a1ndcw</v>
    <v>268435456</v>
    <v>1</v>
    <v>Powered by Refinitiv</v>
    <v>0</v>
    <v>AMBARELLA INC (XNAS:AMBA)</v>
    <v>2</v>
    <v>3</v>
    <v>Finance</v>
    <v>4</v>
    <v>99.855000000000004</v>
    <v>49.02</v>
    <v>1.5544</v>
    <v>-1.49</v>
    <v>-2.627E-3</v>
    <v>-2.5426999999999998E-2</v>
    <v>-0.15</v>
    <v>USD</v>
    <v>Ambarella, Inc. is a developer of low-power system-on-a-chip (SoC) semiconductors that provide artificial intelligence processing, image signal processing and video compression. The Company serves human-viewing applications with video and image processors for enterprise, public infrastructure and home applications, such as Internet protocol, security cameras, sports cameras, wearables, aerial drones, and aftermarket automotive video recorders. It is focused on creating AI technology that enables edge devices to visually perceive the environment and make decisions based on the data collected from cameras and, other types of sensors. Its CVflow-architecture supports a range of computer vision algorithms, including object detection, classification and tracking, semantic and instance segmentation, image processing, stereo object detection, terrain mapping, and face recognition. Its CVflow processes other sensor modalities, including lidar, radar, time of flight, thermal and near-infrared.</v>
    <v>937</v>
    <v>Nasdaq Stock Market</v>
    <v>XNAS</v>
    <v>XNAS</v>
    <v>3101 Jay Street, SANTA CLARA, CA, 95054 US</v>
    <v>58.19</v>
    <v>Semiconductors &amp; Semiconductor Equipment</v>
    <v>Stock</v>
    <v>45184.9915225</v>
    <v>0</v>
    <v>56.75</v>
    <v>2277446000</v>
    <v>AMBARELLA INC</v>
    <v>AMBARELLA INC</v>
    <v>58.19</v>
    <v>58.6</v>
    <v>57.11</v>
    <v>56.96</v>
    <v>39878230</v>
    <v>AMBA</v>
    <v>AMBARELLA INC (XNAS:AMBA)</v>
    <v>1329741</v>
    <v>881603</v>
    <v>2004</v>
  </rv>
  <rv s="2">
    <v>1</v>
  </rv>
  <rv s="0">
    <v>https://www.bing.com/financeapi/forcetrigger?t=a25ya2&amp;q=XNYS%3aWMT&amp;form=skydnc</v>
    <v>Learn more on Bing</v>
  </rv>
  <rv s="3">
    <v>en-US</v>
    <v>a25ya2</v>
    <v>268435456</v>
    <v>1</v>
    <v>Powered by Refinitiv</v>
    <v>5</v>
    <v>WALMART INC. (XNYS:WMT)</v>
    <v>2</v>
    <v>6</v>
    <v>Finance</v>
    <v>4</v>
    <v>165.84989999999999</v>
    <v>128.07</v>
    <v>0.49230000000000002</v>
    <v>-0.61</v>
    <v>4.8589999999999999E-4</v>
    <v>-3.6909999999999998E-3</v>
    <v>0.08</v>
    <v>USD</v>
    <v>Walmart Inc. is a technology-powered omni-channel retailer. The Company provides the opportunity to shop in both retail stores and through e-commerce and to access its other service offerings. It offers an assortment of merchandise and services at everyday low prices (EDLP). It operates through three segments: Walmart U.S., Walmart International and Sam's Club. The Walmart U.S. segment is a mass merchandiser of consumer products, operating under the Walmart and Walmart Neighborhood Market brands, as well as walmart.com and other e-commerce brands. Walmart International segment includes various formats divided into two categories: retail and wholesale. These categories consist of many formats, including supercenters, supermarkets, hypermarkets, warehouse clubs (including Sam's Clubs) and cash &amp; carry, as well as e-commerce through walmart.com.mx, walmart.ca, flipkart.com, walmart.cn and other sites. Sam's Club segment is a membership-only warehouse club that also operates samsclub.com.</v>
    <v>2100000</v>
    <v>New York Stock Exchange</v>
    <v>XNYS</v>
    <v>XNYS</v>
    <v>702 SW 8th St, BENTONVILLE, AR, 72716-6209 US</v>
    <v>165.66</v>
    <v>Food &amp; Drug Retailing</v>
    <v>Stock</v>
    <v>45184.997946318748</v>
    <v>3</v>
    <v>163.77000000000001</v>
    <v>443139100000</v>
    <v>WALMART INC.</v>
    <v>WALMART INC.</v>
    <v>165.21</v>
    <v>31.822299999999998</v>
    <v>165.25</v>
    <v>164.64</v>
    <v>164.72</v>
    <v>2691564000</v>
    <v>WMT</v>
    <v>WALMART INC. (XNYS:WMT)</v>
    <v>21308360</v>
    <v>5711720</v>
    <v>1969</v>
  </rv>
  <rv s="2">
    <v>4</v>
  </rv>
  <rv s="0">
    <v>https://www.bing.com/financeapi/forcetrigger?t=c3u5nm&amp;q=XNAS%3aEXFY&amp;form=skydnc</v>
    <v>Learn more on Bing</v>
  </rv>
  <rv s="1">
    <v>en-US</v>
    <v>c3u5nm</v>
    <v>268435456</v>
    <v>1</v>
    <v>Powered by Refinitiv</v>
    <v>0</v>
    <v>EXPENSIFY, INC. (XNAS:EXFY)</v>
    <v>2</v>
    <v>3</v>
    <v>Finance</v>
    <v>4</v>
    <v>16.324999999999999</v>
    <v>3.45</v>
    <v>1.361</v>
    <v>-0.35</v>
    <v>2.6012E-2</v>
    <v>-9.1864000000000001E-2</v>
    <v>0.09</v>
    <v>USD</v>
    <v>Expensify, Inc. (Expensify) is engaged in offering a cloud-based expense management software platform that helps businesses to simplify the way they manage money. Its platform is used by people in organizations around the world use Expensify to scan and reimburse receipts from flights, hotels, coffee shops, office supplies and ride shares. It improves the experience of the actual end users of expense management software. It designs Expensify to be easy to set up, integrate, configure and use from any device, which has enabled it to serve employees of all types and organizations of all sizes, industries and geographies. It offers subscription plans for both individuals and businesses that are self-service and payable by credit card. The Company focuses on improving the everyday experience of regular employees with an easy-to-use platform, which enables a bottom-up business model that is capital efficient and scalable.</v>
    <v>138</v>
    <v>Nasdaq Stock Market</v>
    <v>XNAS</v>
    <v>XNAS</v>
    <v>401 Sw 5Th Avenue, PORTLAND, OR, 97204 US</v>
    <v>3.71</v>
    <v>Software &amp; IT Services</v>
    <v>Stock</v>
    <v>45184.958501388282</v>
    <v>6</v>
    <v>3.45</v>
    <v>286654600</v>
    <v>EXPENSIFY, INC.</v>
    <v>EXPENSIFY, INC.</v>
    <v>3.6850000000000001</v>
    <v>3.81</v>
    <v>3.46</v>
    <v>3.55</v>
    <v>82848160</v>
    <v>EXFY</v>
    <v>EXPENSIFY, INC. (XNAS:EXFY)</v>
    <v>1920334</v>
    <v>649211</v>
    <v>2009</v>
  </rv>
  <rv s="2">
    <v>7</v>
  </rv>
  <rv s="0">
    <v>https://www.bing.com/financeapi/forcetrigger?t=a1mou2&amp;q=XNAS%3aAAPL&amp;form=skydnc</v>
    <v>Learn more on Bing</v>
  </rv>
  <rv s="3">
    <v>en-US</v>
    <v>a1mou2</v>
    <v>268435456</v>
    <v>1</v>
    <v>Powered by Refinitiv</v>
    <v>5</v>
    <v>APPLE INC. (XNAS:AAPL)</v>
    <v>2</v>
    <v>6</v>
    <v>Finance</v>
    <v>4</v>
    <v>198.23</v>
    <v>124.17</v>
    <v>1.2821</v>
    <v>-0.73</v>
    <v>-1.029E-3</v>
    <v>-4.1539999999999997E-3</v>
    <v>-0.18</v>
    <v>USD</v>
    <v>Apple Inc. (Apple) designs, manufactures and markets smartphones, personal computers, tablets, wearables and accessories and sells a range of related services. The Company’s products include iPhone, Mac, iPad, AirPods, Apple TV, Apple Watch, Beats products, HomePod, iPod touch and accessories. The Company operates various platforms, including the App Store, which allows customers to discover and download applications and digital content, such as books, music, video, games and podcasts. Apple offers digital content through subscription-based services, including Apple Arcade, Apple Music, Apple News+, Apple TV+ and Apple Fitness+. Apple also offers a range of other services, such as AppleCare, iCloud, Apple Card and Apple Pay. Apple sells its products and resells third-party products in a range of markets, including directly to consumers, small and mid-sized businesses, and education, enterprise and government customers through its retail and online stores and its direct sales force.</v>
    <v>164000</v>
    <v>Nasdaq Stock Market</v>
    <v>XNAS</v>
    <v>XNAS</v>
    <v>One Apple Park Way, CUPERTINO, CA, 95014 US</v>
    <v>176.495</v>
    <v>Computers, Phones &amp; Household Electronics</v>
    <v>Stock</v>
    <v>45184.999982082816</v>
    <v>9</v>
    <v>173.82</v>
    <v>2736147000000</v>
    <v>APPLE INC.</v>
    <v>APPLE INC.</v>
    <v>176.48</v>
    <v>29.513500000000001</v>
    <v>175.74</v>
    <v>175.01</v>
    <v>174.83</v>
    <v>15634230000</v>
    <v>AAPL</v>
    <v>APPLE INC. (XNAS:AAPL)</v>
    <v>109259461</v>
    <v>59181962</v>
    <v>1977</v>
  </rv>
  <rv s="2">
    <v>10</v>
  </rv>
  <rv s="0">
    <v>https://www.bing.com/financeapi/forcetrigger?t=a269ec&amp;q=XNYS%3aXOM&amp;form=skydnc</v>
    <v>Learn more on Bing</v>
  </rv>
  <rv s="3">
    <v>en-US</v>
    <v>a269ec</v>
    <v>268435456</v>
    <v>1</v>
    <v>Powered by Refinitiv</v>
    <v>5</v>
    <v>EXXON MOBIL CORPORATION (XNYS:XOM)</v>
    <v>2</v>
    <v>6</v>
    <v>Finance</v>
    <v>4</v>
    <v>119.92</v>
    <v>83.89</v>
    <v>1.0686</v>
    <v>-1.82</v>
    <v>-8.5690000000000001E-5</v>
    <v>-1.5356000000000002E-2</v>
    <v>-0.01</v>
    <v>USD</v>
    <v>Exxon Mobil Corporation is engaged in the energy business. The Company's principal business involves the exploration for, and production of, crude oil and natural gas, and the manufacture, trade, transport and sale of crude oil, natural gas, petroleum products, petrochemicals and a range of specialty products. The Company's segments include Upstream, Energy Products, Chemical Products, and Specialty Products. The Upstream segment is organized and operates to explore for and produce crude oil and natural gas. Energy Products, Chemical Products, and Specialty Products segments are organized and operate to manufacture and sell petroleum products and petrochemicals. The Energy Products segment includes fuels, aromatics, catalysts and licensing. The Chemical Products segment includes Olefins, polyolefins and intermediates. The Specialty Products segment includes finished lubricants, base stocks and waxes, synthetics, and elastomers and resins.</v>
    <v>62000</v>
    <v>New York Stock Exchange</v>
    <v>XNYS</v>
    <v>XNYS</v>
    <v>22777 SPRINGWOODS VILLAGE PARKWAY, SPRING, TX, 77389-1425 US</v>
    <v>118.51</v>
    <v>Oil &amp; Gas</v>
    <v>Stock</v>
    <v>45184.999662025002</v>
    <v>12</v>
    <v>116.5</v>
    <v>467172600000</v>
    <v>EXXON MOBIL CORPORATION</v>
    <v>EXXON MOBIL CORPORATION</v>
    <v>117.9</v>
    <v>9.4850999999999992</v>
    <v>118.52</v>
    <v>116.7</v>
    <v>116.69</v>
    <v>4003193000</v>
    <v>XOM</v>
    <v>EXXON MOBIL CORPORATION (XNYS:XOM)</v>
    <v>34568393</v>
    <v>13940490</v>
    <v>1882</v>
  </rv>
  <rv s="2">
    <v>13</v>
  </rv>
  <rv s="0">
    <v>https://www.bing.com/financeapi/forcetrigger?t=a1zsjc&amp;q=XNYS%3aPG&amp;form=skydnc</v>
    <v>Learn more on Bing</v>
  </rv>
  <rv s="3">
    <v>en-US</v>
    <v>a1zsjc</v>
    <v>268435456</v>
    <v>1</v>
    <v>Powered by Refinitiv</v>
    <v>5</v>
    <v>THE PROCTER &amp; GAMBLE COMPANY (XNYS:PG)</v>
    <v>2</v>
    <v>6</v>
    <v>Finance</v>
    <v>4</v>
    <v>158.38</v>
    <v>122.18</v>
    <v>0.41160000000000002</v>
    <v>-1.3</v>
    <v>0</v>
    <v>-8.3999999999999995E-3</v>
    <v>0</v>
    <v>USD</v>
    <v>The Procter &amp; Gamble Company is focused on providing branded consumer packaged goods to consumers across the world. The Company’s segments include Beauty, Grooming, Health Care, Fabric &amp; Home Care and Baby, Feminine &amp; Family Care. The Company’s products are sold in approximately 180 countries and territories primarily through mass merchandisers, e-commerce, including social commerce channels, grocery stores, membership club stores, drug stores, department stores, distributors, wholesalers, specialty beauty stores, including airport duty-free stores), high-frequency stores, pharmacies, electronics stores and professional channels. It also sells direct to individual consumers. It has operations in approximately 70 countries. It offers products under brands, such as Head &amp; Shoulders, Herbal Essences, Pantene, Rejoice, Olay, Old Spice, Safeguard, Secret, SK-II, Braun, Gillette, Venus, Crest, Oral-B, Ariel, Downy, Gain, Tide, Always, Always Discreet, Tampax and others.</v>
    <v>107000</v>
    <v>New York Stock Exchange</v>
    <v>XNYS</v>
    <v>XNYS</v>
    <v>One Procter &amp; Gamble Plaza, CINCINNATI, OH, 45202 US</v>
    <v>155.32</v>
    <v>Personal &amp; Household Products &amp; Services</v>
    <v>Stock</v>
    <v>45184.999662013281</v>
    <v>15</v>
    <v>153.22999999999999</v>
    <v>361712500000</v>
    <v>THE PROCTER &amp; GAMBLE COMPANY</v>
    <v>THE PROCTER &amp; GAMBLE COMPANY</v>
    <v>154.03</v>
    <v>26.241900000000001</v>
    <v>154.77000000000001</v>
    <v>153.47</v>
    <v>153.47</v>
    <v>2356894000</v>
    <v>PG</v>
    <v>THE PROCTER &amp; GAMBLE COMPANY (XNYS:PG)</v>
    <v>10262391</v>
    <v>4562615</v>
    <v>1905</v>
  </rv>
  <rv s="2">
    <v>16</v>
  </rv>
  <rv s="0">
    <v>https://www.bing.com/financeapi/forcetrigger?t=a1x8w7&amp;q=XNYS%3aMA&amp;form=skydnc</v>
    <v>Learn more on Bing</v>
  </rv>
  <rv s="3">
    <v>en-US</v>
    <v>a1x8w7</v>
    <v>268435456</v>
    <v>1</v>
    <v>Powered by Refinitiv</v>
    <v>5</v>
    <v>MASTERCARD INCORPORATED. (XNYS:MA)</v>
    <v>2</v>
    <v>6</v>
    <v>Finance</v>
    <v>4</v>
    <v>418.6</v>
    <v>276.87</v>
    <v>1.0915999999999999</v>
    <v>0.97</v>
    <v>2.3649999999999999E-3</v>
    <v>2.3470000000000001E-3</v>
    <v>0.98</v>
    <v>USD</v>
    <v>Mastercard Incorporated is a technology company that connects consumers, financial institutions, merchants, governments and businesses across the world, enabling them to use electronic forms of payment. The Company allows users to make payments by creating a range of payment solutions and services using its brands, which include MasterCard, Maestro and Cirrus. The Company's services facilitate transactions on its core network among account holders, merchants, financial institutions, businesses, governments and other organizations in markets globally. Its products include consumer credit, consumer debit and prepaid, and commercial credit and debit. The Company offers additional payment capabilities that include automated clearing house (ACH) transactions (both batch and real-time account-based payments). The Company also offers other services, including cyber and intelligence solutions. The Company has connections across more than 210 countries and territories.</v>
    <v>29900</v>
    <v>New York Stock Exchange</v>
    <v>XNYS</v>
    <v>XNYS</v>
    <v>2000 Purchase St, PURCHASE, NY, 10577-2405 US</v>
    <v>418.3</v>
    <v>Software &amp; IT Services</v>
    <v>Stock</v>
    <v>45184.997872753906</v>
    <v>18</v>
    <v>411.14</v>
    <v>390368000000</v>
    <v>MASTERCARD INCORPORATED.</v>
    <v>MASTERCARD INCORPORATED.</v>
    <v>411.86</v>
    <v>38.723100000000002</v>
    <v>413.34</v>
    <v>414.31</v>
    <v>415.29</v>
    <v>942212300</v>
    <v>MA</v>
    <v>MASTERCARD INCORPORATED. (XNYS:MA)</v>
    <v>4755526</v>
    <v>2097182</v>
    <v>2001</v>
  </rv>
  <rv s="2">
    <v>19</v>
  </rv>
  <rv s="0">
    <v>https://www.bing.com/financeapi/forcetrigger?t=buv35r&amp;q=XNAS%3aCLOV&amp;form=skydnc</v>
    <v>Learn more on Bing</v>
  </rv>
  <rv s="3">
    <v>en-US</v>
    <v>buv35r</v>
    <v>268435456</v>
    <v>1</v>
    <v>Powered by Refinitiv</v>
    <v>5</v>
    <v>CLOVER HEALTH INVESTMENTS, CORP. (XNAS:CLOV)</v>
    <v>2</v>
    <v>6</v>
    <v>Finance</v>
    <v>4</v>
    <v>2.2650000000000001</v>
    <v>0.70779999999999998</v>
    <v>1.611</v>
    <v>0</v>
    <v>8.8500000000000002E-3</v>
    <v>0</v>
    <v>0.01</v>
    <v>USD</v>
    <v>Clover Health Investments, Corp. is a physician enablement company. The Company is focused on seniors who have historically lacked access to affordable healthcare. It offers a software platform, Clover Assistant, which is designed to aggregate patient data from across the health ecosystem to support clinical decision-making and improve health outcomes. The Company operates under two segments: Insurance and Non-Insurance. Through its Insurance segment, it provides Preferred Provider Organization (PPO) and Health Maintenance Organization (HMO) plans to Medicare Advantage (MA) members in several states. The Company's Non-Insurance segment consists of operations in connection with its participation in the Direct Contracting program. The Company’s subsidiaries include Clover Health Labs, LLC, Clover Health International, Corp., Clover Health Corp., Clover Health Holdings, Inc., Clover Health Partners, LLC, Clover HMO Corp., Principium Health, LLC and Clover Health HK Limited.</v>
    <v>656</v>
    <v>Nasdaq Stock Market</v>
    <v>XNAS</v>
    <v>XNAS</v>
    <v>3401 Mallory Lane, Suite 210, Suite 320, FRANKLIN, TN, 37067 US</v>
    <v>1.1599999999999999</v>
    <v>Healthcare Providers &amp; Services</v>
    <v>Stock</v>
    <v>45184.999654003906</v>
    <v>21</v>
    <v>1.105</v>
    <v>547893721</v>
    <v>CLOVER HEALTH INVESTMENTS, CORP.</v>
    <v>CLOVER HEALTH INVESTMENTS, CORP.</v>
    <v>1.1499999999999999</v>
    <v>0</v>
    <v>1.1299999999999999</v>
    <v>1.1299999999999999</v>
    <v>1.1399999999999999</v>
    <v>484861700</v>
    <v>CLOV</v>
    <v>CLOVER HEALTH INVESTMENTS, CORP. (XNAS:CLOV)</v>
    <v>5761061</v>
    <v>4414236</v>
    <v>2021</v>
  </rv>
  <rv s="2">
    <v>22</v>
  </rv>
  <rv s="0">
    <v>https://www.bing.com/financeapi/forcetrigger?t=a24bh7&amp;q=XNYS%3aTM&amp;form=skydnc</v>
    <v>Learn more on Bing</v>
  </rv>
  <rv s="3">
    <v>en-US</v>
    <v>a24bh7</v>
    <v>268435456</v>
    <v>1</v>
    <v>Powered by Refinitiv</v>
    <v>5</v>
    <v>TOYOTA MOTOR CORPORATION (XNYS:TM)</v>
    <v>2</v>
    <v>6</v>
    <v>Finance</v>
    <v>4</v>
    <v>190.86</v>
    <v>130.07</v>
    <v>0.68089999999999995</v>
    <v>1.22</v>
    <v>2.696E-3</v>
    <v>6.4900000000000001E-3</v>
    <v>0.51</v>
    <v>USD</v>
    <v>Toyota Motor Corp is a Japan-based company engaged in the automobile business, finance business and other businesses. The Company operates in three business segments. The Automobile segment is engaged in the design, manufacture and sale of sedans, minivans, 2box, sports utility vehicles, trucks and related vehicles, as well as related parts and products. The Finance segment is engaged in finance and vehicle leasing business. The Other segment is engaged in the design, manufacture and sale of houses, as well as conduct information communication business. The Company is also engaged in the control of manufacturing and sales companies, as well as public relations and research activities business in North American and Europe. The Company also provides robots, basic research projects, marine and agribio business. The Company also provides electric vehicles and vehicles equipped with the new function Advanced Drive of driving support technology, driver assistance or connected cars services.</v>
    <v>375235</v>
    <v>New York Stock Exchange</v>
    <v>XNYS</v>
    <v>XNYS</v>
    <v>1, Toyota-cho, TOYOTA-SHI, AICHI-KEN, 471-8571 JP</v>
    <v>190.86</v>
    <v>Automobiles &amp; Auto Parts</v>
    <v>Stock</v>
    <v>45184.988206249996</v>
    <v>24</v>
    <v>188.95</v>
    <v>312149800000</v>
    <v>TOYOTA MOTOR CORPORATION</v>
    <v>TOYOTA MOTOR CORPORATION</v>
    <v>190.67</v>
    <v>12.1912</v>
    <v>187.98</v>
    <v>189.2</v>
    <v>189.71</v>
    <v>1631499000</v>
    <v>TM</v>
    <v>TOYOTA MOTOR CORPORATION (XNYS:TM)</v>
    <v>393678</v>
    <v>239923</v>
    <v>1937</v>
  </rv>
  <rv s="2">
    <v>25</v>
  </rv>
  <rv s="0">
    <v>https://www.bing.com/financeapi/forcetrigger?t=a1waa2&amp;q=XNYS%3aJPM&amp;form=skydnc</v>
    <v>Learn more on Bing</v>
  </rv>
  <rv s="3">
    <v>en-US</v>
    <v>a1waa2</v>
    <v>268435456</v>
    <v>1</v>
    <v>Powered by Refinitiv</v>
    <v>5</v>
    <v>JPMORGAN CHASE &amp; CO. (XNYS:JPM)</v>
    <v>2</v>
    <v>6</v>
    <v>Finance</v>
    <v>4</v>
    <v>159.38</v>
    <v>101.28</v>
    <v>1.091</v>
    <v>-0.44</v>
    <v>0</v>
    <v>-2.9480000000000001E-3</v>
    <v>0</v>
    <v>USD</v>
    <v>JPMorgan Chase &amp; Co. is a financial holding company. It has four segments: Consumer &amp; Community Banking (CCB), Corporate &amp; Investment Bank (CIB), Commercial Banking (CB), and Asset &amp; Wealth Management (AWM). CCB segment offers products and services to consumers and small businesses through bank branches; ATMs; digital, including mobile and online; and telephone banking. CIB segment consists of banking and markets and securities services, offers a suite of investment banking, market-making, prime brokerage, lending, and treasury and securities products and services to a global client base of corporations, investors, financial institutions, merchants, government and municipal entities. CB segment provides financial solutions, including lending, payments, investment banking and asset management products across three primary client segments: middle market banking, corporate client banking and commercial real estate banking. AWM segment is engaged in investment and wealth management.</v>
    <v>300066</v>
    <v>New York Stock Exchange</v>
    <v>XNYS</v>
    <v>XNYS</v>
    <v>383 Madison Avenue, NEW YORK, NY, 10179 US</v>
    <v>149.72559999999999</v>
    <v>Banking Services</v>
    <v>Stock</v>
    <v>45184.999666712501</v>
    <v>27</v>
    <v>148.31</v>
    <v>432454600000</v>
    <v>JPMORGAN CHASE &amp; CO.</v>
    <v>JPMORGAN CHASE &amp; CO.</v>
    <v>148.91999999999999</v>
    <v>9.6014999999999997</v>
    <v>149.25</v>
    <v>148.81</v>
    <v>148.81</v>
    <v>2906085000</v>
    <v>JPM</v>
    <v>JPMORGAN CHASE &amp; CO. (XNYS:JPM)</v>
    <v>19863383</v>
    <v>7726343</v>
    <v>1968</v>
  </rv>
  <rv s="2">
    <v>28</v>
  </rv>
</rvData>
</file>

<file path=xl/richData/rdrichvaluestructure.xml><?xml version="1.0" encoding="utf-8"?>
<rvStructures xmlns="http://schemas.microsoft.com/office/spreadsheetml/2017/richdata" count="4">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
    <k n="%cvi" t="r"/>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2">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7">
    <spb s="0">
      <v>0</v>
      <v>Name</v>
      <v>LearnMoreOnLink</v>
    </spb>
    <spb s="1">
      <v>0</v>
      <v>0</v>
      <v>0</v>
    </spb>
    <spb s="2">
      <v>1</v>
      <v>1</v>
      <v>1</v>
      <v>1</v>
    </spb>
    <spb s="3">
      <v>1</v>
      <v>2</v>
      <v>1</v>
      <v>3</v>
      <v>1</v>
      <v>1</v>
      <v>1</v>
      <v>4</v>
      <v>4</v>
      <v>5</v>
      <v>6</v>
      <v>1</v>
      <v>1</v>
      <v>1</v>
      <v>4</v>
      <v>7</v>
      <v>8</v>
      <v>9</v>
      <v>4</v>
      <v>1</v>
      <v>1</v>
      <v>5</v>
    </spb>
    <spb s="4">
      <v>at close</v>
      <v>from previous close</v>
      <v>from previous close</v>
      <v>Source: Nasdaq</v>
      <v>GMT</v>
      <v>Delayed 15 minutes</v>
      <v>from close</v>
      <v>from close</v>
    </spb>
    <spb s="0">
      <v>1</v>
      <v>Name</v>
      <v>LearnMoreOnLink</v>
    </spb>
    <spb s="5">
      <v>1</v>
      <v>2</v>
      <v>2</v>
      <v>1</v>
      <v>3</v>
      <v>1</v>
      <v>1</v>
      <v>1</v>
      <v>4</v>
      <v>4</v>
      <v>5</v>
      <v>6</v>
      <v>1</v>
      <v>1</v>
      <v>1</v>
      <v>4</v>
      <v>7</v>
      <v>8</v>
      <v>9</v>
      <v>4</v>
      <v>1</v>
      <v>1</v>
      <v>5</v>
    </spb>
  </spbData>
</supportingPropertyBags>
</file>

<file path=xl/richData/rdsupportingpropertybagstructure.xml><?xml version="1.0" encoding="utf-8"?>
<spbStructures xmlns="http://schemas.microsoft.com/office/spreadsheetml/2017/richdata2" count="6">
  <s>
    <k n="^Order" t="spba"/>
    <k n="TitleProperty" t="s"/>
    <k n="SubTitleProperty" t="s"/>
  </s>
  <s>
    <k n="ShowInCardView" t="b"/>
    <k n="ShowInDotNotation" t="b"/>
    <k n="ShowInAutoComplete" t="b"/>
  </s>
  <s>
    <k n="ExchangeID" t="spb"/>
    <k n="UniqueName" t="spb"/>
    <k n="`%ProviderInfo" t="spb"/>
    <k n="LearnMoreOnLink" t="spb"/>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565D74-3244-4625-9B9F-4E028333CF31}" name="Transactions" displayName="Transactions" ref="B2:H20" totalsRowShown="0" headerRowDxfId="5" headerRowBorderDxfId="4">
  <tableColumns count="7">
    <tableColumn id="1" xr3:uid="{E390D542-B5AF-4A17-8098-D94BC35AB173}" name="Stock Ticker"/>
    <tableColumn id="2" xr3:uid="{A02AE8D8-D392-4092-B81A-7897C5D2A492}" name="Transaction"/>
    <tableColumn id="3" xr3:uid="{157AA3FF-F1A1-44A4-AD77-1CE36E6251BE}" name="Date" dataDxfId="3"/>
    <tableColumn id="4" xr3:uid="{58BDF38E-032D-4107-84EE-BBD550C478A4}" name="Quantity"/>
    <tableColumn id="5" xr3:uid="{1DAAD71A-E076-4D05-999D-2CFF2F45607B}" name="Price" dataDxfId="2" dataCellStyle="Currency"/>
    <tableColumn id="6" xr3:uid="{2DE32F94-2BAE-46CA-B715-3A3B624265C9}" name="Dividend" dataDxfId="1" dataCellStyle="Currency"/>
    <tableColumn id="7" xr3:uid="{33031481-32AA-4FB7-BD13-D8B65B8B6873}" name="Total Amount" dataDxfId="0" dataCellStyle="Currency">
      <calculatedColumnFormula>E3*F3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5944C-8B20-4786-BF96-800459D68B4C}">
  <dimension ref="B1:R27"/>
  <sheetViews>
    <sheetView showGridLines="0" tabSelected="1" zoomScale="65" zoomScaleNormal="65" workbookViewId="0">
      <selection activeCell="I22" sqref="I22"/>
    </sheetView>
  </sheetViews>
  <sheetFormatPr defaultRowHeight="28.8" x14ac:dyDescent="0.55000000000000004"/>
  <cols>
    <col min="1" max="1" width="0.68359375" customWidth="1"/>
    <col min="2" max="2" width="36.15625" customWidth="1"/>
    <col min="3" max="3" width="20.5234375" bestFit="1" customWidth="1"/>
    <col min="4" max="4" width="10.734375" customWidth="1"/>
    <col min="5" max="5" width="4.7890625" customWidth="1"/>
    <col min="6" max="6" width="6.26171875" customWidth="1"/>
    <col min="7" max="7" width="7.83984375" bestFit="1" customWidth="1"/>
    <col min="8" max="8" width="10.41796875" customWidth="1"/>
    <col min="9" max="9" width="8.1015625" bestFit="1" customWidth="1"/>
    <col min="10" max="10" width="5.47265625" customWidth="1"/>
    <col min="11" max="11" width="7.68359375" bestFit="1" customWidth="1"/>
    <col min="12" max="12" width="9.68359375" customWidth="1"/>
    <col min="13" max="13" width="11.41796875" bestFit="1" customWidth="1"/>
    <col min="17" max="17" width="27.15625" bestFit="1" customWidth="1"/>
    <col min="18" max="18" width="10.47265625" customWidth="1"/>
  </cols>
  <sheetData>
    <row r="1" spans="2:18" ht="6" customHeight="1" thickBot="1" x14ac:dyDescent="0.6"/>
    <row r="2" spans="2:18" ht="20.7" customHeight="1" x14ac:dyDescent="0.55000000000000004">
      <c r="B2" s="25" t="s">
        <v>8</v>
      </c>
      <c r="C2" s="26"/>
      <c r="D2" s="26"/>
      <c r="E2" s="26"/>
      <c r="F2" s="26"/>
      <c r="G2" s="26"/>
      <c r="H2" s="26"/>
      <c r="I2" s="26"/>
      <c r="J2" s="26"/>
      <c r="K2" s="26"/>
      <c r="L2" s="26"/>
      <c r="M2" s="27"/>
      <c r="N2" s="4"/>
      <c r="O2" s="4"/>
    </row>
    <row r="3" spans="2:18" ht="20.7" customHeight="1" thickBot="1" x14ac:dyDescent="0.6">
      <c r="B3" s="28"/>
      <c r="C3" s="29"/>
      <c r="D3" s="29"/>
      <c r="E3" s="29"/>
      <c r="F3" s="29"/>
      <c r="G3" s="29"/>
      <c r="H3" s="29"/>
      <c r="I3" s="29"/>
      <c r="J3" s="29"/>
      <c r="K3" s="29"/>
      <c r="L3" s="29"/>
      <c r="M3" s="30"/>
      <c r="N3" s="4"/>
      <c r="O3" s="4"/>
    </row>
    <row r="4" spans="2:18" ht="4.5" customHeight="1" thickBot="1" x14ac:dyDescent="0.6"/>
    <row r="5" spans="2:18" ht="22.95" customHeight="1" thickBot="1" x14ac:dyDescent="0.6">
      <c r="B5" s="22" t="s">
        <v>19</v>
      </c>
      <c r="C5" s="23"/>
      <c r="D5" s="23"/>
      <c r="E5" s="23"/>
      <c r="F5" s="23"/>
      <c r="G5" s="23"/>
      <c r="H5" s="23"/>
      <c r="I5" s="23"/>
      <c r="J5" s="23"/>
      <c r="K5" s="23"/>
      <c r="L5" s="23"/>
      <c r="M5" s="24"/>
      <c r="Q5" s="22" t="s">
        <v>33</v>
      </c>
      <c r="R5" s="24"/>
    </row>
    <row r="6" spans="2:18" ht="57.6" x14ac:dyDescent="0.55000000000000004">
      <c r="B6" s="5" t="s">
        <v>9</v>
      </c>
      <c r="C6" s="6" t="s">
        <v>10</v>
      </c>
      <c r="D6" s="6" t="s">
        <v>11</v>
      </c>
      <c r="E6" s="6" t="s">
        <v>12</v>
      </c>
      <c r="F6" s="6" t="s">
        <v>13</v>
      </c>
      <c r="G6" s="6" t="s">
        <v>18</v>
      </c>
      <c r="H6" s="6" t="s">
        <v>14</v>
      </c>
      <c r="I6" s="6" t="s">
        <v>15</v>
      </c>
      <c r="J6" s="6" t="s">
        <v>20</v>
      </c>
      <c r="K6" s="6" t="s">
        <v>16</v>
      </c>
      <c r="L6" s="6" t="s">
        <v>17</v>
      </c>
      <c r="M6" s="7" t="s">
        <v>21</v>
      </c>
      <c r="P6" s="6"/>
      <c r="Q6" s="19" t="s">
        <v>34</v>
      </c>
      <c r="R6" s="18" t="s">
        <v>35</v>
      </c>
    </row>
    <row r="7" spans="2:18" ht="24.9" customHeight="1" x14ac:dyDescent="0.55000000000000004">
      <c r="B7" s="43" t="s">
        <v>36</v>
      </c>
      <c r="C7" t="s">
        <v>47</v>
      </c>
      <c r="D7">
        <v>3.01</v>
      </c>
      <c r="E7" t="s">
        <v>52</v>
      </c>
      <c r="F7">
        <v>69</v>
      </c>
      <c r="G7">
        <v>196.49</v>
      </c>
      <c r="H7">
        <f>F7*G7</f>
        <v>13557.810000000001</v>
      </c>
      <c r="I7" s="44">
        <f>H7/SUM(H7:H15)*1</f>
        <v>6.2277775172243553E-2</v>
      </c>
      <c r="J7">
        <v>1.25</v>
      </c>
      <c r="K7">
        <f>G7-'Transaction Log'!F3*1*10</f>
        <v>-1748.31</v>
      </c>
      <c r="L7" s="44">
        <f>K7/(H7-K7)</f>
        <v>-0.11422293827567011</v>
      </c>
      <c r="M7">
        <f>29.17+F7*G7/100</f>
        <v>164.74810000000002</v>
      </c>
      <c r="Q7" s="43" t="s">
        <v>36</v>
      </c>
      <c r="R7" s="45">
        <v>-29.366972477064337</v>
      </c>
    </row>
    <row r="8" spans="2:18" ht="24.9" customHeight="1" x14ac:dyDescent="0.55000000000000004">
      <c r="B8" s="43" t="s">
        <v>37</v>
      </c>
      <c r="C8" t="s">
        <v>47</v>
      </c>
      <c r="D8">
        <v>3.15</v>
      </c>
      <c r="E8" t="s">
        <v>52</v>
      </c>
      <c r="F8">
        <v>20</v>
      </c>
      <c r="G8">
        <v>423.85</v>
      </c>
      <c r="H8">
        <f t="shared" ref="H8:H15" si="0">F8*G8</f>
        <v>8477</v>
      </c>
      <c r="I8" s="44">
        <f>H8/SUM(H7:H16)*1</f>
        <v>3.8939083829549796E-2</v>
      </c>
      <c r="J8">
        <v>0.89</v>
      </c>
      <c r="K8">
        <f>G8-'Transaction Log'!F4*1*10</f>
        <v>-1503.9499999999998</v>
      </c>
      <c r="L8" s="44">
        <f t="shared" ref="L8:L15" si="1">K8/(H8-K8)</f>
        <v>-0.15068204930392395</v>
      </c>
      <c r="M8">
        <f t="shared" ref="M8:M15" si="2">29.17+F8*G8/100</f>
        <v>113.94</v>
      </c>
      <c r="Q8" s="43" t="s">
        <v>37</v>
      </c>
      <c r="R8" s="45">
        <v>-8433.9999999999982</v>
      </c>
    </row>
    <row r="9" spans="2:18" ht="24.9" customHeight="1" x14ac:dyDescent="0.55000000000000004">
      <c r="B9" s="43" t="s">
        <v>39</v>
      </c>
      <c r="C9" t="s">
        <v>48</v>
      </c>
      <c r="D9">
        <v>574.19000000000005</v>
      </c>
      <c r="E9" t="s">
        <v>53</v>
      </c>
      <c r="F9">
        <v>250</v>
      </c>
      <c r="G9">
        <v>199.95</v>
      </c>
      <c r="H9">
        <f t="shared" si="0"/>
        <v>49987.5</v>
      </c>
      <c r="I9" s="44">
        <f>H9/SUM(H7:H17)*1</f>
        <v>0.22961748884388586</v>
      </c>
      <c r="J9">
        <v>1.1100000000000001</v>
      </c>
      <c r="K9">
        <f>G9-'Transaction Log'!F5*1*10</f>
        <v>-4045.25</v>
      </c>
      <c r="L9" s="44">
        <f t="shared" si="1"/>
        <v>-7.4866631811262616E-2</v>
      </c>
      <c r="M9">
        <f t="shared" si="2"/>
        <v>529.04499999999996</v>
      </c>
      <c r="Q9" s="43" t="s">
        <v>39</v>
      </c>
      <c r="R9" s="45">
        <v>0</v>
      </c>
    </row>
    <row r="10" spans="2:18" ht="24.9" customHeight="1" x14ac:dyDescent="0.55000000000000004">
      <c r="B10" s="43" t="s">
        <v>40</v>
      </c>
      <c r="C10" t="s">
        <v>49</v>
      </c>
      <c r="D10">
        <v>1.9179999999999999</v>
      </c>
      <c r="E10" t="s">
        <v>52</v>
      </c>
      <c r="F10">
        <v>25</v>
      </c>
      <c r="G10">
        <v>184.3</v>
      </c>
      <c r="H10">
        <f t="shared" si="0"/>
        <v>4607.5</v>
      </c>
      <c r="I10" s="44">
        <f>H10/SUM(H7:H18)*1</f>
        <v>2.1164542732647243E-2</v>
      </c>
      <c r="J10">
        <v>1.1399999999999999</v>
      </c>
      <c r="K10">
        <f>G10-'Transaction Log'!F6*1*10</f>
        <v>184.3</v>
      </c>
      <c r="L10" s="44">
        <f t="shared" si="1"/>
        <v>4.1666666666666671E-2</v>
      </c>
      <c r="M10">
        <f t="shared" si="2"/>
        <v>75.245000000000005</v>
      </c>
      <c r="Q10" s="43" t="s">
        <v>40</v>
      </c>
      <c r="R10" s="45">
        <v>-70</v>
      </c>
    </row>
    <row r="11" spans="2:18" ht="24.9" customHeight="1" x14ac:dyDescent="0.55000000000000004">
      <c r="B11" s="43" t="s">
        <v>41</v>
      </c>
      <c r="C11" t="s">
        <v>50</v>
      </c>
      <c r="D11">
        <v>276.14</v>
      </c>
      <c r="E11" t="s">
        <v>53</v>
      </c>
      <c r="F11">
        <v>5</v>
      </c>
      <c r="G11">
        <v>641.47</v>
      </c>
      <c r="H11">
        <f t="shared" si="0"/>
        <v>3207.3500000000004</v>
      </c>
      <c r="I11" s="44">
        <f>H11/SUM(H7:H19)*1</f>
        <v>1.4732956295942734E-2</v>
      </c>
      <c r="J11">
        <v>1.26</v>
      </c>
      <c r="K11">
        <f>G11-'Transaction Log'!F7*1*10</f>
        <v>-1327.6299999999999</v>
      </c>
      <c r="L11" s="44">
        <f t="shared" si="1"/>
        <v>-0.29275322052136937</v>
      </c>
      <c r="M11">
        <f t="shared" si="2"/>
        <v>61.243500000000004</v>
      </c>
      <c r="Q11" s="43" t="s">
        <v>41</v>
      </c>
      <c r="R11" s="45">
        <v>42.666666666667652</v>
      </c>
    </row>
    <row r="12" spans="2:18" ht="24.9" customHeight="1" x14ac:dyDescent="0.55000000000000004">
      <c r="B12" s="43" t="s">
        <v>46</v>
      </c>
      <c r="C12" t="s">
        <v>47</v>
      </c>
      <c r="D12">
        <v>271.33</v>
      </c>
      <c r="E12" t="s">
        <v>55</v>
      </c>
      <c r="F12">
        <v>35</v>
      </c>
      <c r="G12">
        <v>167.87</v>
      </c>
      <c r="H12">
        <f t="shared" si="0"/>
        <v>5875.45</v>
      </c>
      <c r="I12" s="44">
        <f>H12/SUM(H7:H20)*1</f>
        <v>2.6988868713734616E-2</v>
      </c>
      <c r="J12">
        <v>1.69</v>
      </c>
      <c r="K12">
        <f>G12-'Transaction Log'!F8*1*10</f>
        <v>-1682.13</v>
      </c>
      <c r="L12" s="44">
        <f t="shared" si="1"/>
        <v>-0.22257521587598147</v>
      </c>
      <c r="M12">
        <f t="shared" si="2"/>
        <v>87.924499999999995</v>
      </c>
      <c r="Q12" s="43" t="s">
        <v>46</v>
      </c>
      <c r="R12" s="45">
        <v>-20.699999999999932</v>
      </c>
    </row>
    <row r="13" spans="2:18" ht="24.9" customHeight="1" x14ac:dyDescent="0.55000000000000004">
      <c r="B13" s="43" t="s">
        <v>43</v>
      </c>
      <c r="C13" t="s">
        <v>47</v>
      </c>
      <c r="D13">
        <v>2.94</v>
      </c>
      <c r="E13" t="s">
        <v>52</v>
      </c>
      <c r="F13">
        <v>30</v>
      </c>
      <c r="G13">
        <v>1208.8800000000001</v>
      </c>
      <c r="H13">
        <f t="shared" si="0"/>
        <v>36266.400000000001</v>
      </c>
      <c r="I13" s="44">
        <f>H13/SUM(H7:H21)*1</f>
        <v>0.16658964135849769</v>
      </c>
      <c r="J13">
        <v>1.69</v>
      </c>
      <c r="K13">
        <f>G13-'Transaction Log'!F9*1*10</f>
        <v>-5276.32</v>
      </c>
      <c r="L13" s="44">
        <f t="shared" si="1"/>
        <v>-0.12700949769297723</v>
      </c>
      <c r="M13">
        <f t="shared" si="2"/>
        <v>391.834</v>
      </c>
      <c r="Q13" s="43" t="s">
        <v>43</v>
      </c>
      <c r="R13" s="45">
        <v>0</v>
      </c>
    </row>
    <row r="14" spans="2:18" ht="24.9" customHeight="1" x14ac:dyDescent="0.55000000000000004">
      <c r="B14" s="43" t="s">
        <v>44</v>
      </c>
      <c r="C14" t="s">
        <v>51</v>
      </c>
      <c r="D14">
        <v>530.97</v>
      </c>
      <c r="E14" t="s">
        <v>55</v>
      </c>
      <c r="F14">
        <v>200</v>
      </c>
      <c r="G14">
        <v>65.88</v>
      </c>
      <c r="H14">
        <f t="shared" si="0"/>
        <v>13176</v>
      </c>
      <c r="I14" s="44">
        <f>H14/SUM(H7:H22)*1</f>
        <v>6.0523931643051566E-2</v>
      </c>
      <c r="J14">
        <v>0.52</v>
      </c>
      <c r="K14">
        <f>G14-'Transaction Log'!F10*1*10</f>
        <v>-1601.92</v>
      </c>
      <c r="L14" s="44">
        <f t="shared" si="1"/>
        <v>-0.10839955825989044</v>
      </c>
      <c r="M14">
        <f t="shared" si="2"/>
        <v>160.93</v>
      </c>
      <c r="Q14" s="43" t="s">
        <v>44</v>
      </c>
      <c r="R14" s="45">
        <v>0</v>
      </c>
    </row>
    <row r="15" spans="2:18" ht="24.9" customHeight="1" x14ac:dyDescent="0.55000000000000004">
      <c r="B15" s="43" t="s">
        <v>45</v>
      </c>
      <c r="C15" t="s">
        <v>49</v>
      </c>
      <c r="D15">
        <v>297.44</v>
      </c>
      <c r="E15" t="s">
        <v>53</v>
      </c>
      <c r="F15">
        <v>400</v>
      </c>
      <c r="G15">
        <v>206.36</v>
      </c>
      <c r="H15">
        <f t="shared" si="0"/>
        <v>82544</v>
      </c>
      <c r="I15" s="44">
        <f>H15/SUM(H7:H23)*1</f>
        <v>0.37916571141044692</v>
      </c>
      <c r="J15">
        <v>0.46</v>
      </c>
      <c r="K15">
        <f>G15-'Transaction Log'!F11*1*10</f>
        <v>-11893.439999999999</v>
      </c>
      <c r="L15" s="44">
        <f t="shared" si="1"/>
        <v>-0.1259398814707387</v>
      </c>
      <c r="M15">
        <f t="shared" si="2"/>
        <v>854.61</v>
      </c>
      <c r="Q15" s="43" t="s">
        <v>45</v>
      </c>
      <c r="R15" s="45">
        <v>0</v>
      </c>
    </row>
    <row r="16" spans="2:18" ht="6.75" customHeight="1" thickBot="1" x14ac:dyDescent="0.6">
      <c r="B16" s="43" t="s">
        <v>38</v>
      </c>
      <c r="C16" s="2"/>
      <c r="D16" s="2"/>
      <c r="E16" s="2"/>
      <c r="F16" s="2"/>
      <c r="G16" s="2"/>
      <c r="H16" s="2"/>
      <c r="I16" s="2"/>
      <c r="J16" s="2"/>
      <c r="K16" s="2"/>
      <c r="L16" s="2"/>
      <c r="M16" s="8"/>
      <c r="R16" s="50">
        <v>1.6000000000000014</v>
      </c>
    </row>
    <row r="17" spans="2:18" ht="5.25" customHeight="1" thickBot="1" x14ac:dyDescent="0.6"/>
    <row r="18" spans="2:18" ht="23.25" customHeight="1" thickBot="1" x14ac:dyDescent="0.6">
      <c r="B18" s="22" t="s">
        <v>22</v>
      </c>
      <c r="C18" s="23"/>
      <c r="D18" s="23"/>
      <c r="E18" s="23"/>
      <c r="F18" s="23"/>
      <c r="G18" s="23"/>
      <c r="H18" s="23"/>
      <c r="I18" s="23"/>
      <c r="J18" s="23"/>
      <c r="K18" s="23"/>
      <c r="L18" s="23"/>
      <c r="M18" s="24"/>
      <c r="Q18" s="43" t="s">
        <v>56</v>
      </c>
      <c r="R18" s="50">
        <v>1.6000000000000014</v>
      </c>
    </row>
    <row r="19" spans="2:18" ht="5.25" customHeight="1" thickBot="1" x14ac:dyDescent="0.6"/>
    <row r="20" spans="2:18" ht="29.4" thickBot="1" x14ac:dyDescent="0.6">
      <c r="L20" s="31" t="s">
        <v>22</v>
      </c>
      <c r="M20" s="32"/>
    </row>
    <row r="21" spans="2:18" x14ac:dyDescent="0.55000000000000004">
      <c r="L21" s="33" t="s">
        <v>23</v>
      </c>
      <c r="M21" s="51">
        <f>SUM(M7:M15,R7:R18)</f>
        <v>-6068.680205810394</v>
      </c>
    </row>
    <row r="22" spans="2:18" ht="29.4" thickBot="1" x14ac:dyDescent="0.6">
      <c r="L22" s="34"/>
      <c r="M22" s="51"/>
    </row>
    <row r="23" spans="2:18" x14ac:dyDescent="0.55000000000000004">
      <c r="L23" s="20" t="s">
        <v>24</v>
      </c>
      <c r="M23" s="52">
        <f>SUM(K7:K15)</f>
        <v>-28894.649999999998</v>
      </c>
    </row>
    <row r="24" spans="2:18" ht="29.4" thickBot="1" x14ac:dyDescent="0.6">
      <c r="L24" s="21"/>
      <c r="M24" s="52"/>
    </row>
    <row r="25" spans="2:18" x14ac:dyDescent="0.55000000000000004">
      <c r="L25" s="20" t="s">
        <v>25</v>
      </c>
      <c r="M25" s="53">
        <f>SUMPRODUCT(I7:I15,L7:L15)</f>
        <v>-0.1150812960269078</v>
      </c>
    </row>
    <row r="26" spans="2:18" ht="29.4" thickBot="1" x14ac:dyDescent="0.6">
      <c r="L26" s="21"/>
      <c r="M26" s="53"/>
    </row>
    <row r="27" spans="2:18" ht="12" customHeight="1" x14ac:dyDescent="0.55000000000000004"/>
  </sheetData>
  <mergeCells count="11">
    <mergeCell ref="Q5:R5"/>
    <mergeCell ref="B2:M3"/>
    <mergeCell ref="L20:M20"/>
    <mergeCell ref="L21:L22"/>
    <mergeCell ref="M21:M22"/>
    <mergeCell ref="B18:M18"/>
    <mergeCell ref="L23:L24"/>
    <mergeCell ref="L25:L26"/>
    <mergeCell ref="M23:M24"/>
    <mergeCell ref="M25:M26"/>
    <mergeCell ref="B5:M5"/>
  </mergeCells>
  <conditionalFormatting sqref="K7:M15">
    <cfRule type="cellIs" priority="2"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8625-304C-4CE2-BE99-8AB70F27BF47}">
  <dimension ref="B1:J20"/>
  <sheetViews>
    <sheetView showGridLines="0" zoomScale="52" zoomScaleNormal="52" workbookViewId="0">
      <selection activeCell="D25" sqref="D25"/>
    </sheetView>
  </sheetViews>
  <sheetFormatPr defaultRowHeight="28.8" x14ac:dyDescent="0.55000000000000004"/>
  <cols>
    <col min="1" max="1" width="1.20703125" customWidth="1"/>
    <col min="2" max="2" width="32.3671875" customWidth="1"/>
    <col min="3" max="3" width="12.7890625" customWidth="1"/>
    <col min="4" max="4" width="11.05078125" customWidth="1"/>
    <col min="5" max="5" width="11" customWidth="1"/>
    <col min="6" max="6" width="11.15625" customWidth="1"/>
    <col min="7" max="7" width="10.1015625" bestFit="1" customWidth="1"/>
    <col min="8" max="8" width="13.62890625" customWidth="1"/>
  </cols>
  <sheetData>
    <row r="1" spans="2:10" ht="6" customHeight="1" x14ac:dyDescent="0.55000000000000004"/>
    <row r="2" spans="2:10" ht="29.4" thickBot="1" x14ac:dyDescent="0.6">
      <c r="B2" s="15" t="s">
        <v>7</v>
      </c>
      <c r="C2" s="15" t="s">
        <v>1</v>
      </c>
      <c r="D2" s="15" t="s">
        <v>3</v>
      </c>
      <c r="E2" s="15" t="s">
        <v>0</v>
      </c>
      <c r="F2" s="15" t="s">
        <v>2</v>
      </c>
      <c r="G2" s="15" t="s">
        <v>31</v>
      </c>
      <c r="H2" s="15" t="s">
        <v>4</v>
      </c>
    </row>
    <row r="3" spans="2:10" x14ac:dyDescent="0.55000000000000004">
      <c r="B3" t="s">
        <v>36</v>
      </c>
      <c r="C3" t="s">
        <v>5</v>
      </c>
      <c r="D3" s="1">
        <v>45293</v>
      </c>
      <c r="E3">
        <v>79</v>
      </c>
      <c r="F3" s="3">
        <v>194.48</v>
      </c>
      <c r="G3" s="3"/>
      <c r="H3" s="11">
        <f>E3*F3</f>
        <v>15363.92</v>
      </c>
      <c r="J3" s="16"/>
    </row>
    <row r="4" spans="2:10" x14ac:dyDescent="0.55000000000000004">
      <c r="B4" t="s">
        <v>36</v>
      </c>
      <c r="C4" t="s">
        <v>5</v>
      </c>
      <c r="D4" s="1">
        <v>45295</v>
      </c>
      <c r="E4">
        <v>30</v>
      </c>
      <c r="F4" s="3">
        <v>192.78</v>
      </c>
      <c r="G4" s="3"/>
      <c r="H4" s="11">
        <f>E4*F4</f>
        <v>5783.4</v>
      </c>
      <c r="J4" s="16"/>
    </row>
    <row r="5" spans="2:10" x14ac:dyDescent="0.55000000000000004">
      <c r="B5" t="s">
        <v>37</v>
      </c>
      <c r="C5" t="s">
        <v>5</v>
      </c>
      <c r="D5" s="1">
        <v>45299</v>
      </c>
      <c r="E5">
        <v>40</v>
      </c>
      <c r="F5" s="3">
        <v>424.52</v>
      </c>
      <c r="G5" s="3"/>
      <c r="H5" s="11">
        <f>E5*F5</f>
        <v>16980.8</v>
      </c>
      <c r="J5" s="16"/>
    </row>
    <row r="6" spans="2:10" x14ac:dyDescent="0.55000000000000004">
      <c r="B6" t="s">
        <v>37</v>
      </c>
      <c r="C6" t="s">
        <v>31</v>
      </c>
      <c r="D6" s="1">
        <v>45302</v>
      </c>
      <c r="F6" s="3"/>
      <c r="G6" s="3">
        <v>80</v>
      </c>
      <c r="H6" s="11">
        <f>E6*F6</f>
        <v>0</v>
      </c>
      <c r="J6" s="16"/>
    </row>
    <row r="7" spans="2:10" x14ac:dyDescent="0.55000000000000004">
      <c r="B7" t="s">
        <v>39</v>
      </c>
      <c r="C7" t="s">
        <v>5</v>
      </c>
      <c r="D7" s="1">
        <v>45306</v>
      </c>
      <c r="E7">
        <v>250</v>
      </c>
      <c r="F7" s="3">
        <v>196.91</v>
      </c>
      <c r="G7" s="3"/>
      <c r="H7" s="11">
        <f>E7*F7</f>
        <v>49227.5</v>
      </c>
      <c r="J7" s="16"/>
    </row>
    <row r="8" spans="2:10" x14ac:dyDescent="0.55000000000000004">
      <c r="B8" t="s">
        <v>40</v>
      </c>
      <c r="C8" t="s">
        <v>5</v>
      </c>
      <c r="D8" s="1">
        <v>45313</v>
      </c>
      <c r="E8">
        <v>60</v>
      </c>
      <c r="F8" s="3">
        <v>185</v>
      </c>
      <c r="G8" s="3"/>
      <c r="H8" s="11">
        <f>E8*F8</f>
        <v>11100</v>
      </c>
      <c r="J8" s="16"/>
    </row>
    <row r="9" spans="2:10" x14ac:dyDescent="0.55000000000000004">
      <c r="B9" t="s">
        <v>41</v>
      </c>
      <c r="C9" t="s">
        <v>5</v>
      </c>
      <c r="D9" s="1">
        <v>45321</v>
      </c>
      <c r="E9">
        <v>30</v>
      </c>
      <c r="F9" s="3">
        <v>648.52</v>
      </c>
      <c r="G9" s="3"/>
      <c r="H9" s="11">
        <f>E9*F9</f>
        <v>19455.599999999999</v>
      </c>
      <c r="J9" s="16"/>
    </row>
    <row r="10" spans="2:10" x14ac:dyDescent="0.55000000000000004">
      <c r="B10" t="s">
        <v>42</v>
      </c>
      <c r="C10" t="s">
        <v>5</v>
      </c>
      <c r="D10" s="1">
        <v>45327</v>
      </c>
      <c r="E10">
        <v>50</v>
      </c>
      <c r="F10" s="3">
        <v>166.78</v>
      </c>
      <c r="G10" s="3"/>
      <c r="H10" s="11">
        <f>E10*F10</f>
        <v>8339</v>
      </c>
      <c r="J10" s="16"/>
    </row>
    <row r="11" spans="2:10" x14ac:dyDescent="0.55000000000000004">
      <c r="B11" t="s">
        <v>43</v>
      </c>
      <c r="C11" t="s">
        <v>5</v>
      </c>
      <c r="D11" s="1">
        <v>45334</v>
      </c>
      <c r="E11">
        <v>30</v>
      </c>
      <c r="F11" s="3">
        <v>1209.98</v>
      </c>
      <c r="G11" s="3"/>
      <c r="H11" s="11">
        <f>E11*F11</f>
        <v>36299.4</v>
      </c>
      <c r="J11" s="16"/>
    </row>
    <row r="12" spans="2:10" x14ac:dyDescent="0.55000000000000004">
      <c r="B12" t="s">
        <v>44</v>
      </c>
      <c r="C12" t="s">
        <v>5</v>
      </c>
      <c r="D12" s="1">
        <v>45341</v>
      </c>
      <c r="E12">
        <v>200</v>
      </c>
      <c r="F12" s="3">
        <v>67.150000000000006</v>
      </c>
      <c r="G12" s="3"/>
      <c r="H12" s="11">
        <f>E12*F12</f>
        <v>13430.000000000002</v>
      </c>
      <c r="J12" s="16"/>
    </row>
    <row r="13" spans="2:10" x14ac:dyDescent="0.55000000000000004">
      <c r="B13" t="s">
        <v>45</v>
      </c>
      <c r="C13" t="s">
        <v>5</v>
      </c>
      <c r="D13" s="1">
        <v>45348</v>
      </c>
      <c r="E13">
        <v>40</v>
      </c>
      <c r="F13" s="3">
        <v>210.04</v>
      </c>
      <c r="G13" s="3"/>
      <c r="H13" s="11">
        <f>E13*F13</f>
        <v>8401.6</v>
      </c>
      <c r="J13" s="16"/>
    </row>
    <row r="14" spans="2:10" x14ac:dyDescent="0.55000000000000004">
      <c r="B14" t="s">
        <v>38</v>
      </c>
      <c r="C14" t="s">
        <v>5</v>
      </c>
      <c r="D14" s="1">
        <v>45356</v>
      </c>
      <c r="E14">
        <v>50</v>
      </c>
      <c r="F14" s="3">
        <v>493.76</v>
      </c>
      <c r="G14" s="3"/>
      <c r="H14" s="11">
        <f>E14*F14</f>
        <v>24688</v>
      </c>
      <c r="J14" s="16"/>
    </row>
    <row r="15" spans="2:10" x14ac:dyDescent="0.55000000000000004">
      <c r="B15" t="s">
        <v>36</v>
      </c>
      <c r="C15" t="s">
        <v>6</v>
      </c>
      <c r="D15" s="1">
        <v>45363</v>
      </c>
      <c r="E15">
        <v>-40</v>
      </c>
      <c r="F15" s="3">
        <v>193.28</v>
      </c>
      <c r="G15" s="3"/>
      <c r="H15" s="11">
        <f>E15*F15</f>
        <v>-7731.2</v>
      </c>
      <c r="J15" s="16"/>
    </row>
    <row r="16" spans="2:10" x14ac:dyDescent="0.55000000000000004">
      <c r="B16" t="s">
        <v>37</v>
      </c>
      <c r="C16" t="s">
        <v>6</v>
      </c>
      <c r="D16" s="1">
        <v>45370</v>
      </c>
      <c r="E16">
        <v>-20</v>
      </c>
      <c r="F16" s="3">
        <v>423.37</v>
      </c>
      <c r="G16" s="3"/>
      <c r="H16" s="11">
        <f>E16*F16</f>
        <v>-8467.4</v>
      </c>
      <c r="J16" s="16"/>
    </row>
    <row r="17" spans="2:10" x14ac:dyDescent="0.55000000000000004">
      <c r="B17" t="s">
        <v>40</v>
      </c>
      <c r="C17" t="s">
        <v>6</v>
      </c>
      <c r="D17" s="1">
        <v>45391</v>
      </c>
      <c r="E17">
        <v>-35</v>
      </c>
      <c r="F17" s="3">
        <v>183</v>
      </c>
      <c r="G17" s="3"/>
      <c r="H17" s="11">
        <f>E17*F17</f>
        <v>-6405</v>
      </c>
      <c r="J17" s="16"/>
    </row>
    <row r="18" spans="2:10" x14ac:dyDescent="0.55000000000000004">
      <c r="B18" t="s">
        <v>41</v>
      </c>
      <c r="C18" t="s">
        <v>6</v>
      </c>
      <c r="D18" s="1">
        <v>45398</v>
      </c>
      <c r="E18">
        <v>-25</v>
      </c>
      <c r="F18" s="3">
        <v>650.23</v>
      </c>
      <c r="G18" s="3"/>
      <c r="H18" s="11">
        <f>E18*F18</f>
        <v>-16255.75</v>
      </c>
      <c r="J18" s="16"/>
    </row>
    <row r="19" spans="2:10" x14ac:dyDescent="0.55000000000000004">
      <c r="B19" t="s">
        <v>42</v>
      </c>
      <c r="C19" t="s">
        <v>6</v>
      </c>
      <c r="D19" s="1">
        <v>45405</v>
      </c>
      <c r="E19">
        <v>-15</v>
      </c>
      <c r="F19" s="3">
        <v>165.43</v>
      </c>
      <c r="G19" s="3"/>
      <c r="H19" s="11">
        <f>E19*F19</f>
        <v>-2481.4500000000003</v>
      </c>
      <c r="J19" s="16"/>
    </row>
    <row r="20" spans="2:10" x14ac:dyDescent="0.55000000000000004">
      <c r="B20" t="s">
        <v>38</v>
      </c>
      <c r="C20" t="s">
        <v>6</v>
      </c>
      <c r="D20" s="1">
        <v>45426</v>
      </c>
      <c r="E20">
        <v>-50</v>
      </c>
      <c r="F20" s="3">
        <v>495.36</v>
      </c>
      <c r="G20" s="3"/>
      <c r="H20" s="11">
        <f>E20*F20</f>
        <v>-24768</v>
      </c>
      <c r="J20" s="16"/>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8EB3-3CF0-4BFD-9A25-581D8C860B98}">
  <dimension ref="B1:H114"/>
  <sheetViews>
    <sheetView zoomScale="65" zoomScaleNormal="65" workbookViewId="0">
      <selection activeCell="D16" sqref="D16"/>
    </sheetView>
  </sheetViews>
  <sheetFormatPr defaultRowHeight="28.8" x14ac:dyDescent="0.55000000000000004"/>
  <cols>
    <col min="1" max="1" width="1" customWidth="1"/>
    <col min="2" max="2" width="42.47265625" bestFit="1" customWidth="1"/>
    <col min="3" max="3" width="9.41796875" bestFit="1" customWidth="1"/>
    <col min="4" max="4" width="12.734375" bestFit="1" customWidth="1"/>
    <col min="5" max="5" width="9.41796875" bestFit="1" customWidth="1"/>
    <col min="6" max="6" width="12.734375" bestFit="1" customWidth="1"/>
    <col min="7" max="7" width="12.734375" customWidth="1"/>
    <col min="8" max="8" width="13.05078125" customWidth="1"/>
  </cols>
  <sheetData>
    <row r="1" spans="2:8" ht="6" customHeight="1" thickBot="1" x14ac:dyDescent="0.6"/>
    <row r="2" spans="2:8" ht="34.5" customHeight="1" thickBot="1" x14ac:dyDescent="0.6">
      <c r="B2" s="12"/>
      <c r="C2" s="35" t="s">
        <v>28</v>
      </c>
      <c r="D2" s="36"/>
      <c r="E2" s="35" t="s">
        <v>29</v>
      </c>
      <c r="F2" s="36"/>
      <c r="G2" s="39" t="s">
        <v>30</v>
      </c>
      <c r="H2" s="37" t="s">
        <v>32</v>
      </c>
    </row>
    <row r="3" spans="2:8" ht="33" customHeight="1" thickBot="1" x14ac:dyDescent="0.6">
      <c r="B3" s="13" t="s">
        <v>27</v>
      </c>
      <c r="C3" s="13" t="s">
        <v>13</v>
      </c>
      <c r="D3" s="14" t="s">
        <v>18</v>
      </c>
      <c r="E3" s="13" t="s">
        <v>13</v>
      </c>
      <c r="F3" s="14" t="s">
        <v>18</v>
      </c>
      <c r="G3" s="40"/>
      <c r="H3" s="38"/>
    </row>
    <row r="4" spans="2:8" x14ac:dyDescent="0.55000000000000004">
      <c r="B4" s="43" t="s">
        <v>36</v>
      </c>
      <c r="C4">
        <f>'Transaction Log'!E3+Transactions[[#This Row],[Quantity]]</f>
        <v>109</v>
      </c>
      <c r="D4" s="46">
        <f>21147/C4</f>
        <v>194.00917431192661</v>
      </c>
      <c r="E4" s="41">
        <v>40</v>
      </c>
      <c r="F4">
        <f>7731/'Realized P&amp;L'!E4</f>
        <v>193.27500000000001</v>
      </c>
      <c r="G4">
        <v>0</v>
      </c>
      <c r="H4" s="45">
        <f>(E4*(F4-D4)+G4)</f>
        <v>-29.366972477064337</v>
      </c>
    </row>
    <row r="5" spans="2:8" x14ac:dyDescent="0.55000000000000004">
      <c r="B5" s="43" t="s">
        <v>37</v>
      </c>
      <c r="C5">
        <v>20</v>
      </c>
      <c r="D5" s="47">
        <f>16981/C5</f>
        <v>849.05</v>
      </c>
      <c r="E5" s="41">
        <v>20</v>
      </c>
      <c r="F5">
        <f>8467/E5</f>
        <v>423.35</v>
      </c>
      <c r="G5" s="49">
        <v>80</v>
      </c>
      <c r="H5" s="45">
        <f t="shared" ref="H5:H12" si="0">(E5*(F5-D5)+G5)</f>
        <v>-8433.9999999999982</v>
      </c>
    </row>
    <row r="6" spans="2:8" x14ac:dyDescent="0.55000000000000004">
      <c r="B6" s="43" t="s">
        <v>39</v>
      </c>
      <c r="C6" s="41">
        <v>250</v>
      </c>
      <c r="D6">
        <f>49228/C6</f>
        <v>196.91200000000001</v>
      </c>
      <c r="E6">
        <v>0</v>
      </c>
      <c r="F6">
        <v>0</v>
      </c>
      <c r="G6">
        <v>0</v>
      </c>
      <c r="H6" s="45">
        <f t="shared" si="0"/>
        <v>0</v>
      </c>
    </row>
    <row r="7" spans="2:8" x14ac:dyDescent="0.55000000000000004">
      <c r="B7" s="43" t="s">
        <v>40</v>
      </c>
      <c r="C7" s="41">
        <v>60</v>
      </c>
      <c r="D7">
        <f>11100/C7</f>
        <v>185</v>
      </c>
      <c r="E7" s="41">
        <v>35</v>
      </c>
      <c r="F7">
        <f>6405/E7</f>
        <v>183</v>
      </c>
      <c r="G7">
        <v>0</v>
      </c>
      <c r="H7" s="45">
        <f>(E7*(F7-D7)+G7)</f>
        <v>-70</v>
      </c>
    </row>
    <row r="8" spans="2:8" x14ac:dyDescent="0.55000000000000004">
      <c r="B8" s="43" t="s">
        <v>41</v>
      </c>
      <c r="C8" s="41">
        <v>30</v>
      </c>
      <c r="D8">
        <f>19456/C8</f>
        <v>648.5333333333333</v>
      </c>
      <c r="E8" s="41">
        <v>25</v>
      </c>
      <c r="F8">
        <f>16256/E8</f>
        <v>650.24</v>
      </c>
      <c r="G8">
        <v>0</v>
      </c>
      <c r="H8" s="45">
        <f t="shared" si="0"/>
        <v>42.666666666667652</v>
      </c>
    </row>
    <row r="9" spans="2:8" x14ac:dyDescent="0.55000000000000004">
      <c r="B9" s="43" t="s">
        <v>46</v>
      </c>
      <c r="C9" s="41">
        <v>50</v>
      </c>
      <c r="D9">
        <f>8339/C9</f>
        <v>166.78</v>
      </c>
      <c r="E9" s="41">
        <v>15</v>
      </c>
      <c r="F9">
        <f>2481/E9</f>
        <v>165.4</v>
      </c>
      <c r="G9">
        <v>0</v>
      </c>
      <c r="H9" s="45">
        <f t="shared" si="0"/>
        <v>-20.699999999999932</v>
      </c>
    </row>
    <row r="10" spans="2:8" x14ac:dyDescent="0.55000000000000004">
      <c r="B10" s="43" t="s">
        <v>43</v>
      </c>
      <c r="C10" s="41">
        <v>30</v>
      </c>
      <c r="D10">
        <f>36299/C10</f>
        <v>1209.9666666666667</v>
      </c>
      <c r="E10" s="48">
        <v>0</v>
      </c>
      <c r="F10">
        <v>0</v>
      </c>
      <c r="G10">
        <v>0</v>
      </c>
      <c r="H10" s="45">
        <f t="shared" si="0"/>
        <v>0</v>
      </c>
    </row>
    <row r="11" spans="2:8" x14ac:dyDescent="0.55000000000000004">
      <c r="B11" s="43" t="s">
        <v>44</v>
      </c>
      <c r="C11" s="41">
        <v>200</v>
      </c>
      <c r="D11">
        <f>13430/C11</f>
        <v>67.150000000000006</v>
      </c>
      <c r="E11" s="48">
        <v>0</v>
      </c>
      <c r="F11">
        <v>0</v>
      </c>
      <c r="G11">
        <v>0</v>
      </c>
      <c r="H11" s="45">
        <f t="shared" si="0"/>
        <v>0</v>
      </c>
    </row>
    <row r="12" spans="2:8" x14ac:dyDescent="0.55000000000000004">
      <c r="B12" s="43" t="s">
        <v>45</v>
      </c>
      <c r="C12" s="41">
        <v>40</v>
      </c>
      <c r="D12">
        <f>8402/C12</f>
        <v>210.05</v>
      </c>
      <c r="E12" s="48">
        <v>0</v>
      </c>
      <c r="F12">
        <v>0</v>
      </c>
      <c r="G12">
        <v>0</v>
      </c>
      <c r="H12" s="45">
        <f t="shared" si="0"/>
        <v>0</v>
      </c>
    </row>
    <row r="13" spans="2:8" x14ac:dyDescent="0.55000000000000004">
      <c r="B13" s="42" t="s">
        <v>38</v>
      </c>
      <c r="C13" s="48">
        <v>50</v>
      </c>
      <c r="D13" s="49">
        <f>493.76/C13</f>
        <v>9.8751999999999995</v>
      </c>
      <c r="E13" s="48">
        <v>50</v>
      </c>
      <c r="F13">
        <f>495.36/E13</f>
        <v>9.9071999999999996</v>
      </c>
      <c r="G13">
        <v>0</v>
      </c>
      <c r="H13" s="50">
        <f>E13*(F13-D13)+G13</f>
        <v>1.6000000000000014</v>
      </c>
    </row>
    <row r="113" spans="4:8" x14ac:dyDescent="0.55000000000000004">
      <c r="D113" s="17" t="str" cm="1">
        <f t="array" ref="D113">IFERROR(SUMPRODUCT((Transactions[Stock Ticker]=B113)*(Transactions[Transaction]="Buy")*Transactions[Total Amount])/C113,"")</f>
        <v/>
      </c>
      <c r="F113" s="17"/>
      <c r="G113" s="17"/>
      <c r="H113" s="17"/>
    </row>
    <row r="114" spans="4:8" x14ac:dyDescent="0.55000000000000004">
      <c r="D114" s="17" t="str" cm="1">
        <f t="array" ref="D114">IFERROR(SUMPRODUCT((Transactions[Stock Ticker]=B114)*(Transactions[Transaction]="Buy")*Transactions[Total Amount])/C114,"")</f>
        <v/>
      </c>
      <c r="F114" s="17"/>
      <c r="G114" s="17"/>
      <c r="H114" s="17"/>
    </row>
  </sheetData>
  <mergeCells count="4">
    <mergeCell ref="C2:D2"/>
    <mergeCell ref="E2:F2"/>
    <mergeCell ref="H2:H3"/>
    <mergeCell ref="G2: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0FCA2-7DA9-4094-BA6E-CA51F8386E12}">
  <dimension ref="B1:F7"/>
  <sheetViews>
    <sheetView showGridLines="0" zoomScale="62" zoomScaleNormal="62" workbookViewId="0">
      <selection activeCell="E12" sqref="E12"/>
    </sheetView>
  </sheetViews>
  <sheetFormatPr defaultRowHeight="28.8" x14ac:dyDescent="0.55000000000000004"/>
  <cols>
    <col min="1" max="1" width="1.5234375" customWidth="1"/>
    <col min="3" max="3" width="10.5234375" bestFit="1" customWidth="1"/>
    <col min="5" max="5" width="37.20703125" bestFit="1" customWidth="1"/>
    <col min="6" max="6" width="10.5234375" bestFit="1" customWidth="1"/>
  </cols>
  <sheetData>
    <row r="1" spans="2:6" ht="13.5" customHeight="1" thickBot="1" x14ac:dyDescent="0.6"/>
    <row r="2" spans="2:6" ht="29.4" thickBot="1" x14ac:dyDescent="0.6">
      <c r="B2" s="9" t="s">
        <v>12</v>
      </c>
      <c r="C2" s="10" t="s">
        <v>26</v>
      </c>
      <c r="E2" s="9" t="s">
        <v>10</v>
      </c>
      <c r="F2" s="10" t="s">
        <v>26</v>
      </c>
    </row>
    <row r="3" spans="2:6" x14ac:dyDescent="0.55000000000000004">
      <c r="B3" t="s">
        <v>52</v>
      </c>
      <c r="C3" s="54">
        <v>0.28999999999999998</v>
      </c>
      <c r="E3" t="s">
        <v>47</v>
      </c>
      <c r="F3" s="54">
        <v>0.3</v>
      </c>
    </row>
    <row r="4" spans="2:6" x14ac:dyDescent="0.55000000000000004">
      <c r="B4" t="s">
        <v>54</v>
      </c>
      <c r="C4" s="54">
        <v>0.62</v>
      </c>
      <c r="E4" t="s">
        <v>48</v>
      </c>
      <c r="F4" s="54">
        <v>0.23</v>
      </c>
    </row>
    <row r="5" spans="2:6" x14ac:dyDescent="0.55000000000000004">
      <c r="B5" t="s">
        <v>55</v>
      </c>
      <c r="C5" s="54">
        <v>0.09</v>
      </c>
      <c r="E5" t="s">
        <v>49</v>
      </c>
      <c r="F5" s="54">
        <v>0.4</v>
      </c>
    </row>
    <row r="6" spans="2:6" x14ac:dyDescent="0.55000000000000004">
      <c r="E6" t="s">
        <v>50</v>
      </c>
      <c r="F6" s="54">
        <v>0.01</v>
      </c>
    </row>
    <row r="7" spans="2:6" x14ac:dyDescent="0.55000000000000004">
      <c r="E7" t="s">
        <v>51</v>
      </c>
      <c r="F7" s="54">
        <v>0.06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q L H 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U q L 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i x 1 g o i k e 4 D g A A A B E A A A A T A B w A R m 9 y b X V s Y X M v U 2 V j d G l v b j E u b S C i G A A o o B Q A A A A A A A A A A A A A A A A A A A A A A A A A A A A r T k 0 u y c z P U w i G 0 I b W A F B L A Q I t A B Q A A g A I A F K i x 1 g + y t z o p A A A A P Y A A A A S A A A A A A A A A A A A A A A A A A A A A A B D b 2 5 m a W c v U G F j a 2 F n Z S 5 4 b W x Q S w E C L Q A U A A I A C A B S o s d Y D 8 r p q 6 Q A A A D p A A A A E w A A A A A A A A A A A A A A A A D w A A A A W 0 N v b n R l b n R f V H l w Z X N d L n h t b F B L A Q I t A B Q A A g A I A F K i x 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7 + H A a c e P l T L g G j Y D 2 3 g M 0 A A A A A A I A A A A A A B B m A A A A A Q A A I A A A A A y 9 0 7 Y 0 m o K 2 a h + + + n / L 5 g d 1 3 4 r v G 1 T Z 3 s 1 j z v X F H a 6 P A A A A A A 6 A A A A A A g A A I A A A A F H b e N i E S p b p 7 q L a N o 1 L 9 H A R W / O W p X x I J o c A q q S 7 K P D / U A A A A O j b s W E n V P S L a y + C m y B W T 1 F s i q 8 R v 7 I A P X F m b Q t 5 4 7 + e + e R I y c h o G / K 1 w C m s x C N 5 w 8 R 6 Z L Z O b G k u A l L 4 A t w 1 P 4 s y L f B q X W E k u G f M 3 j d 3 z o u 4 Q A A A A L T 8 o A w z k m Z v y I x W z + s S A t g Z x h P I c y 1 s t d B N n U X G I V F C d v 1 W M z 8 N k j O D O o F p 6 K b t p s / a c d o 0 8 F H / o P 2 / e f 6 p v W s = < / D a t a M a s h u p > 
</file>

<file path=customXml/itemProps1.xml><?xml version="1.0" encoding="utf-8"?>
<ds:datastoreItem xmlns:ds="http://schemas.openxmlformats.org/officeDocument/2006/customXml" ds:itemID="{D2492EBE-6BC6-4D4C-877A-D30D590A7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Transaction Log</vt:lpstr>
      <vt:lpstr>Realized P&amp;L</vt:lpstr>
      <vt:lpstr>Pie Chart 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SARANG</cp:lastModifiedBy>
  <dcterms:created xsi:type="dcterms:W3CDTF">2023-07-25T18:54:26Z</dcterms:created>
  <dcterms:modified xsi:type="dcterms:W3CDTF">2024-06-08T02:59:27Z</dcterms:modified>
</cp:coreProperties>
</file>