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showInkAnnotation="0" updateLinks="never" codeName="ThisWorkbook" defaultThemeVersion="124226"/>
  <mc:AlternateContent xmlns:mc="http://schemas.openxmlformats.org/markup-compatibility/2006">
    <mc:Choice Requires="x15">
      <x15ac:absPath xmlns:x15ac="http://schemas.microsoft.com/office/spreadsheetml/2010/11/ac" url="G:\Shared drives\Non Course Content\Macabacus Learning Resources\Complete Models - Complete\"/>
    </mc:Choice>
  </mc:AlternateContent>
  <xr:revisionPtr revIDLastSave="0" documentId="13_ncr:1_{A5114D7A-3A9C-4FA8-8002-26E4132274AC}" xr6:coauthVersionLast="47" xr6:coauthVersionMax="47" xr10:uidLastSave="{00000000-0000-0000-0000-000000000000}"/>
  <bookViews>
    <workbookView xWindow="-96" yWindow="-96" windowWidth="23232" windowHeight="12696" tabRatio="854" xr2:uid="{00000000-000D-0000-FFFF-FFFF00000000}"/>
  </bookViews>
  <sheets>
    <sheet name="Cover Page" sheetId="24" r:id="rId1"/>
    <sheet name="Inputs" sheetId="3" r:id="rId2"/>
    <sheet name="__FDSCACHE__" sheetId="20" state="veryHidden" r:id="rId3"/>
    <sheet name="Close" sheetId="7" r:id="rId4"/>
    <sheet name="Pro Forma" sheetId="9" r:id="rId5"/>
    <sheet name="Acquirer" sheetId="22" r:id="rId6"/>
    <sheet name="Target" sheetId="21" r:id="rId7"/>
    <sheet name="MACRS" sheetId="23" r:id="rId8"/>
  </sheets>
  <externalReferences>
    <externalReference r:id="rId9"/>
  </externalReferences>
  <definedNames>
    <definedName name="_tags1" localSheetId="2" hidden="1">"&lt;tags&gt;&lt;tag n=""Palette"" v=""-1"" /&gt;&lt;tag n=""ClosestPalette"" v=""1"" /&gt;&lt;/tags&gt;"</definedName>
    <definedName name="_tags1" localSheetId="5" hidden="1">"&lt;tags&gt;&lt;tag n=""Palette"" v=""-1"" /&gt;&lt;tag n=""ClosestPalette"" v=""1"" /&gt;&lt;/tags&gt;"</definedName>
    <definedName name="_tags1" localSheetId="3" hidden="1">"&lt;tags&gt;&lt;tag n=""Palette"" v=""-1"" /&gt;&lt;tag n=""ClosestPalette"" v=""1"" /&gt;&lt;/tags&gt;"</definedName>
    <definedName name="_tags1" localSheetId="1" hidden="1">"&lt;tags&gt;&lt;tag n=""Palette"" v=""-1"" /&gt;&lt;tag n=""ClosestPalette"" v=""1"" /&gt;&lt;/tags&gt;"</definedName>
    <definedName name="_tags1" localSheetId="7" hidden="1">"&lt;tags&gt;&lt;tag n=""Palette"" v=""-1"" /&gt;&lt;tag n=""ClosestPalette"" v=""1"" /&gt;&lt;/tags&gt;"</definedName>
    <definedName name="_tags1" localSheetId="4" hidden="1">"&lt;tags&gt;&lt;tag n=""Palette"" v=""-1"" /&gt;&lt;tag n=""ClosestPalette"" v=""1"" /&gt;&lt;/tags&gt;"</definedName>
    <definedName name="_tags1" localSheetId="6" hidden="1">"&lt;tags&gt;&lt;tag n=""Palette"" v=""-1"" /&gt;&lt;tag n=""ClosestPalette"" v=""1"" /&gt;&lt;/tags&gt;"</definedName>
    <definedName name="acquirer">Inputs!$E$41</definedName>
    <definedName name="avg_int" localSheetId="0">[1]LBO!$K$25</definedName>
    <definedName name="avg_int">Inputs!$E$64</definedName>
    <definedName name="carryover">Inputs!$E$53</definedName>
    <definedName name="case">Inputs!$G$3</definedName>
    <definedName name="CIQWBGuid" hidden="1">"2cd8126d-26c3-430c-b7fa-a069e3a1fc62"</definedName>
    <definedName name="close" localSheetId="0">[1]LBO!$K$13</definedName>
    <definedName name="close">Inputs!$E$45</definedName>
    <definedName name="curr">Inputs!$E$47</definedName>
    <definedName name="err_msg">[1]LBO!$K$31</definedName>
    <definedName name="exit_year">[1]LBO!$K$18</definedName>
    <definedName name="goodwill">[1]LBO!$P$42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BO">[1]LBO!$O$827</definedName>
    <definedName name="macrs">MACRS!$C$6:$H$28</definedName>
    <definedName name="_xlnm.Print_Area" localSheetId="0">'Cover Page'!$A$1:$N$54</definedName>
    <definedName name="_xlnm.Print_Area">#REF!</definedName>
    <definedName name="revolver">[1]LBO!$O$828</definedName>
    <definedName name="scenario">[1]LBO!$F$39</definedName>
    <definedName name="sponsor_fee">[1]LBO!#REF!</definedName>
    <definedName name="target">Inputs!$E$42</definedName>
    <definedName name="tax" localSheetId="0">[1]LBO!$K$24</definedName>
    <definedName name="tax">Inputs!$E$57</definedName>
  </definedNames>
  <calcPr calcId="191029"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37" i="9" l="1"/>
  <c r="I723" i="9"/>
  <c r="B648" i="9" l="1"/>
  <c r="B647" i="9"/>
  <c r="G648" i="9"/>
  <c r="S452" i="22" l="1"/>
  <c r="G452" i="22"/>
  <c r="S446" i="22"/>
  <c r="G446" i="22"/>
  <c r="S452" i="21"/>
  <c r="S446" i="21"/>
  <c r="G452" i="21"/>
  <c r="G446" i="21"/>
  <c r="B556" i="21" l="1"/>
  <c r="B556" i="22"/>
  <c r="G244" i="22" l="1"/>
  <c r="G244" i="21"/>
  <c r="G352" i="9" l="1"/>
  <c r="H352" i="9" s="1"/>
  <c r="I352" i="9" s="1"/>
  <c r="J352" i="9" s="1"/>
  <c r="K352" i="9" s="1"/>
  <c r="L352" i="9" s="1"/>
  <c r="M352" i="9" s="1"/>
  <c r="N352" i="9" s="1"/>
  <c r="O352" i="9" s="1"/>
  <c r="P352" i="9" s="1"/>
  <c r="Q352" i="9" s="1"/>
  <c r="T274" i="22"/>
  <c r="S274" i="22"/>
  <c r="G274" i="22"/>
  <c r="H274" i="22" s="1"/>
  <c r="I274" i="22" s="1"/>
  <c r="J274" i="22" s="1"/>
  <c r="K274" i="22" s="1"/>
  <c r="L274" i="22" s="1"/>
  <c r="M274" i="22" s="1"/>
  <c r="N274" i="22" s="1"/>
  <c r="O274" i="22" s="1"/>
  <c r="P274" i="22" s="1"/>
  <c r="T274" i="21"/>
  <c r="S274" i="21"/>
  <c r="G274" i="21"/>
  <c r="H274" i="21" s="1"/>
  <c r="I274" i="21" s="1"/>
  <c r="J274" i="21" s="1"/>
  <c r="K274" i="21" s="1"/>
  <c r="L274" i="21" s="1"/>
  <c r="M274" i="21" s="1"/>
  <c r="N274" i="21" s="1"/>
  <c r="O274" i="21" s="1"/>
  <c r="P274" i="21" s="1"/>
  <c r="H29" i="23"/>
  <c r="G29" i="23"/>
  <c r="F29" i="23"/>
  <c r="E29" i="23"/>
  <c r="D29" i="23"/>
  <c r="C29" i="23"/>
  <c r="B9" i="23"/>
  <c r="B10" i="23" s="1"/>
  <c r="B11" i="23" s="1"/>
  <c r="B12" i="23" s="1"/>
  <c r="B13" i="23" s="1"/>
  <c r="B14" i="23" s="1"/>
  <c r="B15" i="23" s="1"/>
  <c r="B16" i="23" s="1"/>
  <c r="B17" i="23" s="1"/>
  <c r="B18" i="23" s="1"/>
  <c r="B19" i="23" s="1"/>
  <c r="B20" i="23" s="1"/>
  <c r="B21" i="23" s="1"/>
  <c r="B22" i="23" s="1"/>
  <c r="B23" i="23" s="1"/>
  <c r="B24" i="23" s="1"/>
  <c r="B25" i="23" s="1"/>
  <c r="B26" i="23" s="1"/>
  <c r="B27" i="23" s="1"/>
  <c r="B28" i="23" s="1"/>
  <c r="I429" i="9" l="1"/>
  <c r="G490" i="21"/>
  <c r="G461" i="21"/>
  <c r="G120" i="21"/>
  <c r="G90" i="21"/>
  <c r="G16" i="21"/>
  <c r="G94" i="21" s="1"/>
  <c r="G3" i="22"/>
  <c r="G442" i="22" s="1"/>
  <c r="G3" i="21"/>
  <c r="G548" i="21"/>
  <c r="T548" i="21" s="1"/>
  <c r="T117" i="21"/>
  <c r="T119" i="21"/>
  <c r="S119" i="21"/>
  <c r="S117" i="21"/>
  <c r="G119" i="21"/>
  <c r="G117" i="21"/>
  <c r="T122" i="21"/>
  <c r="S122" i="21"/>
  <c r="G122" i="21"/>
  <c r="T121" i="21"/>
  <c r="S121" i="21"/>
  <c r="G121" i="21"/>
  <c r="T115" i="21"/>
  <c r="S115" i="21"/>
  <c r="G115" i="21"/>
  <c r="G150" i="21" s="1"/>
  <c r="T108" i="21"/>
  <c r="S108" i="21"/>
  <c r="G108" i="21"/>
  <c r="T97" i="21"/>
  <c r="S97" i="21"/>
  <c r="G97" i="21"/>
  <c r="T96" i="21"/>
  <c r="S96" i="21"/>
  <c r="G96" i="21"/>
  <c r="T93" i="21"/>
  <c r="S93" i="21"/>
  <c r="G93" i="21"/>
  <c r="T126" i="21"/>
  <c r="S126" i="21"/>
  <c r="G16" i="22"/>
  <c r="G120" i="22"/>
  <c r="G90" i="22"/>
  <c r="G548" i="22"/>
  <c r="T548" i="22" s="1"/>
  <c r="G461" i="22"/>
  <c r="T121" i="22"/>
  <c r="T122" i="22"/>
  <c r="S122" i="22"/>
  <c r="S121" i="22"/>
  <c r="G122" i="22"/>
  <c r="G121" i="22"/>
  <c r="T119" i="22"/>
  <c r="S119" i="22"/>
  <c r="G119" i="22"/>
  <c r="H119" i="22" s="1"/>
  <c r="I119" i="22" s="1"/>
  <c r="J119" i="22" s="1"/>
  <c r="K119" i="22" s="1"/>
  <c r="L119" i="22" s="1"/>
  <c r="M119" i="22" s="1"/>
  <c r="N119" i="22" s="1"/>
  <c r="O119" i="22" s="1"/>
  <c r="P119" i="22" s="1"/>
  <c r="T117" i="22"/>
  <c r="S117" i="22"/>
  <c r="G117" i="22"/>
  <c r="T115" i="22"/>
  <c r="S115" i="22"/>
  <c r="G115" i="22"/>
  <c r="G150" i="22" s="1"/>
  <c r="T108" i="22"/>
  <c r="S108" i="22"/>
  <c r="G108" i="22"/>
  <c r="T97" i="22"/>
  <c r="S97" i="22"/>
  <c r="G97" i="22"/>
  <c r="T93" i="22"/>
  <c r="S93" i="22"/>
  <c r="G93" i="22"/>
  <c r="G96" i="22"/>
  <c r="T96" i="22"/>
  <c r="S96" i="22"/>
  <c r="G459" i="21" l="1"/>
  <c r="G464" i="21" s="1"/>
  <c r="G442" i="21"/>
  <c r="G51" i="22"/>
  <c r="G459" i="22"/>
  <c r="G443" i="22"/>
  <c r="G51" i="21"/>
  <c r="G443" i="21"/>
  <c r="S149" i="22"/>
  <c r="T149" i="22"/>
  <c r="G149" i="22"/>
  <c r="G149" i="21"/>
  <c r="T149" i="21"/>
  <c r="S149" i="21"/>
  <c r="S548" i="21"/>
  <c r="S548" i="22"/>
  <c r="G609" i="9"/>
  <c r="G558" i="9"/>
  <c r="G512" i="9"/>
  <c r="G306" i="9"/>
  <c r="G225" i="9"/>
  <c r="G99" i="9"/>
  <c r="I752" i="9"/>
  <c r="I751" i="9"/>
  <c r="I738" i="9"/>
  <c r="I724" i="9"/>
  <c r="H673" i="9"/>
  <c r="K482" i="9"/>
  <c r="J481" i="9"/>
  <c r="K481" i="9"/>
  <c r="L481" i="9"/>
  <c r="M481" i="9"/>
  <c r="N481" i="9"/>
  <c r="O481" i="9"/>
  <c r="P481" i="9"/>
  <c r="Q481" i="9"/>
  <c r="J482" i="9"/>
  <c r="L482" i="9"/>
  <c r="M482" i="9"/>
  <c r="N482" i="9"/>
  <c r="O482" i="9"/>
  <c r="P482" i="9"/>
  <c r="Q482" i="9"/>
  <c r="I482" i="9"/>
  <c r="I481" i="9"/>
  <c r="J478" i="9"/>
  <c r="K478" i="9"/>
  <c r="L478" i="9"/>
  <c r="M478" i="9"/>
  <c r="N478" i="9"/>
  <c r="O478" i="9"/>
  <c r="P478" i="9"/>
  <c r="Q478" i="9"/>
  <c r="J479" i="9"/>
  <c r="K479" i="9"/>
  <c r="L479" i="9"/>
  <c r="M479" i="9"/>
  <c r="N479" i="9"/>
  <c r="O479" i="9"/>
  <c r="P479" i="9"/>
  <c r="Q479" i="9"/>
  <c r="I479" i="9"/>
  <c r="I478" i="9"/>
  <c r="J474" i="9"/>
  <c r="K474" i="9"/>
  <c r="L474" i="9"/>
  <c r="M474" i="9"/>
  <c r="N474" i="9"/>
  <c r="O474" i="9"/>
  <c r="P474" i="9"/>
  <c r="Q474" i="9"/>
  <c r="J475" i="9"/>
  <c r="K475" i="9"/>
  <c r="L475" i="9"/>
  <c r="M475" i="9"/>
  <c r="N475" i="9"/>
  <c r="O475" i="9"/>
  <c r="P475" i="9"/>
  <c r="Q475" i="9"/>
  <c r="J476" i="9"/>
  <c r="K476" i="9"/>
  <c r="L476" i="9"/>
  <c r="M476" i="9"/>
  <c r="N476" i="9"/>
  <c r="O476" i="9"/>
  <c r="P476" i="9"/>
  <c r="Q476" i="9"/>
  <c r="I476" i="9"/>
  <c r="I475" i="9"/>
  <c r="I474" i="9"/>
  <c r="Q429" i="9"/>
  <c r="J429" i="9"/>
  <c r="K429" i="9"/>
  <c r="L429" i="9"/>
  <c r="M429" i="9"/>
  <c r="N429" i="9"/>
  <c r="O429" i="9"/>
  <c r="P429" i="9"/>
  <c r="J418" i="9"/>
  <c r="K418" i="9"/>
  <c r="L418" i="9"/>
  <c r="M418" i="9"/>
  <c r="N418" i="9"/>
  <c r="O418" i="9"/>
  <c r="P418" i="9"/>
  <c r="Q418" i="9"/>
  <c r="I418" i="9"/>
  <c r="J412" i="9"/>
  <c r="K412" i="9"/>
  <c r="L412" i="9"/>
  <c r="M412" i="9"/>
  <c r="N412" i="9"/>
  <c r="O412" i="9"/>
  <c r="P412" i="9"/>
  <c r="Q412" i="9"/>
  <c r="I412" i="9"/>
  <c r="J400" i="9"/>
  <c r="K400" i="9"/>
  <c r="L400" i="9"/>
  <c r="M400" i="9"/>
  <c r="N400" i="9"/>
  <c r="O400" i="9"/>
  <c r="P400" i="9"/>
  <c r="Q400" i="9"/>
  <c r="I400" i="9"/>
  <c r="Q340" i="9"/>
  <c r="J340" i="9"/>
  <c r="K340" i="9"/>
  <c r="L340" i="9"/>
  <c r="M340" i="9"/>
  <c r="N340" i="9"/>
  <c r="O340" i="9"/>
  <c r="P340" i="9"/>
  <c r="J341" i="9"/>
  <c r="K341" i="9"/>
  <c r="L341" i="9"/>
  <c r="M341" i="9"/>
  <c r="N341" i="9"/>
  <c r="O341" i="9"/>
  <c r="P341" i="9"/>
  <c r="Q341" i="9"/>
  <c r="I341" i="9"/>
  <c r="I340" i="9"/>
  <c r="J337" i="9"/>
  <c r="K337" i="9"/>
  <c r="L337" i="9"/>
  <c r="M337" i="9"/>
  <c r="N337" i="9"/>
  <c r="O337" i="9"/>
  <c r="P337" i="9"/>
  <c r="Q337" i="9"/>
  <c r="J338" i="9"/>
  <c r="K338" i="9"/>
  <c r="L338" i="9"/>
  <c r="M338" i="9"/>
  <c r="N338" i="9"/>
  <c r="O338" i="9"/>
  <c r="P338" i="9"/>
  <c r="Q338" i="9"/>
  <c r="I338" i="9"/>
  <c r="I337" i="9"/>
  <c r="J287" i="9"/>
  <c r="K287" i="9"/>
  <c r="L287" i="9"/>
  <c r="M287" i="9"/>
  <c r="N287" i="9"/>
  <c r="O287" i="9"/>
  <c r="P287" i="9"/>
  <c r="Q287" i="9"/>
  <c r="J288" i="9"/>
  <c r="K288" i="9"/>
  <c r="L288" i="9"/>
  <c r="M288" i="9"/>
  <c r="N288" i="9"/>
  <c r="O288" i="9"/>
  <c r="P288" i="9"/>
  <c r="Q288" i="9"/>
  <c r="I288" i="9"/>
  <c r="I287" i="9"/>
  <c r="J275" i="9"/>
  <c r="K275" i="9"/>
  <c r="L275" i="9"/>
  <c r="M275" i="9"/>
  <c r="N275" i="9"/>
  <c r="O275" i="9"/>
  <c r="P275" i="9"/>
  <c r="Q275" i="9"/>
  <c r="J276" i="9"/>
  <c r="K276" i="9"/>
  <c r="L276" i="9"/>
  <c r="M276" i="9"/>
  <c r="N276" i="9"/>
  <c r="O276" i="9"/>
  <c r="P276" i="9"/>
  <c r="Q276" i="9"/>
  <c r="I276" i="9"/>
  <c r="I275" i="9"/>
  <c r="I53" i="9"/>
  <c r="I17" i="9"/>
  <c r="H674" i="9"/>
  <c r="S490" i="22"/>
  <c r="S461" i="22"/>
  <c r="S244" i="22"/>
  <c r="S150" i="22"/>
  <c r="F559" i="22"/>
  <c r="F500" i="22"/>
  <c r="G490" i="22"/>
  <c r="T478" i="22"/>
  <c r="S478" i="22"/>
  <c r="T477" i="22"/>
  <c r="S477" i="22"/>
  <c r="T478" i="21"/>
  <c r="S478" i="21"/>
  <c r="T477" i="21"/>
  <c r="S477" i="21"/>
  <c r="T411" i="22"/>
  <c r="S411" i="22"/>
  <c r="T410" i="22"/>
  <c r="S410" i="22"/>
  <c r="F406" i="22"/>
  <c r="F354" i="22"/>
  <c r="T336" i="22"/>
  <c r="S336" i="22"/>
  <c r="T335" i="22"/>
  <c r="S335" i="22"/>
  <c r="T334" i="22"/>
  <c r="S334" i="22"/>
  <c r="T333" i="22"/>
  <c r="S333" i="22"/>
  <c r="T332" i="22"/>
  <c r="S332" i="22"/>
  <c r="T303" i="22"/>
  <c r="H429" i="9" s="1"/>
  <c r="S303" i="22"/>
  <c r="H245" i="22"/>
  <c r="I245" i="22" s="1"/>
  <c r="J245" i="22" s="1"/>
  <c r="K245" i="22" s="1"/>
  <c r="L245" i="22" s="1"/>
  <c r="M245" i="22" s="1"/>
  <c r="N245" i="22" s="1"/>
  <c r="O245" i="22" s="1"/>
  <c r="P245" i="22" s="1"/>
  <c r="S245" i="22"/>
  <c r="T245" i="22"/>
  <c r="F242" i="22"/>
  <c r="F223" i="22"/>
  <c r="F177" i="22"/>
  <c r="H140" i="22"/>
  <c r="I140" i="22" s="1"/>
  <c r="J140" i="22" s="1"/>
  <c r="F133" i="22"/>
  <c r="F80" i="22"/>
  <c r="H47" i="22"/>
  <c r="I54" i="9" s="1"/>
  <c r="I47" i="22"/>
  <c r="J54" i="9" s="1"/>
  <c r="J47" i="22"/>
  <c r="K54" i="9" s="1"/>
  <c r="K47" i="22"/>
  <c r="L54" i="9" s="1"/>
  <c r="L47" i="22"/>
  <c r="M54" i="9" s="1"/>
  <c r="M47" i="22"/>
  <c r="N54" i="9" s="1"/>
  <c r="N47" i="22"/>
  <c r="O54" i="9" s="1"/>
  <c r="O47" i="22"/>
  <c r="P54" i="9" s="1"/>
  <c r="P47" i="22"/>
  <c r="Q54" i="9" s="1"/>
  <c r="G47" i="22"/>
  <c r="H3" i="22"/>
  <c r="S8" i="22"/>
  <c r="S354" i="22" s="1"/>
  <c r="K140" i="22" l="1"/>
  <c r="I3" i="22"/>
  <c r="H442" i="22"/>
  <c r="H443" i="22"/>
  <c r="H459" i="22"/>
  <c r="S500" i="22"/>
  <c r="S305" i="22"/>
  <c r="S559" i="22"/>
  <c r="S406" i="22"/>
  <c r="S242" i="22"/>
  <c r="T304" i="22"/>
  <c r="H430" i="9" s="1"/>
  <c r="H304" i="22"/>
  <c r="S133" i="22"/>
  <c r="T305" i="22"/>
  <c r="H431" i="9" s="1"/>
  <c r="H305" i="22"/>
  <c r="S304" i="22"/>
  <c r="S80" i="22"/>
  <c r="S177" i="22"/>
  <c r="S3" i="22"/>
  <c r="S223" i="22"/>
  <c r="L140" i="22" l="1"/>
  <c r="M140" i="22" s="1"/>
  <c r="N140" i="22" s="1"/>
  <c r="O140" i="22" s="1"/>
  <c r="P140" i="22" s="1"/>
  <c r="I443" i="22"/>
  <c r="S442" i="22"/>
  <c r="T3" i="22"/>
  <c r="J3" i="22"/>
  <c r="I442" i="22"/>
  <c r="S459" i="22"/>
  <c r="S443" i="22"/>
  <c r="I459" i="22"/>
  <c r="I305" i="22"/>
  <c r="I431" i="9"/>
  <c r="S47" i="22"/>
  <c r="S167" i="22" s="1"/>
  <c r="S263" i="22"/>
  <c r="S298" i="22"/>
  <c r="S264" i="22"/>
  <c r="S292" i="22"/>
  <c r="I304" i="22"/>
  <c r="I430" i="9"/>
  <c r="S225" i="22"/>
  <c r="S226" i="22"/>
  <c r="S10" i="22"/>
  <c r="S13" i="22"/>
  <c r="S140" i="22"/>
  <c r="S40" i="22"/>
  <c r="S29" i="22"/>
  <c r="S46" i="22"/>
  <c r="S15" i="22"/>
  <c r="S11" i="22"/>
  <c r="S157" i="22"/>
  <c r="S33" i="22"/>
  <c r="S17" i="22"/>
  <c r="T8" i="22" l="1"/>
  <c r="H8" i="9" s="1"/>
  <c r="S56" i="22"/>
  <c r="S57" i="22"/>
  <c r="S90" i="22"/>
  <c r="S60" i="22"/>
  <c r="S55" i="22"/>
  <c r="S120" i="22"/>
  <c r="S59" i="22"/>
  <c r="K3" i="22"/>
  <c r="J442" i="22"/>
  <c r="J443" i="22"/>
  <c r="J459" i="22"/>
  <c r="J305" i="22"/>
  <c r="J431" i="9"/>
  <c r="J304" i="22"/>
  <c r="J430" i="9"/>
  <c r="G8" i="22" l="1"/>
  <c r="L3" i="22"/>
  <c r="K442" i="22"/>
  <c r="K443" i="22"/>
  <c r="K459" i="22"/>
  <c r="K305" i="22"/>
  <c r="K431" i="9"/>
  <c r="K304" i="22"/>
  <c r="K430" i="9"/>
  <c r="M3" i="22" l="1"/>
  <c r="L442" i="22"/>
  <c r="L443" i="22"/>
  <c r="L459" i="22"/>
  <c r="L305" i="22"/>
  <c r="L431" i="9"/>
  <c r="L304" i="22"/>
  <c r="L430" i="9"/>
  <c r="N3" i="22" l="1"/>
  <c r="M442" i="22"/>
  <c r="M443" i="22"/>
  <c r="M459" i="22"/>
  <c r="M305" i="22"/>
  <c r="M431" i="9"/>
  <c r="M304" i="22"/>
  <c r="M430" i="9"/>
  <c r="O3" i="22" l="1"/>
  <c r="N442" i="22"/>
  <c r="N443" i="22"/>
  <c r="N459" i="22"/>
  <c r="N305" i="22"/>
  <c r="N431" i="9"/>
  <c r="N304" i="22"/>
  <c r="N430" i="9"/>
  <c r="P3" i="22" l="1"/>
  <c r="P442" i="22" s="1"/>
  <c r="O442" i="22"/>
  <c r="O443" i="22"/>
  <c r="O459" i="22"/>
  <c r="O305" i="22"/>
  <c r="O431" i="9"/>
  <c r="O304" i="22"/>
  <c r="O430" i="9"/>
  <c r="P443" i="22" l="1"/>
  <c r="P459" i="22"/>
  <c r="P305" i="22"/>
  <c r="Q431" i="9" s="1"/>
  <c r="P431" i="9"/>
  <c r="P304" i="22"/>
  <c r="Q430" i="9" s="1"/>
  <c r="P430" i="9"/>
  <c r="T410" i="21" l="1"/>
  <c r="T411" i="21"/>
  <c r="S411" i="21"/>
  <c r="S410" i="21"/>
  <c r="T336" i="21"/>
  <c r="S336" i="21"/>
  <c r="T335" i="21"/>
  <c r="S335" i="21"/>
  <c r="T334" i="21"/>
  <c r="S334" i="21"/>
  <c r="T333" i="21"/>
  <c r="S333" i="21"/>
  <c r="T332" i="21"/>
  <c r="S332" i="21"/>
  <c r="T245" i="21"/>
  <c r="S245" i="21"/>
  <c r="S304" i="21"/>
  <c r="T305" i="21"/>
  <c r="S305" i="21"/>
  <c r="T303" i="21"/>
  <c r="S303" i="21"/>
  <c r="F559" i="21"/>
  <c r="F500" i="21"/>
  <c r="F529" i="21"/>
  <c r="F530" i="21"/>
  <c r="F438" i="21"/>
  <c r="G436" i="21" s="1"/>
  <c r="H305" i="21"/>
  <c r="I305" i="21" s="1"/>
  <c r="J305" i="21" s="1"/>
  <c r="K305" i="21" s="1"/>
  <c r="L305" i="21" s="1"/>
  <c r="M305" i="21" s="1"/>
  <c r="N305" i="21" s="1"/>
  <c r="O305" i="21" s="1"/>
  <c r="P305" i="21" s="1"/>
  <c r="H304" i="21"/>
  <c r="I304" i="21" s="1"/>
  <c r="J304" i="21" s="1"/>
  <c r="K304" i="21" s="1"/>
  <c r="L304" i="21" s="1"/>
  <c r="M304" i="21" s="1"/>
  <c r="N304" i="21" s="1"/>
  <c r="O304" i="21" s="1"/>
  <c r="P304" i="21" s="1"/>
  <c r="F272" i="21"/>
  <c r="F299" i="21"/>
  <c r="G296" i="21" s="1"/>
  <c r="F293" i="21"/>
  <c r="G290" i="21" s="1"/>
  <c r="F287" i="21"/>
  <c r="G284" i="21" s="1"/>
  <c r="F281" i="21"/>
  <c r="G278" i="21" s="1"/>
  <c r="H245" i="21"/>
  <c r="I245" i="21" s="1"/>
  <c r="J245" i="21" s="1"/>
  <c r="K245" i="21" s="1"/>
  <c r="L245" i="21" s="1"/>
  <c r="M245" i="21" s="1"/>
  <c r="N245" i="21" s="1"/>
  <c r="O245" i="21" s="1"/>
  <c r="P245" i="21" s="1"/>
  <c r="F191" i="21"/>
  <c r="F190" i="21"/>
  <c r="F189" i="21"/>
  <c r="F188" i="21"/>
  <c r="F187" i="21"/>
  <c r="F186" i="21"/>
  <c r="F184" i="21"/>
  <c r="F183" i="21"/>
  <c r="F182" i="21"/>
  <c r="F181" i="21"/>
  <c r="F109" i="21"/>
  <c r="F116" i="21" s="1"/>
  <c r="F124" i="21" s="1"/>
  <c r="F91" i="21"/>
  <c r="G91" i="21" s="1"/>
  <c r="F89" i="21"/>
  <c r="F98" i="21" s="1"/>
  <c r="F406" i="21"/>
  <c r="F354" i="21"/>
  <c r="F242" i="21"/>
  <c r="F223" i="21"/>
  <c r="F177" i="21"/>
  <c r="F133" i="21"/>
  <c r="F80" i="21"/>
  <c r="H47" i="21"/>
  <c r="I47" i="21"/>
  <c r="J47" i="21"/>
  <c r="K47" i="21"/>
  <c r="L47" i="21"/>
  <c r="M47" i="21"/>
  <c r="N47" i="21"/>
  <c r="O47" i="21"/>
  <c r="P47" i="21"/>
  <c r="G47" i="21"/>
  <c r="H3" i="21"/>
  <c r="H442" i="21" s="1"/>
  <c r="S8" i="21"/>
  <c r="S559" i="21" s="1"/>
  <c r="B14" i="7"/>
  <c r="B51" i="7"/>
  <c r="H443" i="21" l="1"/>
  <c r="H459" i="21"/>
  <c r="G269" i="21"/>
  <c r="F275" i="21"/>
  <c r="F192" i="21"/>
  <c r="S177" i="21"/>
  <c r="S354" i="21"/>
  <c r="G530" i="21"/>
  <c r="T530" i="21"/>
  <c r="S530" i="21"/>
  <c r="I3" i="21"/>
  <c r="F185" i="21"/>
  <c r="S529" i="21"/>
  <c r="T529" i="21"/>
  <c r="G529" i="21"/>
  <c r="S80" i="21"/>
  <c r="S133" i="21"/>
  <c r="S223" i="21"/>
  <c r="S242" i="21"/>
  <c r="S406" i="21"/>
  <c r="S3" i="21"/>
  <c r="T3" i="21" s="1"/>
  <c r="T8" i="21" s="1"/>
  <c r="G8" i="21" s="1"/>
  <c r="S500" i="21"/>
  <c r="T304" i="21"/>
  <c r="F88" i="7"/>
  <c r="B257" i="22"/>
  <c r="B258" i="22"/>
  <c r="B256" i="22"/>
  <c r="B250" i="22"/>
  <c r="B251" i="22"/>
  <c r="B249" i="22"/>
  <c r="B118" i="22"/>
  <c r="B111" i="22"/>
  <c r="B112" i="22"/>
  <c r="B113" i="22"/>
  <c r="B110" i="22"/>
  <c r="B257" i="21"/>
  <c r="B258" i="21"/>
  <c r="B256" i="21"/>
  <c r="B250" i="21"/>
  <c r="B251" i="21"/>
  <c r="B249" i="21"/>
  <c r="B118" i="21"/>
  <c r="B111" i="21"/>
  <c r="B112" i="21"/>
  <c r="B113" i="21"/>
  <c r="B110" i="21"/>
  <c r="J3" i="21" l="1"/>
  <c r="I442" i="21"/>
  <c r="S442" i="21"/>
  <c r="S443" i="21"/>
  <c r="S459" i="21"/>
  <c r="H464" i="21"/>
  <c r="I459" i="21"/>
  <c r="I443" i="21"/>
  <c r="F193" i="21"/>
  <c r="S225" i="21"/>
  <c r="S226" i="21"/>
  <c r="S157" i="21"/>
  <c r="S40" i="21"/>
  <c r="S10" i="21"/>
  <c r="S29" i="21"/>
  <c r="S423" i="21" s="1"/>
  <c r="S47" i="21"/>
  <c r="S46" i="21"/>
  <c r="S33" i="21"/>
  <c r="S140" i="21"/>
  <c r="S17" i="21"/>
  <c r="S13" i="21"/>
  <c r="S298" i="21"/>
  <c r="S292" i="21"/>
  <c r="S15" i="21"/>
  <c r="S11" i="21"/>
  <c r="S263" i="21"/>
  <c r="S264" i="21"/>
  <c r="I394" i="9"/>
  <c r="J394" i="9"/>
  <c r="K394" i="9"/>
  <c r="L394" i="9"/>
  <c r="M394" i="9"/>
  <c r="N394" i="9"/>
  <c r="O394" i="9"/>
  <c r="P394" i="9"/>
  <c r="Q394" i="9"/>
  <c r="F100" i="7"/>
  <c r="F97" i="7"/>
  <c r="F98" i="7"/>
  <c r="F99" i="7"/>
  <c r="E98" i="7"/>
  <c r="E99" i="7"/>
  <c r="E100" i="7"/>
  <c r="E97" i="7"/>
  <c r="B504" i="9"/>
  <c r="B503" i="9"/>
  <c r="B501" i="9"/>
  <c r="B320" i="9" s="1"/>
  <c r="B500" i="9"/>
  <c r="B319" i="9" s="1"/>
  <c r="B498" i="9"/>
  <c r="B317" i="9" s="1"/>
  <c r="B497" i="9"/>
  <c r="B316" i="9" s="1"/>
  <c r="B495" i="9"/>
  <c r="B328" i="9" s="1"/>
  <c r="B494" i="9"/>
  <c r="B327" i="9" s="1"/>
  <c r="B493" i="9"/>
  <c r="B263" i="21"/>
  <c r="B264" i="21"/>
  <c r="B263" i="22"/>
  <c r="B264" i="22"/>
  <c r="M504" i="9"/>
  <c r="M503" i="9"/>
  <c r="M501" i="9"/>
  <c r="M500" i="9"/>
  <c r="M498" i="9"/>
  <c r="M497" i="9"/>
  <c r="M495" i="9"/>
  <c r="M494" i="9"/>
  <c r="M493" i="9"/>
  <c r="I485" i="9"/>
  <c r="J485" i="9"/>
  <c r="K485" i="9"/>
  <c r="L485" i="9"/>
  <c r="M485" i="9"/>
  <c r="N485" i="9"/>
  <c r="O485" i="9"/>
  <c r="P485" i="9"/>
  <c r="Q485" i="9"/>
  <c r="H485" i="9"/>
  <c r="I484" i="9"/>
  <c r="J484" i="9"/>
  <c r="K484" i="9"/>
  <c r="L484" i="9"/>
  <c r="M484" i="9"/>
  <c r="N484" i="9"/>
  <c r="O484" i="9"/>
  <c r="P484" i="9"/>
  <c r="Q484" i="9"/>
  <c r="H484" i="9"/>
  <c r="H482" i="9"/>
  <c r="H481" i="9"/>
  <c r="H479" i="9"/>
  <c r="H478" i="9"/>
  <c r="H476" i="9"/>
  <c r="H475" i="9"/>
  <c r="H474" i="9"/>
  <c r="I439" i="9"/>
  <c r="J445" i="9"/>
  <c r="K442" i="9"/>
  <c r="L442" i="9"/>
  <c r="M436" i="9"/>
  <c r="N439" i="9"/>
  <c r="O442" i="9"/>
  <c r="P442" i="9"/>
  <c r="Q445" i="9"/>
  <c r="H445" i="9"/>
  <c r="L504" i="9"/>
  <c r="L503" i="9"/>
  <c r="L501" i="9"/>
  <c r="L500" i="9"/>
  <c r="L498" i="9"/>
  <c r="L497" i="9"/>
  <c r="L495" i="9"/>
  <c r="L494" i="9"/>
  <c r="L493" i="9"/>
  <c r="J504" i="9"/>
  <c r="K504" i="9"/>
  <c r="I504" i="9"/>
  <c r="J503" i="9"/>
  <c r="K503" i="9"/>
  <c r="I503" i="9"/>
  <c r="J501" i="9"/>
  <c r="K501" i="9"/>
  <c r="I501" i="9"/>
  <c r="J500" i="9"/>
  <c r="K500" i="9"/>
  <c r="I500" i="9"/>
  <c r="J498" i="9"/>
  <c r="K498" i="9"/>
  <c r="I498" i="9"/>
  <c r="J497" i="9"/>
  <c r="K497" i="9"/>
  <c r="I497" i="9"/>
  <c r="I493" i="9"/>
  <c r="K493" i="9"/>
  <c r="J493" i="9"/>
  <c r="J495" i="9"/>
  <c r="K495" i="9"/>
  <c r="I495" i="9"/>
  <c r="J494" i="9"/>
  <c r="K494" i="9"/>
  <c r="I494" i="9"/>
  <c r="H504" i="9"/>
  <c r="H503" i="9"/>
  <c r="H501" i="9"/>
  <c r="H500" i="9"/>
  <c r="H498" i="9"/>
  <c r="H497" i="9"/>
  <c r="H495" i="9"/>
  <c r="G497" i="9"/>
  <c r="G495" i="9"/>
  <c r="G493" i="9"/>
  <c r="G494" i="9"/>
  <c r="B496" i="9"/>
  <c r="B436" i="9" s="1"/>
  <c r="B499" i="9"/>
  <c r="B439" i="9" s="1"/>
  <c r="B385" i="9" s="1"/>
  <c r="B505" i="9"/>
  <c r="B445" i="9" s="1"/>
  <c r="B502" i="9"/>
  <c r="B403" i="9" s="1"/>
  <c r="P311" i="21"/>
  <c r="O311" i="21"/>
  <c r="N311" i="21"/>
  <c r="M311" i="21"/>
  <c r="L311" i="21"/>
  <c r="K311" i="21"/>
  <c r="J311" i="21"/>
  <c r="I311" i="21"/>
  <c r="H311" i="21"/>
  <c r="G311" i="21"/>
  <c r="T311" i="21"/>
  <c r="S311" i="21"/>
  <c r="P310" i="21"/>
  <c r="O310" i="21"/>
  <c r="N310" i="21"/>
  <c r="M310" i="21"/>
  <c r="L310" i="21"/>
  <c r="K310" i="21"/>
  <c r="J310" i="21"/>
  <c r="I310" i="21"/>
  <c r="H310" i="21"/>
  <c r="G310" i="21"/>
  <c r="T310" i="21"/>
  <c r="S310" i="21"/>
  <c r="P309" i="21"/>
  <c r="O309" i="21"/>
  <c r="N309" i="21"/>
  <c r="M309" i="21"/>
  <c r="L309" i="21"/>
  <c r="K309" i="21"/>
  <c r="J309" i="21"/>
  <c r="I309" i="21"/>
  <c r="H309" i="21"/>
  <c r="G309" i="21"/>
  <c r="T309" i="21"/>
  <c r="S309" i="21"/>
  <c r="P308" i="21"/>
  <c r="O308" i="21"/>
  <c r="N308" i="21"/>
  <c r="M308" i="21"/>
  <c r="L308" i="21"/>
  <c r="K308" i="21"/>
  <c r="J308" i="21"/>
  <c r="I308" i="21"/>
  <c r="H308" i="21"/>
  <c r="G308" i="21"/>
  <c r="T308" i="21"/>
  <c r="S308" i="21"/>
  <c r="P307" i="21"/>
  <c r="O307" i="21"/>
  <c r="N307" i="21"/>
  <c r="M307" i="21"/>
  <c r="L307" i="21"/>
  <c r="K307" i="21"/>
  <c r="J307" i="21"/>
  <c r="I307" i="21"/>
  <c r="H307" i="21"/>
  <c r="G307" i="21"/>
  <c r="T307" i="21"/>
  <c r="S307" i="21"/>
  <c r="S309" i="22"/>
  <c r="T309" i="22"/>
  <c r="G309" i="22"/>
  <c r="H309" i="22"/>
  <c r="I309" i="22"/>
  <c r="J309" i="22"/>
  <c r="K309" i="22"/>
  <c r="L309" i="22"/>
  <c r="M309" i="22"/>
  <c r="N309" i="22"/>
  <c r="O309" i="22"/>
  <c r="P309" i="22"/>
  <c r="S310" i="22"/>
  <c r="T310" i="22"/>
  <c r="G310" i="22"/>
  <c r="H310" i="22"/>
  <c r="I310" i="22"/>
  <c r="J310" i="22"/>
  <c r="K310" i="22"/>
  <c r="L310" i="22"/>
  <c r="M310" i="22"/>
  <c r="N310" i="22"/>
  <c r="O310" i="22"/>
  <c r="P310" i="22"/>
  <c r="S311" i="22"/>
  <c r="T311" i="22"/>
  <c r="G311" i="22"/>
  <c r="H311" i="22"/>
  <c r="I311" i="22"/>
  <c r="J311" i="22"/>
  <c r="K311" i="22"/>
  <c r="L311" i="22"/>
  <c r="M311" i="22"/>
  <c r="N311" i="22"/>
  <c r="O311" i="22"/>
  <c r="P311" i="22"/>
  <c r="S308" i="22"/>
  <c r="T308" i="22"/>
  <c r="G308" i="22"/>
  <c r="H308" i="22"/>
  <c r="I308" i="22"/>
  <c r="J308" i="22"/>
  <c r="K308" i="22"/>
  <c r="L308" i="22"/>
  <c r="M308" i="22"/>
  <c r="N308" i="22"/>
  <c r="O308" i="22"/>
  <c r="P308" i="22"/>
  <c r="S307" i="22"/>
  <c r="T307" i="22"/>
  <c r="G307" i="22"/>
  <c r="H307" i="22"/>
  <c r="I307" i="22"/>
  <c r="J307" i="22"/>
  <c r="K307" i="22"/>
  <c r="L307" i="22"/>
  <c r="M307" i="22"/>
  <c r="N307" i="22"/>
  <c r="O307" i="22"/>
  <c r="P307" i="22"/>
  <c r="S57" i="21" l="1"/>
  <c r="S59" i="21"/>
  <c r="S55" i="21"/>
  <c r="S56" i="21"/>
  <c r="S60" i="21"/>
  <c r="J443" i="21"/>
  <c r="K3" i="21"/>
  <c r="J442" i="21"/>
  <c r="I464" i="21"/>
  <c r="J459" i="21"/>
  <c r="B315" i="9"/>
  <c r="B313" i="9"/>
  <c r="B332" i="9"/>
  <c r="B331" i="9"/>
  <c r="B318" i="9"/>
  <c r="B314" i="9"/>
  <c r="B330" i="9"/>
  <c r="B329" i="9"/>
  <c r="B321" i="9"/>
  <c r="B339" i="9"/>
  <c r="B342" i="9"/>
  <c r="N435" i="9"/>
  <c r="H437" i="9"/>
  <c r="M445" i="9"/>
  <c r="K437" i="9"/>
  <c r="Q435" i="9"/>
  <c r="I435" i="9"/>
  <c r="O437" i="9"/>
  <c r="M435" i="9"/>
  <c r="N437" i="9"/>
  <c r="J435" i="9"/>
  <c r="J437" i="9"/>
  <c r="P435" i="9"/>
  <c r="L435" i="9"/>
  <c r="H435" i="9"/>
  <c r="Q437" i="9"/>
  <c r="M437" i="9"/>
  <c r="I437" i="9"/>
  <c r="O435" i="9"/>
  <c r="K435" i="9"/>
  <c r="P437" i="9"/>
  <c r="L437" i="9"/>
  <c r="B486" i="9"/>
  <c r="J439" i="9"/>
  <c r="I436" i="9"/>
  <c r="B477" i="9"/>
  <c r="B480" i="9"/>
  <c r="B483" i="9"/>
  <c r="J436" i="9"/>
  <c r="I442" i="9"/>
  <c r="H436" i="9"/>
  <c r="N442" i="9"/>
  <c r="N445" i="9"/>
  <c r="Q436" i="9"/>
  <c r="M439" i="9"/>
  <c r="Q442" i="9"/>
  <c r="O445" i="9"/>
  <c r="N436" i="9"/>
  <c r="J442" i="9"/>
  <c r="M442" i="9"/>
  <c r="I445" i="9"/>
  <c r="Q439" i="9"/>
  <c r="P439" i="9"/>
  <c r="L439" i="9"/>
  <c r="K445" i="9"/>
  <c r="H439" i="9"/>
  <c r="O439" i="9"/>
  <c r="K439" i="9"/>
  <c r="L436" i="9"/>
  <c r="L445" i="9"/>
  <c r="O436" i="9"/>
  <c r="K436" i="9"/>
  <c r="P436" i="9"/>
  <c r="P445" i="9"/>
  <c r="H442" i="9"/>
  <c r="B367" i="9"/>
  <c r="B463" i="9"/>
  <c r="B454" i="9"/>
  <c r="B457" i="9"/>
  <c r="B421" i="9"/>
  <c r="B460" i="9"/>
  <c r="B442" i="9"/>
  <c r="G615" i="21"/>
  <c r="D504" i="21"/>
  <c r="F530" i="22"/>
  <c r="F529" i="22"/>
  <c r="B526" i="22"/>
  <c r="B551" i="22" s="1"/>
  <c r="B525" i="22"/>
  <c r="B533" i="22" s="1"/>
  <c r="B332" i="22"/>
  <c r="B333" i="22"/>
  <c r="B334" i="22"/>
  <c r="B335" i="22"/>
  <c r="B336" i="22"/>
  <c r="B332" i="21"/>
  <c r="B333" i="21"/>
  <c r="B334" i="21"/>
  <c r="B335" i="21"/>
  <c r="B336" i="21"/>
  <c r="B317" i="22"/>
  <c r="B318" i="22"/>
  <c r="B319" i="22"/>
  <c r="B320" i="22"/>
  <c r="B321" i="22"/>
  <c r="B295" i="22"/>
  <c r="B289" i="22"/>
  <c r="B283" i="22"/>
  <c r="B277" i="22"/>
  <c r="B268" i="22"/>
  <c r="B308" i="22"/>
  <c r="B309" i="22"/>
  <c r="B310" i="22"/>
  <c r="B311" i="22"/>
  <c r="B307" i="22"/>
  <c r="L3" i="21" l="1"/>
  <c r="K442" i="21"/>
  <c r="K443" i="21"/>
  <c r="K459" i="21"/>
  <c r="J464" i="21"/>
  <c r="G529" i="22"/>
  <c r="H529" i="22" s="1"/>
  <c r="I529" i="22" s="1"/>
  <c r="J529" i="22" s="1"/>
  <c r="K529" i="22" s="1"/>
  <c r="L529" i="22" s="1"/>
  <c r="M529" i="22" s="1"/>
  <c r="N529" i="22" s="1"/>
  <c r="O529" i="22" s="1"/>
  <c r="P529" i="22" s="1"/>
  <c r="S529" i="22"/>
  <c r="T529" i="22"/>
  <c r="T530" i="22"/>
  <c r="S530" i="22"/>
  <c r="G530" i="22"/>
  <c r="H530" i="22" s="1"/>
  <c r="I530" i="22" s="1"/>
  <c r="J530" i="22" s="1"/>
  <c r="K530" i="22" s="1"/>
  <c r="L530" i="22" s="1"/>
  <c r="M530" i="22" s="1"/>
  <c r="N530" i="22" s="1"/>
  <c r="O530" i="22" s="1"/>
  <c r="P530" i="22" s="1"/>
  <c r="G629" i="21"/>
  <c r="H513" i="21"/>
  <c r="H510" i="21"/>
  <c r="H512" i="21"/>
  <c r="H519" i="21"/>
  <c r="H515" i="21"/>
  <c r="H511" i="21"/>
  <c r="H517" i="21"/>
  <c r="H516" i="21"/>
  <c r="H518" i="21"/>
  <c r="H514" i="21"/>
  <c r="B543" i="22"/>
  <c r="B544" i="22"/>
  <c r="B529" i="22"/>
  <c r="B537" i="22"/>
  <c r="B550" i="22"/>
  <c r="B534" i="22"/>
  <c r="B530" i="22"/>
  <c r="B538" i="22"/>
  <c r="B317" i="21"/>
  <c r="B318" i="21"/>
  <c r="B319" i="21"/>
  <c r="B320" i="21"/>
  <c r="B321" i="21"/>
  <c r="B295" i="21"/>
  <c r="B289" i="21"/>
  <c r="B283" i="21"/>
  <c r="B277" i="21"/>
  <c r="B268" i="21"/>
  <c r="B307" i="21"/>
  <c r="I33" i="21"/>
  <c r="M3" i="21" l="1"/>
  <c r="L442" i="21"/>
  <c r="L443" i="21"/>
  <c r="L459" i="21"/>
  <c r="K464" i="21"/>
  <c r="H520" i="21"/>
  <c r="F549" i="21" s="1"/>
  <c r="H529" i="21"/>
  <c r="H548" i="21"/>
  <c r="I548" i="21" s="1"/>
  <c r="J548" i="21" s="1"/>
  <c r="K548" i="21" s="1"/>
  <c r="L548" i="21" s="1"/>
  <c r="M548" i="21" s="1"/>
  <c r="N548" i="21" s="1"/>
  <c r="O548" i="21" s="1"/>
  <c r="P548" i="21" s="1"/>
  <c r="H478" i="22"/>
  <c r="H478" i="21"/>
  <c r="I478" i="21" s="1"/>
  <c r="J478" i="21" s="1"/>
  <c r="K478" i="21" s="1"/>
  <c r="L478" i="21" s="1"/>
  <c r="M478" i="21" s="1"/>
  <c r="N478" i="21" s="1"/>
  <c r="O478" i="21" s="1"/>
  <c r="P478" i="21" s="1"/>
  <c r="N3" i="21" l="1"/>
  <c r="M442" i="21"/>
  <c r="M443" i="21"/>
  <c r="L464" i="21"/>
  <c r="M459" i="21"/>
  <c r="I478" i="22"/>
  <c r="I674" i="9"/>
  <c r="B441" i="9"/>
  <c r="B482" i="9"/>
  <c r="B397" i="9"/>
  <c r="B459" i="9"/>
  <c r="T549" i="21"/>
  <c r="J549" i="21"/>
  <c r="N549" i="21"/>
  <c r="H549" i="21"/>
  <c r="S549" i="21"/>
  <c r="I549" i="21"/>
  <c r="M549" i="21"/>
  <c r="G549" i="21"/>
  <c r="K549" i="21"/>
  <c r="O549" i="21"/>
  <c r="L549" i="21"/>
  <c r="P549" i="21"/>
  <c r="I529" i="21"/>
  <c r="O617" i="21"/>
  <c r="K617" i="21"/>
  <c r="F170" i="7"/>
  <c r="N617" i="21"/>
  <c r="M617" i="21"/>
  <c r="I617" i="21"/>
  <c r="G617" i="21"/>
  <c r="L617" i="21"/>
  <c r="H617" i="21"/>
  <c r="J617" i="21"/>
  <c r="O3" i="21" l="1"/>
  <c r="N442" i="21"/>
  <c r="N443" i="21"/>
  <c r="N459" i="21"/>
  <c r="M464" i="21"/>
  <c r="J478" i="22"/>
  <c r="J674" i="9"/>
  <c r="J529" i="21"/>
  <c r="S479" i="22"/>
  <c r="O443" i="21" l="1"/>
  <c r="P3" i="21"/>
  <c r="P442" i="21" s="1"/>
  <c r="O442" i="21"/>
  <c r="O459" i="21"/>
  <c r="N464" i="21"/>
  <c r="K478" i="22"/>
  <c r="K674" i="9"/>
  <c r="H675" i="9"/>
  <c r="H530" i="21"/>
  <c r="K529" i="21"/>
  <c r="S479" i="21"/>
  <c r="T479" i="22"/>
  <c r="T479" i="21"/>
  <c r="P443" i="21" l="1"/>
  <c r="P459" i="21"/>
  <c r="P464" i="21" s="1"/>
  <c r="O464" i="21"/>
  <c r="L478" i="22"/>
  <c r="L674" i="9"/>
  <c r="I530" i="21"/>
  <c r="L529" i="21"/>
  <c r="G479" i="22"/>
  <c r="H477" i="22"/>
  <c r="I673" i="9" s="1"/>
  <c r="I675" i="9" s="1"/>
  <c r="H477" i="21"/>
  <c r="G479" i="21"/>
  <c r="M478" i="22" l="1"/>
  <c r="M674" i="9"/>
  <c r="J530" i="21"/>
  <c r="M529" i="21"/>
  <c r="H479" i="22"/>
  <c r="I477" i="22"/>
  <c r="J673" i="9" s="1"/>
  <c r="J675" i="9" s="1"/>
  <c r="H479" i="21"/>
  <c r="I477" i="21"/>
  <c r="N478" i="22" l="1"/>
  <c r="N674" i="9"/>
  <c r="K530" i="21"/>
  <c r="N529" i="21"/>
  <c r="I479" i="22"/>
  <c r="J477" i="22"/>
  <c r="K673" i="9" s="1"/>
  <c r="K675" i="9" s="1"/>
  <c r="J477" i="21"/>
  <c r="I479" i="21"/>
  <c r="O478" i="22" l="1"/>
  <c r="O674" i="9"/>
  <c r="L530" i="21"/>
  <c r="O529" i="21"/>
  <c r="K477" i="22"/>
  <c r="L673" i="9" s="1"/>
  <c r="L675" i="9" s="1"/>
  <c r="J479" i="22"/>
  <c r="J479" i="21"/>
  <c r="K477" i="21"/>
  <c r="P478" i="22" l="1"/>
  <c r="Q674" i="9" s="1"/>
  <c r="P674" i="9"/>
  <c r="M530" i="21"/>
  <c r="P529" i="21"/>
  <c r="K479" i="22"/>
  <c r="L477" i="22"/>
  <c r="M673" i="9" s="1"/>
  <c r="M675" i="9" s="1"/>
  <c r="L477" i="21"/>
  <c r="K479" i="21"/>
  <c r="N530" i="21" l="1"/>
  <c r="L479" i="22"/>
  <c r="M477" i="22"/>
  <c r="N673" i="9" s="1"/>
  <c r="N675" i="9" s="1"/>
  <c r="L479" i="21"/>
  <c r="M477" i="21"/>
  <c r="O530" i="21" l="1"/>
  <c r="N477" i="22"/>
  <c r="M479" i="22"/>
  <c r="M479" i="21"/>
  <c r="N477" i="21"/>
  <c r="O673" i="9" l="1"/>
  <c r="O675" i="9" s="1"/>
  <c r="P530" i="21"/>
  <c r="O477" i="22"/>
  <c r="N479" i="22"/>
  <c r="N479" i="21"/>
  <c r="O477" i="21"/>
  <c r="P673" i="9" l="1"/>
  <c r="P675" i="9" s="1"/>
  <c r="O479" i="22"/>
  <c r="P477" i="22"/>
  <c r="Q673" i="9" s="1"/>
  <c r="Q675" i="9" s="1"/>
  <c r="P477" i="21"/>
  <c r="P479" i="21" s="1"/>
  <c r="O479" i="21"/>
  <c r="P479" i="22" l="1"/>
  <c r="G585" i="9" l="1"/>
  <c r="G592" i="9"/>
  <c r="O13" i="7"/>
  <c r="B600" i="9"/>
  <c r="B599" i="9"/>
  <c r="B598" i="9"/>
  <c r="B549" i="9" l="1"/>
  <c r="B548" i="9"/>
  <c r="B531" i="9"/>
  <c r="B530" i="9"/>
  <c r="I626" i="9"/>
  <c r="J626" i="9"/>
  <c r="K626" i="9"/>
  <c r="L626" i="9"/>
  <c r="M626" i="9"/>
  <c r="N626" i="9"/>
  <c r="O626" i="9"/>
  <c r="P626" i="9"/>
  <c r="Q626" i="9"/>
  <c r="H626" i="9"/>
  <c r="G423" i="22"/>
  <c r="G422" i="22"/>
  <c r="G420" i="22"/>
  <c r="F438" i="22"/>
  <c r="G436" i="22" s="1"/>
  <c r="H423" i="22"/>
  <c r="S423" i="22"/>
  <c r="P422" i="22"/>
  <c r="O422" i="22"/>
  <c r="N422" i="22"/>
  <c r="M422" i="22"/>
  <c r="L422" i="22"/>
  <c r="K422" i="22"/>
  <c r="J422" i="22"/>
  <c r="I422" i="22"/>
  <c r="H422" i="22"/>
  <c r="S422" i="22"/>
  <c r="H420" i="22"/>
  <c r="S420" i="22"/>
  <c r="H613" i="9"/>
  <c r="H410" i="21"/>
  <c r="I410" i="21" s="1"/>
  <c r="J410" i="21" s="1"/>
  <c r="K410" i="21" s="1"/>
  <c r="L410" i="21" s="1"/>
  <c r="M410" i="21" s="1"/>
  <c r="N410" i="21" s="1"/>
  <c r="O410" i="21" s="1"/>
  <c r="P410" i="21" s="1"/>
  <c r="H411" i="21"/>
  <c r="I411" i="21" s="1"/>
  <c r="J411" i="21" s="1"/>
  <c r="K411" i="21" s="1"/>
  <c r="L411" i="21" s="1"/>
  <c r="M411" i="21" s="1"/>
  <c r="N411" i="21" s="1"/>
  <c r="O411" i="21" s="1"/>
  <c r="P411" i="21" s="1"/>
  <c r="S436" i="22" l="1"/>
  <c r="H614" i="9"/>
  <c r="H615" i="9" s="1"/>
  <c r="S412" i="22"/>
  <c r="S73" i="22" s="1"/>
  <c r="T412" i="22"/>
  <c r="H411" i="22" l="1"/>
  <c r="I614" i="9" s="1"/>
  <c r="T73" i="22"/>
  <c r="H410" i="22"/>
  <c r="I613" i="9" s="1"/>
  <c r="G412" i="22"/>
  <c r="F471" i="22" s="1"/>
  <c r="G294" i="9"/>
  <c r="G282" i="9"/>
  <c r="B403" i="22"/>
  <c r="H422" i="21"/>
  <c r="S422" i="21"/>
  <c r="G422" i="21"/>
  <c r="I422" i="21"/>
  <c r="J422" i="21"/>
  <c r="K422" i="21"/>
  <c r="L422" i="21"/>
  <c r="M422" i="21"/>
  <c r="N422" i="21"/>
  <c r="O422" i="21"/>
  <c r="P422" i="21"/>
  <c r="S420" i="21"/>
  <c r="G420" i="21"/>
  <c r="H420" i="21"/>
  <c r="I615" i="9" l="1"/>
  <c r="E57" i="3"/>
  <c r="I411" i="22"/>
  <c r="J614" i="9" s="1"/>
  <c r="G73" i="22"/>
  <c r="H412" i="22"/>
  <c r="I410" i="22"/>
  <c r="J613" i="9" s="1"/>
  <c r="S375" i="22"/>
  <c r="G375" i="22"/>
  <c r="H375" i="22"/>
  <c r="I530" i="9" s="1"/>
  <c r="S375" i="21"/>
  <c r="G375" i="21"/>
  <c r="H375" i="21"/>
  <c r="I531" i="9" s="1"/>
  <c r="J615" i="9" l="1"/>
  <c r="S469" i="22"/>
  <c r="G469" i="22"/>
  <c r="J411" i="22"/>
  <c r="K614" i="9" s="1"/>
  <c r="H73" i="22"/>
  <c r="I92" i="9" s="1"/>
  <c r="I412" i="22"/>
  <c r="J410" i="22"/>
  <c r="K613" i="9" s="1"/>
  <c r="K615" i="9" l="1"/>
  <c r="K411" i="22"/>
  <c r="L614" i="9" s="1"/>
  <c r="I73" i="22"/>
  <c r="J92" i="9" s="1"/>
  <c r="J412" i="22"/>
  <c r="K410" i="22"/>
  <c r="L613" i="9" s="1"/>
  <c r="L615" i="9" l="1"/>
  <c r="L411" i="22"/>
  <c r="M614" i="9" s="1"/>
  <c r="J73" i="22"/>
  <c r="K92" i="9" s="1"/>
  <c r="L410" i="22"/>
  <c r="M613" i="9" s="1"/>
  <c r="K412" i="22"/>
  <c r="M615" i="9" l="1"/>
  <c r="M411" i="22"/>
  <c r="N614" i="9" s="1"/>
  <c r="K73" i="22"/>
  <c r="L92" i="9" s="1"/>
  <c r="L412" i="22"/>
  <c r="M410" i="22"/>
  <c r="N613" i="9" s="1"/>
  <c r="N615" i="9" l="1"/>
  <c r="N411" i="22"/>
  <c r="O614" i="9" s="1"/>
  <c r="L73" i="22"/>
  <c r="M92" i="9" s="1"/>
  <c r="M412" i="22"/>
  <c r="N410" i="22"/>
  <c r="O613" i="9" s="1"/>
  <c r="O615" i="9" l="1"/>
  <c r="O411" i="22"/>
  <c r="P614" i="9" s="1"/>
  <c r="M73" i="22"/>
  <c r="N92" i="9" s="1"/>
  <c r="N412" i="22"/>
  <c r="O410" i="22"/>
  <c r="P613" i="9" s="1"/>
  <c r="E29" i="7"/>
  <c r="E27" i="7"/>
  <c r="B93" i="7"/>
  <c r="P615" i="9" l="1"/>
  <c r="P411" i="22"/>
  <c r="Q614" i="9" s="1"/>
  <c r="N73" i="22"/>
  <c r="O92" i="9" s="1"/>
  <c r="P410" i="22"/>
  <c r="Q613" i="9" s="1"/>
  <c r="O412" i="22"/>
  <c r="B54" i="7"/>
  <c r="O149" i="7"/>
  <c r="O144" i="7"/>
  <c r="O139" i="7"/>
  <c r="O120" i="7"/>
  <c r="Q615" i="9" l="1"/>
  <c r="P412" i="22"/>
  <c r="P73" i="22" s="1"/>
  <c r="Q92" i="9" s="1"/>
  <c r="O73" i="22"/>
  <c r="P92" i="9" s="1"/>
  <c r="G423" i="21"/>
  <c r="H423" i="21"/>
  <c r="B403" i="21"/>
  <c r="G504" i="9"/>
  <c r="G501" i="9"/>
  <c r="G498" i="9"/>
  <c r="G503" i="9"/>
  <c r="G500" i="9"/>
  <c r="H494" i="9"/>
  <c r="H493" i="9"/>
  <c r="B752" i="9"/>
  <c r="B751" i="9"/>
  <c r="B738" i="9"/>
  <c r="B737" i="9"/>
  <c r="B724" i="9"/>
  <c r="B723" i="9"/>
  <c r="B214" i="9"/>
  <c r="B211" i="9"/>
  <c r="B208" i="9"/>
  <c r="B205" i="9"/>
  <c r="O444" i="9" l="1"/>
  <c r="L444" i="9"/>
  <c r="I444" i="9"/>
  <c r="H444" i="9"/>
  <c r="K444" i="9"/>
  <c r="N444" i="9"/>
  <c r="Q444" i="9"/>
  <c r="P444" i="9"/>
  <c r="J444" i="9"/>
  <c r="M444" i="9"/>
  <c r="J440" i="9"/>
  <c r="N440" i="9"/>
  <c r="L440" i="9"/>
  <c r="I440" i="9"/>
  <c r="Q440" i="9"/>
  <c r="K440" i="9"/>
  <c r="O440" i="9"/>
  <c r="H440" i="9"/>
  <c r="P440" i="9"/>
  <c r="M440" i="9"/>
  <c r="K433" i="9"/>
  <c r="O433" i="9"/>
  <c r="I433" i="9"/>
  <c r="H433" i="9"/>
  <c r="N433" i="9"/>
  <c r="L433" i="9"/>
  <c r="M433" i="9"/>
  <c r="P433" i="9"/>
  <c r="Q433" i="9"/>
  <c r="J433" i="9"/>
  <c r="I438" i="9"/>
  <c r="M438" i="9"/>
  <c r="Q438" i="9"/>
  <c r="K438" i="9"/>
  <c r="O438" i="9"/>
  <c r="H438" i="9"/>
  <c r="P438" i="9"/>
  <c r="J438" i="9"/>
  <c r="N438" i="9"/>
  <c r="L438" i="9"/>
  <c r="H443" i="9"/>
  <c r="L443" i="9"/>
  <c r="P443" i="9"/>
  <c r="N443" i="9"/>
  <c r="O443" i="9"/>
  <c r="I443" i="9"/>
  <c r="M443" i="9"/>
  <c r="Q443" i="9"/>
  <c r="J443" i="9"/>
  <c r="K443" i="9"/>
  <c r="J434" i="9"/>
  <c r="H434" i="9"/>
  <c r="N434" i="9"/>
  <c r="L434" i="9"/>
  <c r="Q434" i="9"/>
  <c r="O434" i="9"/>
  <c r="M434" i="9"/>
  <c r="I434" i="9"/>
  <c r="P434" i="9"/>
  <c r="K434" i="9"/>
  <c r="K441" i="9"/>
  <c r="O441" i="9"/>
  <c r="I441" i="9"/>
  <c r="Q441" i="9"/>
  <c r="N441" i="9"/>
  <c r="H441" i="9"/>
  <c r="L441" i="9"/>
  <c r="P441" i="9"/>
  <c r="M441" i="9"/>
  <c r="J441" i="9"/>
  <c r="N412" i="21"/>
  <c r="M412" i="21"/>
  <c r="J412" i="21"/>
  <c r="I412" i="21"/>
  <c r="S412" i="21"/>
  <c r="T412" i="21"/>
  <c r="P412" i="21"/>
  <c r="L412" i="21"/>
  <c r="H412" i="21"/>
  <c r="O412" i="21"/>
  <c r="K412" i="21"/>
  <c r="G412" i="21"/>
  <c r="F471" i="21" s="1"/>
  <c r="G469" i="21" l="1"/>
  <c r="H73" i="21"/>
  <c r="S73" i="21"/>
  <c r="M73" i="21"/>
  <c r="G73" i="21"/>
  <c r="L73" i="21"/>
  <c r="N73" i="21"/>
  <c r="K73" i="21"/>
  <c r="P73" i="21"/>
  <c r="I73" i="21"/>
  <c r="O73" i="21"/>
  <c r="T73" i="21"/>
  <c r="J73" i="21"/>
  <c r="H356" i="21" l="1"/>
  <c r="G356" i="21"/>
  <c r="G356" i="22" l="1"/>
  <c r="H356" i="22"/>
  <c r="G565" i="9"/>
  <c r="G519" i="9"/>
  <c r="G537" i="9"/>
  <c r="H704" i="9" l="1"/>
  <c r="G541" i="9"/>
  <c r="E53" i="3"/>
  <c r="E774" i="9" l="1"/>
  <c r="E775" i="9"/>
  <c r="E773" i="9"/>
  <c r="F86" i="7"/>
  <c r="G291" i="9"/>
  <c r="G279" i="9"/>
  <c r="P231" i="22"/>
  <c r="N231" i="22"/>
  <c r="M231" i="22"/>
  <c r="L231" i="22"/>
  <c r="J231" i="22"/>
  <c r="I231" i="22"/>
  <c r="H231" i="22"/>
  <c r="G28" i="21"/>
  <c r="H28" i="21"/>
  <c r="I28" i="21"/>
  <c r="J28" i="21"/>
  <c r="K28" i="21"/>
  <c r="L28" i="21"/>
  <c r="M28" i="21"/>
  <c r="N28" i="21"/>
  <c r="O28" i="21"/>
  <c r="P28" i="21"/>
  <c r="F28" i="21"/>
  <c r="S28" i="21"/>
  <c r="P142" i="21"/>
  <c r="O142" i="21"/>
  <c r="N142" i="21"/>
  <c r="M142" i="21"/>
  <c r="L142" i="21"/>
  <c r="K142" i="21"/>
  <c r="J142" i="21"/>
  <c r="I142" i="21"/>
  <c r="H142" i="21"/>
  <c r="G142" i="21"/>
  <c r="S142" i="21"/>
  <c r="P142" i="22"/>
  <c r="O142" i="22"/>
  <c r="N142" i="22"/>
  <c r="M142" i="22"/>
  <c r="L142" i="22"/>
  <c r="K142" i="22"/>
  <c r="J142" i="22"/>
  <c r="I142" i="22"/>
  <c r="H142" i="22"/>
  <c r="G142" i="22"/>
  <c r="S142" i="22"/>
  <c r="P143" i="21"/>
  <c r="O143" i="21"/>
  <c r="N143" i="21"/>
  <c r="M143" i="21"/>
  <c r="L143" i="21"/>
  <c r="K143" i="21"/>
  <c r="J143" i="21"/>
  <c r="I143" i="21"/>
  <c r="H143" i="21"/>
  <c r="G143" i="21"/>
  <c r="S143" i="21"/>
  <c r="P227" i="21"/>
  <c r="P232" i="21" s="1"/>
  <c r="O227" i="21"/>
  <c r="O232" i="21" s="1"/>
  <c r="N227" i="21"/>
  <c r="M227" i="21"/>
  <c r="L227" i="21"/>
  <c r="L232" i="21" s="1"/>
  <c r="K227" i="21"/>
  <c r="K232" i="21" s="1"/>
  <c r="J227" i="21"/>
  <c r="I227" i="21"/>
  <c r="H227" i="21"/>
  <c r="H232" i="21" s="1"/>
  <c r="G227" i="21"/>
  <c r="G95" i="21" s="1"/>
  <c r="S227" i="21"/>
  <c r="P28" i="22"/>
  <c r="O28" i="22"/>
  <c r="N28" i="22"/>
  <c r="M28" i="22"/>
  <c r="L28" i="22"/>
  <c r="K28" i="22"/>
  <c r="J28" i="22"/>
  <c r="I28" i="22"/>
  <c r="H28" i="22"/>
  <c r="G28" i="22"/>
  <c r="S28" i="22"/>
  <c r="G143" i="22"/>
  <c r="H143" i="22"/>
  <c r="I143" i="22"/>
  <c r="J143" i="22"/>
  <c r="K143" i="22"/>
  <c r="L143" i="22"/>
  <c r="M143" i="22"/>
  <c r="N143" i="22"/>
  <c r="O143" i="22"/>
  <c r="P143" i="22"/>
  <c r="S143" i="22"/>
  <c r="G227" i="22"/>
  <c r="G95" i="22" s="1"/>
  <c r="H227" i="22"/>
  <c r="H232" i="22" s="1"/>
  <c r="I227" i="22"/>
  <c r="J227" i="22"/>
  <c r="J232" i="22" s="1"/>
  <c r="K227" i="22"/>
  <c r="L227" i="22"/>
  <c r="L232" i="22" s="1"/>
  <c r="M227" i="22"/>
  <c r="N227" i="22"/>
  <c r="N232" i="22" s="1"/>
  <c r="O227" i="22"/>
  <c r="O232" i="22" s="1"/>
  <c r="P227" i="22"/>
  <c r="P232" i="22" s="1"/>
  <c r="S227" i="22"/>
  <c r="S95" i="22" s="1"/>
  <c r="G232" i="21" l="1"/>
  <c r="Q624" i="9"/>
  <c r="M624" i="9"/>
  <c r="I624" i="9"/>
  <c r="O624" i="9"/>
  <c r="K624" i="9"/>
  <c r="P624" i="9"/>
  <c r="L624" i="9"/>
  <c r="N624" i="9"/>
  <c r="J177" i="9"/>
  <c r="J624" i="9"/>
  <c r="K232" i="22"/>
  <c r="G232" i="22"/>
  <c r="M232" i="22"/>
  <c r="M233" i="22" s="1"/>
  <c r="M235" i="22" s="1"/>
  <c r="I232" i="22"/>
  <c r="I233" i="22" s="1"/>
  <c r="I235" i="22" s="1"/>
  <c r="S232" i="22"/>
  <c r="S232" i="21"/>
  <c r="I232" i="21"/>
  <c r="M232" i="21"/>
  <c r="S95" i="21"/>
  <c r="J232" i="21"/>
  <c r="N232" i="21"/>
  <c r="N177" i="9"/>
  <c r="N233" i="22"/>
  <c r="N235" i="22" s="1"/>
  <c r="J233" i="22"/>
  <c r="J235" i="22" s="1"/>
  <c r="P233" i="22"/>
  <c r="P235" i="22" s="1"/>
  <c r="L233" i="22"/>
  <c r="L235" i="22" s="1"/>
  <c r="H233" i="22"/>
  <c r="H235" i="22" s="1"/>
  <c r="M277" i="9"/>
  <c r="Q277" i="9"/>
  <c r="I277" i="9"/>
  <c r="O277" i="9"/>
  <c r="K277" i="9"/>
  <c r="Q176" i="9"/>
  <c r="M176" i="9"/>
  <c r="I176" i="9"/>
  <c r="Q34" i="9"/>
  <c r="M34" i="9"/>
  <c r="P34" i="9"/>
  <c r="L34" i="9"/>
  <c r="M177" i="9"/>
  <c r="L177" i="9"/>
  <c r="N34" i="9"/>
  <c r="J176" i="9"/>
  <c r="M289" i="9"/>
  <c r="I34" i="9"/>
  <c r="O177" i="9"/>
  <c r="K177" i="9"/>
  <c r="P176" i="9"/>
  <c r="L176" i="9"/>
  <c r="P289" i="9"/>
  <c r="L289" i="9"/>
  <c r="Q289" i="9"/>
  <c r="P177" i="9"/>
  <c r="O176" i="9"/>
  <c r="Q177" i="9"/>
  <c r="O34" i="9"/>
  <c r="K34" i="9"/>
  <c r="N176" i="9"/>
  <c r="J34" i="9"/>
  <c r="K176" i="9"/>
  <c r="I177" i="9"/>
  <c r="P277" i="9"/>
  <c r="L277" i="9"/>
  <c r="O289" i="9"/>
  <c r="K289" i="9"/>
  <c r="I289" i="9"/>
  <c r="N289" i="9"/>
  <c r="J289" i="9"/>
  <c r="N277" i="9"/>
  <c r="J277" i="9"/>
  <c r="O231" i="22"/>
  <c r="K231" i="22"/>
  <c r="G231" i="22"/>
  <c r="E124" i="7" l="1"/>
  <c r="F124" i="7"/>
  <c r="K233" i="22"/>
  <c r="K235" i="22" s="1"/>
  <c r="O233" i="22"/>
  <c r="O235" i="22" s="1"/>
  <c r="G233" i="22"/>
  <c r="G235" i="22" s="1"/>
  <c r="B26" i="21" l="1"/>
  <c r="B444" i="9" l="1"/>
  <c r="B485" i="9"/>
  <c r="B462" i="9"/>
  <c r="B415" i="9"/>
  <c r="B24" i="21"/>
  <c r="B338" i="9"/>
  <c r="B25" i="21"/>
  <c r="B341" i="9"/>
  <c r="B26" i="22"/>
  <c r="B24" i="22"/>
  <c r="B337" i="9"/>
  <c r="B25" i="22"/>
  <c r="B340" i="9"/>
  <c r="B443" i="9"/>
  <c r="B409" i="9"/>
  <c r="B484" i="9"/>
  <c r="B461" i="9"/>
  <c r="B438" i="9" l="1"/>
  <c r="B379" i="9" s="1"/>
  <c r="B479" i="9"/>
  <c r="B456" i="9"/>
  <c r="B435" i="9"/>
  <c r="B361" i="9"/>
  <c r="B453" i="9"/>
  <c r="B476" i="9"/>
  <c r="B434" i="9"/>
  <c r="B355" i="9"/>
  <c r="B452" i="9"/>
  <c r="B475" i="9"/>
  <c r="B437" i="9"/>
  <c r="B373" i="9" s="1"/>
  <c r="B478" i="9"/>
  <c r="B455" i="9"/>
  <c r="B391" i="9"/>
  <c r="B481" i="9"/>
  <c r="B458" i="9"/>
  <c r="B440" i="9"/>
  <c r="B212" i="9"/>
  <c r="B209" i="9"/>
  <c r="B206" i="9"/>
  <c r="B203" i="9"/>
  <c r="I622" i="9" l="1"/>
  <c r="I35" i="9"/>
  <c r="I625" i="9" s="1"/>
  <c r="J35" i="9"/>
  <c r="J625" i="9" s="1"/>
  <c r="H92" i="9"/>
  <c r="E255" i="9"/>
  <c r="E256" i="9"/>
  <c r="E257" i="9"/>
  <c r="E258" i="9"/>
  <c r="E259" i="9"/>
  <c r="E254" i="9"/>
  <c r="E250" i="9"/>
  <c r="E251" i="9"/>
  <c r="E252" i="9"/>
  <c r="E249" i="9"/>
  <c r="B158" i="7"/>
  <c r="B142" i="7"/>
  <c r="B143" i="7"/>
  <c r="B141" i="7"/>
  <c r="B145" i="9"/>
  <c r="B137" i="9"/>
  <c r="B134" i="9"/>
  <c r="B131" i="9"/>
  <c r="I42" i="9"/>
  <c r="J42" i="9"/>
  <c r="D504" i="22"/>
  <c r="F299" i="22"/>
  <c r="G296" i="22" s="1"/>
  <c r="F293" i="22"/>
  <c r="G290" i="22" s="1"/>
  <c r="F287" i="22"/>
  <c r="G284" i="22" s="1"/>
  <c r="F281" i="22"/>
  <c r="G278" i="22" s="1"/>
  <c r="F272" i="22"/>
  <c r="H198" i="22"/>
  <c r="G198" i="22"/>
  <c r="F198" i="22"/>
  <c r="H197" i="22"/>
  <c r="G197" i="22"/>
  <c r="F197" i="22"/>
  <c r="F191" i="22"/>
  <c r="B191" i="22"/>
  <c r="B211" i="22" s="1"/>
  <c r="F190" i="22"/>
  <c r="B190" i="22"/>
  <c r="B210" i="22" s="1"/>
  <c r="F189" i="22"/>
  <c r="B189" i="22"/>
  <c r="B209" i="22" s="1"/>
  <c r="F188" i="22"/>
  <c r="B188" i="22"/>
  <c r="B208" i="22" s="1"/>
  <c r="F187" i="22"/>
  <c r="B187" i="22"/>
  <c r="B207" i="22" s="1"/>
  <c r="F186" i="22"/>
  <c r="B186" i="22"/>
  <c r="B206" i="22" s="1"/>
  <c r="F184" i="22"/>
  <c r="B184" i="22"/>
  <c r="B204" i="22" s="1"/>
  <c r="F183" i="22"/>
  <c r="B183" i="22"/>
  <c r="B203" i="22" s="1"/>
  <c r="F182" i="22"/>
  <c r="B182" i="22"/>
  <c r="B202" i="22" s="1"/>
  <c r="F181" i="22"/>
  <c r="B181" i="22"/>
  <c r="B201" i="22" s="1"/>
  <c r="B166" i="22"/>
  <c r="B165" i="22"/>
  <c r="B164" i="22"/>
  <c r="B163" i="22"/>
  <c r="H156" i="22"/>
  <c r="H158" i="22" s="1"/>
  <c r="G156" i="22"/>
  <c r="G158" i="22" s="1"/>
  <c r="S156" i="22"/>
  <c r="S158" i="22" s="1"/>
  <c r="B145" i="22"/>
  <c r="B144" i="22"/>
  <c r="H141" i="22"/>
  <c r="G141" i="22"/>
  <c r="S141" i="22"/>
  <c r="H138" i="22"/>
  <c r="G138" i="22"/>
  <c r="S138" i="22"/>
  <c r="F109" i="22"/>
  <c r="F116" i="22" s="1"/>
  <c r="F124" i="22" s="1"/>
  <c r="F91" i="22"/>
  <c r="F89" i="22"/>
  <c r="F98" i="22" s="1"/>
  <c r="G39" i="22"/>
  <c r="H60" i="22"/>
  <c r="I60" i="22" s="1"/>
  <c r="G60" i="22"/>
  <c r="F60" i="22"/>
  <c r="H59" i="22"/>
  <c r="I59" i="22" s="1"/>
  <c r="G59" i="22"/>
  <c r="F59" i="22"/>
  <c r="F58" i="22"/>
  <c r="H57" i="22"/>
  <c r="I57" i="22" s="1"/>
  <c r="G57" i="22"/>
  <c r="F57" i="22"/>
  <c r="H56" i="22"/>
  <c r="I56" i="22" s="1"/>
  <c r="G56" i="22"/>
  <c r="F56" i="22"/>
  <c r="H55" i="22"/>
  <c r="I55" i="22" s="1"/>
  <c r="G55" i="22"/>
  <c r="F55" i="22"/>
  <c r="J51" i="22"/>
  <c r="K51" i="22" s="1"/>
  <c r="L51" i="22" s="1"/>
  <c r="M51" i="22" s="1"/>
  <c r="N51" i="22" s="1"/>
  <c r="O51" i="22" s="1"/>
  <c r="P51" i="22" s="1"/>
  <c r="I40" i="22"/>
  <c r="J40" i="22" s="1"/>
  <c r="I33" i="22"/>
  <c r="I29" i="22"/>
  <c r="H12" i="22"/>
  <c r="H14" i="22" s="1"/>
  <c r="H578" i="22" s="1"/>
  <c r="H584" i="22" s="1"/>
  <c r="G12" i="22"/>
  <c r="G62" i="22" s="1"/>
  <c r="F12" i="22"/>
  <c r="F62" i="22" s="1"/>
  <c r="I10" i="22"/>
  <c r="J723" i="9" s="1"/>
  <c r="B29" i="3"/>
  <c r="B30" i="3"/>
  <c r="B28" i="3"/>
  <c r="B31" i="3"/>
  <c r="B213" i="9"/>
  <c r="B210" i="9"/>
  <c r="B207" i="9"/>
  <c r="B204" i="9"/>
  <c r="B146" i="9"/>
  <c r="B138" i="9"/>
  <c r="B135" i="9"/>
  <c r="B132" i="9"/>
  <c r="B159" i="7"/>
  <c r="B147" i="7"/>
  <c r="B148" i="7"/>
  <c r="B146" i="7"/>
  <c r="D79" i="7"/>
  <c r="D78" i="7"/>
  <c r="D77" i="7"/>
  <c r="D76" i="7"/>
  <c r="D75" i="7"/>
  <c r="D74" i="7"/>
  <c r="D73" i="7"/>
  <c r="D72" i="7"/>
  <c r="D71" i="7"/>
  <c r="D70" i="7"/>
  <c r="C71" i="7"/>
  <c r="C72" i="7"/>
  <c r="C73" i="7"/>
  <c r="C74" i="7"/>
  <c r="C75" i="7"/>
  <c r="C76" i="7"/>
  <c r="C77" i="7"/>
  <c r="C78" i="7"/>
  <c r="C79" i="7"/>
  <c r="C70" i="7"/>
  <c r="B71" i="7"/>
  <c r="B72" i="7"/>
  <c r="B73" i="7"/>
  <c r="B74" i="7"/>
  <c r="B75" i="7"/>
  <c r="B76" i="7"/>
  <c r="B77" i="7"/>
  <c r="B78" i="7"/>
  <c r="B79" i="7"/>
  <c r="B70" i="7"/>
  <c r="H638" i="21"/>
  <c r="I638" i="21" s="1"/>
  <c r="J638" i="21" s="1"/>
  <c r="K638" i="21" s="1"/>
  <c r="L638" i="21" s="1"/>
  <c r="M638" i="21" s="1"/>
  <c r="N638" i="21" s="1"/>
  <c r="O638" i="21" s="1"/>
  <c r="H636" i="21"/>
  <c r="I636" i="21" s="1"/>
  <c r="J636" i="21" s="1"/>
  <c r="K636" i="21" s="1"/>
  <c r="L636" i="21" s="1"/>
  <c r="M636" i="21" s="1"/>
  <c r="N636" i="21" s="1"/>
  <c r="O636" i="21" s="1"/>
  <c r="B627" i="21"/>
  <c r="B626" i="21"/>
  <c r="B625" i="21"/>
  <c r="B624" i="21"/>
  <c r="B623" i="21"/>
  <c r="B622" i="21"/>
  <c r="B621" i="21"/>
  <c r="B620" i="21"/>
  <c r="B619" i="21"/>
  <c r="J611" i="21"/>
  <c r="B309" i="21"/>
  <c r="B308" i="21"/>
  <c r="H198" i="21"/>
  <c r="G198" i="21"/>
  <c r="S198" i="21"/>
  <c r="F198" i="21"/>
  <c r="H197" i="21"/>
  <c r="G197" i="21"/>
  <c r="S197" i="21"/>
  <c r="F197" i="21"/>
  <c r="B191" i="21"/>
  <c r="B211" i="21" s="1"/>
  <c r="B190" i="21"/>
  <c r="B210" i="21" s="1"/>
  <c r="B189" i="21"/>
  <c r="B209" i="21" s="1"/>
  <c r="B188" i="21"/>
  <c r="B208" i="21" s="1"/>
  <c r="B187" i="21"/>
  <c r="B207" i="21" s="1"/>
  <c r="B186" i="21"/>
  <c r="B206" i="21" s="1"/>
  <c r="B184" i="21"/>
  <c r="B204" i="21" s="1"/>
  <c r="B183" i="21"/>
  <c r="B203" i="21" s="1"/>
  <c r="B182" i="21"/>
  <c r="B202" i="21" s="1"/>
  <c r="B181" i="21"/>
  <c r="B201" i="21" s="1"/>
  <c r="B166" i="21"/>
  <c r="B145" i="21" s="1"/>
  <c r="B165" i="21"/>
  <c r="B144" i="21" s="1"/>
  <c r="B164" i="21"/>
  <c r="B163" i="21"/>
  <c r="H156" i="21"/>
  <c r="H158" i="21" s="1"/>
  <c r="G156" i="21"/>
  <c r="G158" i="21" s="1"/>
  <c r="S156" i="21"/>
  <c r="S158" i="21" s="1"/>
  <c r="H141" i="21"/>
  <c r="G141" i="21"/>
  <c r="S141" i="21"/>
  <c r="H140" i="21"/>
  <c r="I140" i="21" s="1"/>
  <c r="J140" i="21" s="1"/>
  <c r="K140" i="21" s="1"/>
  <c r="L140" i="21" s="1"/>
  <c r="M140" i="21" s="1"/>
  <c r="N140" i="21" s="1"/>
  <c r="O140" i="21" s="1"/>
  <c r="P140" i="21" s="1"/>
  <c r="H138" i="21"/>
  <c r="G138" i="21"/>
  <c r="S138" i="21"/>
  <c r="S120" i="21"/>
  <c r="S90" i="21"/>
  <c r="H60" i="21"/>
  <c r="I60" i="21" s="1"/>
  <c r="G60" i="21"/>
  <c r="F60" i="21"/>
  <c r="H59" i="21"/>
  <c r="I59" i="21" s="1"/>
  <c r="G59" i="21"/>
  <c r="F59" i="21"/>
  <c r="F58" i="21"/>
  <c r="H57" i="21"/>
  <c r="I57" i="21" s="1"/>
  <c r="J57" i="21" s="1"/>
  <c r="K57" i="21" s="1"/>
  <c r="G57" i="21"/>
  <c r="F57" i="21"/>
  <c r="H56" i="21"/>
  <c r="I56" i="21" s="1"/>
  <c r="J56" i="21" s="1"/>
  <c r="K56" i="21" s="1"/>
  <c r="G56" i="21"/>
  <c r="F56" i="21"/>
  <c r="H55" i="21"/>
  <c r="I55" i="21" s="1"/>
  <c r="J55" i="21" s="1"/>
  <c r="K55" i="21" s="1"/>
  <c r="G55" i="21"/>
  <c r="F55" i="21"/>
  <c r="J51" i="21"/>
  <c r="K51" i="21" s="1"/>
  <c r="L51" i="21" s="1"/>
  <c r="M51" i="21" s="1"/>
  <c r="N51" i="21" s="1"/>
  <c r="O51" i="21" s="1"/>
  <c r="P51" i="21" s="1"/>
  <c r="I40" i="21"/>
  <c r="J40" i="21" s="1"/>
  <c r="K40" i="21" s="1"/>
  <c r="L40" i="21" s="1"/>
  <c r="M40" i="21" s="1"/>
  <c r="N40" i="21" s="1"/>
  <c r="O40" i="21" s="1"/>
  <c r="P40" i="21" s="1"/>
  <c r="I29" i="21"/>
  <c r="H12" i="21"/>
  <c r="H14" i="21" s="1"/>
  <c r="H578" i="21" s="1"/>
  <c r="H584" i="21" s="1"/>
  <c r="G12" i="21"/>
  <c r="S12" i="21"/>
  <c r="S62" i="21" s="1"/>
  <c r="F12" i="21"/>
  <c r="F62" i="21" s="1"/>
  <c r="I10" i="21"/>
  <c r="J724" i="9" s="1"/>
  <c r="F327" i="9"/>
  <c r="F328" i="9"/>
  <c r="F329" i="9"/>
  <c r="F330" i="9"/>
  <c r="F331" i="9"/>
  <c r="F332" i="9"/>
  <c r="F326" i="9"/>
  <c r="G269" i="22" l="1"/>
  <c r="F275" i="22"/>
  <c r="S91" i="22"/>
  <c r="E119" i="7" s="1"/>
  <c r="G91" i="22"/>
  <c r="S296" i="22"/>
  <c r="S284" i="22"/>
  <c r="S290" i="22"/>
  <c r="S269" i="22"/>
  <c r="S278" i="22"/>
  <c r="F526" i="22"/>
  <c r="F534" i="22" s="1"/>
  <c r="F525" i="22"/>
  <c r="F533" i="22" s="1"/>
  <c r="B525" i="21"/>
  <c r="B543" i="21" s="1"/>
  <c r="B310" i="21"/>
  <c r="B526" i="21"/>
  <c r="B311" i="21"/>
  <c r="I615" i="21"/>
  <c r="H63" i="22"/>
  <c r="H416" i="22"/>
  <c r="J29" i="22"/>
  <c r="I423" i="22"/>
  <c r="F202" i="22"/>
  <c r="F204" i="22"/>
  <c r="F207" i="22"/>
  <c r="F209" i="22"/>
  <c r="F211" i="22"/>
  <c r="E170" i="7"/>
  <c r="E125" i="7"/>
  <c r="E162" i="7"/>
  <c r="E163" i="7"/>
  <c r="E121" i="7"/>
  <c r="E127" i="7"/>
  <c r="E157" i="7"/>
  <c r="E164" i="7"/>
  <c r="E138" i="7"/>
  <c r="E161" i="7"/>
  <c r="F121" i="7"/>
  <c r="G637" i="21"/>
  <c r="F157" i="7"/>
  <c r="O30" i="7" s="1"/>
  <c r="F138" i="7"/>
  <c r="F118" i="7"/>
  <c r="F125" i="7"/>
  <c r="F161" i="7"/>
  <c r="F127" i="7"/>
  <c r="F163" i="7"/>
  <c r="F164" i="7"/>
  <c r="F162" i="7"/>
  <c r="H63" i="21"/>
  <c r="H416" i="21"/>
  <c r="J29" i="21"/>
  <c r="I423" i="21"/>
  <c r="G231" i="21"/>
  <c r="B30" i="9"/>
  <c r="B31" i="9"/>
  <c r="B24" i="9"/>
  <c r="B27" i="9"/>
  <c r="B25" i="9"/>
  <c r="B28" i="9"/>
  <c r="K42" i="9"/>
  <c r="K35" i="9"/>
  <c r="K625" i="9" s="1"/>
  <c r="F201" i="22"/>
  <c r="F203" i="22"/>
  <c r="F208" i="22"/>
  <c r="F210" i="22"/>
  <c r="F185" i="22"/>
  <c r="F517" i="22"/>
  <c r="K40" i="22"/>
  <c r="L40" i="22" s="1"/>
  <c r="G14" i="22"/>
  <c r="G578" i="22" s="1"/>
  <c r="G584" i="22" s="1"/>
  <c r="J59" i="22"/>
  <c r="I17" i="22"/>
  <c r="I197" i="22"/>
  <c r="J10" i="22"/>
  <c r="K723" i="9" s="1"/>
  <c r="J57" i="22"/>
  <c r="I15" i="22"/>
  <c r="H62" i="22"/>
  <c r="I11" i="22"/>
  <c r="J737" i="9" s="1"/>
  <c r="J55" i="22"/>
  <c r="J60" i="22"/>
  <c r="I46" i="22"/>
  <c r="I13" i="22"/>
  <c r="J751" i="9" s="1"/>
  <c r="J56" i="22"/>
  <c r="J33" i="22"/>
  <c r="F14" i="22"/>
  <c r="F126" i="22"/>
  <c r="F206" i="22"/>
  <c r="F192" i="22"/>
  <c r="F513" i="22"/>
  <c r="F516" i="22"/>
  <c r="F512" i="22"/>
  <c r="F519" i="22"/>
  <c r="F515" i="22"/>
  <c r="F511" i="22"/>
  <c r="F518" i="22"/>
  <c r="F514" i="22"/>
  <c r="F510" i="22"/>
  <c r="J615" i="21"/>
  <c r="G619" i="21"/>
  <c r="G621" i="21"/>
  <c r="G39" i="21"/>
  <c r="J33" i="21"/>
  <c r="K33" i="21" s="1"/>
  <c r="K611" i="21"/>
  <c r="L611" i="21" s="1"/>
  <c r="M611" i="21" s="1"/>
  <c r="N611" i="21" s="1"/>
  <c r="H39" i="21"/>
  <c r="J59" i="21"/>
  <c r="K59" i="21" s="1"/>
  <c r="I17" i="21"/>
  <c r="I420" i="21" s="1"/>
  <c r="G632" i="21"/>
  <c r="G62" i="21"/>
  <c r="G14" i="21"/>
  <c r="L55" i="21"/>
  <c r="L56" i="21"/>
  <c r="L57" i="21"/>
  <c r="J60" i="21"/>
  <c r="I46" i="21"/>
  <c r="I356" i="21" s="1"/>
  <c r="I197" i="21"/>
  <c r="I13" i="21"/>
  <c r="J752" i="9" s="1"/>
  <c r="I11" i="21"/>
  <c r="J738" i="9" s="1"/>
  <c r="J10" i="21"/>
  <c r="K724" i="9" s="1"/>
  <c r="S14" i="21"/>
  <c r="S63" i="21" s="1"/>
  <c r="I15" i="21"/>
  <c r="F14" i="21"/>
  <c r="H62" i="21"/>
  <c r="G620" i="21"/>
  <c r="G622" i="21"/>
  <c r="G623" i="21"/>
  <c r="G624" i="21"/>
  <c r="G625" i="21"/>
  <c r="G626" i="21"/>
  <c r="G627" i="21"/>
  <c r="G210" i="22" l="1"/>
  <c r="G211" i="22"/>
  <c r="G206" i="22"/>
  <c r="G208" i="22"/>
  <c r="G209" i="22"/>
  <c r="G201" i="22"/>
  <c r="G204" i="22"/>
  <c r="G202" i="22"/>
  <c r="G203" i="22"/>
  <c r="G207" i="22"/>
  <c r="I356" i="22"/>
  <c r="J53" i="9"/>
  <c r="I420" i="22"/>
  <c r="J17" i="9"/>
  <c r="J622" i="9" s="1"/>
  <c r="J629" i="21"/>
  <c r="I629" i="21"/>
  <c r="S416" i="21"/>
  <c r="S578" i="21"/>
  <c r="S584" i="21" s="1"/>
  <c r="G416" i="21"/>
  <c r="G578" i="21"/>
  <c r="G584" i="21" s="1"/>
  <c r="B537" i="21"/>
  <c r="I625" i="21"/>
  <c r="I623" i="21"/>
  <c r="I622" i="21"/>
  <c r="B533" i="21"/>
  <c r="B551" i="21"/>
  <c r="B630" i="21"/>
  <c r="B530" i="21"/>
  <c r="B544" i="21"/>
  <c r="B529" i="21"/>
  <c r="B534" i="21"/>
  <c r="B538" i="21"/>
  <c r="B550" i="21"/>
  <c r="B629" i="21"/>
  <c r="I619" i="21"/>
  <c r="I620" i="21"/>
  <c r="I626" i="21"/>
  <c r="S167" i="21"/>
  <c r="I632" i="21"/>
  <c r="I621" i="21"/>
  <c r="I627" i="21"/>
  <c r="I624" i="21"/>
  <c r="L35" i="9"/>
  <c r="L625" i="9" s="1"/>
  <c r="I375" i="22"/>
  <c r="J530" i="9" s="1"/>
  <c r="G63" i="22"/>
  <c r="G416" i="22"/>
  <c r="K29" i="22"/>
  <c r="J423" i="22"/>
  <c r="I282" i="9"/>
  <c r="I294" i="9"/>
  <c r="J282" i="9"/>
  <c r="J294" i="9"/>
  <c r="I375" i="21"/>
  <c r="J531" i="9" s="1"/>
  <c r="K29" i="21"/>
  <c r="J423" i="21"/>
  <c r="J293" i="9"/>
  <c r="I293" i="9"/>
  <c r="J281" i="9"/>
  <c r="I281" i="9"/>
  <c r="G233" i="21"/>
  <c r="G235" i="21" s="1"/>
  <c r="S231" i="22"/>
  <c r="H231" i="21"/>
  <c r="S231" i="21"/>
  <c r="I39" i="21"/>
  <c r="L42" i="9"/>
  <c r="F193" i="22"/>
  <c r="T150" i="22"/>
  <c r="S39" i="22"/>
  <c r="H39" i="22"/>
  <c r="M40" i="22"/>
  <c r="J13" i="22"/>
  <c r="K751" i="9" s="1"/>
  <c r="K56" i="22"/>
  <c r="J11" i="22"/>
  <c r="K737" i="9" s="1"/>
  <c r="K55" i="22"/>
  <c r="I141" i="22"/>
  <c r="F520" i="22"/>
  <c r="K60" i="22"/>
  <c r="J46" i="22"/>
  <c r="F63" i="22"/>
  <c r="F18" i="22"/>
  <c r="K33" i="22"/>
  <c r="M42" i="9" s="1"/>
  <c r="I198" i="22"/>
  <c r="I138" i="22"/>
  <c r="J197" i="22"/>
  <c r="K10" i="22"/>
  <c r="L723" i="9" s="1"/>
  <c r="K59" i="22"/>
  <c r="J17" i="22"/>
  <c r="I156" i="22"/>
  <c r="I158" i="22" s="1"/>
  <c r="J15" i="22"/>
  <c r="K57" i="22"/>
  <c r="I12" i="22"/>
  <c r="I12" i="21"/>
  <c r="I62" i="21" s="1"/>
  <c r="J632" i="21"/>
  <c r="J622" i="21"/>
  <c r="J625" i="21"/>
  <c r="J624" i="21"/>
  <c r="M615" i="21"/>
  <c r="J621" i="21"/>
  <c r="J623" i="21"/>
  <c r="J619" i="21"/>
  <c r="J627" i="21"/>
  <c r="J620" i="21"/>
  <c r="J626" i="21"/>
  <c r="J17" i="21"/>
  <c r="I141" i="21"/>
  <c r="K615" i="21"/>
  <c r="L615" i="21"/>
  <c r="S39" i="21"/>
  <c r="L33" i="21"/>
  <c r="G63" i="21"/>
  <c r="O611" i="21"/>
  <c r="O615" i="21" s="1"/>
  <c r="N615" i="21"/>
  <c r="F63" i="21"/>
  <c r="F18" i="21"/>
  <c r="F69" i="21" s="1"/>
  <c r="J197" i="21"/>
  <c r="J11" i="21"/>
  <c r="K738" i="9" s="1"/>
  <c r="K10" i="21"/>
  <c r="L724" i="9" s="1"/>
  <c r="J15" i="21"/>
  <c r="K60" i="21"/>
  <c r="J46" i="21"/>
  <c r="M57" i="21"/>
  <c r="J13" i="21"/>
  <c r="K752" i="9" s="1"/>
  <c r="M56" i="21"/>
  <c r="S91" i="21"/>
  <c r="L59" i="21"/>
  <c r="M55" i="21"/>
  <c r="I156" i="21"/>
  <c r="I158" i="21" s="1"/>
  <c r="I138" i="21"/>
  <c r="I198" i="21"/>
  <c r="F30" i="22" l="1"/>
  <c r="F73" i="22" s="1"/>
  <c r="F412" i="22" s="1"/>
  <c r="F69" i="22"/>
  <c r="S208" i="22"/>
  <c r="T208" i="22"/>
  <c r="T204" i="22"/>
  <c r="S204" i="22"/>
  <c r="S206" i="22"/>
  <c r="T206" i="22"/>
  <c r="T207" i="22"/>
  <c r="S207" i="22"/>
  <c r="S201" i="22"/>
  <c r="T201" i="22"/>
  <c r="T211" i="22"/>
  <c r="S211" i="22"/>
  <c r="S202" i="22"/>
  <c r="T202" i="22"/>
  <c r="S203" i="22"/>
  <c r="T203" i="22"/>
  <c r="T209" i="22"/>
  <c r="S209" i="22"/>
  <c r="T210" i="22"/>
  <c r="S210" i="22"/>
  <c r="J420" i="22"/>
  <c r="K17" i="9"/>
  <c r="K622" i="9" s="1"/>
  <c r="J356" i="22"/>
  <c r="K53" i="9"/>
  <c r="K629" i="21"/>
  <c r="N629" i="21"/>
  <c r="O629" i="21"/>
  <c r="M629" i="21"/>
  <c r="L629" i="21"/>
  <c r="K627" i="21"/>
  <c r="L625" i="21"/>
  <c r="J375" i="22"/>
  <c r="K530" i="9" s="1"/>
  <c r="K423" i="22"/>
  <c r="L29" i="22"/>
  <c r="K294" i="9"/>
  <c r="K282" i="9"/>
  <c r="J141" i="21"/>
  <c r="J420" i="21"/>
  <c r="J375" i="21"/>
  <c r="K531" i="9" s="1"/>
  <c r="E118" i="7"/>
  <c r="E155" i="7"/>
  <c r="F119" i="7"/>
  <c r="F155" i="7"/>
  <c r="T150" i="21"/>
  <c r="L29" i="21"/>
  <c r="K423" i="21"/>
  <c r="M35" i="9"/>
  <c r="M625" i="9" s="1"/>
  <c r="J156" i="21"/>
  <c r="J158" i="21" s="1"/>
  <c r="J356" i="21"/>
  <c r="H233" i="21"/>
  <c r="H235" i="21" s="1"/>
  <c r="S233" i="22"/>
  <c r="S235" i="22" s="1"/>
  <c r="F39" i="22"/>
  <c r="K293" i="9"/>
  <c r="K281" i="9"/>
  <c r="S233" i="21"/>
  <c r="S235" i="21" s="1"/>
  <c r="I231" i="21"/>
  <c r="I14" i="21"/>
  <c r="I578" i="21" s="1"/>
  <c r="I584" i="21" s="1"/>
  <c r="J12" i="22"/>
  <c r="J62" i="22" s="1"/>
  <c r="N40" i="22"/>
  <c r="I39" i="22"/>
  <c r="L60" i="22"/>
  <c r="K46" i="22"/>
  <c r="N549" i="22"/>
  <c r="J549" i="22"/>
  <c r="T549" i="22"/>
  <c r="M549" i="22"/>
  <c r="I549" i="22"/>
  <c r="P549" i="22"/>
  <c r="L549" i="22"/>
  <c r="H549" i="22"/>
  <c r="F549" i="22"/>
  <c r="O549" i="22"/>
  <c r="K549" i="22"/>
  <c r="S549" i="22"/>
  <c r="G549" i="22"/>
  <c r="L55" i="22"/>
  <c r="K11" i="22"/>
  <c r="L737" i="9" s="1"/>
  <c r="S92" i="22"/>
  <c r="I62" i="22"/>
  <c r="I14" i="22"/>
  <c r="K197" i="22"/>
  <c r="L10" i="22"/>
  <c r="M723" i="9" s="1"/>
  <c r="J198" i="22"/>
  <c r="L57" i="22"/>
  <c r="K15" i="22"/>
  <c r="J141" i="22"/>
  <c r="L33" i="22"/>
  <c r="N42" i="9" s="1"/>
  <c r="F64" i="22"/>
  <c r="F19" i="22"/>
  <c r="F65" i="22" s="1"/>
  <c r="L56" i="22"/>
  <c r="K13" i="22"/>
  <c r="L751" i="9" s="1"/>
  <c r="J138" i="22"/>
  <c r="L59" i="22"/>
  <c r="K17" i="22"/>
  <c r="J156" i="22"/>
  <c r="J158" i="22" s="1"/>
  <c r="J12" i="21"/>
  <c r="J62" i="21" s="1"/>
  <c r="K17" i="21"/>
  <c r="M621" i="21"/>
  <c r="L627" i="21"/>
  <c r="K619" i="21"/>
  <c r="M619" i="21"/>
  <c r="M626" i="21"/>
  <c r="S150" i="21"/>
  <c r="M622" i="21"/>
  <c r="M627" i="21"/>
  <c r="J39" i="21"/>
  <c r="M632" i="21"/>
  <c r="M624" i="21"/>
  <c r="M625" i="21"/>
  <c r="M620" i="21"/>
  <c r="M623" i="21"/>
  <c r="L624" i="21"/>
  <c r="K625" i="21"/>
  <c r="K620" i="21"/>
  <c r="K632" i="21"/>
  <c r="K624" i="21"/>
  <c r="L626" i="21"/>
  <c r="L620" i="21"/>
  <c r="L619" i="21"/>
  <c r="L623" i="21"/>
  <c r="L632" i="21"/>
  <c r="K622" i="21"/>
  <c r="K626" i="21"/>
  <c r="L622" i="21"/>
  <c r="L621" i="21"/>
  <c r="K621" i="21"/>
  <c r="K623" i="21"/>
  <c r="M59" i="21"/>
  <c r="N57" i="21"/>
  <c r="K197" i="21"/>
  <c r="L10" i="21"/>
  <c r="M724" i="9" s="1"/>
  <c r="K11" i="21"/>
  <c r="L738" i="9" s="1"/>
  <c r="K15" i="21"/>
  <c r="K13" i="21"/>
  <c r="L752" i="9" s="1"/>
  <c r="N626" i="21"/>
  <c r="N624" i="21"/>
  <c r="N622" i="21"/>
  <c r="N620" i="21"/>
  <c r="N627" i="21"/>
  <c r="N623" i="21"/>
  <c r="N632" i="21"/>
  <c r="N625" i="21"/>
  <c r="N621" i="21"/>
  <c r="N619" i="21"/>
  <c r="N56" i="21"/>
  <c r="J138" i="21"/>
  <c r="F64" i="21"/>
  <c r="F19" i="21"/>
  <c r="F65" i="21" s="1"/>
  <c r="N55" i="21"/>
  <c r="S92" i="21"/>
  <c r="K46" i="21"/>
  <c r="L60" i="21"/>
  <c r="J198" i="21"/>
  <c r="O632" i="21"/>
  <c r="O620" i="21"/>
  <c r="O626" i="21"/>
  <c r="O622" i="21"/>
  <c r="O619" i="21"/>
  <c r="O627" i="21"/>
  <c r="O623" i="21"/>
  <c r="O625" i="21"/>
  <c r="O621" i="21"/>
  <c r="O624" i="21"/>
  <c r="M33" i="21"/>
  <c r="F38" i="22" l="1"/>
  <c r="K420" i="22"/>
  <c r="L17" i="9"/>
  <c r="L622" i="9" s="1"/>
  <c r="K356" i="22"/>
  <c r="L53" i="9"/>
  <c r="I416" i="22"/>
  <c r="I578" i="22"/>
  <c r="I584" i="22" s="1"/>
  <c r="L423" i="22"/>
  <c r="M29" i="22"/>
  <c r="K375" i="22"/>
  <c r="L530" i="9" s="1"/>
  <c r="L294" i="9"/>
  <c r="L282" i="9"/>
  <c r="K141" i="21"/>
  <c r="K420" i="21"/>
  <c r="K375" i="21"/>
  <c r="L531" i="9" s="1"/>
  <c r="M29" i="21"/>
  <c r="L423" i="21"/>
  <c r="N35" i="9"/>
  <c r="N625" i="9" s="1"/>
  <c r="I63" i="21"/>
  <c r="I416" i="21"/>
  <c r="K156" i="21"/>
  <c r="K158" i="21" s="1"/>
  <c r="K356" i="21"/>
  <c r="L293" i="9"/>
  <c r="L281" i="9"/>
  <c r="I233" i="21"/>
  <c r="I235" i="21" s="1"/>
  <c r="J231" i="21"/>
  <c r="J14" i="21"/>
  <c r="J578" i="21" s="1"/>
  <c r="J39" i="22"/>
  <c r="K39" i="21"/>
  <c r="J14" i="22"/>
  <c r="J578" i="22" s="1"/>
  <c r="J584" i="22" s="1"/>
  <c r="K12" i="22"/>
  <c r="K14" i="22" s="1"/>
  <c r="H251" i="9"/>
  <c r="O40" i="22"/>
  <c r="H250" i="9"/>
  <c r="M59" i="22"/>
  <c r="L17" i="22"/>
  <c r="M60" i="22"/>
  <c r="L46" i="22"/>
  <c r="H257" i="9"/>
  <c r="L197" i="22"/>
  <c r="M10" i="22"/>
  <c r="N723" i="9" s="1"/>
  <c r="K141" i="22"/>
  <c r="M57" i="22"/>
  <c r="L15" i="22"/>
  <c r="K198" i="22"/>
  <c r="K156" i="22"/>
  <c r="K158" i="22" s="1"/>
  <c r="H252" i="9"/>
  <c r="M55" i="22"/>
  <c r="L11" i="22"/>
  <c r="M737" i="9" s="1"/>
  <c r="M56" i="22"/>
  <c r="L13" i="22"/>
  <c r="M751" i="9" s="1"/>
  <c r="M33" i="22"/>
  <c r="O42" i="9" s="1"/>
  <c r="H255" i="9"/>
  <c r="H259" i="9"/>
  <c r="F32" i="22"/>
  <c r="K138" i="22"/>
  <c r="H256" i="9"/>
  <c r="I63" i="22"/>
  <c r="L17" i="21"/>
  <c r="O55" i="21"/>
  <c r="O56" i="21"/>
  <c r="K198" i="21"/>
  <c r="N59" i="21"/>
  <c r="L46" i="21"/>
  <c r="M60" i="21"/>
  <c r="L197" i="21"/>
  <c r="M10" i="21"/>
  <c r="N724" i="9" s="1"/>
  <c r="L15" i="21"/>
  <c r="L11" i="21"/>
  <c r="M738" i="9" s="1"/>
  <c r="L13" i="21"/>
  <c r="M752" i="9" s="1"/>
  <c r="O57" i="21"/>
  <c r="N33" i="21"/>
  <c r="F58" i="7"/>
  <c r="K138" i="21"/>
  <c r="K12" i="21"/>
  <c r="L420" i="22" l="1"/>
  <c r="M17" i="9"/>
  <c r="M622" i="9" s="1"/>
  <c r="L356" i="22"/>
  <c r="M53" i="9"/>
  <c r="J584" i="21"/>
  <c r="G58" i="7"/>
  <c r="H58" i="7" s="1"/>
  <c r="K416" i="22"/>
  <c r="K578" i="22"/>
  <c r="K584" i="22" s="1"/>
  <c r="L375" i="22"/>
  <c r="M530" i="9" s="1"/>
  <c r="M423" i="22"/>
  <c r="N29" i="22"/>
  <c r="J63" i="22"/>
  <c r="J416" i="22"/>
  <c r="M294" i="9"/>
  <c r="M282" i="9"/>
  <c r="L141" i="21"/>
  <c r="L420" i="21"/>
  <c r="H258" i="9"/>
  <c r="H249" i="9"/>
  <c r="L375" i="21"/>
  <c r="M531" i="9" s="1"/>
  <c r="N29" i="21"/>
  <c r="M423" i="21"/>
  <c r="O35" i="9"/>
  <c r="O625" i="9" s="1"/>
  <c r="J63" i="21"/>
  <c r="J416" i="21"/>
  <c r="L156" i="21"/>
  <c r="L158" i="21" s="1"/>
  <c r="L356" i="21"/>
  <c r="M293" i="9"/>
  <c r="M281" i="9"/>
  <c r="J233" i="21"/>
  <c r="J235" i="21" s="1"/>
  <c r="K231" i="21"/>
  <c r="L39" i="21"/>
  <c r="H120" i="22"/>
  <c r="I120" i="22" s="1"/>
  <c r="J120" i="22" s="1"/>
  <c r="K120" i="22" s="1"/>
  <c r="L120" i="22" s="1"/>
  <c r="H91" i="22"/>
  <c r="I91" i="22" s="1"/>
  <c r="J91" i="22" s="1"/>
  <c r="K91" i="22" s="1"/>
  <c r="L91" i="22" s="1"/>
  <c r="H548" i="22"/>
  <c r="K62" i="22"/>
  <c r="L12" i="22"/>
  <c r="L62" i="22" s="1"/>
  <c r="H203" i="22"/>
  <c r="I251" i="9" s="1"/>
  <c r="P40" i="22"/>
  <c r="K39" i="22"/>
  <c r="H208" i="22"/>
  <c r="I256" i="9" s="1"/>
  <c r="F66" i="22"/>
  <c r="F35" i="22"/>
  <c r="H204" i="22"/>
  <c r="I252" i="9" s="1"/>
  <c r="H211" i="22"/>
  <c r="I259" i="9" s="1"/>
  <c r="H207" i="22"/>
  <c r="I255" i="9" s="1"/>
  <c r="N33" i="22"/>
  <c r="P42" i="9" s="1"/>
  <c r="M11" i="22"/>
  <c r="N737" i="9" s="1"/>
  <c r="N55" i="22"/>
  <c r="L156" i="22"/>
  <c r="L158" i="22" s="1"/>
  <c r="L141" i="22"/>
  <c r="M13" i="22"/>
  <c r="N751" i="9" s="1"/>
  <c r="N56" i="22"/>
  <c r="L138" i="22"/>
  <c r="N60" i="22"/>
  <c r="M46" i="22"/>
  <c r="N59" i="22"/>
  <c r="M17" i="22"/>
  <c r="L198" i="22"/>
  <c r="H254" i="9"/>
  <c r="H202" i="22"/>
  <c r="I250" i="9" s="1"/>
  <c r="K63" i="22"/>
  <c r="N57" i="22"/>
  <c r="M15" i="22"/>
  <c r="M197" i="22"/>
  <c r="N10" i="22"/>
  <c r="O723" i="9" s="1"/>
  <c r="H209" i="22"/>
  <c r="I257" i="9" s="1"/>
  <c r="L12" i="21"/>
  <c r="L62" i="21" s="1"/>
  <c r="H93" i="21"/>
  <c r="I93" i="21" s="1"/>
  <c r="J93" i="21" s="1"/>
  <c r="K93" i="21" s="1"/>
  <c r="L93" i="21" s="1"/>
  <c r="M93" i="21" s="1"/>
  <c r="N93" i="21" s="1"/>
  <c r="O93" i="21" s="1"/>
  <c r="P93" i="21" s="1"/>
  <c r="K62" i="21"/>
  <c r="K14" i="21"/>
  <c r="O33" i="21"/>
  <c r="P57" i="21"/>
  <c r="O59" i="21"/>
  <c r="P55" i="21"/>
  <c r="L138" i="21"/>
  <c r="M46" i="21"/>
  <c r="N60" i="21"/>
  <c r="L198" i="21"/>
  <c r="M197" i="21"/>
  <c r="N10" i="21"/>
  <c r="O724" i="9" s="1"/>
  <c r="M11" i="21"/>
  <c r="N738" i="9" s="1"/>
  <c r="M15" i="21"/>
  <c r="M13" i="21"/>
  <c r="N752" i="9" s="1"/>
  <c r="M17" i="21"/>
  <c r="M420" i="21" s="1"/>
  <c r="P56" i="21"/>
  <c r="F540" i="22" l="1"/>
  <c r="F71" i="22"/>
  <c r="F70" i="22"/>
  <c r="M356" i="22"/>
  <c r="N53" i="9"/>
  <c r="M420" i="22"/>
  <c r="N17" i="9"/>
  <c r="N622" i="9" s="1"/>
  <c r="K416" i="21"/>
  <c r="K578" i="21"/>
  <c r="G528" i="9"/>
  <c r="H118" i="7"/>
  <c r="I58" i="7"/>
  <c r="J58" i="7"/>
  <c r="G696" i="9" s="1"/>
  <c r="H694" i="9" s="1"/>
  <c r="N423" i="22"/>
  <c r="O29" i="22"/>
  <c r="M375" i="22"/>
  <c r="N530" i="9" s="1"/>
  <c r="H210" i="22"/>
  <c r="I258" i="9" s="1"/>
  <c r="H201" i="22"/>
  <c r="I249" i="9" s="1"/>
  <c r="M375" i="21"/>
  <c r="N531" i="9" s="1"/>
  <c r="O29" i="21"/>
  <c r="N423" i="21"/>
  <c r="P35" i="9"/>
  <c r="P625" i="9" s="1"/>
  <c r="H95" i="22"/>
  <c r="I95" i="22" s="1"/>
  <c r="J95" i="22" s="1"/>
  <c r="K95" i="22" s="1"/>
  <c r="L95" i="22" s="1"/>
  <c r="M95" i="22" s="1"/>
  <c r="N95" i="22" s="1"/>
  <c r="O95" i="22" s="1"/>
  <c r="P95" i="22" s="1"/>
  <c r="H63" i="7"/>
  <c r="H637" i="21"/>
  <c r="I637" i="21" s="1"/>
  <c r="J637" i="21" s="1"/>
  <c r="K637" i="21" s="1"/>
  <c r="L637" i="21" s="1"/>
  <c r="M637" i="21" s="1"/>
  <c r="N637" i="21" s="1"/>
  <c r="O637" i="21" s="1"/>
  <c r="E28" i="7"/>
  <c r="M156" i="21"/>
  <c r="M158" i="21" s="1"/>
  <c r="M356" i="21"/>
  <c r="K233" i="21"/>
  <c r="K235" i="21" s="1"/>
  <c r="L231" i="21"/>
  <c r="L14" i="21"/>
  <c r="L578" i="21" s="1"/>
  <c r="H93" i="22"/>
  <c r="I93" i="22" s="1"/>
  <c r="J93" i="22" s="1"/>
  <c r="K93" i="22" s="1"/>
  <c r="L93" i="22" s="1"/>
  <c r="M93" i="22" s="1"/>
  <c r="N93" i="22" s="1"/>
  <c r="O93" i="22" s="1"/>
  <c r="P93" i="22" s="1"/>
  <c r="H96" i="22"/>
  <c r="I96" i="22" s="1"/>
  <c r="J96" i="22" s="1"/>
  <c r="K96" i="22" s="1"/>
  <c r="G92" i="22"/>
  <c r="I203" i="22"/>
  <c r="J251" i="9" s="1"/>
  <c r="L14" i="22"/>
  <c r="L578" i="22" s="1"/>
  <c r="L584" i="22" s="1"/>
  <c r="M12" i="22"/>
  <c r="M14" i="22" s="1"/>
  <c r="L39" i="22"/>
  <c r="H117" i="22"/>
  <c r="M120" i="22"/>
  <c r="M138" i="22"/>
  <c r="M156" i="22"/>
  <c r="M158" i="22" s="1"/>
  <c r="I211" i="22"/>
  <c r="J259" i="9" s="1"/>
  <c r="O57" i="22"/>
  <c r="N15" i="22"/>
  <c r="H108" i="21"/>
  <c r="O60" i="22"/>
  <c r="N46" i="22"/>
  <c r="I209" i="22"/>
  <c r="J257" i="9" s="1"/>
  <c r="M91" i="22"/>
  <c r="H206" i="22"/>
  <c r="I254" i="9" s="1"/>
  <c r="O59" i="22"/>
  <c r="N17" i="22"/>
  <c r="N13" i="22"/>
  <c r="O751" i="9" s="1"/>
  <c r="O56" i="22"/>
  <c r="M198" i="22"/>
  <c r="I204" i="22"/>
  <c r="J252" i="9" s="1"/>
  <c r="I202" i="22"/>
  <c r="J250" i="9" s="1"/>
  <c r="N197" i="22"/>
  <c r="O10" i="22"/>
  <c r="P723" i="9" s="1"/>
  <c r="I548" i="22"/>
  <c r="M141" i="22"/>
  <c r="N11" i="22"/>
  <c r="O737" i="9" s="1"/>
  <c r="O55" i="22"/>
  <c r="O33" i="22"/>
  <c r="Q42" i="9" s="1"/>
  <c r="I207" i="22"/>
  <c r="J255" i="9" s="1"/>
  <c r="F41" i="22"/>
  <c r="I208" i="22"/>
  <c r="J256" i="9" s="1"/>
  <c r="M12" i="21"/>
  <c r="M14" i="21" s="1"/>
  <c r="O10" i="21"/>
  <c r="P724" i="9" s="1"/>
  <c r="N197" i="21"/>
  <c r="N11" i="21"/>
  <c r="O738" i="9" s="1"/>
  <c r="N13" i="21"/>
  <c r="O752" i="9" s="1"/>
  <c r="N15" i="21"/>
  <c r="M138" i="21"/>
  <c r="K63" i="21"/>
  <c r="M198" i="21"/>
  <c r="O60" i="21"/>
  <c r="N46" i="21"/>
  <c r="N17" i="21"/>
  <c r="N420" i="21" s="1"/>
  <c r="P33" i="21"/>
  <c r="M141" i="21"/>
  <c r="M39" i="21"/>
  <c r="P59" i="21"/>
  <c r="N356" i="22" l="1"/>
  <c r="O53" i="9"/>
  <c r="N420" i="22"/>
  <c r="O17" i="9"/>
  <c r="O622" i="9" s="1"/>
  <c r="M416" i="21"/>
  <c r="M578" i="21"/>
  <c r="L584" i="21"/>
  <c r="K584" i="21"/>
  <c r="M416" i="22"/>
  <c r="M578" i="22"/>
  <c r="M584" i="22" s="1"/>
  <c r="L63" i="22"/>
  <c r="L416" i="22"/>
  <c r="O423" i="22"/>
  <c r="P29" i="22"/>
  <c r="P423" i="22" s="1"/>
  <c r="N375" i="22"/>
  <c r="O530" i="9" s="1"/>
  <c r="N282" i="9"/>
  <c r="N294" i="9"/>
  <c r="I201" i="22"/>
  <c r="J249" i="9" s="1"/>
  <c r="I210" i="22"/>
  <c r="J258" i="9" s="1"/>
  <c r="N375" i="21"/>
  <c r="O531" i="9" s="1"/>
  <c r="P29" i="21"/>
  <c r="O423" i="21"/>
  <c r="Q35" i="9"/>
  <c r="Q625" i="9" s="1"/>
  <c r="I63" i="7"/>
  <c r="J63" i="7"/>
  <c r="L63" i="21"/>
  <c r="L416" i="21"/>
  <c r="N156" i="21"/>
  <c r="N158" i="21" s="1"/>
  <c r="N356" i="21"/>
  <c r="N293" i="9"/>
  <c r="N281" i="9"/>
  <c r="L233" i="21"/>
  <c r="L235" i="21" s="1"/>
  <c r="M231" i="21"/>
  <c r="H90" i="22"/>
  <c r="H92" i="22" s="1"/>
  <c r="J203" i="22"/>
  <c r="K251" i="9" s="1"/>
  <c r="N12" i="22"/>
  <c r="N14" i="22" s="1"/>
  <c r="M62" i="22"/>
  <c r="M39" i="22"/>
  <c r="I117" i="22"/>
  <c r="H97" i="22"/>
  <c r="H108" i="22"/>
  <c r="H122" i="22"/>
  <c r="H121" i="22"/>
  <c r="N91" i="22"/>
  <c r="H119" i="21"/>
  <c r="J202" i="22"/>
  <c r="K250" i="9" s="1"/>
  <c r="P55" i="22"/>
  <c r="O11" i="22"/>
  <c r="P737" i="9" s="1"/>
  <c r="P59" i="22"/>
  <c r="O17" i="22"/>
  <c r="I108" i="21"/>
  <c r="H122" i="21"/>
  <c r="J208" i="22"/>
  <c r="K256" i="9" s="1"/>
  <c r="N198" i="22"/>
  <c r="I206" i="22"/>
  <c r="J254" i="9" s="1"/>
  <c r="N156" i="22"/>
  <c r="N158" i="22" s="1"/>
  <c r="H97" i="21"/>
  <c r="P56" i="22"/>
  <c r="O13" i="22"/>
  <c r="P751" i="9" s="1"/>
  <c r="N141" i="22"/>
  <c r="P57" i="22"/>
  <c r="O15" i="22"/>
  <c r="J211" i="22"/>
  <c r="K259" i="9" s="1"/>
  <c r="L96" i="22"/>
  <c r="J207" i="22"/>
  <c r="K255" i="9" s="1"/>
  <c r="J548" i="22"/>
  <c r="F67" i="22"/>
  <c r="P33" i="22"/>
  <c r="O197" i="22"/>
  <c r="P10" i="22"/>
  <c r="Q723" i="9" s="1"/>
  <c r="N120" i="22"/>
  <c r="J204" i="22"/>
  <c r="K252" i="9" s="1"/>
  <c r="M63" i="22"/>
  <c r="J209" i="22"/>
  <c r="K257" i="9" s="1"/>
  <c r="H121" i="21"/>
  <c r="P60" i="22"/>
  <c r="O46" i="22"/>
  <c r="N138" i="22"/>
  <c r="H96" i="21"/>
  <c r="N12" i="21"/>
  <c r="N62" i="21" s="1"/>
  <c r="M62" i="21"/>
  <c r="O17" i="21"/>
  <c r="O420" i="21" s="1"/>
  <c r="H115" i="21"/>
  <c r="H150" i="21" s="1"/>
  <c r="N198" i="21"/>
  <c r="N141" i="21"/>
  <c r="N39" i="21"/>
  <c r="H117" i="21"/>
  <c r="P60" i="21"/>
  <c r="O46" i="21"/>
  <c r="M63" i="21"/>
  <c r="N138" i="21"/>
  <c r="O197" i="21"/>
  <c r="P10" i="21"/>
  <c r="Q724" i="9" s="1"/>
  <c r="O13" i="21"/>
  <c r="P752" i="9" s="1"/>
  <c r="O15" i="21"/>
  <c r="O11" i="21"/>
  <c r="P738" i="9" s="1"/>
  <c r="H149" i="22" l="1"/>
  <c r="H149" i="21"/>
  <c r="O356" i="22"/>
  <c r="P53" i="9"/>
  <c r="O420" i="22"/>
  <c r="P17" i="9"/>
  <c r="P622" i="9" s="1"/>
  <c r="M584" i="21"/>
  <c r="N416" i="22"/>
  <c r="N578" i="22"/>
  <c r="N584" i="22" s="1"/>
  <c r="O375" i="22"/>
  <c r="P530" i="9" s="1"/>
  <c r="O282" i="9"/>
  <c r="O294" i="9"/>
  <c r="J201" i="22"/>
  <c r="K249" i="9" s="1"/>
  <c r="J210" i="22"/>
  <c r="K258" i="9" s="1"/>
  <c r="O375" i="21"/>
  <c r="P531" i="9" s="1"/>
  <c r="P423" i="21"/>
  <c r="O156" i="21"/>
  <c r="O158" i="21" s="1"/>
  <c r="O356" i="21"/>
  <c r="O293" i="9"/>
  <c r="O281" i="9"/>
  <c r="M233" i="21"/>
  <c r="M235" i="21" s="1"/>
  <c r="N231" i="21"/>
  <c r="N14" i="21"/>
  <c r="N578" i="21" s="1"/>
  <c r="H115" i="22"/>
  <c r="K203" i="22"/>
  <c r="L251" i="9" s="1"/>
  <c r="I90" i="22"/>
  <c r="I92" i="22" s="1"/>
  <c r="N62" i="22"/>
  <c r="N39" i="22"/>
  <c r="O12" i="22"/>
  <c r="O14" i="22" s="1"/>
  <c r="J117" i="22"/>
  <c r="I97" i="22"/>
  <c r="I108" i="22"/>
  <c r="I122" i="22"/>
  <c r="I121" i="22"/>
  <c r="O91" i="22"/>
  <c r="O120" i="22"/>
  <c r="P46" i="22"/>
  <c r="P13" i="22"/>
  <c r="Q751" i="9" s="1"/>
  <c r="P17" i="22"/>
  <c r="I96" i="21"/>
  <c r="I122" i="21"/>
  <c r="K209" i="22"/>
  <c r="L257" i="9" s="1"/>
  <c r="P197" i="22"/>
  <c r="P15" i="22"/>
  <c r="I97" i="21"/>
  <c r="I149" i="21" s="1"/>
  <c r="O141" i="22"/>
  <c r="P11" i="22"/>
  <c r="Q737" i="9" s="1"/>
  <c r="I121" i="21"/>
  <c r="M96" i="22"/>
  <c r="I119" i="21"/>
  <c r="O156" i="22"/>
  <c r="O158" i="22" s="1"/>
  <c r="K548" i="22"/>
  <c r="K211" i="22"/>
  <c r="L259" i="9" s="1"/>
  <c r="J206" i="22"/>
  <c r="K254" i="9" s="1"/>
  <c r="K208" i="22"/>
  <c r="L256" i="9" s="1"/>
  <c r="J108" i="21"/>
  <c r="N63" i="22"/>
  <c r="K204" i="22"/>
  <c r="L252" i="9" s="1"/>
  <c r="K207" i="22"/>
  <c r="L255" i="9" s="1"/>
  <c r="O138" i="22"/>
  <c r="O198" i="22"/>
  <c r="K202" i="22"/>
  <c r="L250" i="9" s="1"/>
  <c r="O141" i="21"/>
  <c r="I115" i="21"/>
  <c r="I150" i="21" s="1"/>
  <c r="P46" i="21"/>
  <c r="O198" i="21"/>
  <c r="P197" i="21"/>
  <c r="P11" i="21"/>
  <c r="Q738" i="9" s="1"/>
  <c r="P13" i="21"/>
  <c r="Q752" i="9" s="1"/>
  <c r="P15" i="21"/>
  <c r="I117" i="21"/>
  <c r="O12" i="21"/>
  <c r="O138" i="21"/>
  <c r="P17" i="21"/>
  <c r="P420" i="21" s="1"/>
  <c r="I149" i="22" l="1"/>
  <c r="I115" i="22"/>
  <c r="P356" i="22"/>
  <c r="C363" i="22" s="1" a="1"/>
  <c r="C368" i="22" s="1"/>
  <c r="Q53" i="9"/>
  <c r="P420" i="22"/>
  <c r="Q17" i="9"/>
  <c r="Q622" i="9" s="1"/>
  <c r="N584" i="21"/>
  <c r="O416" i="22"/>
  <c r="O578" i="22"/>
  <c r="O584" i="22" s="1"/>
  <c r="S166" i="21"/>
  <c r="P375" i="22"/>
  <c r="Q530" i="9" s="1"/>
  <c r="K201" i="22"/>
  <c r="L249" i="9" s="1"/>
  <c r="Q294" i="9"/>
  <c r="Q282" i="9"/>
  <c r="P282" i="9"/>
  <c r="P294" i="9"/>
  <c r="K210" i="22"/>
  <c r="L258" i="9" s="1"/>
  <c r="P375" i="21"/>
  <c r="Q531" i="9" s="1"/>
  <c r="N63" i="21"/>
  <c r="N416" i="21"/>
  <c r="P156" i="21"/>
  <c r="P158" i="21" s="1"/>
  <c r="P356" i="21"/>
  <c r="C363" i="21" s="1" a="1"/>
  <c r="P293" i="9"/>
  <c r="Q293" i="9"/>
  <c r="P281" i="9"/>
  <c r="Q281" i="9"/>
  <c r="I283" i="9"/>
  <c r="N233" i="21"/>
  <c r="N235" i="21" s="1"/>
  <c r="P39" i="21"/>
  <c r="O231" i="21"/>
  <c r="O39" i="21"/>
  <c r="L203" i="22"/>
  <c r="M251" i="9" s="1"/>
  <c r="H150" i="22"/>
  <c r="J90" i="22"/>
  <c r="J92" i="22" s="1"/>
  <c r="O62" i="22"/>
  <c r="P156" i="22"/>
  <c r="P158" i="22" s="1"/>
  <c r="K117" i="22"/>
  <c r="J97" i="22"/>
  <c r="J108" i="22"/>
  <c r="J122" i="22"/>
  <c r="P91" i="22"/>
  <c r="J121" i="22"/>
  <c r="P120" i="22"/>
  <c r="P141" i="22"/>
  <c r="O39" i="22"/>
  <c r="L207" i="22"/>
  <c r="M255" i="9" s="1"/>
  <c r="K206" i="22"/>
  <c r="L254" i="9" s="1"/>
  <c r="P198" i="22"/>
  <c r="J97" i="21"/>
  <c r="L202" i="22"/>
  <c r="M250" i="9" s="1"/>
  <c r="L208" i="22"/>
  <c r="M256" i="9" s="1"/>
  <c r="L211" i="22"/>
  <c r="M259" i="9" s="1"/>
  <c r="J119" i="21"/>
  <c r="N96" i="22"/>
  <c r="J121" i="21"/>
  <c r="P138" i="22"/>
  <c r="L209" i="22"/>
  <c r="M257" i="9" s="1"/>
  <c r="O63" i="22"/>
  <c r="L204" i="22"/>
  <c r="M252" i="9" s="1"/>
  <c r="K108" i="21"/>
  <c r="P12" i="22"/>
  <c r="J122" i="21"/>
  <c r="J96" i="21"/>
  <c r="J115" i="21"/>
  <c r="J150" i="21" s="1"/>
  <c r="L548" i="22"/>
  <c r="P12" i="21"/>
  <c r="P62" i="21" s="1"/>
  <c r="P138" i="21"/>
  <c r="P141" i="21"/>
  <c r="O62" i="21"/>
  <c r="O14" i="21"/>
  <c r="J117" i="21"/>
  <c r="P198" i="21"/>
  <c r="C386" i="22" l="1"/>
  <c r="L368" i="22"/>
  <c r="J149" i="22"/>
  <c r="J149" i="21"/>
  <c r="L386" i="22"/>
  <c r="M386" i="22" s="1"/>
  <c r="C363" i="22"/>
  <c r="C370" i="22"/>
  <c r="C372" i="22"/>
  <c r="C364" i="22"/>
  <c r="C371" i="22"/>
  <c r="C366" i="22"/>
  <c r="C369" i="22"/>
  <c r="J115" i="22"/>
  <c r="I150" i="22"/>
  <c r="C367" i="22"/>
  <c r="C365" i="22"/>
  <c r="C366" i="21"/>
  <c r="C368" i="21"/>
  <c r="C363" i="21"/>
  <c r="C369" i="21"/>
  <c r="C364" i="21"/>
  <c r="C370" i="21"/>
  <c r="C365" i="21"/>
  <c r="C371" i="21"/>
  <c r="C389" i="21" s="1"/>
  <c r="O389" i="21" s="1"/>
  <c r="P389" i="21" s="1"/>
  <c r="C372" i="21"/>
  <c r="C367" i="21"/>
  <c r="O416" i="21"/>
  <c r="O578" i="21"/>
  <c r="L210" i="22"/>
  <c r="M258" i="9" s="1"/>
  <c r="L201" i="22"/>
  <c r="M249" i="9" s="1"/>
  <c r="J283" i="9"/>
  <c r="O233" i="21"/>
  <c r="O235" i="21" s="1"/>
  <c r="P231" i="21"/>
  <c r="M203" i="22"/>
  <c r="N251" i="9" s="1"/>
  <c r="K90" i="22"/>
  <c r="K92" i="22" s="1"/>
  <c r="L117" i="22"/>
  <c r="K97" i="22"/>
  <c r="K108" i="22"/>
  <c r="K122" i="22"/>
  <c r="K121" i="22"/>
  <c r="K115" i="21"/>
  <c r="P39" i="22"/>
  <c r="P14" i="22"/>
  <c r="P62" i="22"/>
  <c r="L206" i="22"/>
  <c r="M254" i="9" s="1"/>
  <c r="M548" i="22"/>
  <c r="K122" i="21"/>
  <c r="K121" i="21"/>
  <c r="K119" i="21"/>
  <c r="M211" i="22"/>
  <c r="N259" i="9" s="1"/>
  <c r="K97" i="21"/>
  <c r="K149" i="21" s="1"/>
  <c r="L108" i="21"/>
  <c r="M208" i="22"/>
  <c r="N256" i="9" s="1"/>
  <c r="M207" i="22"/>
  <c r="N255" i="9" s="1"/>
  <c r="K96" i="21"/>
  <c r="M204" i="22"/>
  <c r="N252" i="9" s="1"/>
  <c r="M209" i="22"/>
  <c r="N257" i="9" s="1"/>
  <c r="O96" i="22"/>
  <c r="M202" i="22"/>
  <c r="N250" i="9" s="1"/>
  <c r="P14" i="21"/>
  <c r="P578" i="21" s="1"/>
  <c r="K117" i="21"/>
  <c r="O63" i="21"/>
  <c r="C389" i="22" l="1"/>
  <c r="O389" i="22" s="1"/>
  <c r="P389" i="22" s="1"/>
  <c r="O371" i="22"/>
  <c r="C382" i="22"/>
  <c r="H364" i="22"/>
  <c r="C383" i="22"/>
  <c r="I383" i="22" s="1"/>
  <c r="J383" i="22" s="1"/>
  <c r="I365" i="22"/>
  <c r="C387" i="22"/>
  <c r="M387" i="22" s="1"/>
  <c r="N387" i="22" s="1"/>
  <c r="M369" i="22"/>
  <c r="C390" i="22"/>
  <c r="P390" i="22" s="1"/>
  <c r="P372" i="22"/>
  <c r="C385" i="22"/>
  <c r="K385" i="22" s="1"/>
  <c r="L385" i="22" s="1"/>
  <c r="K367" i="22"/>
  <c r="C384" i="22"/>
  <c r="J384" i="22" s="1"/>
  <c r="K384" i="22" s="1"/>
  <c r="J366" i="22"/>
  <c r="C388" i="22"/>
  <c r="N388" i="22" s="1"/>
  <c r="O388" i="22" s="1"/>
  <c r="P388" i="22" s="1"/>
  <c r="N370" i="22"/>
  <c r="C381" i="22"/>
  <c r="G381" i="22" s="1"/>
  <c r="G391" i="22" s="1"/>
  <c r="S391" i="22" s="1"/>
  <c r="G363" i="22"/>
  <c r="K149" i="22"/>
  <c r="L115" i="21"/>
  <c r="L150" i="21" s="1"/>
  <c r="K150" i="21"/>
  <c r="N386" i="22"/>
  <c r="O386" i="22" s="1"/>
  <c r="P386" i="22" s="1"/>
  <c r="H382" i="22"/>
  <c r="I382" i="22" s="1"/>
  <c r="J382" i="22" s="1"/>
  <c r="K367" i="21"/>
  <c r="L367" i="21" s="1"/>
  <c r="M367" i="21" s="1"/>
  <c r="C385" i="21"/>
  <c r="N370" i="21"/>
  <c r="O370" i="21" s="1"/>
  <c r="P370" i="21" s="1"/>
  <c r="C388" i="21"/>
  <c r="L368" i="21"/>
  <c r="M368" i="21" s="1"/>
  <c r="N368" i="21" s="1"/>
  <c r="C386" i="21"/>
  <c r="P372" i="21"/>
  <c r="C390" i="21"/>
  <c r="P390" i="21" s="1"/>
  <c r="H364" i="21"/>
  <c r="I364" i="21" s="1"/>
  <c r="J364" i="21" s="1"/>
  <c r="C382" i="21"/>
  <c r="J366" i="21"/>
  <c r="K366" i="21" s="1"/>
  <c r="L366" i="21" s="1"/>
  <c r="C384" i="21"/>
  <c r="M369" i="21"/>
  <c r="N369" i="21" s="1"/>
  <c r="O369" i="21" s="1"/>
  <c r="P369" i="21" s="1"/>
  <c r="C387" i="21"/>
  <c r="I365" i="21"/>
  <c r="J365" i="21" s="1"/>
  <c r="C383" i="21"/>
  <c r="G363" i="21"/>
  <c r="H363" i="21" s="1"/>
  <c r="I363" i="21" s="1"/>
  <c r="C381" i="21"/>
  <c r="O371" i="21"/>
  <c r="P371" i="21" s="1"/>
  <c r="J150" i="22"/>
  <c r="K115" i="22"/>
  <c r="P584" i="21"/>
  <c r="O584" i="21"/>
  <c r="P416" i="22"/>
  <c r="P578" i="22"/>
  <c r="P584" i="22" s="1"/>
  <c r="M210" i="22"/>
  <c r="N258" i="9" s="1"/>
  <c r="M201" i="22"/>
  <c r="N249" i="9" s="1"/>
  <c r="P63" i="21"/>
  <c r="P416" i="21"/>
  <c r="K283" i="9"/>
  <c r="P233" i="21"/>
  <c r="P235" i="21" s="1"/>
  <c r="N203" i="22"/>
  <c r="O251" i="9" s="1"/>
  <c r="L90" i="22"/>
  <c r="M90" i="22" s="1"/>
  <c r="M117" i="22"/>
  <c r="L97" i="22"/>
  <c r="L108" i="22"/>
  <c r="L122" i="22"/>
  <c r="L121" i="22"/>
  <c r="L122" i="21"/>
  <c r="M206" i="22"/>
  <c r="N254" i="9" s="1"/>
  <c r="N204" i="22"/>
  <c r="O252" i="9" s="1"/>
  <c r="N208" i="22"/>
  <c r="O256" i="9" s="1"/>
  <c r="L119" i="21"/>
  <c r="N548" i="22"/>
  <c r="P63" i="22"/>
  <c r="N202" i="22"/>
  <c r="O250" i="9" s="1"/>
  <c r="P96" i="22"/>
  <c r="N209" i="22"/>
  <c r="O257" i="9" s="1"/>
  <c r="L96" i="21"/>
  <c r="N207" i="22"/>
  <c r="O255" i="9" s="1"/>
  <c r="M108" i="21"/>
  <c r="L97" i="21"/>
  <c r="L149" i="21" s="1"/>
  <c r="N211" i="22"/>
  <c r="O259" i="9" s="1"/>
  <c r="L121" i="21"/>
  <c r="L117" i="21"/>
  <c r="M115" i="21"/>
  <c r="M150" i="21" s="1"/>
  <c r="L149" i="22" l="1"/>
  <c r="K383" i="22"/>
  <c r="L383" i="22" s="1"/>
  <c r="K382" i="22"/>
  <c r="L382" i="22" s="1"/>
  <c r="M385" i="22"/>
  <c r="N385" i="22" s="1"/>
  <c r="O385" i="22" s="1"/>
  <c r="P385" i="22" s="1"/>
  <c r="O387" i="22"/>
  <c r="P387" i="22" s="1"/>
  <c r="L384" i="22"/>
  <c r="M384" i="22" s="1"/>
  <c r="N384" i="22" s="1"/>
  <c r="H381" i="22"/>
  <c r="I383" i="21"/>
  <c r="J383" i="21" s="1"/>
  <c r="J384" i="21"/>
  <c r="K384" i="21" s="1"/>
  <c r="L384" i="21" s="1"/>
  <c r="M384" i="21" s="1"/>
  <c r="N388" i="21"/>
  <c r="O388" i="21" s="1"/>
  <c r="G381" i="21"/>
  <c r="H381" i="21" s="1"/>
  <c r="M387" i="21"/>
  <c r="N387" i="21" s="1"/>
  <c r="H382" i="21"/>
  <c r="L386" i="21"/>
  <c r="M386" i="21" s="1"/>
  <c r="N386" i="21" s="1"/>
  <c r="O386" i="21" s="1"/>
  <c r="K385" i="21"/>
  <c r="L385" i="21" s="1"/>
  <c r="O368" i="21"/>
  <c r="P368" i="21" s="1"/>
  <c r="K364" i="21"/>
  <c r="L364" i="21" s="1"/>
  <c r="M366" i="21"/>
  <c r="N366" i="21" s="1"/>
  <c r="N367" i="21"/>
  <c r="O367" i="21" s="1"/>
  <c r="P367" i="21" s="1"/>
  <c r="J363" i="21"/>
  <c r="K363" i="21" s="1"/>
  <c r="K365" i="21"/>
  <c r="L365" i="21" s="1"/>
  <c r="M365" i="21" s="1"/>
  <c r="K150" i="22"/>
  <c r="L115" i="22"/>
  <c r="N210" i="22"/>
  <c r="O258" i="9" s="1"/>
  <c r="N201" i="22"/>
  <c r="O249" i="9" s="1"/>
  <c r="H62" i="7"/>
  <c r="L283" i="9"/>
  <c r="O203" i="22"/>
  <c r="P251" i="9" s="1"/>
  <c r="L92" i="22"/>
  <c r="N117" i="22"/>
  <c r="M97" i="22"/>
  <c r="M108" i="22"/>
  <c r="M122" i="22"/>
  <c r="M121" i="22"/>
  <c r="O209" i="22"/>
  <c r="P257" i="9" s="1"/>
  <c r="O548" i="22"/>
  <c r="M92" i="22"/>
  <c r="N90" i="22"/>
  <c r="O208" i="22"/>
  <c r="P256" i="9" s="1"/>
  <c r="O204" i="22"/>
  <c r="P252" i="9" s="1"/>
  <c r="O211" i="22"/>
  <c r="P259" i="9" s="1"/>
  <c r="M97" i="21"/>
  <c r="M149" i="21" s="1"/>
  <c r="N108" i="21"/>
  <c r="O207" i="22"/>
  <c r="P255" i="9" s="1"/>
  <c r="O202" i="22"/>
  <c r="P250" i="9" s="1"/>
  <c r="M122" i="21"/>
  <c r="M121" i="21"/>
  <c r="N206" i="22"/>
  <c r="O254" i="9" s="1"/>
  <c r="M96" i="21"/>
  <c r="M119" i="21"/>
  <c r="N115" i="21"/>
  <c r="N150" i="21" s="1"/>
  <c r="M117" i="21"/>
  <c r="M149" i="22" l="1"/>
  <c r="M383" i="22"/>
  <c r="N383" i="22" s="1"/>
  <c r="O383" i="22" s="1"/>
  <c r="P383" i="22" s="1"/>
  <c r="M382" i="22"/>
  <c r="N382" i="22" s="1"/>
  <c r="O382" i="22" s="1"/>
  <c r="P382" i="22" s="1"/>
  <c r="P388" i="21"/>
  <c r="I381" i="22"/>
  <c r="I391" i="22" s="1"/>
  <c r="H391" i="22"/>
  <c r="O384" i="22"/>
  <c r="P384" i="22" s="1"/>
  <c r="M385" i="21"/>
  <c r="N385" i="21" s="1"/>
  <c r="P386" i="21"/>
  <c r="O387" i="21"/>
  <c r="P387" i="21" s="1"/>
  <c r="I381" i="21"/>
  <c r="J381" i="21" s="1"/>
  <c r="N384" i="21"/>
  <c r="O384" i="21" s="1"/>
  <c r="P384" i="21" s="1"/>
  <c r="K383" i="21"/>
  <c r="L383" i="21" s="1"/>
  <c r="I382" i="21"/>
  <c r="O366" i="21"/>
  <c r="P366" i="21" s="1"/>
  <c r="L363" i="21"/>
  <c r="M363" i="21" s="1"/>
  <c r="N363" i="21" s="1"/>
  <c r="O363" i="21" s="1"/>
  <c r="P363" i="21" s="1"/>
  <c r="M364" i="21"/>
  <c r="N364" i="21" s="1"/>
  <c r="O364" i="21" s="1"/>
  <c r="P364" i="21" s="1"/>
  <c r="N365" i="21"/>
  <c r="O365" i="21" s="1"/>
  <c r="L150" i="22"/>
  <c r="M115" i="22"/>
  <c r="O201" i="22"/>
  <c r="P249" i="9" s="1"/>
  <c r="O210" i="22"/>
  <c r="P258" i="9" s="1"/>
  <c r="J62" i="7"/>
  <c r="I62" i="7"/>
  <c r="M283" i="9"/>
  <c r="P203" i="22"/>
  <c r="Q251" i="9" s="1"/>
  <c r="O117" i="22"/>
  <c r="N97" i="22"/>
  <c r="N108" i="22"/>
  <c r="N122" i="22"/>
  <c r="N121" i="22"/>
  <c r="N96" i="21"/>
  <c r="P209" i="22"/>
  <c r="Q257" i="9" s="1"/>
  <c r="N122" i="21"/>
  <c r="O108" i="21"/>
  <c r="P211" i="22"/>
  <c r="Q259" i="9" s="1"/>
  <c r="P204" i="22"/>
  <c r="Q252" i="9" s="1"/>
  <c r="N92" i="22"/>
  <c r="O90" i="22"/>
  <c r="N119" i="21"/>
  <c r="P548" i="22"/>
  <c r="O206" i="22"/>
  <c r="P254" i="9" s="1"/>
  <c r="P202" i="22"/>
  <c r="Q250" i="9" s="1"/>
  <c r="P208" i="22"/>
  <c r="Q256" i="9" s="1"/>
  <c r="N121" i="21"/>
  <c r="P207" i="22"/>
  <c r="Q255" i="9" s="1"/>
  <c r="N97" i="21"/>
  <c r="N149" i="21" s="1"/>
  <c r="N117" i="21"/>
  <c r="O115" i="21"/>
  <c r="O150" i="21" s="1"/>
  <c r="N149" i="22" l="1"/>
  <c r="J381" i="22"/>
  <c r="K381" i="22" s="1"/>
  <c r="K391" i="22" s="1"/>
  <c r="O385" i="21"/>
  <c r="P385" i="21" s="1"/>
  <c r="K381" i="21"/>
  <c r="L381" i="21" s="1"/>
  <c r="M383" i="21"/>
  <c r="J382" i="21"/>
  <c r="P365" i="21"/>
  <c r="M150" i="22"/>
  <c r="N115" i="22"/>
  <c r="P201" i="22"/>
  <c r="Q249" i="9" s="1"/>
  <c r="P210" i="22"/>
  <c r="Q258" i="9" s="1"/>
  <c r="N283" i="9"/>
  <c r="P117" i="22"/>
  <c r="O97" i="22"/>
  <c r="O149" i="22" s="1"/>
  <c r="O108" i="22"/>
  <c r="O122" i="22"/>
  <c r="O121" i="22"/>
  <c r="P108" i="21"/>
  <c r="O97" i="21"/>
  <c r="O149" i="21" s="1"/>
  <c r="O121" i="21"/>
  <c r="P206" i="22"/>
  <c r="Q254" i="9" s="1"/>
  <c r="O122" i="21"/>
  <c r="O119" i="21"/>
  <c r="O92" i="22"/>
  <c r="P90" i="22"/>
  <c r="P92" i="22" s="1"/>
  <c r="O96" i="21"/>
  <c r="O117" i="21"/>
  <c r="P115" i="21"/>
  <c r="P150" i="21" s="1"/>
  <c r="J391" i="22" l="1"/>
  <c r="L381" i="22"/>
  <c r="L391" i="22" s="1"/>
  <c r="M381" i="21"/>
  <c r="N381" i="21" s="1"/>
  <c r="O381" i="21" s="1"/>
  <c r="P381" i="21" s="1"/>
  <c r="N383" i="21"/>
  <c r="O383" i="21" s="1"/>
  <c r="P383" i="21" s="1"/>
  <c r="K382" i="21"/>
  <c r="L382" i="21" s="1"/>
  <c r="O115" i="22"/>
  <c r="N150" i="22"/>
  <c r="O283" i="9"/>
  <c r="P97" i="22"/>
  <c r="P149" i="22" s="1"/>
  <c r="P108" i="22"/>
  <c r="P122" i="22"/>
  <c r="P121" i="22"/>
  <c r="P96" i="21"/>
  <c r="P121" i="21"/>
  <c r="P119" i="21"/>
  <c r="P122" i="21"/>
  <c r="P97" i="21"/>
  <c r="P149" i="21" s="1"/>
  <c r="P117" i="21"/>
  <c r="M381" i="22" l="1"/>
  <c r="M391" i="22" s="1"/>
  <c r="M382" i="21"/>
  <c r="M391" i="21" s="1"/>
  <c r="L391" i="21"/>
  <c r="K391" i="21"/>
  <c r="O150" i="22"/>
  <c r="P115" i="22"/>
  <c r="P283" i="9"/>
  <c r="N381" i="22" l="1"/>
  <c r="N391" i="22" s="1"/>
  <c r="N382" i="21"/>
  <c r="N391" i="21" s="1"/>
  <c r="P150" i="22"/>
  <c r="Q283" i="9"/>
  <c r="O381" i="22" l="1"/>
  <c r="O391" i="22" s="1"/>
  <c r="O382" i="21"/>
  <c r="P382" i="21" s="1"/>
  <c r="P391" i="21" s="1"/>
  <c r="H60" i="7"/>
  <c r="P381" i="22" l="1"/>
  <c r="P391" i="22" s="1"/>
  <c r="O391" i="21"/>
  <c r="J60" i="7"/>
  <c r="I60" i="7"/>
  <c r="H61" i="7" l="1"/>
  <c r="I61" i="7" l="1"/>
  <c r="J61" i="7"/>
  <c r="H309" i="9" l="1"/>
  <c r="I309" i="9" s="1"/>
  <c r="J309" i="9" s="1"/>
  <c r="K309" i="9" s="1"/>
  <c r="L309" i="9" s="1"/>
  <c r="M309" i="9" s="1"/>
  <c r="N309" i="9" s="1"/>
  <c r="O309" i="9" s="1"/>
  <c r="P309" i="9" s="1"/>
  <c r="Q309" i="9" s="1"/>
  <c r="J40" i="7"/>
  <c r="P153" i="7"/>
  <c r="P149" i="7"/>
  <c r="P144" i="7"/>
  <c r="P139" i="7"/>
  <c r="P120" i="7"/>
  <c r="P156" i="7" l="1"/>
  <c r="B29" i="9"/>
  <c r="B32" i="9"/>
  <c r="B26" i="9"/>
  <c r="F87" i="7"/>
  <c r="F90" i="7"/>
  <c r="F89" i="7"/>
  <c r="B89" i="7"/>
  <c r="J31" i="7" l="1"/>
  <c r="O9" i="7"/>
  <c r="E11" i="7"/>
  <c r="E8" i="7"/>
  <c r="H758" i="9"/>
  <c r="O44" i="7"/>
  <c r="H3" i="9" l="1"/>
  <c r="E47" i="3"/>
  <c r="B783" i="9" s="1"/>
  <c r="B559" i="21" l="1"/>
  <c r="B559" i="22"/>
  <c r="B406" i="22"/>
  <c r="H783" i="9"/>
  <c r="B5" i="7"/>
  <c r="B406" i="21"/>
  <c r="B354" i="21"/>
  <c r="B354" i="22"/>
  <c r="B223" i="22"/>
  <c r="B271" i="9"/>
  <c r="B223" i="21"/>
  <c r="B611" i="21"/>
  <c r="B133" i="21"/>
  <c r="B500" i="22"/>
  <c r="B80" i="22"/>
  <c r="B512" i="9"/>
  <c r="B167" i="9"/>
  <c r="B500" i="21"/>
  <c r="B177" i="21"/>
  <c r="B242" i="22"/>
  <c r="B8" i="22"/>
  <c r="B771" i="9"/>
  <c r="B558" i="9"/>
  <c r="B99" i="9"/>
  <c r="B80" i="21"/>
  <c r="B177" i="22"/>
  <c r="B713" i="9"/>
  <c r="B306" i="9"/>
  <c r="B8" i="9"/>
  <c r="B242" i="21"/>
  <c r="B8" i="21"/>
  <c r="B133" i="22"/>
  <c r="B609" i="9"/>
  <c r="B225" i="9"/>
  <c r="G35" i="3"/>
  <c r="E14" i="7" s="1"/>
  <c r="T442" i="21" l="1"/>
  <c r="T443" i="21"/>
  <c r="T459" i="21"/>
  <c r="T464" i="21" s="1"/>
  <c r="T406" i="21"/>
  <c r="T559" i="21"/>
  <c r="T500" i="21"/>
  <c r="T177" i="21"/>
  <c r="T242" i="21"/>
  <c r="T133" i="21"/>
  <c r="T223" i="21"/>
  <c r="T80" i="21"/>
  <c r="T354" i="21"/>
  <c r="H713" i="9"/>
  <c r="H558" i="9"/>
  <c r="H306" i="9"/>
  <c r="H512" i="9"/>
  <c r="H271" i="9"/>
  <c r="H225" i="9"/>
  <c r="H167" i="9"/>
  <c r="H99" i="9"/>
  <c r="H771" i="9"/>
  <c r="H609" i="9"/>
  <c r="T292" i="21"/>
  <c r="H400" i="9" s="1"/>
  <c r="T46" i="21"/>
  <c r="T298" i="21"/>
  <c r="H418" i="9" s="1"/>
  <c r="G500" i="21"/>
  <c r="G406" i="21"/>
  <c r="G177" i="21"/>
  <c r="G559" i="21"/>
  <c r="G354" i="21"/>
  <c r="G223" i="21"/>
  <c r="G133" i="21"/>
  <c r="G80" i="21"/>
  <c r="G242" i="21"/>
  <c r="T559" i="22"/>
  <c r="T223" i="22"/>
  <c r="T242" i="22"/>
  <c r="T80" i="22"/>
  <c r="T354" i="22"/>
  <c r="T177" i="22"/>
  <c r="T406" i="22"/>
  <c r="T133" i="22"/>
  <c r="T500" i="22"/>
  <c r="G133" i="22"/>
  <c r="G242" i="22"/>
  <c r="G559" i="22"/>
  <c r="G223" i="22"/>
  <c r="G500" i="22"/>
  <c r="G80" i="22"/>
  <c r="G406" i="22"/>
  <c r="G354" i="22"/>
  <c r="G177" i="22"/>
  <c r="T263" i="21"/>
  <c r="H338" i="9" s="1"/>
  <c r="T264" i="21"/>
  <c r="H341" i="9" s="1"/>
  <c r="T140" i="21"/>
  <c r="T157" i="21"/>
  <c r="T225" i="21"/>
  <c r="T226" i="21"/>
  <c r="T40" i="21"/>
  <c r="T29" i="21"/>
  <c r="T15" i="21"/>
  <c r="T11" i="21"/>
  <c r="H738" i="9" s="1"/>
  <c r="H730" i="9" s="1"/>
  <c r="T47" i="21"/>
  <c r="T33" i="21"/>
  <c r="T17" i="21"/>
  <c r="T13" i="21"/>
  <c r="T10" i="21"/>
  <c r="I8" i="9"/>
  <c r="I783" i="9" s="1"/>
  <c r="G34" i="3"/>
  <c r="G33" i="3"/>
  <c r="T56" i="21" l="1"/>
  <c r="T55" i="21"/>
  <c r="T59" i="21"/>
  <c r="T57" i="21"/>
  <c r="T60" i="21"/>
  <c r="H648" i="9"/>
  <c r="H7" i="9"/>
  <c r="T459" i="22"/>
  <c r="T442" i="22"/>
  <c r="T391" i="22"/>
  <c r="T443" i="22"/>
  <c r="T292" i="22"/>
  <c r="H394" i="9" s="1"/>
  <c r="T264" i="22"/>
  <c r="H340" i="9" s="1"/>
  <c r="T263" i="22"/>
  <c r="H337" i="9" s="1"/>
  <c r="T298" i="22"/>
  <c r="H412" i="9" s="1"/>
  <c r="T46" i="22"/>
  <c r="T13" i="22"/>
  <c r="T33" i="22"/>
  <c r="T15" i="22"/>
  <c r="T225" i="22"/>
  <c r="T17" i="22"/>
  <c r="T47" i="22"/>
  <c r="H54" i="9" s="1"/>
  <c r="T40" i="22"/>
  <c r="T11" i="22"/>
  <c r="T226" i="22"/>
  <c r="T10" i="22"/>
  <c r="H723" i="9" s="1"/>
  <c r="T29" i="22"/>
  <c r="T423" i="22" s="1"/>
  <c r="T140" i="22"/>
  <c r="T157" i="22"/>
  <c r="I167" i="9"/>
  <c r="I771" i="9"/>
  <c r="I609" i="9"/>
  <c r="I512" i="9"/>
  <c r="I271" i="9"/>
  <c r="I713" i="9"/>
  <c r="I558" i="9"/>
  <c r="I306" i="9"/>
  <c r="I225" i="9"/>
  <c r="I99" i="9"/>
  <c r="T375" i="21"/>
  <c r="H531" i="9" s="1"/>
  <c r="T138" i="21"/>
  <c r="T91" i="21"/>
  <c r="H91" i="21" s="1"/>
  <c r="I91" i="21" s="1"/>
  <c r="J91" i="21" s="1"/>
  <c r="K91" i="21" s="1"/>
  <c r="L91" i="21" s="1"/>
  <c r="M91" i="21" s="1"/>
  <c r="N91" i="21" s="1"/>
  <c r="O91" i="21" s="1"/>
  <c r="P91" i="21" s="1"/>
  <c r="T142" i="21"/>
  <c r="H287" i="9"/>
  <c r="T28" i="21"/>
  <c r="T227" i="21"/>
  <c r="H724" i="9"/>
  <c r="T12" i="21"/>
  <c r="T62" i="21" s="1"/>
  <c r="T197" i="21"/>
  <c r="T90" i="21"/>
  <c r="T156" i="21"/>
  <c r="T158" i="21" s="1"/>
  <c r="T423" i="21"/>
  <c r="H752" i="9"/>
  <c r="H744" i="9" s="1"/>
  <c r="T420" i="21"/>
  <c r="T39" i="21"/>
  <c r="T141" i="21"/>
  <c r="T120" i="21"/>
  <c r="H120" i="21" s="1"/>
  <c r="I120" i="21" s="1"/>
  <c r="J120" i="21" s="1"/>
  <c r="K120" i="21" s="1"/>
  <c r="L120" i="21" s="1"/>
  <c r="M120" i="21" s="1"/>
  <c r="N120" i="21" s="1"/>
  <c r="O120" i="21" s="1"/>
  <c r="P120" i="21" s="1"/>
  <c r="T198" i="21"/>
  <c r="T422" i="21"/>
  <c r="T143" i="21"/>
  <c r="H288" i="9"/>
  <c r="T231" i="21"/>
  <c r="H8" i="22"/>
  <c r="H8" i="21"/>
  <c r="J8" i="9"/>
  <c r="J783" i="9" s="1"/>
  <c r="I3" i="9"/>
  <c r="I648" i="9" s="1"/>
  <c r="T167" i="21"/>
  <c r="E644" i="21"/>
  <c r="B656" i="21"/>
  <c r="B663" i="21"/>
  <c r="B652" i="21"/>
  <c r="B648" i="21"/>
  <c r="B644" i="21"/>
  <c r="T55" i="22" l="1"/>
  <c r="T60" i="22"/>
  <c r="T57" i="22"/>
  <c r="T59" i="22"/>
  <c r="H751" i="9"/>
  <c r="T56" i="22"/>
  <c r="H42" i="9"/>
  <c r="H35" i="9"/>
  <c r="H625" i="9" s="1"/>
  <c r="J771" i="9"/>
  <c r="J609" i="9"/>
  <c r="J512" i="9"/>
  <c r="J271" i="9"/>
  <c r="J713" i="9"/>
  <c r="J99" i="9"/>
  <c r="J558" i="9"/>
  <c r="J225" i="9"/>
  <c r="J167" i="9"/>
  <c r="J306" i="9"/>
  <c r="T420" i="22"/>
  <c r="T141" i="22"/>
  <c r="T120" i="22"/>
  <c r="T39" i="22"/>
  <c r="T375" i="22"/>
  <c r="H530" i="9" s="1"/>
  <c r="T138" i="22"/>
  <c r="T91" i="22"/>
  <c r="T156" i="22"/>
  <c r="T158" i="22" s="1"/>
  <c r="T90" i="22"/>
  <c r="H53" i="9"/>
  <c r="T422" i="22"/>
  <c r="H276" i="9"/>
  <c r="H281" i="9" s="1"/>
  <c r="T143" i="22"/>
  <c r="T231" i="22"/>
  <c r="H275" i="9"/>
  <c r="H176" i="9" s="1"/>
  <c r="T142" i="22"/>
  <c r="T28" i="22"/>
  <c r="T227" i="22"/>
  <c r="H17" i="9"/>
  <c r="H622" i="9" s="1"/>
  <c r="H559" i="22"/>
  <c r="H500" i="22"/>
  <c r="H406" i="22"/>
  <c r="H242" i="22"/>
  <c r="H177" i="22"/>
  <c r="H80" i="22"/>
  <c r="H133" i="22"/>
  <c r="H354" i="22"/>
  <c r="H223" i="22"/>
  <c r="H559" i="21"/>
  <c r="H500" i="21"/>
  <c r="H289" i="9"/>
  <c r="H294" i="9" s="1"/>
  <c r="H293" i="9"/>
  <c r="T232" i="21"/>
  <c r="T233" i="21" s="1"/>
  <c r="T235" i="21" s="1"/>
  <c r="T95" i="21"/>
  <c r="H95" i="21" s="1"/>
  <c r="I95" i="21" s="1"/>
  <c r="J95" i="21" s="1"/>
  <c r="K95" i="21" s="1"/>
  <c r="L95" i="21" s="1"/>
  <c r="M95" i="21" s="1"/>
  <c r="N95" i="21" s="1"/>
  <c r="O95" i="21" s="1"/>
  <c r="P95" i="21" s="1"/>
  <c r="H406" i="21"/>
  <c r="H177" i="21"/>
  <c r="H354" i="21"/>
  <c r="H133" i="21"/>
  <c r="H242" i="21"/>
  <c r="H223" i="21"/>
  <c r="H80" i="21"/>
  <c r="T92" i="21"/>
  <c r="T14" i="21"/>
  <c r="T63" i="21" s="1"/>
  <c r="G373" i="21"/>
  <c r="G397" i="21" s="1"/>
  <c r="I730" i="9"/>
  <c r="I744" i="9"/>
  <c r="B41" i="7"/>
  <c r="B39" i="7"/>
  <c r="B37" i="7"/>
  <c r="B35" i="7"/>
  <c r="I8" i="22"/>
  <c r="T167" i="22"/>
  <c r="G183" i="22"/>
  <c r="G87" i="22" s="1"/>
  <c r="G181" i="22"/>
  <c r="G213" i="22" s="1"/>
  <c r="G184" i="22"/>
  <c r="G88" i="22" s="1"/>
  <c r="G188" i="22"/>
  <c r="G104" i="22" s="1"/>
  <c r="G190" i="22"/>
  <c r="G106" i="22" s="1"/>
  <c r="G191" i="22"/>
  <c r="G107" i="22" s="1"/>
  <c r="G182" i="22"/>
  <c r="G187" i="22"/>
  <c r="G103" i="22" s="1"/>
  <c r="G189" i="22"/>
  <c r="G105" i="22" s="1"/>
  <c r="G186" i="22"/>
  <c r="I8" i="21"/>
  <c r="K8" i="9"/>
  <c r="K783" i="9" s="1"/>
  <c r="J3" i="9"/>
  <c r="J648" i="9" s="1"/>
  <c r="E645" i="21"/>
  <c r="G167" i="21"/>
  <c r="E649" i="21"/>
  <c r="B645" i="21"/>
  <c r="B657" i="21"/>
  <c r="B649" i="21"/>
  <c r="B664" i="21"/>
  <c r="B653" i="21"/>
  <c r="B87" i="7"/>
  <c r="B774" i="9" s="1"/>
  <c r="B88" i="7"/>
  <c r="B775" i="9" s="1"/>
  <c r="B86" i="7"/>
  <c r="B773" i="9" s="1"/>
  <c r="B160" i="7"/>
  <c r="G25" i="3"/>
  <c r="I51" i="7" s="1"/>
  <c r="H34" i="9" l="1"/>
  <c r="T92" i="22"/>
  <c r="H177" i="9"/>
  <c r="T232" i="22"/>
  <c r="T233" i="22" s="1"/>
  <c r="T235" i="22" s="1"/>
  <c r="T95" i="22"/>
  <c r="K99" i="9"/>
  <c r="K167" i="9"/>
  <c r="K713" i="9"/>
  <c r="K558" i="9"/>
  <c r="K306" i="9"/>
  <c r="K225" i="9"/>
  <c r="K771" i="9"/>
  <c r="K609" i="9"/>
  <c r="K512" i="9"/>
  <c r="K271" i="9"/>
  <c r="H624" i="9"/>
  <c r="H277" i="9"/>
  <c r="H282" i="9" s="1"/>
  <c r="H283" i="9" s="1"/>
  <c r="S373" i="21"/>
  <c r="S397" i="21" s="1"/>
  <c r="T373" i="21"/>
  <c r="T397" i="21" s="1"/>
  <c r="G199" i="22"/>
  <c r="G214" i="22" s="1"/>
  <c r="G215" i="22"/>
  <c r="G216" i="22"/>
  <c r="I500" i="22"/>
  <c r="I406" i="22"/>
  <c r="I559" i="22"/>
  <c r="I354" i="22"/>
  <c r="I223" i="22"/>
  <c r="I133" i="22"/>
  <c r="I242" i="22"/>
  <c r="I177" i="22"/>
  <c r="I80" i="22"/>
  <c r="I500" i="21"/>
  <c r="I559" i="21"/>
  <c r="G92" i="21"/>
  <c r="H90" i="21"/>
  <c r="I354" i="21"/>
  <c r="I133" i="21"/>
  <c r="I242" i="21"/>
  <c r="I223" i="21"/>
  <c r="I80" i="21"/>
  <c r="I406" i="21"/>
  <c r="I177" i="21"/>
  <c r="T416" i="21"/>
  <c r="T578" i="21"/>
  <c r="T584" i="21" s="1"/>
  <c r="E648" i="21"/>
  <c r="G86" i="22"/>
  <c r="J730" i="9"/>
  <c r="J744" i="9"/>
  <c r="B42" i="7"/>
  <c r="B40" i="7"/>
  <c r="B38" i="7"/>
  <c r="B36" i="7"/>
  <c r="J8" i="22"/>
  <c r="G167" i="22"/>
  <c r="G192" i="22"/>
  <c r="G102" i="22"/>
  <c r="G109" i="22" s="1"/>
  <c r="G185" i="22"/>
  <c r="G85" i="22"/>
  <c r="H51" i="22"/>
  <c r="H183" i="22"/>
  <c r="H87" i="22" s="1"/>
  <c r="H181" i="22"/>
  <c r="H213" i="22" s="1"/>
  <c r="H191" i="22"/>
  <c r="H107" i="22" s="1"/>
  <c r="H182" i="22"/>
  <c r="H215" i="22" s="1"/>
  <c r="H188" i="22"/>
  <c r="H104" i="22" s="1"/>
  <c r="H187" i="22"/>
  <c r="H103" i="22" s="1"/>
  <c r="H189" i="22"/>
  <c r="H105" i="22" s="1"/>
  <c r="H184" i="22"/>
  <c r="H88" i="22" s="1"/>
  <c r="H190" i="22"/>
  <c r="H106" i="22" s="1"/>
  <c r="H186" i="22"/>
  <c r="J8" i="21"/>
  <c r="B650" i="21"/>
  <c r="B665" i="21"/>
  <c r="B646" i="21"/>
  <c r="B658" i="21"/>
  <c r="B654" i="21"/>
  <c r="E646" i="21"/>
  <c r="H51" i="21"/>
  <c r="H167" i="21"/>
  <c r="E650" i="21"/>
  <c r="L8" i="9"/>
  <c r="L783" i="9" s="1"/>
  <c r="K3" i="9"/>
  <c r="K648" i="9" s="1"/>
  <c r="G28" i="3"/>
  <c r="N97" i="7" s="1"/>
  <c r="G29" i="3"/>
  <c r="N98" i="7" s="1"/>
  <c r="G30" i="3"/>
  <c r="N99" i="7" s="1"/>
  <c r="G31" i="3"/>
  <c r="N100" i="7" s="1"/>
  <c r="G14" i="3"/>
  <c r="G16" i="3"/>
  <c r="G20" i="3"/>
  <c r="E87" i="7" s="1"/>
  <c r="O151" i="7" s="1"/>
  <c r="G21" i="3"/>
  <c r="E88" i="7" s="1"/>
  <c r="O152" i="7" s="1"/>
  <c r="G22" i="3"/>
  <c r="G23" i="3"/>
  <c r="G19" i="3"/>
  <c r="E86" i="7" s="1"/>
  <c r="B147" i="9"/>
  <c r="B139" i="9"/>
  <c r="B182" i="9" s="1"/>
  <c r="B136" i="9"/>
  <c r="B133" i="9"/>
  <c r="Q153" i="7"/>
  <c r="M153" i="7"/>
  <c r="L153" i="7"/>
  <c r="K153" i="7"/>
  <c r="J153" i="7"/>
  <c r="I153" i="7"/>
  <c r="H153" i="7"/>
  <c r="G153" i="7"/>
  <c r="F153" i="7"/>
  <c r="E153" i="7"/>
  <c r="B151" i="7"/>
  <c r="B152" i="7"/>
  <c r="B150" i="7"/>
  <c r="L713" i="9" l="1"/>
  <c r="L558" i="9"/>
  <c r="L306" i="9"/>
  <c r="L225" i="9"/>
  <c r="L167" i="9"/>
  <c r="L771" i="9"/>
  <c r="L609" i="9"/>
  <c r="L512" i="9"/>
  <c r="L99" i="9"/>
  <c r="L271" i="9"/>
  <c r="J559" i="22"/>
  <c r="J500" i="22"/>
  <c r="J406" i="22"/>
  <c r="J80" i="22"/>
  <c r="J354" i="22"/>
  <c r="J223" i="22"/>
  <c r="J133" i="22"/>
  <c r="J242" i="22"/>
  <c r="J177" i="22"/>
  <c r="J500" i="21"/>
  <c r="J559" i="21"/>
  <c r="J242" i="21"/>
  <c r="J223" i="21"/>
  <c r="J80" i="21"/>
  <c r="J406" i="21"/>
  <c r="J177" i="21"/>
  <c r="J354" i="21"/>
  <c r="J133" i="21"/>
  <c r="H373" i="21"/>
  <c r="H397" i="21" s="1"/>
  <c r="H92" i="21"/>
  <c r="I90" i="21"/>
  <c r="G374" i="21"/>
  <c r="H86" i="22"/>
  <c r="H199" i="22"/>
  <c r="H214" i="22" s="1"/>
  <c r="H216" i="22"/>
  <c r="I373" i="21"/>
  <c r="I397" i="21" s="1"/>
  <c r="O150" i="7"/>
  <c r="I86" i="7"/>
  <c r="H87" i="7"/>
  <c r="D774" i="9" s="1"/>
  <c r="F774" i="9" s="1"/>
  <c r="I87" i="7"/>
  <c r="J87" i="7" s="1"/>
  <c r="H88" i="7"/>
  <c r="D775" i="9" s="1"/>
  <c r="F775" i="9" s="1"/>
  <c r="I88" i="7"/>
  <c r="H86" i="7"/>
  <c r="K730" i="9"/>
  <c r="K744" i="9"/>
  <c r="K8" i="22"/>
  <c r="G193" i="22"/>
  <c r="H185" i="22"/>
  <c r="H85" i="22"/>
  <c r="I183" i="22"/>
  <c r="I87" i="22" s="1"/>
  <c r="I181" i="22"/>
  <c r="I213" i="22" s="1"/>
  <c r="I188" i="22"/>
  <c r="I104" i="22" s="1"/>
  <c r="I189" i="22"/>
  <c r="I105" i="22" s="1"/>
  <c r="I182" i="22"/>
  <c r="I187" i="22"/>
  <c r="I103" i="22" s="1"/>
  <c r="I190" i="22"/>
  <c r="I106" i="22" s="1"/>
  <c r="I184" i="22"/>
  <c r="I88" i="22" s="1"/>
  <c r="I191" i="22"/>
  <c r="I107" i="22" s="1"/>
  <c r="I186" i="22"/>
  <c r="H192" i="22"/>
  <c r="H102" i="22"/>
  <c r="H109" i="22" s="1"/>
  <c r="H167" i="22"/>
  <c r="K8" i="21"/>
  <c r="H717" i="9"/>
  <c r="I717" i="9" s="1"/>
  <c r="J717" i="9" s="1"/>
  <c r="K717" i="9" s="1"/>
  <c r="L717" i="9" s="1"/>
  <c r="M717" i="9" s="1"/>
  <c r="N717" i="9" s="1"/>
  <c r="O717" i="9" s="1"/>
  <c r="P717" i="9" s="1"/>
  <c r="Q717" i="9" s="1"/>
  <c r="H745" i="9"/>
  <c r="M8" i="9"/>
  <c r="M783" i="9" s="1"/>
  <c r="L3" i="9"/>
  <c r="L648" i="9" s="1"/>
  <c r="I167" i="21"/>
  <c r="E90" i="7"/>
  <c r="E89" i="7"/>
  <c r="I89" i="7" s="1"/>
  <c r="P162" i="7" s="1"/>
  <c r="J49" i="7"/>
  <c r="G147" i="22" l="1"/>
  <c r="G590" i="22"/>
  <c r="M167" i="9"/>
  <c r="M771" i="9"/>
  <c r="M609" i="9"/>
  <c r="M512" i="9"/>
  <c r="M271" i="9"/>
  <c r="M99" i="9"/>
  <c r="M713" i="9"/>
  <c r="M558" i="9"/>
  <c r="M306" i="9"/>
  <c r="M225" i="9"/>
  <c r="S374" i="21"/>
  <c r="T374" i="21"/>
  <c r="K559" i="22"/>
  <c r="K500" i="22"/>
  <c r="K406" i="22"/>
  <c r="K133" i="22"/>
  <c r="K223" i="22"/>
  <c r="K242" i="22"/>
  <c r="K177" i="22"/>
  <c r="K80" i="22"/>
  <c r="K354" i="22"/>
  <c r="K500" i="21"/>
  <c r="K559" i="21"/>
  <c r="K223" i="21"/>
  <c r="K80" i="21"/>
  <c r="K406" i="21"/>
  <c r="K177" i="21"/>
  <c r="K354" i="21"/>
  <c r="K133" i="21"/>
  <c r="K242" i="21"/>
  <c r="I92" i="21"/>
  <c r="J90" i="21"/>
  <c r="O153" i="7"/>
  <c r="G398" i="21"/>
  <c r="H374" i="21"/>
  <c r="I86" i="22"/>
  <c r="I199" i="22"/>
  <c r="I214" i="22" s="1"/>
  <c r="I215" i="22"/>
  <c r="I216" i="22"/>
  <c r="G166" i="21"/>
  <c r="J86" i="7"/>
  <c r="D773" i="9"/>
  <c r="F773" i="9" s="1"/>
  <c r="E91" i="7"/>
  <c r="J14" i="7" s="1"/>
  <c r="J88" i="7"/>
  <c r="H90" i="7"/>
  <c r="I90" i="7"/>
  <c r="J90" i="7" s="1"/>
  <c r="Q112" i="7" s="1"/>
  <c r="P160" i="7"/>
  <c r="H89" i="7"/>
  <c r="L730" i="9"/>
  <c r="L744" i="9"/>
  <c r="L8" i="22"/>
  <c r="H193" i="22"/>
  <c r="H590" i="22" s="1"/>
  <c r="I185" i="22"/>
  <c r="I85" i="22"/>
  <c r="I167" i="22"/>
  <c r="J183" i="22"/>
  <c r="J87" i="22" s="1"/>
  <c r="J181" i="22"/>
  <c r="J184" i="22"/>
  <c r="J88" i="22" s="1"/>
  <c r="J187" i="22"/>
  <c r="J103" i="22" s="1"/>
  <c r="J189" i="22"/>
  <c r="J105" i="22" s="1"/>
  <c r="J191" i="22"/>
  <c r="J107" i="22" s="1"/>
  <c r="J188" i="22"/>
  <c r="J104" i="22" s="1"/>
  <c r="J190" i="22"/>
  <c r="J106" i="22" s="1"/>
  <c r="J182" i="22"/>
  <c r="J215" i="22" s="1"/>
  <c r="J186" i="22"/>
  <c r="I192" i="22"/>
  <c r="I102" i="22"/>
  <c r="I109" i="22" s="1"/>
  <c r="L8" i="21"/>
  <c r="N8" i="9"/>
  <c r="N783" i="9" s="1"/>
  <c r="M3" i="9"/>
  <c r="M648" i="9" s="1"/>
  <c r="J167" i="21"/>
  <c r="E47" i="7"/>
  <c r="U151" i="7"/>
  <c r="R151" i="7"/>
  <c r="S151" i="7" s="1"/>
  <c r="U152" i="7"/>
  <c r="R152" i="7"/>
  <c r="S152" i="7" s="1"/>
  <c r="U150" i="7"/>
  <c r="R150" i="7"/>
  <c r="N153" i="7"/>
  <c r="N771" i="9" l="1"/>
  <c r="N609" i="9"/>
  <c r="N512" i="9"/>
  <c r="N271" i="9"/>
  <c r="N558" i="9"/>
  <c r="N99" i="9"/>
  <c r="N167" i="9"/>
  <c r="N713" i="9"/>
  <c r="N306" i="9"/>
  <c r="N225" i="9"/>
  <c r="G399" i="21"/>
  <c r="G417" i="21" s="1"/>
  <c r="S398" i="21"/>
  <c r="S399" i="21" s="1"/>
  <c r="S417" i="21" s="1"/>
  <c r="T398" i="21"/>
  <c r="T399" i="21" s="1"/>
  <c r="L559" i="22"/>
  <c r="L500" i="22"/>
  <c r="L406" i="22"/>
  <c r="L242" i="22"/>
  <c r="L177" i="22"/>
  <c r="L133" i="22"/>
  <c r="L354" i="22"/>
  <c r="L223" i="22"/>
  <c r="L80" i="22"/>
  <c r="L559" i="21"/>
  <c r="L500" i="21"/>
  <c r="L406" i="21"/>
  <c r="L177" i="21"/>
  <c r="L354" i="21"/>
  <c r="L133" i="21"/>
  <c r="L242" i="21"/>
  <c r="L223" i="21"/>
  <c r="L80" i="21"/>
  <c r="K90" i="21"/>
  <c r="J92" i="21"/>
  <c r="J373" i="21"/>
  <c r="J397" i="21" s="1"/>
  <c r="I374" i="21"/>
  <c r="H398" i="21"/>
  <c r="H399" i="21" s="1"/>
  <c r="I549" i="9" s="1"/>
  <c r="J213" i="22"/>
  <c r="J86" i="22"/>
  <c r="J199" i="22"/>
  <c r="J214" i="22" s="1"/>
  <c r="J216" i="22"/>
  <c r="I91" i="7"/>
  <c r="H91" i="7"/>
  <c r="O112" i="7" s="1"/>
  <c r="M730" i="9"/>
  <c r="M744" i="9"/>
  <c r="M8" i="22"/>
  <c r="K183" i="22"/>
  <c r="K87" i="22" s="1"/>
  <c r="K181" i="22"/>
  <c r="K213" i="22" s="1"/>
  <c r="K187" i="22"/>
  <c r="K103" i="22" s="1"/>
  <c r="K190" i="22"/>
  <c r="K106" i="22" s="1"/>
  <c r="K182" i="22"/>
  <c r="K191" i="22"/>
  <c r="K107" i="22" s="1"/>
  <c r="K189" i="22"/>
  <c r="K105" i="22" s="1"/>
  <c r="K184" i="22"/>
  <c r="K88" i="22" s="1"/>
  <c r="K188" i="22"/>
  <c r="K104" i="22" s="1"/>
  <c r="K186" i="22"/>
  <c r="J185" i="22"/>
  <c r="J85" i="22"/>
  <c r="I193" i="22"/>
  <c r="I590" i="22" s="1"/>
  <c r="H147" i="22"/>
  <c r="J167" i="22"/>
  <c r="J192" i="22"/>
  <c r="J102" i="22"/>
  <c r="J109" i="22" s="1"/>
  <c r="M8" i="21"/>
  <c r="K167" i="21"/>
  <c r="O8" i="9"/>
  <c r="O783" i="9" s="1"/>
  <c r="N3" i="9"/>
  <c r="N648" i="9" s="1"/>
  <c r="G407" i="9"/>
  <c r="G389" i="9"/>
  <c r="Q162" i="7"/>
  <c r="J89" i="7"/>
  <c r="J91" i="7" s="1"/>
  <c r="U153" i="7"/>
  <c r="S150" i="7"/>
  <c r="R153" i="7"/>
  <c r="B185" i="9"/>
  <c r="J160" i="7"/>
  <c r="L160" i="7" s="1"/>
  <c r="B184" i="9"/>
  <c r="B183" i="9"/>
  <c r="B181" i="9"/>
  <c r="B180" i="9"/>
  <c r="J141" i="7"/>
  <c r="L141" i="7" s="1"/>
  <c r="J142" i="7"/>
  <c r="L142" i="7" s="1"/>
  <c r="Q149" i="7"/>
  <c r="M149" i="7"/>
  <c r="I149" i="7"/>
  <c r="G149" i="7"/>
  <c r="E149" i="7"/>
  <c r="Q144" i="7"/>
  <c r="M144" i="7"/>
  <c r="K144" i="7"/>
  <c r="I144" i="7"/>
  <c r="H144" i="7"/>
  <c r="G144" i="7"/>
  <c r="O99" i="9" l="1"/>
  <c r="O713" i="9"/>
  <c r="O558" i="9"/>
  <c r="O306" i="9"/>
  <c r="O225" i="9"/>
  <c r="O771" i="9"/>
  <c r="O609" i="9"/>
  <c r="O512" i="9"/>
  <c r="O271" i="9"/>
  <c r="O167" i="9"/>
  <c r="T417" i="21"/>
  <c r="H549" i="9"/>
  <c r="M500" i="22"/>
  <c r="M406" i="22"/>
  <c r="M559" i="22"/>
  <c r="M354" i="22"/>
  <c r="M223" i="22"/>
  <c r="M133" i="22"/>
  <c r="M242" i="22"/>
  <c r="M177" i="22"/>
  <c r="M80" i="22"/>
  <c r="M500" i="21"/>
  <c r="M559" i="21"/>
  <c r="M354" i="21"/>
  <c r="M133" i="21"/>
  <c r="M242" i="21"/>
  <c r="M223" i="21"/>
  <c r="M80" i="21"/>
  <c r="M406" i="21"/>
  <c r="M177" i="21"/>
  <c r="L90" i="21"/>
  <c r="K92" i="21"/>
  <c r="K373" i="21"/>
  <c r="K397" i="21" s="1"/>
  <c r="O154" i="7"/>
  <c r="O156" i="7" s="1"/>
  <c r="O166" i="7" s="1"/>
  <c r="H417" i="21"/>
  <c r="J374" i="21"/>
  <c r="I398" i="21"/>
  <c r="I399" i="21" s="1"/>
  <c r="J549" i="9" s="1"/>
  <c r="K86" i="22"/>
  <c r="K199" i="22"/>
  <c r="K214" i="22" s="1"/>
  <c r="K216" i="22"/>
  <c r="K215" i="22"/>
  <c r="O126" i="7"/>
  <c r="P112" i="7"/>
  <c r="P117" i="7" s="1"/>
  <c r="P128" i="7" s="1"/>
  <c r="N730" i="9"/>
  <c r="N744" i="9"/>
  <c r="N8" i="22"/>
  <c r="J193" i="22"/>
  <c r="K192" i="22"/>
  <c r="K102" i="22"/>
  <c r="K109" i="22" s="1"/>
  <c r="L181" i="22"/>
  <c r="L213" i="22" s="1"/>
  <c r="L183" i="22"/>
  <c r="L87" i="22" s="1"/>
  <c r="L190" i="22"/>
  <c r="L106" i="22" s="1"/>
  <c r="L191" i="22"/>
  <c r="L107" i="22" s="1"/>
  <c r="L187" i="22"/>
  <c r="L103" i="22" s="1"/>
  <c r="L189" i="22"/>
  <c r="L105" i="22" s="1"/>
  <c r="L182" i="22"/>
  <c r="L216" i="22" s="1"/>
  <c r="L188" i="22"/>
  <c r="L104" i="22" s="1"/>
  <c r="L184" i="22"/>
  <c r="L88" i="22" s="1"/>
  <c r="L186" i="22"/>
  <c r="K167" i="22"/>
  <c r="I147" i="22"/>
  <c r="K185" i="22"/>
  <c r="K85" i="22"/>
  <c r="N8" i="21"/>
  <c r="P8" i="9"/>
  <c r="P783" i="9" s="1"/>
  <c r="O3" i="9"/>
  <c r="O648" i="9" s="1"/>
  <c r="L167" i="21"/>
  <c r="G136" i="9"/>
  <c r="H404" i="9"/>
  <c r="G139" i="9"/>
  <c r="H386" i="9"/>
  <c r="G371" i="9"/>
  <c r="J30" i="7"/>
  <c r="J48" i="7" s="1"/>
  <c r="B97" i="7"/>
  <c r="G23" i="7" s="1"/>
  <c r="B99" i="7"/>
  <c r="G25" i="7" s="1"/>
  <c r="B100" i="7"/>
  <c r="G26" i="7" s="1"/>
  <c r="B98" i="7"/>
  <c r="G24" i="7" s="1"/>
  <c r="S153" i="7"/>
  <c r="N139" i="7"/>
  <c r="Q139" i="7"/>
  <c r="Q156" i="7" s="1"/>
  <c r="N120" i="7"/>
  <c r="Q120" i="7"/>
  <c r="P713" i="9" l="1"/>
  <c r="P558" i="9"/>
  <c r="P306" i="9"/>
  <c r="P225" i="9"/>
  <c r="P167" i="9"/>
  <c r="P271" i="9"/>
  <c r="P99" i="9"/>
  <c r="P771" i="9"/>
  <c r="P609" i="9"/>
  <c r="P512" i="9"/>
  <c r="N559" i="22"/>
  <c r="N500" i="22"/>
  <c r="N406" i="22"/>
  <c r="N80" i="22"/>
  <c r="N242" i="22"/>
  <c r="N223" i="22"/>
  <c r="N133" i="22"/>
  <c r="N177" i="22"/>
  <c r="N354" i="22"/>
  <c r="N500" i="21"/>
  <c r="N559" i="21"/>
  <c r="N242" i="21"/>
  <c r="N223" i="21"/>
  <c r="N80" i="21"/>
  <c r="N406" i="21"/>
  <c r="N177" i="21"/>
  <c r="N354" i="21"/>
  <c r="N133" i="21"/>
  <c r="L92" i="21"/>
  <c r="M90" i="21"/>
  <c r="L373" i="21"/>
  <c r="L397" i="21" s="1"/>
  <c r="O117" i="7"/>
  <c r="O128" i="7" s="1"/>
  <c r="I417" i="21"/>
  <c r="K374" i="21"/>
  <c r="J398" i="21"/>
  <c r="J399" i="21" s="1"/>
  <c r="K549" i="9" s="1"/>
  <c r="L86" i="22"/>
  <c r="L199" i="22"/>
  <c r="L214" i="22" s="1"/>
  <c r="L215" i="22"/>
  <c r="J147" i="22"/>
  <c r="J590" i="22"/>
  <c r="H166" i="21"/>
  <c r="O730" i="9"/>
  <c r="O744" i="9"/>
  <c r="O8" i="22"/>
  <c r="L192" i="22"/>
  <c r="L102" i="22"/>
  <c r="L109" i="22" s="1"/>
  <c r="L167" i="22"/>
  <c r="K193" i="22"/>
  <c r="K590" i="22" s="1"/>
  <c r="M181" i="22"/>
  <c r="M183" i="22"/>
  <c r="M87" i="22" s="1"/>
  <c r="M190" i="22"/>
  <c r="M106" i="22" s="1"/>
  <c r="M184" i="22"/>
  <c r="M88" i="22" s="1"/>
  <c r="M188" i="22"/>
  <c r="M104" i="22" s="1"/>
  <c r="M189" i="22"/>
  <c r="M105" i="22" s="1"/>
  <c r="M182" i="22"/>
  <c r="M187" i="22"/>
  <c r="M103" i="22" s="1"/>
  <c r="M191" i="22"/>
  <c r="M107" i="22" s="1"/>
  <c r="M186" i="22"/>
  <c r="L185" i="22"/>
  <c r="L85" i="22"/>
  <c r="O8" i="21"/>
  <c r="M167" i="21"/>
  <c r="Q8" i="9"/>
  <c r="Q783" i="9" s="1"/>
  <c r="P3" i="9"/>
  <c r="P648" i="9" s="1"/>
  <c r="H368" i="9"/>
  <c r="G133" i="9"/>
  <c r="Q117" i="7"/>
  <c r="Q128" i="7" s="1"/>
  <c r="U160" i="7"/>
  <c r="R160" i="7"/>
  <c r="S160" i="7" s="1"/>
  <c r="U157" i="7"/>
  <c r="U155" i="7"/>
  <c r="U138" i="7"/>
  <c r="U137" i="7"/>
  <c r="U136" i="7"/>
  <c r="U135" i="7"/>
  <c r="U134" i="7"/>
  <c r="U133" i="7"/>
  <c r="U132" i="7"/>
  <c r="U127" i="7"/>
  <c r="U126" i="7"/>
  <c r="U125" i="7"/>
  <c r="U124" i="7"/>
  <c r="U123" i="7"/>
  <c r="U119" i="7"/>
  <c r="U115" i="7"/>
  <c r="U114" i="7"/>
  <c r="U113" i="7"/>
  <c r="H128" i="9" l="1"/>
  <c r="I128" i="9"/>
  <c r="J128" i="9"/>
  <c r="K128" i="9"/>
  <c r="L128" i="9"/>
  <c r="M128" i="9"/>
  <c r="N128" i="9"/>
  <c r="O128" i="9"/>
  <c r="P128" i="9"/>
  <c r="Q128" i="9"/>
  <c r="H117" i="9"/>
  <c r="I117" i="9"/>
  <c r="J117" i="9"/>
  <c r="K117" i="9"/>
  <c r="L117" i="9"/>
  <c r="M117" i="9"/>
  <c r="N117" i="9"/>
  <c r="O117" i="9"/>
  <c r="P117" i="9"/>
  <c r="Q117" i="9"/>
  <c r="H142" i="9"/>
  <c r="I142" i="9"/>
  <c r="J142" i="9"/>
  <c r="K142" i="9"/>
  <c r="L142" i="9"/>
  <c r="M142" i="9"/>
  <c r="N142" i="9"/>
  <c r="O142" i="9"/>
  <c r="P142" i="9"/>
  <c r="Q142" i="9"/>
  <c r="Q167" i="9"/>
  <c r="Q771" i="9"/>
  <c r="Q609" i="9"/>
  <c r="Q512" i="9"/>
  <c r="Q271" i="9"/>
  <c r="Q713" i="9"/>
  <c r="Q558" i="9"/>
  <c r="Q306" i="9"/>
  <c r="Q225" i="9"/>
  <c r="Q99" i="9"/>
  <c r="O559" i="22"/>
  <c r="O500" i="22"/>
  <c r="O406" i="22"/>
  <c r="O133" i="22"/>
  <c r="O242" i="22"/>
  <c r="O177" i="22"/>
  <c r="O80" i="22"/>
  <c r="O354" i="22"/>
  <c r="O223" i="22"/>
  <c r="O500" i="21"/>
  <c r="O559" i="21"/>
  <c r="O223" i="21"/>
  <c r="O80" i="21"/>
  <c r="O406" i="21"/>
  <c r="O177" i="21"/>
  <c r="O354" i="21"/>
  <c r="O133" i="21"/>
  <c r="O242" i="21"/>
  <c r="N90" i="21"/>
  <c r="M92" i="21"/>
  <c r="M373" i="21"/>
  <c r="M397" i="21" s="1"/>
  <c r="J417" i="21"/>
  <c r="L374" i="21"/>
  <c r="K398" i="21"/>
  <c r="K399" i="21" s="1"/>
  <c r="L549" i="9" s="1"/>
  <c r="M86" i="22"/>
  <c r="M199" i="22"/>
  <c r="M214" i="22" s="1"/>
  <c r="M215" i="22"/>
  <c r="M216" i="22"/>
  <c r="M213" i="22"/>
  <c r="H115" i="9"/>
  <c r="I115" i="9"/>
  <c r="J115" i="9"/>
  <c r="K115" i="9"/>
  <c r="L115" i="9"/>
  <c r="M115" i="9"/>
  <c r="N115" i="9"/>
  <c r="O115" i="9"/>
  <c r="P115" i="9"/>
  <c r="Q115" i="9"/>
  <c r="H144" i="9"/>
  <c r="I144" i="9"/>
  <c r="J144" i="9"/>
  <c r="K144" i="9"/>
  <c r="L144" i="9"/>
  <c r="M144" i="9"/>
  <c r="N144" i="9"/>
  <c r="O144" i="9"/>
  <c r="P144" i="9"/>
  <c r="Q144" i="9"/>
  <c r="P730" i="9"/>
  <c r="P744" i="9"/>
  <c r="P8" i="22"/>
  <c r="L193" i="22"/>
  <c r="M192" i="22"/>
  <c r="M102" i="22"/>
  <c r="M109" i="22" s="1"/>
  <c r="M185" i="22"/>
  <c r="M85" i="22"/>
  <c r="K147" i="22"/>
  <c r="N183" i="22"/>
  <c r="N87" i="22" s="1"/>
  <c r="N181" i="22"/>
  <c r="N189" i="22"/>
  <c r="N105" i="22" s="1"/>
  <c r="N188" i="22"/>
  <c r="N104" i="22" s="1"/>
  <c r="N182" i="22"/>
  <c r="N184" i="22"/>
  <c r="N88" i="22" s="1"/>
  <c r="N191" i="22"/>
  <c r="N107" i="22" s="1"/>
  <c r="N187" i="22"/>
  <c r="N103" i="22" s="1"/>
  <c r="N190" i="22"/>
  <c r="N106" i="22" s="1"/>
  <c r="N186" i="22"/>
  <c r="M167" i="22"/>
  <c r="P8" i="21"/>
  <c r="N167" i="21"/>
  <c r="Q3" i="9"/>
  <c r="Q648" i="9" s="1"/>
  <c r="G425" i="9"/>
  <c r="Q166" i="7"/>
  <c r="Q189" i="9" l="1"/>
  <c r="I189" i="9"/>
  <c r="J189" i="9"/>
  <c r="M189" i="9"/>
  <c r="N189" i="9"/>
  <c r="P189" i="9"/>
  <c r="L189" i="9"/>
  <c r="O189" i="9"/>
  <c r="K189" i="9"/>
  <c r="P559" i="22"/>
  <c r="P500" i="22"/>
  <c r="P406" i="22"/>
  <c r="P242" i="22"/>
  <c r="P177" i="22"/>
  <c r="P133" i="22"/>
  <c r="P354" i="22"/>
  <c r="B363" i="22" s="1" a="1"/>
  <c r="P223" i="22"/>
  <c r="P80" i="22"/>
  <c r="P559" i="21"/>
  <c r="P500" i="21"/>
  <c r="N92" i="21"/>
  <c r="O90" i="21"/>
  <c r="P406" i="21"/>
  <c r="P177" i="21"/>
  <c r="P354" i="21"/>
  <c r="B363" i="21" s="1" a="1"/>
  <c r="P133" i="21"/>
  <c r="P242" i="21"/>
  <c r="P223" i="21"/>
  <c r="P80" i="21"/>
  <c r="N373" i="21"/>
  <c r="N397" i="21" s="1"/>
  <c r="K417" i="21"/>
  <c r="M374" i="21"/>
  <c r="L398" i="21"/>
  <c r="L399" i="21" s="1"/>
  <c r="M549" i="9" s="1"/>
  <c r="N213" i="22"/>
  <c r="N216" i="22"/>
  <c r="N86" i="22"/>
  <c r="N199" i="22"/>
  <c r="N214" i="22" s="1"/>
  <c r="N215" i="22"/>
  <c r="L147" i="22"/>
  <c r="L590" i="22"/>
  <c r="G147" i="9"/>
  <c r="Q730" i="9"/>
  <c r="Q744" i="9"/>
  <c r="M193" i="22"/>
  <c r="N185" i="22"/>
  <c r="N85" i="22"/>
  <c r="N167" i="22"/>
  <c r="O181" i="22"/>
  <c r="O213" i="22" s="1"/>
  <c r="O183" i="22"/>
  <c r="O87" i="22" s="1"/>
  <c r="O187" i="22"/>
  <c r="O103" i="22" s="1"/>
  <c r="O189" i="22"/>
  <c r="O105" i="22" s="1"/>
  <c r="O184" i="22"/>
  <c r="O88" i="22" s="1"/>
  <c r="O182" i="22"/>
  <c r="O215" i="22" s="1"/>
  <c r="O188" i="22"/>
  <c r="O104" i="22" s="1"/>
  <c r="O191" i="22"/>
  <c r="O107" i="22" s="1"/>
  <c r="O190" i="22"/>
  <c r="O106" i="22" s="1"/>
  <c r="O186" i="22"/>
  <c r="N192" i="22"/>
  <c r="N102" i="22"/>
  <c r="N109" i="22" s="1"/>
  <c r="O167" i="21"/>
  <c r="B363" i="22" l="1"/>
  <c r="B381" i="22" s="1"/>
  <c r="B365" i="22"/>
  <c r="B383" i="22" s="1"/>
  <c r="B370" i="22"/>
  <c r="B388" i="22" s="1"/>
  <c r="B366" i="22"/>
  <c r="B384" i="22" s="1"/>
  <c r="B372" i="22"/>
  <c r="B390" i="22" s="1"/>
  <c r="B368" i="22"/>
  <c r="B386" i="22" s="1"/>
  <c r="B364" i="22"/>
  <c r="B382" i="22" s="1"/>
  <c r="B369" i="22"/>
  <c r="B387" i="22" s="1"/>
  <c r="B371" i="22"/>
  <c r="B389" i="22" s="1"/>
  <c r="B367" i="22"/>
  <c r="B385" i="22" s="1"/>
  <c r="B365" i="21"/>
  <c r="B383" i="21" s="1"/>
  <c r="B364" i="21"/>
  <c r="B382" i="21" s="1"/>
  <c r="B370" i="21"/>
  <c r="B388" i="21" s="1"/>
  <c r="B366" i="21"/>
  <c r="B384" i="21" s="1"/>
  <c r="B371" i="21"/>
  <c r="B389" i="21" s="1"/>
  <c r="B367" i="21"/>
  <c r="B385" i="21" s="1"/>
  <c r="B372" i="21"/>
  <c r="B390" i="21" s="1"/>
  <c r="B363" i="21"/>
  <c r="B381" i="21" s="1"/>
  <c r="B368" i="21"/>
  <c r="B386" i="21" s="1"/>
  <c r="B369" i="21"/>
  <c r="B387" i="21" s="1"/>
  <c r="O92" i="21"/>
  <c r="P90" i="21"/>
  <c r="P92" i="21" s="1"/>
  <c r="P373" i="21"/>
  <c r="P397" i="21" s="1"/>
  <c r="O373" i="21"/>
  <c r="O397" i="21" s="1"/>
  <c r="L417" i="21"/>
  <c r="N374" i="21"/>
  <c r="M398" i="21"/>
  <c r="M399" i="21" s="1"/>
  <c r="N549" i="9" s="1"/>
  <c r="O86" i="22"/>
  <c r="O199" i="22"/>
  <c r="O214" i="22" s="1"/>
  <c r="O216" i="22"/>
  <c r="M147" i="22"/>
  <c r="M590" i="22"/>
  <c r="O192" i="22"/>
  <c r="O102" i="22"/>
  <c r="O109" i="22" s="1"/>
  <c r="O167" i="22"/>
  <c r="N193" i="22"/>
  <c r="N590" i="22" s="1"/>
  <c r="O185" i="22"/>
  <c r="O85" i="22"/>
  <c r="P183" i="22"/>
  <c r="P87" i="22" s="1"/>
  <c r="P181" i="22"/>
  <c r="P213" i="22" s="1"/>
  <c r="P188" i="22"/>
  <c r="P104" i="22" s="1"/>
  <c r="P189" i="22"/>
  <c r="P105" i="22" s="1"/>
  <c r="P182" i="22"/>
  <c r="P215" i="22" s="1"/>
  <c r="P184" i="22"/>
  <c r="P88" i="22" s="1"/>
  <c r="P191" i="22"/>
  <c r="P107" i="22" s="1"/>
  <c r="P187" i="22"/>
  <c r="P103" i="22" s="1"/>
  <c r="P190" i="22"/>
  <c r="P106" i="22" s="1"/>
  <c r="P186" i="22"/>
  <c r="P167" i="21"/>
  <c r="O45" i="7"/>
  <c r="M417" i="21" l="1"/>
  <c r="O374" i="21"/>
  <c r="N398" i="21"/>
  <c r="N399" i="21" s="1"/>
  <c r="O549" i="9" s="1"/>
  <c r="P86" i="22"/>
  <c r="P199" i="22"/>
  <c r="P214" i="22" s="1"/>
  <c r="P216" i="22"/>
  <c r="O193" i="22"/>
  <c r="P185" i="22"/>
  <c r="P85" i="22"/>
  <c r="P167" i="22"/>
  <c r="P192" i="22"/>
  <c r="P102" i="22"/>
  <c r="P109" i="22" s="1"/>
  <c r="N147" i="22"/>
  <c r="H759" i="9"/>
  <c r="H760" i="9" s="1"/>
  <c r="I718" i="9"/>
  <c r="J718" i="9" s="1"/>
  <c r="H718" i="9"/>
  <c r="H719" i="9" s="1"/>
  <c r="H732" i="9"/>
  <c r="I732" i="9"/>
  <c r="I746" i="9"/>
  <c r="J746" i="9" s="1"/>
  <c r="K746" i="9" s="1"/>
  <c r="L746" i="9" s="1"/>
  <c r="M746" i="9" s="1"/>
  <c r="N746" i="9" s="1"/>
  <c r="O746" i="9" s="1"/>
  <c r="P746" i="9" s="1"/>
  <c r="Q746" i="9" s="1"/>
  <c r="H746" i="9"/>
  <c r="I745" i="9"/>
  <c r="J745" i="9" s="1"/>
  <c r="G523" i="9"/>
  <c r="I514" i="9"/>
  <c r="J514" i="9" s="1"/>
  <c r="K514" i="9" s="1"/>
  <c r="L514" i="9" s="1"/>
  <c r="M514" i="9" s="1"/>
  <c r="N514" i="9" s="1"/>
  <c r="O514" i="9" s="1"/>
  <c r="P514" i="9" s="1"/>
  <c r="Q514" i="9" s="1"/>
  <c r="I560" i="9"/>
  <c r="J560" i="9" s="1"/>
  <c r="K560" i="9" s="1"/>
  <c r="L560" i="9" s="1"/>
  <c r="M560" i="9" s="1"/>
  <c r="N560" i="9" s="1"/>
  <c r="O560" i="9" s="1"/>
  <c r="P560" i="9" s="1"/>
  <c r="Q560" i="9" s="1"/>
  <c r="G546" i="9"/>
  <c r="N417" i="21" l="1"/>
  <c r="P374" i="21"/>
  <c r="O398" i="21"/>
  <c r="O399" i="21" s="1"/>
  <c r="P549" i="9" s="1"/>
  <c r="O147" i="22"/>
  <c r="O590" i="22"/>
  <c r="K540" i="9"/>
  <c r="O540" i="9"/>
  <c r="H540" i="9"/>
  <c r="L539" i="9"/>
  <c r="L541" i="9" s="1"/>
  <c r="P539" i="9"/>
  <c r="P541" i="9" s="1"/>
  <c r="L540" i="9"/>
  <c r="P540" i="9"/>
  <c r="I539" i="9"/>
  <c r="I541" i="9" s="1"/>
  <c r="M539" i="9"/>
  <c r="M541" i="9" s="1"/>
  <c r="Q539" i="9"/>
  <c r="Q541" i="9" s="1"/>
  <c r="H544" i="9"/>
  <c r="I540" i="9"/>
  <c r="M540" i="9"/>
  <c r="Q540" i="9"/>
  <c r="J539" i="9"/>
  <c r="J541" i="9" s="1"/>
  <c r="N539" i="9"/>
  <c r="N541" i="9" s="1"/>
  <c r="J540" i="9"/>
  <c r="N540" i="9"/>
  <c r="K539" i="9"/>
  <c r="K541" i="9" s="1"/>
  <c r="O539" i="9"/>
  <c r="O541" i="9" s="1"/>
  <c r="H539" i="9"/>
  <c r="H541" i="9" s="1"/>
  <c r="P193" i="22"/>
  <c r="I719" i="9"/>
  <c r="H761" i="9"/>
  <c r="I761" i="9"/>
  <c r="J719" i="9"/>
  <c r="K718" i="9"/>
  <c r="L718" i="9" s="1"/>
  <c r="L719" i="9" s="1"/>
  <c r="K745" i="9"/>
  <c r="I522" i="9"/>
  <c r="P522" i="9"/>
  <c r="L522" i="9"/>
  <c r="I521" i="9"/>
  <c r="P521" i="9"/>
  <c r="L521" i="9"/>
  <c r="H522" i="9"/>
  <c r="O522" i="9"/>
  <c r="K522" i="9"/>
  <c r="Q521" i="9"/>
  <c r="H521" i="9"/>
  <c r="O521" i="9"/>
  <c r="K521" i="9"/>
  <c r="N522" i="9"/>
  <c r="J522" i="9"/>
  <c r="M521" i="9"/>
  <c r="N521" i="9"/>
  <c r="J521" i="9"/>
  <c r="Q522" i="9"/>
  <c r="M522" i="9"/>
  <c r="U118" i="7"/>
  <c r="O34" i="7"/>
  <c r="O417" i="21" l="1"/>
  <c r="P398" i="21"/>
  <c r="P399" i="21" s="1"/>
  <c r="Q549" i="9" s="1"/>
  <c r="P147" i="22"/>
  <c r="P590" i="22"/>
  <c r="M718" i="9"/>
  <c r="M719" i="9" s="1"/>
  <c r="K719" i="9"/>
  <c r="L523" i="9"/>
  <c r="Q523" i="9"/>
  <c r="L745" i="9"/>
  <c r="I523" i="9"/>
  <c r="K523" i="9"/>
  <c r="J523" i="9"/>
  <c r="O523" i="9"/>
  <c r="N523" i="9"/>
  <c r="H523" i="9"/>
  <c r="M523" i="9"/>
  <c r="P523" i="9"/>
  <c r="H526" i="9"/>
  <c r="P417" i="21" l="1"/>
  <c r="J166" i="21"/>
  <c r="N718" i="9"/>
  <c r="N719" i="9" s="1"/>
  <c r="M745" i="9"/>
  <c r="G122" i="7"/>
  <c r="B235" i="9"/>
  <c r="B236" i="9"/>
  <c r="B237" i="9"/>
  <c r="B238" i="9"/>
  <c r="B239" i="9"/>
  <c r="B234" i="9"/>
  <c r="B230" i="9"/>
  <c r="B231" i="9"/>
  <c r="B232" i="9"/>
  <c r="B229" i="9"/>
  <c r="O718" i="9" l="1"/>
  <c r="O719" i="9" s="1"/>
  <c r="N745" i="9"/>
  <c r="B251" i="9"/>
  <c r="B250" i="9"/>
  <c r="B257" i="9"/>
  <c r="B256" i="9"/>
  <c r="B252" i="9"/>
  <c r="B259" i="9"/>
  <c r="B255" i="9"/>
  <c r="B258" i="9"/>
  <c r="B254" i="9"/>
  <c r="H49" i="9"/>
  <c r="H48" i="9" l="1"/>
  <c r="P718" i="9"/>
  <c r="P719" i="9" s="1"/>
  <c r="O745" i="9"/>
  <c r="H196" i="9"/>
  <c r="H198" i="9" s="1"/>
  <c r="J196" i="9"/>
  <c r="I196" i="9"/>
  <c r="H175" i="9"/>
  <c r="J49" i="9"/>
  <c r="I49" i="9"/>
  <c r="I175" i="9"/>
  <c r="K49" i="9" l="1"/>
  <c r="O49" i="9"/>
  <c r="Q49" i="9"/>
  <c r="L49" i="9"/>
  <c r="M49" i="9"/>
  <c r="P49" i="9"/>
  <c r="N49" i="9"/>
  <c r="Q718" i="9"/>
  <c r="Q719" i="9" s="1"/>
  <c r="P745" i="9"/>
  <c r="K175" i="9"/>
  <c r="J175" i="9"/>
  <c r="I48" i="9"/>
  <c r="J48" i="9"/>
  <c r="Q745" i="9" l="1"/>
  <c r="L175" i="9"/>
  <c r="K196" i="9"/>
  <c r="K48" i="9"/>
  <c r="M175" i="9" l="1"/>
  <c r="L196" i="9"/>
  <c r="L48" i="9"/>
  <c r="N175" i="9" l="1"/>
  <c r="M196" i="9"/>
  <c r="M48" i="9"/>
  <c r="O175" i="9" l="1"/>
  <c r="N196" i="9"/>
  <c r="N48" i="9"/>
  <c r="P175" i="9" l="1"/>
  <c r="O48" i="9"/>
  <c r="O196" i="9"/>
  <c r="Q175" i="9" l="1"/>
  <c r="P196" i="9"/>
  <c r="P48" i="9"/>
  <c r="Q48" i="9" l="1"/>
  <c r="Q196" i="9"/>
  <c r="K120" i="7" l="1"/>
  <c r="K139" i="7"/>
  <c r="M139" i="7" l="1"/>
  <c r="M156" i="7" s="1"/>
  <c r="I139" i="7"/>
  <c r="H139" i="7"/>
  <c r="G139" i="7"/>
  <c r="G156" i="7" s="1"/>
  <c r="I117" i="7"/>
  <c r="H117" i="7"/>
  <c r="P11" i="3" l="1"/>
  <c r="Q11" i="3"/>
  <c r="O11" i="3"/>
  <c r="J11" i="3"/>
  <c r="K11" i="3"/>
  <c r="I11" i="3"/>
  <c r="M10" i="3"/>
  <c r="N10" i="3"/>
  <c r="O10" i="3"/>
  <c r="P10" i="3"/>
  <c r="Q10" i="3"/>
  <c r="L10" i="3"/>
  <c r="G120" i="7" l="1"/>
  <c r="M120" i="7"/>
  <c r="G15" i="3"/>
  <c r="J7" i="3"/>
  <c r="K7" i="3" s="1"/>
  <c r="L7" i="3" s="1"/>
  <c r="M7" i="3" s="1"/>
  <c r="N7" i="3" s="1"/>
  <c r="O7" i="3" s="1"/>
  <c r="P7" i="3" s="1"/>
  <c r="Q7" i="3" s="1"/>
  <c r="H731" i="9" l="1"/>
  <c r="G10" i="3"/>
  <c r="E9" i="7" s="1"/>
  <c r="G11" i="3"/>
  <c r="E10" i="7" l="1"/>
  <c r="H615" i="21" l="1"/>
  <c r="E70" i="7"/>
  <c r="E79" i="7"/>
  <c r="E75" i="7"/>
  <c r="E71" i="7"/>
  <c r="E73" i="7"/>
  <c r="E72" i="7"/>
  <c r="E78" i="7"/>
  <c r="E74" i="7"/>
  <c r="E77" i="7"/>
  <c r="E76" i="7"/>
  <c r="H98" i="7"/>
  <c r="J98" i="7" s="1"/>
  <c r="H97" i="7"/>
  <c r="J97" i="7" s="1"/>
  <c r="H100" i="7"/>
  <c r="J100" i="7" s="1"/>
  <c r="H629" i="21" l="1"/>
  <c r="H632" i="21"/>
  <c r="H620" i="21"/>
  <c r="H622" i="21"/>
  <c r="H619" i="21"/>
  <c r="H624" i="21"/>
  <c r="H623" i="21"/>
  <c r="H611" i="21"/>
  <c r="H625" i="21"/>
  <c r="H627" i="21"/>
  <c r="H626" i="21"/>
  <c r="H621" i="21"/>
  <c r="H99" i="7"/>
  <c r="J99" i="7" s="1"/>
  <c r="O11" i="7"/>
  <c r="O46" i="7"/>
  <c r="M112" i="7" s="1"/>
  <c r="O21" i="7"/>
  <c r="J46" i="7" l="1"/>
  <c r="J32" i="7"/>
  <c r="M165" i="7"/>
  <c r="B249" i="9" l="1"/>
  <c r="E108" i="7" l="1"/>
  <c r="F108" i="7"/>
  <c r="H773" i="9" l="1"/>
  <c r="H774" i="9"/>
  <c r="H775" i="9"/>
  <c r="H763" i="9"/>
  <c r="H747" i="9"/>
  <c r="H720" i="9"/>
  <c r="H733" i="9"/>
  <c r="H748" i="9"/>
  <c r="H515" i="9"/>
  <c r="H734" i="9"/>
  <c r="J732" i="9"/>
  <c r="K732" i="9" s="1"/>
  <c r="L732" i="9" s="1"/>
  <c r="J761" i="9"/>
  <c r="K761" i="9" s="1"/>
  <c r="G569" i="9"/>
  <c r="M732" i="9" l="1"/>
  <c r="N732" i="9" s="1"/>
  <c r="O732" i="9" s="1"/>
  <c r="P732" i="9" s="1"/>
  <c r="Q732" i="9" s="1"/>
  <c r="Q542" i="9"/>
  <c r="P542" i="9"/>
  <c r="H542" i="9"/>
  <c r="H545" i="9" s="1"/>
  <c r="L542" i="9"/>
  <c r="I542" i="9"/>
  <c r="K542" i="9"/>
  <c r="M542" i="9"/>
  <c r="O542" i="9"/>
  <c r="J542" i="9"/>
  <c r="N542" i="9"/>
  <c r="H387" i="9"/>
  <c r="H369" i="9"/>
  <c r="I775" i="9"/>
  <c r="J775" i="9" s="1"/>
  <c r="I774" i="9"/>
  <c r="I773" i="9"/>
  <c r="H776" i="9"/>
  <c r="O721" i="9"/>
  <c r="K721" i="9"/>
  <c r="N721" i="9"/>
  <c r="J721" i="9"/>
  <c r="Q721" i="9"/>
  <c r="M721" i="9"/>
  <c r="I721" i="9"/>
  <c r="P721" i="9"/>
  <c r="L721" i="9"/>
  <c r="H721" i="9"/>
  <c r="H561" i="9"/>
  <c r="L761" i="9"/>
  <c r="H318" i="9" l="1"/>
  <c r="H315" i="9"/>
  <c r="H550" i="9"/>
  <c r="Q725" i="9"/>
  <c r="Q726" i="9" s="1"/>
  <c r="Q10" i="9" s="1"/>
  <c r="I725" i="9"/>
  <c r="I726" i="9" s="1"/>
  <c r="I10" i="9" s="1"/>
  <c r="N725" i="9"/>
  <c r="N726" i="9" s="1"/>
  <c r="N10" i="9" s="1"/>
  <c r="M725" i="9"/>
  <c r="M726" i="9" s="1"/>
  <c r="M10" i="9" s="1"/>
  <c r="L725" i="9"/>
  <c r="L726" i="9" s="1"/>
  <c r="L10" i="9" s="1"/>
  <c r="K725" i="9"/>
  <c r="K726" i="9" s="1"/>
  <c r="K10" i="9" s="1"/>
  <c r="P725" i="9"/>
  <c r="P726" i="9" s="1"/>
  <c r="P10" i="9" s="1"/>
  <c r="J725" i="9"/>
  <c r="J726" i="9" s="1"/>
  <c r="J10" i="9" s="1"/>
  <c r="O725" i="9"/>
  <c r="O726" i="9" s="1"/>
  <c r="O10" i="9" s="1"/>
  <c r="H725" i="9"/>
  <c r="H546" i="9"/>
  <c r="I544" i="9" s="1"/>
  <c r="I545" i="9" s="1"/>
  <c r="H321" i="9"/>
  <c r="H211" i="9" s="1"/>
  <c r="H37" i="9"/>
  <c r="H174" i="9"/>
  <c r="J774" i="9"/>
  <c r="K774" i="9" s="1"/>
  <c r="I776" i="9"/>
  <c r="I174" i="9" s="1"/>
  <c r="J773" i="9"/>
  <c r="K775" i="9"/>
  <c r="I763" i="9"/>
  <c r="I747" i="9"/>
  <c r="I720" i="9"/>
  <c r="I748" i="9"/>
  <c r="I515" i="9"/>
  <c r="I734" i="9"/>
  <c r="I561" i="9"/>
  <c r="M761" i="9"/>
  <c r="Q79" i="9" l="1"/>
  <c r="Q70" i="9"/>
  <c r="P79" i="9"/>
  <c r="P70" i="9"/>
  <c r="O79" i="9"/>
  <c r="O70" i="9"/>
  <c r="N79" i="9"/>
  <c r="N70" i="9"/>
  <c r="M79" i="9"/>
  <c r="M70" i="9"/>
  <c r="L79" i="9"/>
  <c r="L70" i="9"/>
  <c r="K79" i="9"/>
  <c r="K70" i="9"/>
  <c r="J79" i="9"/>
  <c r="J70" i="9"/>
  <c r="I79" i="9"/>
  <c r="Q78" i="9"/>
  <c r="P78" i="9"/>
  <c r="O78" i="9"/>
  <c r="N78" i="9"/>
  <c r="M78" i="9"/>
  <c r="L78" i="9"/>
  <c r="K78" i="9"/>
  <c r="J78" i="9"/>
  <c r="I78" i="9"/>
  <c r="I550" i="9"/>
  <c r="I546" i="9"/>
  <c r="J544" i="9" s="1"/>
  <c r="J545" i="9" s="1"/>
  <c r="I37" i="9"/>
  <c r="J776" i="9"/>
  <c r="L774" i="9"/>
  <c r="M774" i="9" s="1"/>
  <c r="K773" i="9"/>
  <c r="L775" i="9"/>
  <c r="J763" i="9"/>
  <c r="J747" i="9"/>
  <c r="J749" i="9" s="1"/>
  <c r="J720" i="9"/>
  <c r="J748" i="9"/>
  <c r="J515" i="9"/>
  <c r="J734" i="9"/>
  <c r="J561" i="9"/>
  <c r="I245" i="9"/>
  <c r="N761" i="9"/>
  <c r="J550" i="9" l="1"/>
  <c r="J753" i="9"/>
  <c r="J754" i="9" s="1"/>
  <c r="J13" i="9" s="1"/>
  <c r="J75" i="9" s="1"/>
  <c r="J546" i="9"/>
  <c r="K544" i="9" s="1"/>
  <c r="K545" i="9" s="1"/>
  <c r="J37" i="9"/>
  <c r="J174" i="9"/>
  <c r="N774" i="9"/>
  <c r="O774" i="9" s="1"/>
  <c r="M775" i="9"/>
  <c r="N775" i="9" s="1"/>
  <c r="O775" i="9" s="1"/>
  <c r="K776" i="9"/>
  <c r="L773" i="9"/>
  <c r="K763" i="9"/>
  <c r="K747" i="9"/>
  <c r="K749" i="9" s="1"/>
  <c r="K720" i="9"/>
  <c r="K748" i="9"/>
  <c r="K515" i="9"/>
  <c r="K734" i="9"/>
  <c r="K561" i="9"/>
  <c r="I229" i="9"/>
  <c r="I231" i="9"/>
  <c r="I106" i="9" s="1"/>
  <c r="I236" i="9"/>
  <c r="I238" i="9"/>
  <c r="I126" i="9" s="1"/>
  <c r="J245" i="9"/>
  <c r="O761" i="9"/>
  <c r="P761" i="9" s="1"/>
  <c r="K550" i="9" l="1"/>
  <c r="K753" i="9"/>
  <c r="K754" i="9" s="1"/>
  <c r="K13" i="9" s="1"/>
  <c r="K75" i="9" s="1"/>
  <c r="K546" i="9"/>
  <c r="L544" i="9" s="1"/>
  <c r="L545" i="9" s="1"/>
  <c r="K37" i="9"/>
  <c r="K174" i="9"/>
  <c r="P774" i="9"/>
  <c r="Q774" i="9" s="1"/>
  <c r="L776" i="9"/>
  <c r="M773" i="9"/>
  <c r="P775" i="9"/>
  <c r="Q775" i="9" s="1"/>
  <c r="L763" i="9"/>
  <c r="L747" i="9"/>
  <c r="L720" i="9"/>
  <c r="L748" i="9"/>
  <c r="L515" i="9"/>
  <c r="L734" i="9"/>
  <c r="L561" i="9"/>
  <c r="J236" i="9"/>
  <c r="J231" i="9"/>
  <c r="J106" i="9" s="1"/>
  <c r="J238" i="9"/>
  <c r="J126" i="9" s="1"/>
  <c r="J229" i="9"/>
  <c r="J261" i="9" s="1"/>
  <c r="I124" i="9"/>
  <c r="K245" i="9"/>
  <c r="I104" i="9"/>
  <c r="J124" i="7"/>
  <c r="L124" i="7" s="1"/>
  <c r="Q761" i="9"/>
  <c r="L550" i="9" l="1"/>
  <c r="L546" i="9"/>
  <c r="M544" i="9" s="1"/>
  <c r="M545" i="9" s="1"/>
  <c r="L37" i="9"/>
  <c r="L174" i="9"/>
  <c r="M776" i="9"/>
  <c r="N773" i="9"/>
  <c r="N776" i="9" s="1"/>
  <c r="R124" i="7"/>
  <c r="S124" i="7" s="1"/>
  <c r="M763" i="9"/>
  <c r="M747" i="9"/>
  <c r="M720" i="9"/>
  <c r="M748" i="9"/>
  <c r="L749" i="9"/>
  <c r="M515" i="9"/>
  <c r="M734" i="9"/>
  <c r="M561" i="9"/>
  <c r="J104" i="9"/>
  <c r="L245" i="9"/>
  <c r="K236" i="9"/>
  <c r="K231" i="9"/>
  <c r="K106" i="9" s="1"/>
  <c r="K238" i="9"/>
  <c r="K126" i="9" s="1"/>
  <c r="K229" i="9"/>
  <c r="K261" i="9" s="1"/>
  <c r="J124" i="9"/>
  <c r="J162" i="7"/>
  <c r="J163" i="7"/>
  <c r="K163" i="7"/>
  <c r="J126" i="7"/>
  <c r="L126" i="7" s="1"/>
  <c r="J125" i="7"/>
  <c r="L125" i="7" s="1"/>
  <c r="J143" i="7"/>
  <c r="J138" i="7"/>
  <c r="M550" i="9" l="1"/>
  <c r="L753" i="9"/>
  <c r="L754" i="9" s="1"/>
  <c r="L13" i="9" s="1"/>
  <c r="L75" i="9" s="1"/>
  <c r="M546" i="9"/>
  <c r="N544" i="9" s="1"/>
  <c r="N545" i="9" s="1"/>
  <c r="G114" i="9"/>
  <c r="H114" i="9" s="1"/>
  <c r="I114" i="9" s="1"/>
  <c r="J114" i="9" s="1"/>
  <c r="K114" i="9" s="1"/>
  <c r="L114" i="9" s="1"/>
  <c r="M114" i="9" s="1"/>
  <c r="N114" i="9" s="1"/>
  <c r="O114" i="9" s="1"/>
  <c r="P114" i="9" s="1"/>
  <c r="Q114" i="9" s="1"/>
  <c r="N37" i="9"/>
  <c r="N174" i="9"/>
  <c r="M37" i="9"/>
  <c r="M174" i="9"/>
  <c r="O773" i="9"/>
  <c r="E16" i="7"/>
  <c r="J170" i="7"/>
  <c r="R125" i="7"/>
  <c r="S125" i="7" s="1"/>
  <c r="R126" i="7"/>
  <c r="S126" i="7" s="1"/>
  <c r="U163" i="7"/>
  <c r="N763" i="9"/>
  <c r="N747" i="9"/>
  <c r="N720" i="9"/>
  <c r="N748" i="9"/>
  <c r="M749" i="9"/>
  <c r="N515" i="9"/>
  <c r="N734" i="9"/>
  <c r="N561" i="9"/>
  <c r="K124" i="9"/>
  <c r="M245" i="9"/>
  <c r="K104" i="9"/>
  <c r="L229" i="9"/>
  <c r="L261" i="9" s="1"/>
  <c r="L236" i="9"/>
  <c r="L238" i="9"/>
  <c r="L126" i="9" s="1"/>
  <c r="L231" i="9"/>
  <c r="L106" i="9" s="1"/>
  <c r="J161" i="7"/>
  <c r="K161" i="7"/>
  <c r="U161" i="7" s="1"/>
  <c r="L163" i="7"/>
  <c r="J164" i="7"/>
  <c r="K164" i="7"/>
  <c r="U164" i="7" s="1"/>
  <c r="L143" i="7"/>
  <c r="L138" i="7"/>
  <c r="U139" i="7"/>
  <c r="H151" i="9" l="1"/>
  <c r="I151" i="9"/>
  <c r="J151" i="9"/>
  <c r="K151" i="9"/>
  <c r="L151" i="9"/>
  <c r="M151" i="9"/>
  <c r="N151" i="9"/>
  <c r="O151" i="9"/>
  <c r="P151" i="9"/>
  <c r="Q151" i="9"/>
  <c r="N550" i="9"/>
  <c r="M753" i="9"/>
  <c r="M754" i="9" s="1"/>
  <c r="M13" i="9" s="1"/>
  <c r="M75" i="9" s="1"/>
  <c r="N546" i="9"/>
  <c r="O544" i="9" s="1"/>
  <c r="O545" i="9" s="1"/>
  <c r="G116" i="9"/>
  <c r="H116" i="9" s="1"/>
  <c r="G115" i="9"/>
  <c r="O776" i="9"/>
  <c r="P773" i="9"/>
  <c r="R163" i="7"/>
  <c r="S163" i="7" s="1"/>
  <c r="R138" i="7"/>
  <c r="O763" i="9"/>
  <c r="O747" i="9"/>
  <c r="O720" i="9"/>
  <c r="O748" i="9"/>
  <c r="N749" i="9"/>
  <c r="O515" i="9"/>
  <c r="O734" i="9"/>
  <c r="O561" i="9"/>
  <c r="L124" i="9"/>
  <c r="L104" i="9"/>
  <c r="M229" i="9"/>
  <c r="M261" i="9" s="1"/>
  <c r="M238" i="9"/>
  <c r="M126" i="9" s="1"/>
  <c r="M236" i="9"/>
  <c r="M231" i="9"/>
  <c r="M106" i="9" s="1"/>
  <c r="N245" i="9"/>
  <c r="L161" i="7"/>
  <c r="L164" i="7"/>
  <c r="O550" i="9" l="1"/>
  <c r="N753" i="9"/>
  <c r="O546" i="9"/>
  <c r="P544" i="9" s="1"/>
  <c r="P545" i="9" s="1"/>
  <c r="G150" i="9"/>
  <c r="H150" i="9" s="1"/>
  <c r="I150" i="9" s="1"/>
  <c r="J150" i="9" s="1"/>
  <c r="K150" i="9" s="1"/>
  <c r="L150" i="9" s="1"/>
  <c r="M150" i="9" s="1"/>
  <c r="N150" i="9" s="1"/>
  <c r="O150" i="9" s="1"/>
  <c r="P150" i="9" s="1"/>
  <c r="Q150" i="9" s="1"/>
  <c r="I116" i="9"/>
  <c r="O37" i="9"/>
  <c r="O174" i="9"/>
  <c r="P776" i="9"/>
  <c r="Q773" i="9"/>
  <c r="R164" i="7"/>
  <c r="S164" i="7" s="1"/>
  <c r="R161" i="7"/>
  <c r="S161" i="7" s="1"/>
  <c r="S138" i="7"/>
  <c r="P763" i="9"/>
  <c r="P747" i="9"/>
  <c r="P749" i="9" s="1"/>
  <c r="P720" i="9"/>
  <c r="P748" i="9"/>
  <c r="O749" i="9"/>
  <c r="P515" i="9"/>
  <c r="P734" i="9"/>
  <c r="P561" i="9"/>
  <c r="N236" i="9"/>
  <c r="N238" i="9"/>
  <c r="N126" i="9" s="1"/>
  <c r="N229" i="9"/>
  <c r="N261" i="9" s="1"/>
  <c r="N231" i="9"/>
  <c r="N106" i="9" s="1"/>
  <c r="M124" i="9"/>
  <c r="O245" i="9"/>
  <c r="M104" i="9"/>
  <c r="P550" i="9" l="1"/>
  <c r="O753" i="9"/>
  <c r="P753" i="9"/>
  <c r="P546" i="9"/>
  <c r="Q544" i="9" s="1"/>
  <c r="Q545" i="9" s="1"/>
  <c r="G128" i="9"/>
  <c r="J116" i="9"/>
  <c r="G148" i="9"/>
  <c r="H148" i="9" s="1"/>
  <c r="I148" i="9" s="1"/>
  <c r="J148" i="9" s="1"/>
  <c r="K148" i="9" s="1"/>
  <c r="L148" i="9" s="1"/>
  <c r="M148" i="9" s="1"/>
  <c r="N148" i="9" s="1"/>
  <c r="O148" i="9" s="1"/>
  <c r="P148" i="9" s="1"/>
  <c r="Q148" i="9" s="1"/>
  <c r="G151" i="9"/>
  <c r="P37" i="9"/>
  <c r="P174" i="9"/>
  <c r="Q776" i="9"/>
  <c r="Q763" i="9"/>
  <c r="Q747" i="9"/>
  <c r="Q720" i="9"/>
  <c r="Q748" i="9"/>
  <c r="Q515" i="9"/>
  <c r="Q734" i="9"/>
  <c r="Q561" i="9"/>
  <c r="N124" i="9"/>
  <c r="P245" i="9"/>
  <c r="O236" i="9"/>
  <c r="O238" i="9"/>
  <c r="O126" i="9" s="1"/>
  <c r="O229" i="9"/>
  <c r="O261" i="9" s="1"/>
  <c r="O231" i="9"/>
  <c r="O106" i="9" s="1"/>
  <c r="N104" i="9"/>
  <c r="Q550" i="9" l="1"/>
  <c r="Q546" i="9"/>
  <c r="K116" i="9"/>
  <c r="Q37" i="9"/>
  <c r="Q174" i="9"/>
  <c r="Q749" i="9"/>
  <c r="P229" i="9"/>
  <c r="P261" i="9" s="1"/>
  <c r="P231" i="9"/>
  <c r="P106" i="9" s="1"/>
  <c r="P238" i="9"/>
  <c r="P126" i="9" s="1"/>
  <c r="P236" i="9"/>
  <c r="O124" i="9"/>
  <c r="Q245" i="9"/>
  <c r="O104" i="9"/>
  <c r="Q753" i="9" l="1"/>
  <c r="L116" i="9"/>
  <c r="P124" i="9"/>
  <c r="Q236" i="9"/>
  <c r="Q231" i="9"/>
  <c r="Q106" i="9" s="1"/>
  <c r="Q238" i="9"/>
  <c r="Q126" i="9" s="1"/>
  <c r="Q229" i="9"/>
  <c r="Q261" i="9" s="1"/>
  <c r="P104" i="9"/>
  <c r="M116" i="9" l="1"/>
  <c r="Q124" i="9"/>
  <c r="Q104" i="9"/>
  <c r="N116" i="9" l="1"/>
  <c r="I731" i="9"/>
  <c r="I733" i="9" s="1"/>
  <c r="O116" i="9" l="1"/>
  <c r="J731" i="9"/>
  <c r="J733" i="9" s="1"/>
  <c r="P116" i="9" l="1"/>
  <c r="K731" i="9"/>
  <c r="K733" i="9" s="1"/>
  <c r="Q116" i="9" l="1"/>
  <c r="L731" i="9"/>
  <c r="L733" i="9" l="1"/>
  <c r="M731" i="9"/>
  <c r="M733" i="9" s="1"/>
  <c r="N731" i="9" l="1"/>
  <c r="N733" i="9" s="1"/>
  <c r="O731" i="9" l="1"/>
  <c r="O733" i="9" s="1"/>
  <c r="P731" i="9" l="1"/>
  <c r="P733" i="9" s="1"/>
  <c r="Q731" i="9" l="1"/>
  <c r="Q733" i="9" s="1"/>
  <c r="E120" i="7" l="1"/>
  <c r="O33" i="7" l="1"/>
  <c r="G121" i="7" l="1"/>
  <c r="J127" i="7" l="1"/>
  <c r="L127" i="7" s="1"/>
  <c r="R127" i="7" s="1"/>
  <c r="S127" i="7" l="1"/>
  <c r="G117" i="9" l="1"/>
  <c r="H189" i="9" s="1"/>
  <c r="J157" i="7" l="1"/>
  <c r="L157" i="7" s="1"/>
  <c r="R157" i="7" s="1"/>
  <c r="G117" i="7" l="1"/>
  <c r="G128" i="7" s="1"/>
  <c r="G166" i="7" l="1"/>
  <c r="J158" i="7"/>
  <c r="L158" i="7" s="1"/>
  <c r="F144" i="7" l="1"/>
  <c r="J155" i="7" l="1"/>
  <c r="L155" i="7" s="1"/>
  <c r="R155" i="7" s="1"/>
  <c r="S155" i="7" s="1"/>
  <c r="G142" i="9" l="1"/>
  <c r="H190" i="9" s="1"/>
  <c r="J119" i="7" l="1"/>
  <c r="L119" i="7" s="1"/>
  <c r="R119" i="7" s="1"/>
  <c r="F120" i="7"/>
  <c r="S119" i="7" l="1"/>
  <c r="H120" i="7"/>
  <c r="G110" i="9" l="1"/>
  <c r="U120" i="7" l="1"/>
  <c r="I120" i="7"/>
  <c r="J118" i="7"/>
  <c r="J120" i="7" l="1"/>
  <c r="L118" i="7"/>
  <c r="R118" i="7" s="1"/>
  <c r="L120" i="7" l="1"/>
  <c r="S118" i="7" l="1"/>
  <c r="R120" i="7"/>
  <c r="G109" i="9" l="1"/>
  <c r="H109" i="9" s="1"/>
  <c r="S120" i="7"/>
  <c r="I109" i="9" l="1"/>
  <c r="G111" i="9"/>
  <c r="J109" i="9" l="1"/>
  <c r="K109" i="9" l="1"/>
  <c r="L109" i="9" l="1"/>
  <c r="M109" i="9" l="1"/>
  <c r="N109" i="9" l="1"/>
  <c r="O109" i="9" l="1"/>
  <c r="P109" i="9" l="1"/>
  <c r="Q109" i="9" l="1"/>
  <c r="I190" i="9" l="1"/>
  <c r="J190" i="9" l="1"/>
  <c r="K190" i="9" l="1"/>
  <c r="L190" i="9" l="1"/>
  <c r="M190" i="9" l="1"/>
  <c r="N190" i="9" l="1"/>
  <c r="O190" i="9" l="1"/>
  <c r="P190" i="9" l="1"/>
  <c r="Q190" i="9" l="1"/>
  <c r="S157" i="7" l="1"/>
  <c r="G144" i="9" l="1"/>
  <c r="H735" i="9" l="1"/>
  <c r="N762" i="9"/>
  <c r="H739" i="9" l="1"/>
  <c r="O762" i="9"/>
  <c r="O764" i="9" s="1"/>
  <c r="K762" i="9"/>
  <c r="J762" i="9"/>
  <c r="H762" i="9"/>
  <c r="L762" i="9"/>
  <c r="P762" i="9"/>
  <c r="I762" i="9"/>
  <c r="M762" i="9"/>
  <c r="N764" i="9" s="1"/>
  <c r="Q762" i="9"/>
  <c r="O38" i="9" l="1"/>
  <c r="N38" i="9"/>
  <c r="K764" i="9"/>
  <c r="K38" i="9" s="1"/>
  <c r="J764" i="9"/>
  <c r="J38" i="9" s="1"/>
  <c r="M764" i="9"/>
  <c r="J735" i="9"/>
  <c r="J739" i="9" s="1"/>
  <c r="Q764" i="9"/>
  <c r="P764" i="9"/>
  <c r="I735" i="9"/>
  <c r="I739" i="9" s="1"/>
  <c r="I764" i="9"/>
  <c r="I38" i="9" s="1"/>
  <c r="H764" i="9"/>
  <c r="H38" i="9" s="1"/>
  <c r="L764" i="9"/>
  <c r="O50" i="9" l="1"/>
  <c r="O628" i="9"/>
  <c r="J50" i="9"/>
  <c r="J628" i="9"/>
  <c r="H50" i="9"/>
  <c r="H628" i="9"/>
  <c r="K50" i="9"/>
  <c r="K628" i="9"/>
  <c r="I50" i="9"/>
  <c r="I628" i="9"/>
  <c r="N50" i="9"/>
  <c r="N628" i="9"/>
  <c r="J740" i="9"/>
  <c r="J11" i="9" s="1"/>
  <c r="J74" i="9" s="1"/>
  <c r="I740" i="9"/>
  <c r="I11" i="9" s="1"/>
  <c r="I74" i="9" s="1"/>
  <c r="M38" i="9"/>
  <c r="L38" i="9"/>
  <c r="P38" i="9"/>
  <c r="Q38" i="9"/>
  <c r="K735" i="9"/>
  <c r="L50" i="9" l="1"/>
  <c r="L628" i="9"/>
  <c r="M50" i="9"/>
  <c r="M628" i="9"/>
  <c r="Q50" i="9"/>
  <c r="Q628" i="9"/>
  <c r="P50" i="9"/>
  <c r="P628" i="9"/>
  <c r="K739" i="9"/>
  <c r="K740" i="9" s="1"/>
  <c r="K11" i="9" s="1"/>
  <c r="K74" i="9" s="1"/>
  <c r="J246" i="9"/>
  <c r="J12" i="9"/>
  <c r="J81" i="9" s="1"/>
  <c r="I12" i="9"/>
  <c r="I81" i="9" s="1"/>
  <c r="I246" i="9"/>
  <c r="L735" i="9"/>
  <c r="M735" i="9"/>
  <c r="M739" i="9" l="1"/>
  <c r="M740" i="9" s="1"/>
  <c r="M11" i="9" s="1"/>
  <c r="M74" i="9" s="1"/>
  <c r="L739" i="9"/>
  <c r="L740" i="9" s="1"/>
  <c r="L11" i="9" s="1"/>
  <c r="L74" i="9" s="1"/>
  <c r="J14" i="9"/>
  <c r="I237" i="9"/>
  <c r="I125" i="9" s="1"/>
  <c r="I230" i="9"/>
  <c r="I234" i="9"/>
  <c r="I235" i="9"/>
  <c r="I123" i="9" s="1"/>
  <c r="I232" i="9"/>
  <c r="I107" i="9" s="1"/>
  <c r="I239" i="9"/>
  <c r="I127" i="9" s="1"/>
  <c r="K246" i="9"/>
  <c r="K12" i="9"/>
  <c r="K81" i="9" s="1"/>
  <c r="J230" i="9"/>
  <c r="J239" i="9"/>
  <c r="J127" i="9" s="1"/>
  <c r="J232" i="9"/>
  <c r="J107" i="9" s="1"/>
  <c r="J235" i="9"/>
  <c r="J123" i="9" s="1"/>
  <c r="J237" i="9"/>
  <c r="J125" i="9" s="1"/>
  <c r="J234" i="9"/>
  <c r="N735" i="9"/>
  <c r="J802" i="9" l="1"/>
  <c r="J808" i="9" s="1"/>
  <c r="J82" i="9"/>
  <c r="J263" i="9"/>
  <c r="J264" i="9"/>
  <c r="J619" i="9"/>
  <c r="N739" i="9"/>
  <c r="N740" i="9" s="1"/>
  <c r="N11" i="9" s="1"/>
  <c r="N74" i="9" s="1"/>
  <c r="J247" i="9"/>
  <c r="J262" i="9" s="1"/>
  <c r="J122" i="9"/>
  <c r="J240" i="9"/>
  <c r="I122" i="9"/>
  <c r="I240" i="9"/>
  <c r="J105" i="9"/>
  <c r="J233" i="9"/>
  <c r="L12" i="9"/>
  <c r="L81" i="9" s="1"/>
  <c r="L246" i="9"/>
  <c r="I105" i="9"/>
  <c r="I233" i="9"/>
  <c r="K237" i="9"/>
  <c r="K125" i="9" s="1"/>
  <c r="K230" i="9"/>
  <c r="K247" i="9" s="1"/>
  <c r="K235" i="9"/>
  <c r="K123" i="9" s="1"/>
  <c r="K234" i="9"/>
  <c r="K239" i="9"/>
  <c r="K127" i="9" s="1"/>
  <c r="K232" i="9"/>
  <c r="K107" i="9" s="1"/>
  <c r="M12" i="9"/>
  <c r="M81" i="9" s="1"/>
  <c r="M246" i="9"/>
  <c r="K14" i="9"/>
  <c r="O735" i="9"/>
  <c r="K802" i="9" l="1"/>
  <c r="K808" i="9" s="1"/>
  <c r="K82" i="9"/>
  <c r="K263" i="9"/>
  <c r="K262" i="9"/>
  <c r="K264" i="9"/>
  <c r="K619" i="9"/>
  <c r="O739" i="9"/>
  <c r="O740" i="9" s="1"/>
  <c r="O11" i="9" s="1"/>
  <c r="O74" i="9" s="1"/>
  <c r="I241" i="9"/>
  <c r="L14" i="9"/>
  <c r="K122" i="9"/>
  <c r="K240" i="9"/>
  <c r="N12" i="9"/>
  <c r="N81" i="9" s="1"/>
  <c r="N246" i="9"/>
  <c r="K105" i="9"/>
  <c r="K233" i="9"/>
  <c r="L239" i="9"/>
  <c r="L127" i="9" s="1"/>
  <c r="L234" i="9"/>
  <c r="L237" i="9"/>
  <c r="L125" i="9" s="1"/>
  <c r="L230" i="9"/>
  <c r="L247" i="9" s="1"/>
  <c r="L235" i="9"/>
  <c r="L123" i="9" s="1"/>
  <c r="L232" i="9"/>
  <c r="L107" i="9" s="1"/>
  <c r="M237" i="9"/>
  <c r="M125" i="9" s="1"/>
  <c r="M230" i="9"/>
  <c r="M232" i="9"/>
  <c r="M107" i="9" s="1"/>
  <c r="M235" i="9"/>
  <c r="M123" i="9" s="1"/>
  <c r="M239" i="9"/>
  <c r="M127" i="9" s="1"/>
  <c r="M234" i="9"/>
  <c r="J129" i="9"/>
  <c r="M14" i="9"/>
  <c r="J241" i="9"/>
  <c r="I129" i="9"/>
  <c r="P735" i="9"/>
  <c r="M802" i="9" l="1"/>
  <c r="M808" i="9" s="1"/>
  <c r="M82" i="9"/>
  <c r="L802" i="9"/>
  <c r="L808" i="9" s="1"/>
  <c r="L82" i="9"/>
  <c r="M263" i="9"/>
  <c r="L263" i="9"/>
  <c r="L262" i="9"/>
  <c r="J814" i="9"/>
  <c r="L264" i="9"/>
  <c r="M264" i="9"/>
  <c r="M619" i="9"/>
  <c r="L619" i="9"/>
  <c r="P739" i="9"/>
  <c r="P740" i="9" s="1"/>
  <c r="P11" i="9" s="1"/>
  <c r="P74" i="9" s="1"/>
  <c r="M247" i="9"/>
  <c r="M262" i="9" s="1"/>
  <c r="J187" i="9"/>
  <c r="K241" i="9"/>
  <c r="M105" i="9"/>
  <c r="M233" i="9"/>
  <c r="L105" i="9"/>
  <c r="L233" i="9"/>
  <c r="O246" i="9"/>
  <c r="O12" i="9"/>
  <c r="O81" i="9" s="1"/>
  <c r="M122" i="9"/>
  <c r="M240" i="9"/>
  <c r="L122" i="9"/>
  <c r="L240" i="9"/>
  <c r="N237" i="9"/>
  <c r="N125" i="9" s="1"/>
  <c r="N239" i="9"/>
  <c r="N127" i="9" s="1"/>
  <c r="N232" i="9"/>
  <c r="N107" i="9" s="1"/>
  <c r="N230" i="9"/>
  <c r="N247" i="9" s="1"/>
  <c r="N235" i="9"/>
  <c r="N123" i="9" s="1"/>
  <c r="N234" i="9"/>
  <c r="K129" i="9"/>
  <c r="Q735" i="9"/>
  <c r="N263" i="9" l="1"/>
  <c r="N262" i="9"/>
  <c r="K187" i="9"/>
  <c r="K814" i="9"/>
  <c r="N264" i="9"/>
  <c r="Q739" i="9"/>
  <c r="Q740" i="9" s="1"/>
  <c r="Q11" i="9" s="1"/>
  <c r="Q74" i="9" s="1"/>
  <c r="M129" i="9"/>
  <c r="M241" i="9"/>
  <c r="N105" i="9"/>
  <c r="N233" i="9"/>
  <c r="L129" i="9"/>
  <c r="O232" i="9"/>
  <c r="O107" i="9" s="1"/>
  <c r="O230" i="9"/>
  <c r="O247" i="9" s="1"/>
  <c r="O239" i="9"/>
  <c r="O127" i="9" s="1"/>
  <c r="O234" i="9"/>
  <c r="O237" i="9"/>
  <c r="O125" i="9" s="1"/>
  <c r="O235" i="9"/>
  <c r="O123" i="9" s="1"/>
  <c r="L241" i="9"/>
  <c r="P246" i="9"/>
  <c r="P12" i="9"/>
  <c r="P81" i="9" s="1"/>
  <c r="N122" i="9"/>
  <c r="N129" i="9" s="1"/>
  <c r="N240" i="9"/>
  <c r="O263" i="9" l="1"/>
  <c r="O262" i="9"/>
  <c r="M814" i="9"/>
  <c r="L187" i="9"/>
  <c r="L814" i="9"/>
  <c r="O264" i="9"/>
  <c r="M187" i="9"/>
  <c r="N241" i="9"/>
  <c r="N187" i="9" s="1"/>
  <c r="Q12" i="9"/>
  <c r="Q81" i="9" s="1"/>
  <c r="Q246" i="9"/>
  <c r="P235" i="9"/>
  <c r="P123" i="9" s="1"/>
  <c r="P230" i="9"/>
  <c r="P247" i="9" s="1"/>
  <c r="P237" i="9"/>
  <c r="P125" i="9" s="1"/>
  <c r="P239" i="9"/>
  <c r="P127" i="9" s="1"/>
  <c r="P232" i="9"/>
  <c r="P107" i="9" s="1"/>
  <c r="P234" i="9"/>
  <c r="O122" i="9"/>
  <c r="O129" i="9" s="1"/>
  <c r="O240" i="9"/>
  <c r="O105" i="9"/>
  <c r="O233" i="9"/>
  <c r="J121" i="7"/>
  <c r="J140" i="7"/>
  <c r="P263" i="9" l="1"/>
  <c r="P262" i="9"/>
  <c r="P264" i="9"/>
  <c r="J144" i="7"/>
  <c r="L140" i="7"/>
  <c r="L144" i="7" s="1"/>
  <c r="Q232" i="9"/>
  <c r="Q107" i="9" s="1"/>
  <c r="Q237" i="9"/>
  <c r="Q125" i="9" s="1"/>
  <c r="Q235" i="9"/>
  <c r="Q123" i="9" s="1"/>
  <c r="Q234" i="9"/>
  <c r="Q230" i="9"/>
  <c r="Q247" i="9" s="1"/>
  <c r="Q239" i="9"/>
  <c r="Q127" i="9" s="1"/>
  <c r="O241" i="9"/>
  <c r="P122" i="9"/>
  <c r="P129" i="9" s="1"/>
  <c r="P240" i="9"/>
  <c r="P105" i="9"/>
  <c r="P233" i="9"/>
  <c r="Q263" i="9" l="1"/>
  <c r="Q262" i="9"/>
  <c r="Q264" i="9"/>
  <c r="Q105" i="9"/>
  <c r="Q233" i="9"/>
  <c r="Q122" i="9"/>
  <c r="Q129" i="9" s="1"/>
  <c r="Q240" i="9"/>
  <c r="P241" i="9"/>
  <c r="P187" i="9" s="1"/>
  <c r="O187" i="9"/>
  <c r="Q241" i="9" l="1"/>
  <c r="Q187" i="9" s="1"/>
  <c r="H524" i="9" l="1"/>
  <c r="H527" i="9" s="1"/>
  <c r="I524" i="9"/>
  <c r="Q524" i="9"/>
  <c r="M524" i="9"/>
  <c r="N524" i="9"/>
  <c r="H528" i="9" l="1"/>
  <c r="I526" i="9" s="1"/>
  <c r="H532" i="9"/>
  <c r="H695" i="9" s="1"/>
  <c r="H696" i="9" s="1"/>
  <c r="J524" i="9"/>
  <c r="O524" i="9"/>
  <c r="P524" i="9"/>
  <c r="K524" i="9"/>
  <c r="L524" i="9"/>
  <c r="I527" i="9" l="1"/>
  <c r="H533" i="9"/>
  <c r="H15" i="9" s="1"/>
  <c r="I694" i="9" l="1"/>
  <c r="I532" i="9"/>
  <c r="I528" i="9"/>
  <c r="J526" i="9" s="1"/>
  <c r="H172" i="9"/>
  <c r="H110" i="9"/>
  <c r="I533" i="9" l="1"/>
  <c r="I15" i="9" s="1"/>
  <c r="I695" i="9"/>
  <c r="I696" i="9" s="1"/>
  <c r="J527" i="9"/>
  <c r="H111" i="9"/>
  <c r="I172" i="9" l="1"/>
  <c r="I76" i="9"/>
  <c r="I110" i="9"/>
  <c r="I111" i="9" s="1"/>
  <c r="J532" i="9"/>
  <c r="J528" i="9"/>
  <c r="K526" i="9" s="1"/>
  <c r="K527" i="9" s="1"/>
  <c r="J533" i="9" l="1"/>
  <c r="J15" i="9" s="1"/>
  <c r="J695" i="9"/>
  <c r="J694" i="9"/>
  <c r="K532" i="9"/>
  <c r="K528" i="9"/>
  <c r="L526" i="9" s="1"/>
  <c r="L527" i="9" s="1"/>
  <c r="J110" i="9" l="1"/>
  <c r="J111" i="9" s="1"/>
  <c r="J76" i="9"/>
  <c r="J696" i="9"/>
  <c r="J172" i="9"/>
  <c r="K533" i="9"/>
  <c r="K15" i="9" s="1"/>
  <c r="K695" i="9"/>
  <c r="L532" i="9"/>
  <c r="L528" i="9"/>
  <c r="M526" i="9" s="1"/>
  <c r="M527" i="9" s="1"/>
  <c r="K172" i="9" l="1"/>
  <c r="K76" i="9"/>
  <c r="K110" i="9"/>
  <c r="K111" i="9" s="1"/>
  <c r="L533" i="9"/>
  <c r="L15" i="9" s="1"/>
  <c r="L76" i="9" s="1"/>
  <c r="L695" i="9"/>
  <c r="K694" i="9"/>
  <c r="K696" i="9" s="1"/>
  <c r="M532" i="9"/>
  <c r="M528" i="9"/>
  <c r="N526" i="9" s="1"/>
  <c r="N527" i="9" s="1"/>
  <c r="L110" i="9" l="1"/>
  <c r="L111" i="9" s="1"/>
  <c r="L172" i="9"/>
  <c r="M533" i="9"/>
  <c r="M15" i="9" s="1"/>
  <c r="M76" i="9" s="1"/>
  <c r="M695" i="9"/>
  <c r="L694" i="9"/>
  <c r="L696" i="9" s="1"/>
  <c r="N532" i="9"/>
  <c r="N528" i="9"/>
  <c r="O526" i="9" s="1"/>
  <c r="M110" i="9" l="1"/>
  <c r="M111" i="9" s="1"/>
  <c r="M172" i="9"/>
  <c r="N533" i="9"/>
  <c r="N15" i="9" s="1"/>
  <c r="N695" i="9"/>
  <c r="M694" i="9"/>
  <c r="M696" i="9" s="1"/>
  <c r="O527" i="9"/>
  <c r="N172" i="9" l="1"/>
  <c r="N76" i="9"/>
  <c r="N110" i="9"/>
  <c r="N111" i="9" s="1"/>
  <c r="N694" i="9"/>
  <c r="N696" i="9" s="1"/>
  <c r="O532" i="9"/>
  <c r="O528" i="9"/>
  <c r="P526" i="9" s="1"/>
  <c r="P527" i="9" s="1"/>
  <c r="O533" i="9" l="1"/>
  <c r="O15" i="9" s="1"/>
  <c r="O76" i="9" s="1"/>
  <c r="O695" i="9"/>
  <c r="O694" i="9"/>
  <c r="P532" i="9"/>
  <c r="P528" i="9"/>
  <c r="Q526" i="9" s="1"/>
  <c r="Q527" i="9" s="1"/>
  <c r="O110" i="9" l="1"/>
  <c r="O111" i="9" s="1"/>
  <c r="O172" i="9"/>
  <c r="O696" i="9"/>
  <c r="P533" i="9"/>
  <c r="P15" i="9" s="1"/>
  <c r="P76" i="9" s="1"/>
  <c r="P695" i="9"/>
  <c r="Q532" i="9"/>
  <c r="Q528" i="9"/>
  <c r="P172" i="9" l="1"/>
  <c r="P110" i="9"/>
  <c r="P111" i="9" s="1"/>
  <c r="Q533" i="9"/>
  <c r="Q15" i="9" s="1"/>
  <c r="Q695" i="9"/>
  <c r="P694" i="9"/>
  <c r="P696" i="9" s="1"/>
  <c r="Q172" i="9" l="1"/>
  <c r="Q76" i="9"/>
  <c r="Q110" i="9"/>
  <c r="Q111" i="9" s="1"/>
  <c r="Q694" i="9"/>
  <c r="Q696" i="9" l="1"/>
  <c r="H749" i="9"/>
  <c r="H753" i="9" l="1"/>
  <c r="H754" i="9" s="1"/>
  <c r="H13" i="9" s="1"/>
  <c r="I749" i="9"/>
  <c r="I753" i="9" l="1"/>
  <c r="I754" i="9" s="1"/>
  <c r="I13" i="9" s="1"/>
  <c r="I75" i="9" s="1"/>
  <c r="I14" i="9" l="1"/>
  <c r="M117" i="7"/>
  <c r="M128" i="7" s="1"/>
  <c r="Q198" i="9"/>
  <c r="P198" i="9"/>
  <c r="O198" i="9"/>
  <c r="N198" i="9"/>
  <c r="M198" i="9"/>
  <c r="L198" i="9"/>
  <c r="K198" i="9"/>
  <c r="J198" i="9"/>
  <c r="I198" i="9"/>
  <c r="M166" i="7"/>
  <c r="I802" i="9" l="1"/>
  <c r="I808" i="9" s="1"/>
  <c r="I82" i="9"/>
  <c r="I619" i="9"/>
  <c r="F70" i="7" l="1"/>
  <c r="E12" i="7"/>
  <c r="H72" i="7" s="1"/>
  <c r="F71" i="7"/>
  <c r="F73" i="7"/>
  <c r="F76" i="7"/>
  <c r="F75" i="7"/>
  <c r="F78" i="7"/>
  <c r="E20" i="7"/>
  <c r="F74" i="7"/>
  <c r="F79" i="7"/>
  <c r="F72" i="7"/>
  <c r="F77" i="7"/>
  <c r="G70" i="7" l="1"/>
  <c r="G72" i="7"/>
  <c r="H75" i="7"/>
  <c r="G77" i="7"/>
  <c r="H78" i="7"/>
  <c r="H70" i="7"/>
  <c r="G74" i="7"/>
  <c r="H77" i="7"/>
  <c r="G79" i="7"/>
  <c r="H71" i="7"/>
  <c r="G75" i="7"/>
  <c r="H76" i="7"/>
  <c r="G73" i="7"/>
  <c r="H74" i="7"/>
  <c r="H79" i="7"/>
  <c r="H73" i="7"/>
  <c r="G78" i="7"/>
  <c r="G71" i="7"/>
  <c r="G76" i="7"/>
  <c r="F80" i="7"/>
  <c r="E80" i="7"/>
  <c r="E22" i="7" l="1"/>
  <c r="E17" i="7"/>
  <c r="I70" i="7"/>
  <c r="J70" i="7"/>
  <c r="I73" i="7"/>
  <c r="J73" i="7"/>
  <c r="I76" i="7"/>
  <c r="J76" i="7"/>
  <c r="J77" i="7"/>
  <c r="I77" i="7"/>
  <c r="I78" i="7"/>
  <c r="J78" i="7"/>
  <c r="J79" i="7"/>
  <c r="I79" i="7"/>
  <c r="J74" i="7"/>
  <c r="I74" i="7"/>
  <c r="I71" i="7"/>
  <c r="J71" i="7"/>
  <c r="J72" i="7"/>
  <c r="I72" i="7"/>
  <c r="I75" i="7"/>
  <c r="J75" i="7"/>
  <c r="J11" i="7"/>
  <c r="J80" i="7" l="1"/>
  <c r="E23" i="7" s="1"/>
  <c r="I80" i="7"/>
  <c r="E48" i="7" s="1"/>
  <c r="J21" i="7" l="1"/>
  <c r="J12" i="7" l="1"/>
  <c r="H422" i="9" l="1"/>
  <c r="B202" i="9" l="1"/>
  <c r="H213" i="9" l="1"/>
  <c r="R158" i="7" l="1"/>
  <c r="P166" i="7"/>
  <c r="U158" i="7" l="1"/>
  <c r="R143" i="7"/>
  <c r="U143" i="7"/>
  <c r="H212" i="9" l="1"/>
  <c r="H319" i="9"/>
  <c r="H209" i="9" s="1"/>
  <c r="I319" i="9" l="1"/>
  <c r="I209" i="9" s="1"/>
  <c r="J319" i="9" l="1"/>
  <c r="J209" i="9" s="1"/>
  <c r="R142" i="7" l="1"/>
  <c r="U142" i="7"/>
  <c r="U141" i="7"/>
  <c r="R141" i="7"/>
  <c r="H149" i="7" l="1"/>
  <c r="H156" i="7" s="1"/>
  <c r="H166" i="7" s="1"/>
  <c r="G589" i="9" l="1"/>
  <c r="H587" i="9" l="1"/>
  <c r="H588" i="9" s="1"/>
  <c r="I128" i="7" l="1"/>
  <c r="G596" i="9" l="1"/>
  <c r="H589" i="9"/>
  <c r="I587" i="9" s="1"/>
  <c r="I588" i="9" s="1"/>
  <c r="I589" i="9" l="1"/>
  <c r="J587" i="9" s="1"/>
  <c r="H594" i="9"/>
  <c r="H595" i="9" s="1"/>
  <c r="H705" i="9" s="1"/>
  <c r="H706" i="9" s="1"/>
  <c r="H214" i="9" l="1"/>
  <c r="H601" i="9"/>
  <c r="J588" i="9"/>
  <c r="J589" i="9" l="1"/>
  <c r="K587" i="9" s="1"/>
  <c r="H596" i="9"/>
  <c r="I594" i="9" s="1"/>
  <c r="I595" i="9" s="1"/>
  <c r="I705" i="9" s="1"/>
  <c r="I601" i="9" l="1"/>
  <c r="K588" i="9"/>
  <c r="I596" i="9"/>
  <c r="J594" i="9" s="1"/>
  <c r="J595" i="9" s="1"/>
  <c r="J705" i="9" s="1"/>
  <c r="J601" i="9" l="1"/>
  <c r="K589" i="9"/>
  <c r="L587" i="9" s="1"/>
  <c r="J596" i="9"/>
  <c r="K594" i="9" s="1"/>
  <c r="K595" i="9" s="1"/>
  <c r="K705" i="9" s="1"/>
  <c r="I214" i="9" l="1"/>
  <c r="K601" i="9"/>
  <c r="L588" i="9"/>
  <c r="K596" i="9"/>
  <c r="L594" i="9" s="1"/>
  <c r="L595" i="9" s="1"/>
  <c r="L705" i="9" s="1"/>
  <c r="L601" i="9" l="1"/>
  <c r="L589" i="9"/>
  <c r="M587" i="9" s="1"/>
  <c r="M588" i="9" s="1"/>
  <c r="L596" i="9"/>
  <c r="M594" i="9" s="1"/>
  <c r="M595" i="9" s="1"/>
  <c r="M705" i="9" s="1"/>
  <c r="M601" i="9" l="1"/>
  <c r="M589" i="9"/>
  <c r="N587" i="9" s="1"/>
  <c r="M596" i="9"/>
  <c r="N594" i="9" s="1"/>
  <c r="N595" i="9" s="1"/>
  <c r="N705" i="9" s="1"/>
  <c r="N588" i="9" l="1"/>
  <c r="N596" i="9"/>
  <c r="O594" i="9" s="1"/>
  <c r="O595" i="9" s="1"/>
  <c r="O705" i="9" s="1"/>
  <c r="N601" i="9" l="1"/>
  <c r="N589" i="9"/>
  <c r="O587" i="9" s="1"/>
  <c r="O596" i="9"/>
  <c r="P594" i="9" s="1"/>
  <c r="P595" i="9" s="1"/>
  <c r="P705" i="9" s="1"/>
  <c r="O588" i="9" l="1"/>
  <c r="P596" i="9"/>
  <c r="Q594" i="9" s="1"/>
  <c r="Q595" i="9" s="1"/>
  <c r="Q705" i="9" s="1"/>
  <c r="K214" i="9" l="1"/>
  <c r="O601" i="9"/>
  <c r="O589" i="9"/>
  <c r="P587" i="9" s="1"/>
  <c r="Q596" i="9"/>
  <c r="P588" i="9" l="1"/>
  <c r="P601" i="9" l="1"/>
  <c r="P589" i="9"/>
  <c r="Q587" i="9" s="1"/>
  <c r="H295" i="9"/>
  <c r="H299" i="9" s="1"/>
  <c r="Q588" i="9" l="1"/>
  <c r="L214" i="9" l="1"/>
  <c r="Q601" i="9"/>
  <c r="Q589" i="9"/>
  <c r="I704" i="9" l="1"/>
  <c r="I706" i="9" l="1"/>
  <c r="J704" i="9" s="1"/>
  <c r="J706" i="9" s="1"/>
  <c r="K704" i="9" s="1"/>
  <c r="K706" i="9" l="1"/>
  <c r="L704" i="9" s="1"/>
  <c r="I295" i="9"/>
  <c r="I299" i="9" s="1"/>
  <c r="L706" i="9" l="1"/>
  <c r="M704" i="9" s="1"/>
  <c r="J295" i="9"/>
  <c r="J299" i="9" s="1"/>
  <c r="M214" i="9" l="1"/>
  <c r="M706" i="9"/>
  <c r="N704" i="9" s="1"/>
  <c r="K295" i="9"/>
  <c r="K299" i="9" s="1"/>
  <c r="N706" i="9" l="1"/>
  <c r="O704" i="9" s="1"/>
  <c r="L295" i="9"/>
  <c r="L299" i="9" s="1"/>
  <c r="O706" i="9" l="1"/>
  <c r="P704" i="9" s="1"/>
  <c r="M295" i="9"/>
  <c r="M299" i="9" s="1"/>
  <c r="N214" i="9" l="1"/>
  <c r="P706" i="9"/>
  <c r="Q704" i="9" s="1"/>
  <c r="N295" i="9"/>
  <c r="N299" i="9" s="1"/>
  <c r="Q706" i="9" l="1"/>
  <c r="O295" i="9"/>
  <c r="O299" i="9" s="1"/>
  <c r="P295" i="9" l="1"/>
  <c r="P299" i="9" s="1"/>
  <c r="Q295" i="9" l="1"/>
  <c r="Q299" i="9" s="1"/>
  <c r="O214" i="9" l="1"/>
  <c r="B5" i="22" l="1"/>
  <c r="B77" i="22"/>
  <c r="B130" i="22"/>
  <c r="B174" i="22"/>
  <c r="B220" i="22"/>
  <c r="B239" i="22"/>
  <c r="B351" i="22"/>
  <c r="B497" i="22"/>
  <c r="B43" i="3"/>
  <c r="B57" i="3"/>
  <c r="B58" i="9"/>
  <c r="B63" i="9"/>
  <c r="B273" i="9"/>
  <c r="B576" i="9"/>
  <c r="G10" i="7"/>
  <c r="B11" i="7"/>
  <c r="G12" i="7"/>
  <c r="G13" i="7"/>
  <c r="G21" i="7"/>
  <c r="G28" i="7"/>
  <c r="B45" i="7"/>
  <c r="B46" i="7"/>
  <c r="B47" i="7"/>
  <c r="G37" i="7"/>
  <c r="B49" i="7"/>
  <c r="G51" i="7"/>
  <c r="L53" i="7"/>
  <c r="G69" i="7"/>
  <c r="E106" i="7"/>
  <c r="B140" i="7"/>
  <c r="B144" i="7"/>
  <c r="B27" i="3"/>
  <c r="B35" i="3"/>
  <c r="B44" i="3"/>
  <c r="B285" i="9"/>
  <c r="B577" i="9"/>
  <c r="B578" i="9"/>
  <c r="B730" i="9"/>
  <c r="B744" i="9"/>
  <c r="B5" i="21"/>
  <c r="B77" i="21"/>
  <c r="B130" i="21"/>
  <c r="B174" i="21"/>
  <c r="B220" i="21"/>
  <c r="B239" i="21"/>
  <c r="B351" i="21"/>
  <c r="B497" i="21"/>
  <c r="B608" i="21"/>
  <c r="B8" i="7"/>
  <c r="G11" i="7"/>
  <c r="B16" i="7"/>
  <c r="B17" i="7"/>
  <c r="B18" i="7"/>
  <c r="B19" i="7"/>
  <c r="B20" i="7"/>
  <c r="B22" i="7"/>
  <c r="G22" i="7"/>
  <c r="B23" i="7"/>
  <c r="G27" i="7"/>
  <c r="B48" i="7"/>
  <c r="G38" i="7"/>
  <c r="G45" i="7"/>
  <c r="B66" i="7"/>
  <c r="C67" i="7"/>
  <c r="L54" i="7"/>
  <c r="F106" i="7"/>
  <c r="B145" i="7"/>
  <c r="B149" i="7"/>
  <c r="P214" i="9" l="1"/>
  <c r="Q214" i="9" l="1"/>
  <c r="B346" i="9" l="1"/>
  <c r="B433" i="9"/>
  <c r="B451" i="9"/>
  <c r="B474" i="9"/>
  <c r="Q754" i="9"/>
  <c r="Q13" i="9" s="1"/>
  <c r="P754" i="9"/>
  <c r="P13" i="9" s="1"/>
  <c r="O754" i="9"/>
  <c r="O13" i="9" s="1"/>
  <c r="O75" i="9" s="1"/>
  <c r="N754" i="9"/>
  <c r="N13" i="9" s="1"/>
  <c r="N75" i="9" s="1"/>
  <c r="Q14" i="9" l="1"/>
  <c r="Q619" i="9" s="1"/>
  <c r="Q75" i="9"/>
  <c r="P14" i="9"/>
  <c r="P75" i="9"/>
  <c r="N14" i="9"/>
  <c r="O14" i="9"/>
  <c r="Q802" i="9" l="1"/>
  <c r="Q808" i="9" s="1"/>
  <c r="Q814" i="9" s="1"/>
  <c r="Q82" i="9"/>
  <c r="P619" i="9"/>
  <c r="P82" i="9"/>
  <c r="O802" i="9"/>
  <c r="O808" i="9" s="1"/>
  <c r="O814" i="9" s="1"/>
  <c r="O82" i="9"/>
  <c r="N802" i="9"/>
  <c r="N808" i="9" s="1"/>
  <c r="N814" i="9" s="1"/>
  <c r="N82" i="9"/>
  <c r="P802" i="9"/>
  <c r="P808" i="9" s="1"/>
  <c r="P814" i="9" s="1"/>
  <c r="O619" i="9"/>
  <c r="N619" i="9"/>
  <c r="S251" i="21" l="1"/>
  <c r="S165" i="21" s="1"/>
  <c r="T251" i="21" l="1"/>
  <c r="T165" i="21" s="1"/>
  <c r="G251" i="21" l="1"/>
  <c r="G165" i="21" s="1"/>
  <c r="H320" i="9" l="1"/>
  <c r="H210" i="9" s="1"/>
  <c r="H251" i="21" l="1"/>
  <c r="H165" i="21" s="1"/>
  <c r="I320" i="9" l="1"/>
  <c r="I210" i="9" s="1"/>
  <c r="I251" i="21" l="1"/>
  <c r="I165" i="21" s="1"/>
  <c r="J320" i="9" l="1"/>
  <c r="J210" i="9" s="1"/>
  <c r="J251" i="21" l="1"/>
  <c r="J165" i="21" s="1"/>
  <c r="K320" i="9" l="1"/>
  <c r="K210" i="9" s="1"/>
  <c r="K251" i="21" l="1"/>
  <c r="K165" i="21" s="1"/>
  <c r="L320" i="9" l="1"/>
  <c r="L210" i="9" s="1"/>
  <c r="M320" i="9" l="1"/>
  <c r="M210" i="9" s="1"/>
  <c r="L251" i="21"/>
  <c r="L165" i="21" s="1"/>
  <c r="U116" i="7" l="1"/>
  <c r="N320" i="9" l="1"/>
  <c r="N210" i="9" s="1"/>
  <c r="M251" i="21"/>
  <c r="M165" i="21" s="1"/>
  <c r="O320" i="9" l="1"/>
  <c r="O210" i="9" s="1"/>
  <c r="N251" i="21"/>
  <c r="N165" i="21" s="1"/>
  <c r="P320" i="9" l="1"/>
  <c r="P210" i="9" s="1"/>
  <c r="O251" i="21" l="1"/>
  <c r="O165" i="21" s="1"/>
  <c r="Q320" i="9" l="1"/>
  <c r="Q210" i="9" s="1"/>
  <c r="P251" i="21" l="1"/>
  <c r="P165" i="21" s="1"/>
  <c r="Q212" i="9" l="1"/>
  <c r="Q319" i="9"/>
  <c r="Q209" i="9" s="1"/>
  <c r="J214" i="9"/>
  <c r="P212" i="9"/>
  <c r="P319" i="9"/>
  <c r="P209" i="9" s="1"/>
  <c r="O212" i="9"/>
  <c r="O319" i="9"/>
  <c r="O209" i="9" s="1"/>
  <c r="N212" i="9"/>
  <c r="N319" i="9"/>
  <c r="N209" i="9" s="1"/>
  <c r="Q213" i="9"/>
  <c r="M212" i="9"/>
  <c r="M319" i="9"/>
  <c r="M209" i="9" s="1"/>
  <c r="Q321" i="9"/>
  <c r="Q211" i="9" s="1"/>
  <c r="P213" i="9"/>
  <c r="L212" i="9"/>
  <c r="L319" i="9"/>
  <c r="L209" i="9" s="1"/>
  <c r="P321" i="9"/>
  <c r="P211" i="9" s="1"/>
  <c r="O213" i="9"/>
  <c r="K212" i="9"/>
  <c r="K319" i="9"/>
  <c r="K209" i="9" s="1"/>
  <c r="O321" i="9"/>
  <c r="O211" i="9" s="1"/>
  <c r="N213" i="9"/>
  <c r="J212" i="9"/>
  <c r="N321" i="9"/>
  <c r="N211" i="9" s="1"/>
  <c r="M213" i="9"/>
  <c r="I212" i="9"/>
  <c r="M321" i="9"/>
  <c r="M211" i="9" s="1"/>
  <c r="L213" i="9"/>
  <c r="L321" i="9"/>
  <c r="L211" i="9" s="1"/>
  <c r="K213" i="9"/>
  <c r="K321" i="9"/>
  <c r="K211" i="9" s="1"/>
  <c r="J321" i="9"/>
  <c r="J211" i="9" s="1"/>
  <c r="J213" i="9"/>
  <c r="I213" i="9"/>
  <c r="I321" i="9"/>
  <c r="I211" i="9" s="1"/>
  <c r="P166" i="22"/>
  <c r="P251" i="22"/>
  <c r="P165" i="22" s="1"/>
  <c r="O166" i="22"/>
  <c r="P166" i="21"/>
  <c r="O251" i="22"/>
  <c r="O165" i="22" s="1"/>
  <c r="N166" i="22"/>
  <c r="N251" i="22"/>
  <c r="N165" i="22" s="1"/>
  <c r="O166" i="21"/>
  <c r="M166" i="22"/>
  <c r="N166" i="21"/>
  <c r="M251" i="22"/>
  <c r="M165" i="22" s="1"/>
  <c r="L251" i="22"/>
  <c r="L165" i="22" s="1"/>
  <c r="L166" i="22"/>
  <c r="M166" i="21"/>
  <c r="K251" i="22"/>
  <c r="K165" i="22" s="1"/>
  <c r="K166" i="22"/>
  <c r="L166" i="21"/>
  <c r="J166" i="22"/>
  <c r="K166" i="21"/>
  <c r="J251" i="22"/>
  <c r="J165" i="22" s="1"/>
  <c r="I251" i="22"/>
  <c r="I165" i="22" s="1"/>
  <c r="I166" i="22"/>
  <c r="H251" i="22"/>
  <c r="H165" i="22" s="1"/>
  <c r="I166" i="21"/>
  <c r="H166" i="22"/>
  <c r="G251" i="22"/>
  <c r="G165" i="22" s="1"/>
  <c r="G166" i="22"/>
  <c r="T251" i="22"/>
  <c r="T165" i="22" s="1"/>
  <c r="T166" i="21"/>
  <c r="T166" i="22"/>
  <c r="S251" i="22"/>
  <c r="S165" i="22" s="1"/>
  <c r="S166" i="22"/>
  <c r="S296" i="21" l="1"/>
  <c r="F526" i="21"/>
  <c r="F534" i="21" s="1"/>
  <c r="G630" i="21" l="1"/>
  <c r="G631" i="21" s="1"/>
  <c r="G633" i="21" s="1"/>
  <c r="I630" i="21"/>
  <c r="I631" i="21" s="1"/>
  <c r="I633" i="21" s="1"/>
  <c r="J630" i="21"/>
  <c r="J631" i="21" s="1"/>
  <c r="J633" i="21" s="1"/>
  <c r="O630" i="21"/>
  <c r="O631" i="21" s="1"/>
  <c r="O633" i="21" s="1"/>
  <c r="N630" i="21"/>
  <c r="N631" i="21" s="1"/>
  <c r="N633" i="21" s="1"/>
  <c r="M630" i="21"/>
  <c r="M631" i="21" s="1"/>
  <c r="M633" i="21" s="1"/>
  <c r="K630" i="21"/>
  <c r="K631" i="21" s="1"/>
  <c r="K633" i="21" s="1"/>
  <c r="L630" i="21"/>
  <c r="L631" i="21" s="1"/>
  <c r="L633" i="21" s="1"/>
  <c r="H630" i="21"/>
  <c r="H631" i="21" s="1"/>
  <c r="H633" i="21" s="1"/>
  <c r="S290" i="21"/>
  <c r="F525" i="21"/>
  <c r="F533" i="21" l="1"/>
  <c r="I661" i="21"/>
  <c r="M661" i="21"/>
  <c r="I660" i="21"/>
  <c r="M660" i="21"/>
  <c r="I635" i="21"/>
  <c r="M635" i="21"/>
  <c r="G634" i="21"/>
  <c r="H634" i="21" s="1"/>
  <c r="I634" i="21" s="1"/>
  <c r="J634" i="21" s="1"/>
  <c r="K634" i="21" s="1"/>
  <c r="L634" i="21" s="1"/>
  <c r="M634" i="21" s="1"/>
  <c r="N634" i="21" s="1"/>
  <c r="O634" i="21" s="1"/>
  <c r="L661" i="21"/>
  <c r="G661" i="21"/>
  <c r="L660" i="21"/>
  <c r="G660" i="21"/>
  <c r="G635" i="21"/>
  <c r="J661" i="21"/>
  <c r="N661" i="21"/>
  <c r="J660" i="21"/>
  <c r="N660" i="21"/>
  <c r="J635" i="21"/>
  <c r="N635" i="21"/>
  <c r="K661" i="21"/>
  <c r="O661" i="21"/>
  <c r="K660" i="21"/>
  <c r="O660" i="21"/>
  <c r="K635" i="21"/>
  <c r="O635" i="21"/>
  <c r="L635" i="21"/>
  <c r="H660" i="21"/>
  <c r="H661" i="21"/>
  <c r="H635" i="21"/>
  <c r="F34" i="21" l="1"/>
  <c r="F30" i="21" l="1"/>
  <c r="S461" i="21" l="1"/>
  <c r="S490" i="21" l="1"/>
  <c r="S285" i="22" l="1"/>
  <c r="S250" i="22" s="1"/>
  <c r="S279" i="22"/>
  <c r="S249" i="22" s="1"/>
  <c r="S252" i="22" l="1"/>
  <c r="S246" i="22"/>
  <c r="S244" i="21" l="1"/>
  <c r="S246" i="21" s="1"/>
  <c r="F126" i="21"/>
  <c r="S278" i="21" l="1"/>
  <c r="S279" i="21" s="1"/>
  <c r="S249" i="21" l="1"/>
  <c r="S284" i="21"/>
  <c r="S285" i="21" s="1"/>
  <c r="S269" i="21" l="1"/>
  <c r="S250" i="21"/>
  <c r="S252" i="21" s="1"/>
  <c r="F201" i="21" l="1"/>
  <c r="F202" i="21"/>
  <c r="F203" i="21"/>
  <c r="F204" i="21"/>
  <c r="F206" i="21"/>
  <c r="F207" i="21"/>
  <c r="F208" i="21"/>
  <c r="F209" i="21"/>
  <c r="F210" i="21"/>
  <c r="F211" i="21"/>
  <c r="G210" i="21" l="1"/>
  <c r="G202" i="21"/>
  <c r="G201" i="21"/>
  <c r="G208" i="21"/>
  <c r="G206" i="21"/>
  <c r="G209" i="21"/>
  <c r="G204" i="21"/>
  <c r="H204" i="21" s="1"/>
  <c r="G211" i="21"/>
  <c r="H211" i="21" s="1"/>
  <c r="G207" i="21"/>
  <c r="G203" i="21"/>
  <c r="G191" i="21" l="1"/>
  <c r="G107" i="21" s="1"/>
  <c r="T207" i="21"/>
  <c r="S207" i="21"/>
  <c r="S187" i="21" s="1"/>
  <c r="T208" i="21"/>
  <c r="S208" i="21"/>
  <c r="S188" i="21" s="1"/>
  <c r="S203" i="21"/>
  <c r="S183" i="21" s="1"/>
  <c r="T203" i="21"/>
  <c r="S206" i="21"/>
  <c r="S186" i="21" s="1"/>
  <c r="T206" i="21"/>
  <c r="S201" i="21"/>
  <c r="S181" i="21" s="1"/>
  <c r="T201" i="21"/>
  <c r="G184" i="21"/>
  <c r="G88" i="21" s="1"/>
  <c r="T204" i="21"/>
  <c r="S204" i="21"/>
  <c r="S184" i="21" s="1"/>
  <c r="S202" i="21"/>
  <c r="S182" i="21" s="1"/>
  <c r="T202" i="21"/>
  <c r="H206" i="21"/>
  <c r="H186" i="21" s="1"/>
  <c r="G186" i="21"/>
  <c r="G102" i="21" s="1"/>
  <c r="H203" i="21"/>
  <c r="H183" i="21" s="1"/>
  <c r="H87" i="21" s="1"/>
  <c r="S211" i="21"/>
  <c r="S191" i="21" s="1"/>
  <c r="T211" i="21"/>
  <c r="T209" i="21"/>
  <c r="S209" i="21"/>
  <c r="S189" i="21" s="1"/>
  <c r="T210" i="21"/>
  <c r="S210" i="21"/>
  <c r="S190" i="21" s="1"/>
  <c r="G183" i="21"/>
  <c r="G87" i="21" s="1"/>
  <c r="H191" i="21"/>
  <c r="H107" i="21" s="1"/>
  <c r="I211" i="21"/>
  <c r="H184" i="21"/>
  <c r="H88" i="21" s="1"/>
  <c r="I204" i="21"/>
  <c r="G188" i="21"/>
  <c r="G104" i="21" s="1"/>
  <c r="H208" i="21"/>
  <c r="T182" i="21" l="1"/>
  <c r="T215" i="21" s="1"/>
  <c r="S102" i="21"/>
  <c r="F132" i="7" s="1"/>
  <c r="J132" i="7" s="1"/>
  <c r="T186" i="21"/>
  <c r="T102" i="21" s="1"/>
  <c r="S105" i="21"/>
  <c r="F135" i="7" s="1"/>
  <c r="J135" i="7" s="1"/>
  <c r="L135" i="7" s="1"/>
  <c r="R135" i="7" s="1"/>
  <c r="T189" i="21"/>
  <c r="T105" i="21" s="1"/>
  <c r="S103" i="21"/>
  <c r="F133" i="7" s="1"/>
  <c r="J133" i="7" s="1"/>
  <c r="L133" i="7" s="1"/>
  <c r="R133" i="7" s="1"/>
  <c r="T187" i="21"/>
  <c r="T103" i="21" s="1"/>
  <c r="S107" i="21"/>
  <c r="F137" i="7" s="1"/>
  <c r="J137" i="7" s="1"/>
  <c r="L137" i="7" s="1"/>
  <c r="R137" i="7" s="1"/>
  <c r="T191" i="21"/>
  <c r="T107" i="21" s="1"/>
  <c r="S88" i="21"/>
  <c r="F116" i="7" s="1"/>
  <c r="J116" i="7" s="1"/>
  <c r="L116" i="7" s="1"/>
  <c r="R116" i="7" s="1"/>
  <c r="T184" i="21"/>
  <c r="T88" i="21" s="1"/>
  <c r="S213" i="21"/>
  <c r="T181" i="21"/>
  <c r="T213" i="21" s="1"/>
  <c r="S87" i="21"/>
  <c r="F115" i="7" s="1"/>
  <c r="J115" i="7" s="1"/>
  <c r="L115" i="7" s="1"/>
  <c r="R115" i="7" s="1"/>
  <c r="T183" i="21"/>
  <c r="T87" i="21" s="1"/>
  <c r="S106" i="21"/>
  <c r="F136" i="7" s="1"/>
  <c r="J136" i="7" s="1"/>
  <c r="L136" i="7" s="1"/>
  <c r="R136" i="7" s="1"/>
  <c r="T190" i="21"/>
  <c r="T106" i="21" s="1"/>
  <c r="S104" i="21"/>
  <c r="F134" i="7" s="1"/>
  <c r="J134" i="7" s="1"/>
  <c r="L134" i="7" s="1"/>
  <c r="R134" i="7" s="1"/>
  <c r="T188" i="21"/>
  <c r="T104" i="21" s="1"/>
  <c r="S86" i="21"/>
  <c r="F114" i="7" s="1"/>
  <c r="J114" i="7" s="1"/>
  <c r="L114" i="7" s="1"/>
  <c r="R114" i="7" s="1"/>
  <c r="T199" i="21"/>
  <c r="I203" i="21"/>
  <c r="J203" i="21" s="1"/>
  <c r="S185" i="21"/>
  <c r="S216" i="21"/>
  <c r="S85" i="21"/>
  <c r="F113" i="7" s="1"/>
  <c r="J113" i="7" s="1"/>
  <c r="L113" i="7" s="1"/>
  <c r="R113" i="7" s="1"/>
  <c r="I206" i="21"/>
  <c r="J206" i="21" s="1"/>
  <c r="S199" i="21"/>
  <c r="S214" i="21" s="1"/>
  <c r="S215" i="21"/>
  <c r="S192" i="21"/>
  <c r="T216" i="21"/>
  <c r="H207" i="21"/>
  <c r="G187" i="21"/>
  <c r="G103" i="21" s="1"/>
  <c r="T86" i="21"/>
  <c r="G182" i="21"/>
  <c r="H202" i="21"/>
  <c r="J211" i="21"/>
  <c r="I191" i="21"/>
  <c r="I107" i="21" s="1"/>
  <c r="H188" i="21"/>
  <c r="H104" i="21" s="1"/>
  <c r="I208" i="21"/>
  <c r="J204" i="21"/>
  <c r="I184" i="21"/>
  <c r="I88" i="21" s="1"/>
  <c r="G189" i="21"/>
  <c r="H209" i="21"/>
  <c r="G190" i="21"/>
  <c r="G106" i="21" s="1"/>
  <c r="H210" i="21"/>
  <c r="H102" i="21"/>
  <c r="G181" i="21"/>
  <c r="G213" i="21" s="1"/>
  <c r="H201" i="21"/>
  <c r="F139" i="7" l="1"/>
  <c r="S109" i="21"/>
  <c r="T214" i="21"/>
  <c r="T192" i="21"/>
  <c r="T85" i="21"/>
  <c r="T185" i="21"/>
  <c r="T109" i="21"/>
  <c r="I183" i="21"/>
  <c r="I87" i="21" s="1"/>
  <c r="I186" i="21"/>
  <c r="I102" i="21" s="1"/>
  <c r="S193" i="21"/>
  <c r="S590" i="21" s="1"/>
  <c r="G199" i="21"/>
  <c r="G214" i="21" s="1"/>
  <c r="G215" i="21"/>
  <c r="G216" i="21"/>
  <c r="H187" i="21"/>
  <c r="H103" i="21" s="1"/>
  <c r="I207" i="21"/>
  <c r="H182" i="21"/>
  <c r="H215" i="21" s="1"/>
  <c r="I202" i="21"/>
  <c r="G86" i="21"/>
  <c r="H189" i="21"/>
  <c r="H105" i="21" s="1"/>
  <c r="I209" i="21"/>
  <c r="L132" i="7"/>
  <c r="J139" i="7"/>
  <c r="G105" i="21"/>
  <c r="G109" i="21" s="1"/>
  <c r="G192" i="21"/>
  <c r="I201" i="21"/>
  <c r="H181" i="21"/>
  <c r="I210" i="21"/>
  <c r="H190" i="21"/>
  <c r="H106" i="21" s="1"/>
  <c r="J191" i="21"/>
  <c r="J107" i="21" s="1"/>
  <c r="K211" i="21"/>
  <c r="K203" i="21"/>
  <c r="J183" i="21"/>
  <c r="J87" i="21" s="1"/>
  <c r="G185" i="21"/>
  <c r="G85" i="21"/>
  <c r="K204" i="21"/>
  <c r="J184" i="21"/>
  <c r="J88" i="21" s="1"/>
  <c r="I188" i="21"/>
  <c r="I104" i="21" s="1"/>
  <c r="J208" i="21"/>
  <c r="J186" i="21"/>
  <c r="K206" i="21"/>
  <c r="T193" i="21" l="1"/>
  <c r="T590" i="21" s="1"/>
  <c r="S147" i="21"/>
  <c r="G193" i="21"/>
  <c r="I187" i="21"/>
  <c r="I103" i="21" s="1"/>
  <c r="J207" i="21"/>
  <c r="H192" i="21"/>
  <c r="I182" i="21"/>
  <c r="I216" i="21" s="1"/>
  <c r="J202" i="21"/>
  <c r="H109" i="21"/>
  <c r="H199" i="21"/>
  <c r="H214" i="21" s="1"/>
  <c r="H216" i="21"/>
  <c r="H86" i="21"/>
  <c r="J209" i="21"/>
  <c r="I189" i="21"/>
  <c r="K186" i="21"/>
  <c r="L206" i="21"/>
  <c r="K208" i="21"/>
  <c r="J188" i="21"/>
  <c r="J104" i="21" s="1"/>
  <c r="K183" i="21"/>
  <c r="K87" i="21" s="1"/>
  <c r="L203" i="21"/>
  <c r="J102" i="21"/>
  <c r="K191" i="21"/>
  <c r="K107" i="21" s="1"/>
  <c r="L211" i="21"/>
  <c r="J210" i="21"/>
  <c r="I190" i="21"/>
  <c r="I106" i="21" s="1"/>
  <c r="H185" i="21"/>
  <c r="H85" i="21"/>
  <c r="R132" i="7"/>
  <c r="L139" i="7"/>
  <c r="H213" i="21"/>
  <c r="J201" i="21"/>
  <c r="I181" i="21"/>
  <c r="K184" i="21"/>
  <c r="K88" i="21" s="1"/>
  <c r="L204" i="21"/>
  <c r="T147" i="21" l="1"/>
  <c r="G147" i="21"/>
  <c r="G590" i="21"/>
  <c r="H193" i="21"/>
  <c r="H147" i="21" s="1"/>
  <c r="J187" i="21"/>
  <c r="J103" i="21" s="1"/>
  <c r="K207" i="21"/>
  <c r="J182" i="21"/>
  <c r="K202" i="21"/>
  <c r="I86" i="21"/>
  <c r="I199" i="21"/>
  <c r="I214" i="21" s="1"/>
  <c r="I215" i="21"/>
  <c r="L191" i="21"/>
  <c r="L107" i="21" s="1"/>
  <c r="M211" i="21"/>
  <c r="I105" i="21"/>
  <c r="I109" i="21" s="1"/>
  <c r="I192" i="21"/>
  <c r="I85" i="21"/>
  <c r="I185" i="21"/>
  <c r="R139" i="7"/>
  <c r="K188" i="21"/>
  <c r="K104" i="21" s="1"/>
  <c r="L208" i="21"/>
  <c r="K209" i="21"/>
  <c r="J189" i="21"/>
  <c r="J105" i="21" s="1"/>
  <c r="L184" i="21"/>
  <c r="L88" i="21" s="1"/>
  <c r="M204" i="21"/>
  <c r="K201" i="21"/>
  <c r="J181" i="21"/>
  <c r="I213" i="21"/>
  <c r="K210" i="21"/>
  <c r="J190" i="21"/>
  <c r="J106" i="21" s="1"/>
  <c r="L183" i="21"/>
  <c r="L87" i="21" s="1"/>
  <c r="M203" i="21"/>
  <c r="M206" i="21"/>
  <c r="L186" i="21"/>
  <c r="K102" i="21"/>
  <c r="H590" i="21" l="1"/>
  <c r="J109" i="21"/>
  <c r="K187" i="21"/>
  <c r="K103" i="21" s="1"/>
  <c r="L207" i="21"/>
  <c r="J192" i="21"/>
  <c r="K182" i="21"/>
  <c r="L202" i="21"/>
  <c r="J216" i="21"/>
  <c r="J86" i="21"/>
  <c r="J215" i="21"/>
  <c r="J199" i="21"/>
  <c r="J214" i="21" s="1"/>
  <c r="J85" i="21"/>
  <c r="J185" i="21"/>
  <c r="J193" i="21" s="1"/>
  <c r="J213" i="21"/>
  <c r="L102" i="21"/>
  <c r="K181" i="21"/>
  <c r="L201" i="21"/>
  <c r="K189" i="21"/>
  <c r="L209" i="21"/>
  <c r="I193" i="21"/>
  <c r="N206" i="21"/>
  <c r="M186" i="21"/>
  <c r="K190" i="21"/>
  <c r="K106" i="21" s="1"/>
  <c r="L210" i="21"/>
  <c r="N204" i="21"/>
  <c r="M184" i="21"/>
  <c r="M88" i="21" s="1"/>
  <c r="L188" i="21"/>
  <c r="L104" i="21" s="1"/>
  <c r="M208" i="21"/>
  <c r="M191" i="21"/>
  <c r="M107" i="21" s="1"/>
  <c r="N211" i="21"/>
  <c r="M183" i="21"/>
  <c r="M87" i="21" s="1"/>
  <c r="N203" i="21"/>
  <c r="K213" i="21" l="1"/>
  <c r="L187" i="21"/>
  <c r="L103" i="21" s="1"/>
  <c r="M207" i="21"/>
  <c r="K199" i="21"/>
  <c r="K214" i="21" s="1"/>
  <c r="K215" i="21"/>
  <c r="K86" i="21"/>
  <c r="K216" i="21"/>
  <c r="L182" i="21"/>
  <c r="M202" i="21"/>
  <c r="N191" i="21"/>
  <c r="N107" i="21" s="1"/>
  <c r="O211" i="21"/>
  <c r="J147" i="21"/>
  <c r="I590" i="21"/>
  <c r="I147" i="21"/>
  <c r="K105" i="21"/>
  <c r="K109" i="21" s="1"/>
  <c r="K192" i="21"/>
  <c r="O203" i="21"/>
  <c r="N183" i="21"/>
  <c r="N87" i="21" s="1"/>
  <c r="M102" i="21"/>
  <c r="M201" i="21"/>
  <c r="L181" i="21"/>
  <c r="L213" i="21" s="1"/>
  <c r="O204" i="21"/>
  <c r="N184" i="21"/>
  <c r="N88" i="21" s="1"/>
  <c r="O206" i="21"/>
  <c r="N186" i="21"/>
  <c r="K85" i="21"/>
  <c r="K185" i="21"/>
  <c r="M188" i="21"/>
  <c r="M104" i="21" s="1"/>
  <c r="N208" i="21"/>
  <c r="M210" i="21"/>
  <c r="L190" i="21"/>
  <c r="L106" i="21" s="1"/>
  <c r="L189" i="21"/>
  <c r="L105" i="21" s="1"/>
  <c r="M209" i="21"/>
  <c r="J590" i="21"/>
  <c r="N207" i="21" l="1"/>
  <c r="M187" i="21"/>
  <c r="M103" i="21" s="1"/>
  <c r="L199" i="21"/>
  <c r="L214" i="21" s="1"/>
  <c r="L86" i="21"/>
  <c r="L109" i="21"/>
  <c r="L215" i="21"/>
  <c r="N202" i="21"/>
  <c r="M182" i="21"/>
  <c r="L216" i="21"/>
  <c r="O208" i="21"/>
  <c r="N188" i="21"/>
  <c r="N104" i="21" s="1"/>
  <c r="N201" i="21"/>
  <c r="M181" i="21"/>
  <c r="O184" i="21"/>
  <c r="O88" i="21" s="1"/>
  <c r="P204" i="21"/>
  <c r="P184" i="21" s="1"/>
  <c r="P88" i="21" s="1"/>
  <c r="O191" i="21"/>
  <c r="O107" i="21" s="1"/>
  <c r="P211" i="21"/>
  <c r="P191" i="21" s="1"/>
  <c r="P107" i="21" s="1"/>
  <c r="N209" i="21"/>
  <c r="M189" i="21"/>
  <c r="M105" i="21" s="1"/>
  <c r="N102" i="21"/>
  <c r="L192" i="21"/>
  <c r="O183" i="21"/>
  <c r="O87" i="21" s="1"/>
  <c r="P203" i="21"/>
  <c r="P183" i="21" s="1"/>
  <c r="P87" i="21" s="1"/>
  <c r="N210" i="21"/>
  <c r="M190" i="21"/>
  <c r="M106" i="21" s="1"/>
  <c r="K193" i="21"/>
  <c r="O186" i="21"/>
  <c r="P206" i="21"/>
  <c r="P186" i="21" s="1"/>
  <c r="L85" i="21"/>
  <c r="L185" i="21"/>
  <c r="O207" i="21" l="1"/>
  <c r="N187" i="21"/>
  <c r="N103" i="21" s="1"/>
  <c r="M86" i="21"/>
  <c r="M199" i="21"/>
  <c r="M214" i="21" s="1"/>
  <c r="O202" i="21"/>
  <c r="N182" i="21"/>
  <c r="N215" i="21" s="1"/>
  <c r="M215" i="21"/>
  <c r="M216" i="21"/>
  <c r="L193" i="21"/>
  <c r="L147" i="21" s="1"/>
  <c r="M109" i="21"/>
  <c r="K590" i="21"/>
  <c r="K147" i="21"/>
  <c r="O188" i="21"/>
  <c r="O104" i="21" s="1"/>
  <c r="P208" i="21"/>
  <c r="P188" i="21" s="1"/>
  <c r="P104" i="21" s="1"/>
  <c r="P102" i="21"/>
  <c r="N190" i="21"/>
  <c r="N106" i="21" s="1"/>
  <c r="O210" i="21"/>
  <c r="M192" i="21"/>
  <c r="O209" i="21"/>
  <c r="N189" i="21"/>
  <c r="N105" i="21" s="1"/>
  <c r="M85" i="21"/>
  <c r="M185" i="21"/>
  <c r="M213" i="21"/>
  <c r="O102" i="21"/>
  <c r="N181" i="21"/>
  <c r="N213" i="21" s="1"/>
  <c r="O201" i="21"/>
  <c r="M193" i="21" l="1"/>
  <c r="M147" i="21" s="1"/>
  <c r="N109" i="21"/>
  <c r="L590" i="21"/>
  <c r="O187" i="21"/>
  <c r="O103" i="21" s="1"/>
  <c r="P207" i="21"/>
  <c r="P187" i="21" s="1"/>
  <c r="P103" i="21" s="1"/>
  <c r="N216" i="21"/>
  <c r="O182" i="21"/>
  <c r="P202" i="21"/>
  <c r="P182" i="21" s="1"/>
  <c r="N199" i="21"/>
  <c r="N214" i="21" s="1"/>
  <c r="N86" i="21"/>
  <c r="O190" i="21"/>
  <c r="O106" i="21" s="1"/>
  <c r="P210" i="21"/>
  <c r="P190" i="21" s="1"/>
  <c r="P106" i="21" s="1"/>
  <c r="O181" i="21"/>
  <c r="O213" i="21" s="1"/>
  <c r="P201" i="21"/>
  <c r="P181" i="21" s="1"/>
  <c r="N85" i="21"/>
  <c r="N185" i="21"/>
  <c r="M590" i="21"/>
  <c r="O189" i="21"/>
  <c r="O105" i="21" s="1"/>
  <c r="P209" i="21"/>
  <c r="P189" i="21" s="1"/>
  <c r="P105" i="21" s="1"/>
  <c r="N192" i="21"/>
  <c r="P109" i="21" l="1"/>
  <c r="O109" i="21"/>
  <c r="N193" i="21"/>
  <c r="N590" i="21" s="1"/>
  <c r="P199" i="21"/>
  <c r="P214" i="21" s="1"/>
  <c r="P86" i="21"/>
  <c r="P215" i="21"/>
  <c r="O86" i="21"/>
  <c r="O216" i="21"/>
  <c r="O215" i="21"/>
  <c r="P216" i="21"/>
  <c r="O199" i="21"/>
  <c r="O214" i="21" s="1"/>
  <c r="O192" i="21"/>
  <c r="P185" i="21"/>
  <c r="P85" i="21"/>
  <c r="P192" i="21"/>
  <c r="O185" i="21"/>
  <c r="P213" i="21"/>
  <c r="O85" i="21"/>
  <c r="N147" i="21" l="1"/>
  <c r="O193" i="21"/>
  <c r="O147" i="21" s="1"/>
  <c r="P193" i="21"/>
  <c r="S436" i="21"/>
  <c r="S469" i="21"/>
  <c r="P590" i="21" l="1"/>
  <c r="P147" i="21"/>
  <c r="O590" i="21"/>
  <c r="G279" i="21"/>
  <c r="G249" i="21" s="1"/>
  <c r="G285" i="21" l="1"/>
  <c r="G250" i="21" s="1"/>
  <c r="G252" i="21" l="1"/>
  <c r="G58" i="21"/>
  <c r="G38" i="21"/>
  <c r="G139" i="21"/>
  <c r="T16" i="21"/>
  <c r="H16" i="21"/>
  <c r="I577" i="9" s="1"/>
  <c r="G18" i="21"/>
  <c r="G19" i="21" s="1"/>
  <c r="G65" i="21" s="1"/>
  <c r="S16" i="21"/>
  <c r="G418" i="21"/>
  <c r="T418" i="21" l="1"/>
  <c r="H599" i="9" s="1"/>
  <c r="T58" i="21"/>
  <c r="S139" i="21"/>
  <c r="S58" i="21"/>
  <c r="S94" i="21"/>
  <c r="T94" i="21" s="1"/>
  <c r="H94" i="21"/>
  <c r="I16" i="21" s="1"/>
  <c r="J577" i="9" s="1"/>
  <c r="H38" i="21"/>
  <c r="H58" i="21"/>
  <c r="H18" i="21"/>
  <c r="H139" i="21"/>
  <c r="H418" i="21"/>
  <c r="I599" i="9" s="1"/>
  <c r="T38" i="21"/>
  <c r="H577" i="9"/>
  <c r="T139" i="21"/>
  <c r="S38" i="21"/>
  <c r="S418" i="21"/>
  <c r="E653" i="21"/>
  <c r="G64" i="21"/>
  <c r="S18" i="21"/>
  <c r="S64" i="21" s="1"/>
  <c r="T18" i="21"/>
  <c r="T64" i="21" s="1"/>
  <c r="F123" i="7" l="1"/>
  <c r="J123" i="7" s="1"/>
  <c r="L123" i="7" s="1"/>
  <c r="R123" i="7" s="1"/>
  <c r="S19" i="21"/>
  <c r="S65" i="21" s="1"/>
  <c r="I58" i="21"/>
  <c r="I139" i="21"/>
  <c r="I418" i="21"/>
  <c r="J599" i="9" s="1"/>
  <c r="I18" i="21"/>
  <c r="I38" i="21"/>
  <c r="I94" i="21"/>
  <c r="E654" i="21"/>
  <c r="H64" i="21"/>
  <c r="H19" i="21"/>
  <c r="H65" i="21" s="1"/>
  <c r="T19" i="21"/>
  <c r="T65" i="21" s="1"/>
  <c r="E652" i="21"/>
  <c r="I64" i="21" l="1"/>
  <c r="I19" i="21"/>
  <c r="I65" i="21" s="1"/>
  <c r="J16" i="21"/>
  <c r="K577" i="9" s="1"/>
  <c r="J58" i="21" l="1"/>
  <c r="J38" i="21"/>
  <c r="J18" i="21"/>
  <c r="J418" i="21"/>
  <c r="K599" i="9" s="1"/>
  <c r="J139" i="21"/>
  <c r="J94" i="21"/>
  <c r="K16" i="21" s="1"/>
  <c r="L577" i="9" s="1"/>
  <c r="K38" i="21" l="1"/>
  <c r="K58" i="21"/>
  <c r="K139" i="21"/>
  <c r="K418" i="21"/>
  <c r="L599" i="9" s="1"/>
  <c r="K18" i="21"/>
  <c r="J64" i="21"/>
  <c r="J19" i="21"/>
  <c r="J65" i="21" s="1"/>
  <c r="K94" i="21"/>
  <c r="L16" i="21" s="1"/>
  <c r="M577" i="9" s="1"/>
  <c r="L94" i="21" l="1"/>
  <c r="M16" i="21" s="1"/>
  <c r="N577" i="9" s="1"/>
  <c r="K64" i="21"/>
  <c r="K19" i="21"/>
  <c r="K65" i="21" s="1"/>
  <c r="L58" i="21"/>
  <c r="L38" i="21"/>
  <c r="L18" i="21"/>
  <c r="L418" i="21"/>
  <c r="M599" i="9" s="1"/>
  <c r="L139" i="21"/>
  <c r="L19" i="21" l="1"/>
  <c r="L65" i="21" s="1"/>
  <c r="L64" i="21"/>
  <c r="M38" i="21"/>
  <c r="M139" i="21"/>
  <c r="M58" i="21"/>
  <c r="M18" i="21"/>
  <c r="M418" i="21"/>
  <c r="N599" i="9" s="1"/>
  <c r="M94" i="21"/>
  <c r="M19" i="21" l="1"/>
  <c r="M65" i="21" s="1"/>
  <c r="M64" i="21"/>
  <c r="N16" i="21"/>
  <c r="N94" i="21" l="1"/>
  <c r="O16" i="21" s="1"/>
  <c r="P577" i="9" s="1"/>
  <c r="O577" i="9"/>
  <c r="N38" i="21"/>
  <c r="N58" i="21"/>
  <c r="N139" i="21"/>
  <c r="N418" i="21"/>
  <c r="O599" i="9" s="1"/>
  <c r="N18" i="21"/>
  <c r="N64" i="21" l="1"/>
  <c r="N19" i="21"/>
  <c r="N65" i="21" s="1"/>
  <c r="O58" i="21"/>
  <c r="O139" i="21"/>
  <c r="O38" i="21"/>
  <c r="O418" i="21"/>
  <c r="P599" i="9" s="1"/>
  <c r="O18" i="21"/>
  <c r="O94" i="21"/>
  <c r="P16" i="21" s="1"/>
  <c r="Q577" i="9" s="1"/>
  <c r="P38" i="21" l="1"/>
  <c r="P58" i="21"/>
  <c r="P139" i="21"/>
  <c r="P418" i="21"/>
  <c r="Q599" i="9" s="1"/>
  <c r="P18" i="21"/>
  <c r="P94" i="21"/>
  <c r="O64" i="21"/>
  <c r="O19" i="21"/>
  <c r="O65" i="21" s="1"/>
  <c r="P64" i="21" l="1"/>
  <c r="P19" i="21"/>
  <c r="P65" i="21" s="1"/>
  <c r="F73" i="21" l="1"/>
  <c r="F38" i="21" s="1"/>
  <c r="F32" i="21"/>
  <c r="F35" i="21" l="1"/>
  <c r="F39" i="21"/>
  <c r="F66" i="21"/>
  <c r="F412" i="21"/>
  <c r="F71" i="21" l="1"/>
  <c r="F70" i="21"/>
  <c r="F540" i="21"/>
  <c r="F41" i="21"/>
  <c r="F67" i="21" s="1"/>
  <c r="T197" i="22"/>
  <c r="H726" i="9"/>
  <c r="H10" i="9" s="1"/>
  <c r="I70" i="9" s="1"/>
  <c r="H78" i="9" l="1"/>
  <c r="H79" i="9"/>
  <c r="H75" i="9"/>
  <c r="H76" i="9"/>
  <c r="H245" i="9"/>
  <c r="S197" i="22" l="1"/>
  <c r="S190" i="22" s="1"/>
  <c r="S106" i="22" l="1"/>
  <c r="E136" i="7" s="1"/>
  <c r="S136" i="7" s="1"/>
  <c r="G238" i="9" s="1"/>
  <c r="G126" i="9" s="1"/>
  <c r="T190" i="22"/>
  <c r="T106" i="22" s="1"/>
  <c r="S181" i="22"/>
  <c r="S188" i="22"/>
  <c r="S183" i="22"/>
  <c r="H238" i="9" l="1"/>
  <c r="H126" i="9" s="1"/>
  <c r="S104" i="22"/>
  <c r="E134" i="7" s="1"/>
  <c r="S134" i="7" s="1"/>
  <c r="G236" i="9" s="1"/>
  <c r="H236" i="9" s="1"/>
  <c r="H124" i="9" s="1"/>
  <c r="T188" i="22"/>
  <c r="T104" i="22" s="1"/>
  <c r="S87" i="22"/>
  <c r="E115" i="7" s="1"/>
  <c r="S115" i="7" s="1"/>
  <c r="G231" i="9" s="1"/>
  <c r="G106" i="9" s="1"/>
  <c r="T183" i="22"/>
  <c r="T87" i="22" s="1"/>
  <c r="S213" i="22"/>
  <c r="T181" i="22"/>
  <c r="S85" i="22"/>
  <c r="E113" i="7" s="1"/>
  <c r="S113" i="7" s="1"/>
  <c r="G229" i="9" s="1"/>
  <c r="G124" i="9" l="1"/>
  <c r="H231" i="9"/>
  <c r="H106" i="9" s="1"/>
  <c r="T213" i="22"/>
  <c r="T85" i="22"/>
  <c r="H229" i="9"/>
  <c r="H261" i="9" s="1"/>
  <c r="G104" i="9"/>
  <c r="T12" i="22"/>
  <c r="T62" i="22" s="1"/>
  <c r="S12" i="22"/>
  <c r="S62" i="22" s="1"/>
  <c r="S198" i="22"/>
  <c r="S189" i="22" s="1"/>
  <c r="S105" i="22" s="1"/>
  <c r="E135" i="7" s="1"/>
  <c r="S135" i="7" s="1"/>
  <c r="G237" i="9" s="1"/>
  <c r="G125" i="9" s="1"/>
  <c r="H737" i="9"/>
  <c r="H740" i="9" s="1"/>
  <c r="H11" i="9" s="1"/>
  <c r="H74" i="9" s="1"/>
  <c r="I261" i="9" l="1"/>
  <c r="H104" i="9"/>
  <c r="S186" i="22"/>
  <c r="S102" i="22" s="1"/>
  <c r="H12" i="9"/>
  <c r="H81" i="9" s="1"/>
  <c r="H246" i="9"/>
  <c r="S14" i="22"/>
  <c r="S63" i="22" s="1"/>
  <c r="S182" i="22"/>
  <c r="S187" i="22"/>
  <c r="S191" i="22"/>
  <c r="S107" i="22" s="1"/>
  <c r="E137" i="7" s="1"/>
  <c r="S137" i="7" s="1"/>
  <c r="G239" i="9" s="1"/>
  <c r="G127" i="9" s="1"/>
  <c r="S184" i="22"/>
  <c r="S88" i="22" s="1"/>
  <c r="E116" i="7" s="1"/>
  <c r="S116" i="7" s="1"/>
  <c r="G232" i="9" s="1"/>
  <c r="G107" i="9" s="1"/>
  <c r="T14" i="22"/>
  <c r="T63" i="22" s="1"/>
  <c r="T198" i="22"/>
  <c r="T191" i="22" l="1"/>
  <c r="T107" i="22" s="1"/>
  <c r="T184" i="22"/>
  <c r="T88" i="22" s="1"/>
  <c r="T187" i="22"/>
  <c r="T103" i="22" s="1"/>
  <c r="T182" i="22"/>
  <c r="T189" i="22"/>
  <c r="T105" i="22" s="1"/>
  <c r="T186" i="22"/>
  <c r="H232" i="9"/>
  <c r="H107" i="9" s="1"/>
  <c r="H237" i="9"/>
  <c r="H125" i="9" s="1"/>
  <c r="H239" i="9"/>
  <c r="H127" i="9" s="1"/>
  <c r="S199" i="22"/>
  <c r="S214" i="22" s="1"/>
  <c r="S216" i="22"/>
  <c r="S215" i="22"/>
  <c r="H14" i="9"/>
  <c r="E132" i="7"/>
  <c r="S416" i="22"/>
  <c r="S578" i="22"/>
  <c r="T416" i="22"/>
  <c r="T578" i="22"/>
  <c r="S103" i="22"/>
  <c r="E133" i="7" s="1"/>
  <c r="S133" i="7" s="1"/>
  <c r="G235" i="9" s="1"/>
  <c r="G123" i="9" s="1"/>
  <c r="S192" i="22"/>
  <c r="S185" i="22"/>
  <c r="S86" i="22"/>
  <c r="E114" i="7" s="1"/>
  <c r="S114" i="7" s="1"/>
  <c r="G230" i="9" s="1"/>
  <c r="H230" i="9" s="1"/>
  <c r="I263" i="9" s="1"/>
  <c r="H235" i="9" l="1"/>
  <c r="H123" i="9" s="1"/>
  <c r="H263" i="9"/>
  <c r="H802" i="9"/>
  <c r="H808" i="9" s="1"/>
  <c r="H82" i="9"/>
  <c r="T199" i="22"/>
  <c r="T214" i="22" s="1"/>
  <c r="T215" i="22"/>
  <c r="T216" i="22"/>
  <c r="H264" i="9"/>
  <c r="S193" i="22"/>
  <c r="S147" i="22" s="1"/>
  <c r="S109" i="22"/>
  <c r="T584" i="22"/>
  <c r="T102" i="22"/>
  <c r="T109" i="22" s="1"/>
  <c r="T192" i="22"/>
  <c r="S584" i="22"/>
  <c r="H619" i="9"/>
  <c r="G233" i="9"/>
  <c r="G105" i="9"/>
  <c r="S132" i="7"/>
  <c r="E139" i="7"/>
  <c r="T86" i="22"/>
  <c r="T185" i="22"/>
  <c r="H247" i="9"/>
  <c r="H105" i="9"/>
  <c r="I264" i="9"/>
  <c r="I247" i="9"/>
  <c r="H233" i="9"/>
  <c r="S590" i="22" l="1"/>
  <c r="S139" i="7"/>
  <c r="G234" i="9"/>
  <c r="T193" i="22"/>
  <c r="T590" i="22" s="1"/>
  <c r="H234" i="9" l="1"/>
  <c r="H262" i="9" s="1"/>
  <c r="G240" i="9"/>
  <c r="G241" i="9" s="1"/>
  <c r="G122" i="9"/>
  <c r="G129" i="9" s="1"/>
  <c r="T147" i="22"/>
  <c r="H240" i="9" l="1"/>
  <c r="H241" i="9" s="1"/>
  <c r="H187" i="9" s="1"/>
  <c r="H122" i="9"/>
  <c r="H129" i="9" s="1"/>
  <c r="I262" i="9"/>
  <c r="G279" i="22"/>
  <c r="G249" i="22" s="1"/>
  <c r="H814" i="9" l="1"/>
  <c r="I187" i="9"/>
  <c r="I814" i="9"/>
  <c r="G285" i="22"/>
  <c r="G250" i="22" s="1"/>
  <c r="G252" i="22" s="1"/>
  <c r="S16" i="22" l="1"/>
  <c r="T16" i="22"/>
  <c r="G18" i="22"/>
  <c r="G19" i="22" s="1"/>
  <c r="G65" i="22" s="1"/>
  <c r="G38" i="22"/>
  <c r="G58" i="22"/>
  <c r="G94" i="22"/>
  <c r="G139" i="22"/>
  <c r="G418" i="22"/>
  <c r="H576" i="9" l="1"/>
  <c r="T58" i="22"/>
  <c r="S418" i="22"/>
  <c r="S58" i="22"/>
  <c r="G64" i="22"/>
  <c r="S94" i="22"/>
  <c r="T18" i="22"/>
  <c r="T64" i="22" s="1"/>
  <c r="S18" i="22"/>
  <c r="S64" i="22" s="1"/>
  <c r="T38" i="22"/>
  <c r="T418" i="22"/>
  <c r="H598" i="9" s="1"/>
  <c r="H602" i="9" s="1"/>
  <c r="H621" i="9" s="1"/>
  <c r="T139" i="22"/>
  <c r="S139" i="22"/>
  <c r="H16" i="22"/>
  <c r="H418" i="22" s="1"/>
  <c r="I598" i="9" s="1"/>
  <c r="I602" i="9" s="1"/>
  <c r="I621" i="9" s="1"/>
  <c r="S38" i="22"/>
  <c r="H94" i="22" l="1"/>
  <c r="I16" i="22" s="1"/>
  <c r="H58" i="22"/>
  <c r="E123" i="7"/>
  <c r="S123" i="7" s="1"/>
  <c r="T94" i="22"/>
  <c r="S19" i="22"/>
  <c r="S65" i="22" s="1"/>
  <c r="T19" i="22"/>
  <c r="T65" i="22" s="1"/>
  <c r="H139" i="22"/>
  <c r="H38" i="22"/>
  <c r="H18" i="22"/>
  <c r="I576" i="9"/>
  <c r="I94" i="22" l="1"/>
  <c r="J16" i="22" s="1"/>
  <c r="J139" i="22" s="1"/>
  <c r="I58" i="22"/>
  <c r="I38" i="22"/>
  <c r="I18" i="22"/>
  <c r="I19" i="22" s="1"/>
  <c r="I65" i="22" s="1"/>
  <c r="I139" i="22"/>
  <c r="J576" i="9"/>
  <c r="I418" i="22"/>
  <c r="J598" i="9" s="1"/>
  <c r="J602" i="9" s="1"/>
  <c r="J621" i="9" s="1"/>
  <c r="H19" i="22"/>
  <c r="H65" i="22" s="1"/>
  <c r="H64" i="22"/>
  <c r="J418" i="22" l="1"/>
  <c r="K598" i="9" s="1"/>
  <c r="K602" i="9" s="1"/>
  <c r="K621" i="9" s="1"/>
  <c r="K576" i="9"/>
  <c r="J38" i="22"/>
  <c r="J18" i="22"/>
  <c r="J19" i="22" s="1"/>
  <c r="J65" i="22" s="1"/>
  <c r="I64" i="22"/>
  <c r="J94" i="22"/>
  <c r="K16" i="22" s="1"/>
  <c r="K58" i="22" s="1"/>
  <c r="J58" i="22"/>
  <c r="K18" i="22" l="1"/>
  <c r="K19" i="22" s="1"/>
  <c r="K65" i="22" s="1"/>
  <c r="J64" i="22"/>
  <c r="K38" i="22"/>
  <c r="K418" i="22"/>
  <c r="L598" i="9" s="1"/>
  <c r="L602" i="9" s="1"/>
  <c r="L621" i="9" s="1"/>
  <c r="K94" i="22"/>
  <c r="L16" i="22" s="1"/>
  <c r="L58" i="22" s="1"/>
  <c r="K139" i="22"/>
  <c r="L576" i="9"/>
  <c r="K64" i="22" l="1"/>
  <c r="M576" i="9"/>
  <c r="L418" i="22"/>
  <c r="M598" i="9" s="1"/>
  <c r="M602" i="9" s="1"/>
  <c r="M621" i="9" s="1"/>
  <c r="L139" i="22"/>
  <c r="L18" i="22"/>
  <c r="L64" i="22" s="1"/>
  <c r="L38" i="22"/>
  <c r="L94" i="22"/>
  <c r="M16" i="22" s="1"/>
  <c r="M58" i="22" s="1"/>
  <c r="L19" i="22" l="1"/>
  <c r="L65" i="22" s="1"/>
  <c r="M418" i="22"/>
  <c r="N598" i="9" s="1"/>
  <c r="N602" i="9" s="1"/>
  <c r="N621" i="9" s="1"/>
  <c r="M139" i="22"/>
  <c r="N576" i="9"/>
  <c r="M38" i="22"/>
  <c r="M18" i="22"/>
  <c r="M94" i="22"/>
  <c r="M64" i="22" l="1"/>
  <c r="M19" i="22"/>
  <c r="M65" i="22" s="1"/>
  <c r="N16" i="22"/>
  <c r="N58" i="22" s="1"/>
  <c r="N18" i="22" l="1"/>
  <c r="N139" i="22"/>
  <c r="N418" i="22"/>
  <c r="O598" i="9" s="1"/>
  <c r="O602" i="9" s="1"/>
  <c r="O621" i="9" s="1"/>
  <c r="N38" i="22"/>
  <c r="O576" i="9"/>
  <c r="N94" i="22"/>
  <c r="O16" i="22" s="1"/>
  <c r="O58" i="22" s="1"/>
  <c r="N19" i="22" l="1"/>
  <c r="N65" i="22" s="1"/>
  <c r="N64" i="22"/>
  <c r="O18" i="22"/>
  <c r="O38" i="22"/>
  <c r="O139" i="22"/>
  <c r="O418" i="22"/>
  <c r="P598" i="9" s="1"/>
  <c r="P602" i="9" s="1"/>
  <c r="P621" i="9" s="1"/>
  <c r="P576" i="9"/>
  <c r="O94" i="22"/>
  <c r="O19" i="22" l="1"/>
  <c r="O65" i="22" s="1"/>
  <c r="O64" i="22"/>
  <c r="P16" i="22"/>
  <c r="P94" i="22" l="1"/>
  <c r="P58" i="22"/>
  <c r="P38" i="22"/>
  <c r="P139" i="22"/>
  <c r="P418" i="22"/>
  <c r="Q598" i="9" s="1"/>
  <c r="Q602" i="9" s="1"/>
  <c r="Q621" i="9" s="1"/>
  <c r="Q576" i="9"/>
  <c r="P18" i="22"/>
  <c r="P64" i="22" l="1"/>
  <c r="P19" i="22"/>
  <c r="P65" i="22" s="1"/>
  <c r="J391" i="21" l="1"/>
  <c r="G391" i="21"/>
  <c r="S391" i="21" s="1"/>
  <c r="H391" i="21"/>
  <c r="I391" i="21"/>
  <c r="G21" i="22"/>
  <c r="G315" i="22"/>
  <c r="G23" i="22" s="1"/>
  <c r="G317" i="22"/>
  <c r="S317" i="22" s="1"/>
  <c r="G318" i="22"/>
  <c r="T318" i="22" s="1"/>
  <c r="G319" i="22"/>
  <c r="S319" i="22" s="1"/>
  <c r="S25" i="22" s="1"/>
  <c r="G320" i="22"/>
  <c r="G321" i="22"/>
  <c r="H454" i="9"/>
  <c r="H26" i="9" s="1"/>
  <c r="H457" i="9"/>
  <c r="H29" i="9" s="1"/>
  <c r="H460" i="9"/>
  <c r="H32" i="9" s="1"/>
  <c r="H463" i="9"/>
  <c r="H423" i="9" s="1"/>
  <c r="H185" i="9" s="1"/>
  <c r="G21" i="21"/>
  <c r="T21" i="21" s="1"/>
  <c r="G315" i="21"/>
  <c r="G23" i="21" s="1"/>
  <c r="G317" i="21"/>
  <c r="G22" i="21" s="1"/>
  <c r="G318" i="21"/>
  <c r="G24" i="21" s="1"/>
  <c r="G319" i="21"/>
  <c r="G25" i="21" s="1"/>
  <c r="G320" i="21"/>
  <c r="G321" i="21"/>
  <c r="S320" i="22" l="1"/>
  <c r="S26" i="22" s="1"/>
  <c r="F320" i="22"/>
  <c r="F537" i="22" s="1"/>
  <c r="F543" i="22" s="1"/>
  <c r="F550" i="22" s="1"/>
  <c r="G297" i="22"/>
  <c r="G145" i="22" s="1"/>
  <c r="F321" i="22"/>
  <c r="F538" i="22" s="1"/>
  <c r="F544" i="22" s="1"/>
  <c r="F551" i="22" s="1"/>
  <c r="G297" i="21"/>
  <c r="G299" i="21" s="1"/>
  <c r="G118" i="21" s="1"/>
  <c r="F321" i="21"/>
  <c r="F538" i="21" s="1"/>
  <c r="F544" i="21" s="1"/>
  <c r="F551" i="21" s="1"/>
  <c r="T320" i="21"/>
  <c r="T291" i="21" s="1"/>
  <c r="T144" i="21" s="1"/>
  <c r="F320" i="21"/>
  <c r="F537" i="21" s="1"/>
  <c r="F543" i="21" s="1"/>
  <c r="F550" i="21" s="1"/>
  <c r="T391" i="21"/>
  <c r="S315" i="21"/>
  <c r="S23" i="21" s="1"/>
  <c r="S318" i="22"/>
  <c r="S24" i="22" s="1"/>
  <c r="G25" i="22"/>
  <c r="T317" i="21"/>
  <c r="T22" i="21" s="1"/>
  <c r="S21" i="21"/>
  <c r="T319" i="22"/>
  <c r="T25" i="22" s="1"/>
  <c r="S319" i="21"/>
  <c r="S25" i="21" s="1"/>
  <c r="G291" i="22"/>
  <c r="T315" i="21"/>
  <c r="T23" i="21" s="1"/>
  <c r="T320" i="22"/>
  <c r="T315" i="22"/>
  <c r="T23" i="22" s="1"/>
  <c r="G26" i="22"/>
  <c r="T321" i="21"/>
  <c r="T297" i="21" s="1"/>
  <c r="T145" i="21" s="1"/>
  <c r="T318" i="21"/>
  <c r="S317" i="21"/>
  <c r="S22" i="21" s="1"/>
  <c r="G326" i="22"/>
  <c r="G327" i="22" s="1"/>
  <c r="T321" i="22"/>
  <c r="T297" i="22" s="1"/>
  <c r="T145" i="22" s="1"/>
  <c r="T317" i="22"/>
  <c r="T22" i="22" s="1"/>
  <c r="S315" i="22"/>
  <c r="S23" i="22" s="1"/>
  <c r="G24" i="22"/>
  <c r="G324" i="22"/>
  <c r="G572" i="22" s="1"/>
  <c r="G22" i="22"/>
  <c r="G323" i="21"/>
  <c r="G571" i="21" s="1"/>
  <c r="G585" i="21" s="1"/>
  <c r="G323" i="22"/>
  <c r="G571" i="22" s="1"/>
  <c r="G325" i="21"/>
  <c r="G573" i="21" s="1"/>
  <c r="S321" i="21"/>
  <c r="S297" i="21" s="1"/>
  <c r="S299" i="21" s="1"/>
  <c r="T319" i="21"/>
  <c r="T25" i="21" s="1"/>
  <c r="S318" i="21"/>
  <c r="S24" i="21" s="1"/>
  <c r="G325" i="22"/>
  <c r="S321" i="22"/>
  <c r="S297" i="22" s="1"/>
  <c r="S145" i="22" s="1"/>
  <c r="H425" i="9"/>
  <c r="H147" i="9" s="1"/>
  <c r="S22" i="22"/>
  <c r="G26" i="21"/>
  <c r="G27" i="21" s="1"/>
  <c r="S320" i="21"/>
  <c r="G324" i="21"/>
  <c r="G572" i="21" s="1"/>
  <c r="G291" i="21"/>
  <c r="G326" i="21"/>
  <c r="T24" i="22"/>
  <c r="H296" i="21"/>
  <c r="S21" i="22"/>
  <c r="T21" i="22"/>
  <c r="H405" i="9"/>
  <c r="G145" i="21" l="1"/>
  <c r="G566" i="21"/>
  <c r="S291" i="22"/>
  <c r="S293" i="22" s="1"/>
  <c r="G526" i="21"/>
  <c r="G534" i="21" s="1"/>
  <c r="F552" i="21"/>
  <c r="F44" i="21" s="1"/>
  <c r="T146" i="21"/>
  <c r="F552" i="22"/>
  <c r="F44" i="22" s="1"/>
  <c r="G299" i="22"/>
  <c r="G566" i="22" s="1"/>
  <c r="T26" i="21"/>
  <c r="T326" i="21"/>
  <c r="T327" i="21" s="1"/>
  <c r="T328" i="21" s="1"/>
  <c r="T34" i="21" s="1"/>
  <c r="I422" i="9"/>
  <c r="I463" i="9" s="1"/>
  <c r="I423" i="9" s="1"/>
  <c r="I185" i="9" s="1"/>
  <c r="T326" i="22"/>
  <c r="T327" i="22" s="1"/>
  <c r="T323" i="22"/>
  <c r="T571" i="22" s="1"/>
  <c r="T585" i="22" s="1"/>
  <c r="T324" i="21"/>
  <c r="T572" i="21" s="1"/>
  <c r="T586" i="21" s="1"/>
  <c r="S145" i="21"/>
  <c r="S323" i="21"/>
  <c r="S571" i="21" s="1"/>
  <c r="S579" i="21" s="1"/>
  <c r="T291" i="22"/>
  <c r="T144" i="22" s="1"/>
  <c r="T146" i="22" s="1"/>
  <c r="S299" i="22"/>
  <c r="S118" i="22" s="1"/>
  <c r="E158" i="7" s="1"/>
  <c r="S158" i="7" s="1"/>
  <c r="G413" i="9" s="1"/>
  <c r="T325" i="22"/>
  <c r="T573" i="22" s="1"/>
  <c r="G579" i="21"/>
  <c r="T324" i="22"/>
  <c r="T572" i="22" s="1"/>
  <c r="T592" i="22" s="1"/>
  <c r="T26" i="22"/>
  <c r="T27" i="22" s="1"/>
  <c r="T421" i="22" s="1"/>
  <c r="G144" i="22"/>
  <c r="G146" i="22" s="1"/>
  <c r="G293" i="22"/>
  <c r="S324" i="22"/>
  <c r="S572" i="22" s="1"/>
  <c r="S580" i="22" s="1"/>
  <c r="T325" i="21"/>
  <c r="T573" i="21" s="1"/>
  <c r="G27" i="22"/>
  <c r="G30" i="22" s="1"/>
  <c r="G31" i="22" s="1"/>
  <c r="G573" i="22"/>
  <c r="S326" i="22"/>
  <c r="S327" i="22" s="1"/>
  <c r="S328" i="22" s="1"/>
  <c r="G591" i="21"/>
  <c r="S323" i="22"/>
  <c r="S571" i="22" s="1"/>
  <c r="S579" i="22" s="1"/>
  <c r="G579" i="22"/>
  <c r="G585" i="22"/>
  <c r="G591" i="22"/>
  <c r="T323" i="21"/>
  <c r="T571" i="21" s="1"/>
  <c r="T24" i="21"/>
  <c r="G328" i="22"/>
  <c r="G34" i="22" s="1"/>
  <c r="S27" i="22"/>
  <c r="S30" i="22" s="1"/>
  <c r="S325" i="22"/>
  <c r="S573" i="22" s="1"/>
  <c r="G580" i="22"/>
  <c r="G592" i="22"/>
  <c r="G586" i="22"/>
  <c r="G581" i="21"/>
  <c r="G587" i="21"/>
  <c r="G593" i="21"/>
  <c r="S291" i="21"/>
  <c r="S26" i="21"/>
  <c r="S27" i="21" s="1"/>
  <c r="S324" i="21"/>
  <c r="S572" i="21" s="1"/>
  <c r="G30" i="21"/>
  <c r="G421" i="21"/>
  <c r="G424" i="21" s="1"/>
  <c r="G447" i="21" s="1"/>
  <c r="G454" i="21" s="1"/>
  <c r="H321" i="21"/>
  <c r="H297" i="21" s="1"/>
  <c r="H145" i="21" s="1"/>
  <c r="S325" i="21"/>
  <c r="G327" i="21"/>
  <c r="G328" i="21" s="1"/>
  <c r="S326" i="21"/>
  <c r="G293" i="21"/>
  <c r="G144" i="21"/>
  <c r="G146" i="21" s="1"/>
  <c r="H182" i="9"/>
  <c r="H407" i="9"/>
  <c r="G580" i="21"/>
  <c r="G586" i="21"/>
  <c r="G592" i="21"/>
  <c r="S144" i="22"/>
  <c r="S146" i="22" s="1"/>
  <c r="S526" i="21"/>
  <c r="S534" i="21" s="1"/>
  <c r="S566" i="21"/>
  <c r="S118" i="21"/>
  <c r="F159" i="7" s="1"/>
  <c r="T296" i="21"/>
  <c r="T299" i="21" s="1"/>
  <c r="F43" i="21" l="1"/>
  <c r="H296" i="22"/>
  <c r="H321" i="22" s="1"/>
  <c r="H297" i="22" s="1"/>
  <c r="H145" i="22" s="1"/>
  <c r="G526" i="22"/>
  <c r="G534" i="22" s="1"/>
  <c r="F43" i="22"/>
  <c r="G118" i="22"/>
  <c r="T296" i="22"/>
  <c r="T299" i="22" s="1"/>
  <c r="T526" i="22" s="1"/>
  <c r="T534" i="22" s="1"/>
  <c r="T27" i="21"/>
  <c r="T421" i="21" s="1"/>
  <c r="T424" i="21" s="1"/>
  <c r="G574" i="22"/>
  <c r="T328" i="22"/>
  <c r="T34" i="22" s="1"/>
  <c r="S591" i="21"/>
  <c r="T580" i="22"/>
  <c r="S592" i="22"/>
  <c r="T591" i="22"/>
  <c r="T586" i="22"/>
  <c r="S586" i="22"/>
  <c r="T579" i="22"/>
  <c r="T580" i="21"/>
  <c r="T592" i="21"/>
  <c r="S566" i="22"/>
  <c r="S585" i="21"/>
  <c r="S421" i="22"/>
  <c r="T574" i="21"/>
  <c r="T582" i="21" s="1"/>
  <c r="G32" i="22"/>
  <c r="G35" i="22" s="1"/>
  <c r="G137" i="22" s="1"/>
  <c r="G434" i="22"/>
  <c r="T30" i="22"/>
  <c r="T31" i="22" s="1"/>
  <c r="S526" i="22"/>
  <c r="S534" i="22" s="1"/>
  <c r="S585" i="22"/>
  <c r="G421" i="22"/>
  <c r="G113" i="22"/>
  <c r="G525" i="22"/>
  <c r="G533" i="22" s="1"/>
  <c r="H290" i="22"/>
  <c r="H320" i="22" s="1"/>
  <c r="H291" i="22" s="1"/>
  <c r="T591" i="21"/>
  <c r="T579" i="21"/>
  <c r="T585" i="21"/>
  <c r="G593" i="22"/>
  <c r="G581" i="22"/>
  <c r="G587" i="22"/>
  <c r="S591" i="22"/>
  <c r="S34" i="22"/>
  <c r="S574" i="22"/>
  <c r="S421" i="21"/>
  <c r="S424" i="21" s="1"/>
  <c r="S447" i="21" s="1"/>
  <c r="S454" i="21" s="1"/>
  <c r="S30" i="21"/>
  <c r="S573" i="21"/>
  <c r="G462" i="21"/>
  <c r="S580" i="21"/>
  <c r="S586" i="21"/>
  <c r="S592" i="21"/>
  <c r="T581" i="21"/>
  <c r="T587" i="21"/>
  <c r="T593" i="21"/>
  <c r="H410" i="9"/>
  <c r="G145" i="9"/>
  <c r="I425" i="9"/>
  <c r="T118" i="21"/>
  <c r="T526" i="21"/>
  <c r="T534" i="21" s="1"/>
  <c r="T566" i="21"/>
  <c r="S113" i="22"/>
  <c r="E143" i="7" s="1"/>
  <c r="S143" i="7" s="1"/>
  <c r="G395" i="9" s="1"/>
  <c r="T290" i="22"/>
  <c r="T293" i="22" s="1"/>
  <c r="S525" i="22"/>
  <c r="S533" i="22" s="1"/>
  <c r="T581" i="22"/>
  <c r="T587" i="22"/>
  <c r="T593" i="22"/>
  <c r="D100" i="7"/>
  <c r="J159" i="7"/>
  <c r="S581" i="22"/>
  <c r="S587" i="22"/>
  <c r="S593" i="22"/>
  <c r="I404" i="9"/>
  <c r="H139" i="9"/>
  <c r="H299" i="21"/>
  <c r="G31" i="21"/>
  <c r="G32" i="21" s="1"/>
  <c r="S327" i="21"/>
  <c r="S328" i="21" s="1"/>
  <c r="S34" i="21" s="1"/>
  <c r="G113" i="21"/>
  <c r="H290" i="21"/>
  <c r="G525" i="21"/>
  <c r="G533" i="21" s="1"/>
  <c r="G34" i="21"/>
  <c r="G574" i="21"/>
  <c r="S31" i="22"/>
  <c r="S144" i="21"/>
  <c r="S146" i="21" s="1"/>
  <c r="S293" i="21"/>
  <c r="T32" i="22" l="1"/>
  <c r="T66" i="22" s="1"/>
  <c r="T566" i="22"/>
  <c r="G448" i="21"/>
  <c r="G449" i="21" s="1"/>
  <c r="S448" i="21"/>
  <c r="S449" i="21" s="1"/>
  <c r="S453" i="21" s="1"/>
  <c r="T462" i="21"/>
  <c r="G463" i="21"/>
  <c r="T118" i="22"/>
  <c r="T30" i="21"/>
  <c r="T31" i="21" s="1"/>
  <c r="T574" i="22"/>
  <c r="T582" i="22" s="1"/>
  <c r="T588" i="21"/>
  <c r="H26" i="22"/>
  <c r="T594" i="21"/>
  <c r="G538" i="22"/>
  <c r="G41" i="22"/>
  <c r="G67" i="22" s="1"/>
  <c r="G123" i="22"/>
  <c r="G70" i="22" s="1"/>
  <c r="G537" i="22"/>
  <c r="G540" i="22"/>
  <c r="G52" i="22"/>
  <c r="G66" i="22"/>
  <c r="G582" i="22"/>
  <c r="G588" i="22"/>
  <c r="G594" i="22"/>
  <c r="H299" i="22"/>
  <c r="I296" i="22" s="1"/>
  <c r="H320" i="21"/>
  <c r="T113" i="22"/>
  <c r="T525" i="22"/>
  <c r="T533" i="22" s="1"/>
  <c r="S581" i="21"/>
  <c r="S587" i="21"/>
  <c r="S593" i="21"/>
  <c r="S31" i="21"/>
  <c r="T290" i="21"/>
  <c r="T293" i="21" s="1"/>
  <c r="S113" i="21"/>
  <c r="F148" i="7" s="1"/>
  <c r="S525" i="21"/>
  <c r="S533" i="21" s="1"/>
  <c r="G582" i="21"/>
  <c r="G588" i="21"/>
  <c r="G594" i="21"/>
  <c r="G434" i="21"/>
  <c r="I460" i="9"/>
  <c r="G137" i="9"/>
  <c r="H392" i="9"/>
  <c r="H461" i="9"/>
  <c r="H411" i="9" s="1"/>
  <c r="H183" i="9" s="1"/>
  <c r="S462" i="21"/>
  <c r="S463" i="21" s="1"/>
  <c r="S425" i="21" s="1"/>
  <c r="H118" i="21"/>
  <c r="H526" i="21"/>
  <c r="H534" i="21" s="1"/>
  <c r="I296" i="21"/>
  <c r="H566" i="21"/>
  <c r="M100" i="7"/>
  <c r="G100" i="7"/>
  <c r="K100" i="7" s="1"/>
  <c r="L100" i="7" s="1"/>
  <c r="S582" i="22"/>
  <c r="S588" i="22"/>
  <c r="S594" i="22"/>
  <c r="S434" i="22"/>
  <c r="G35" i="21"/>
  <c r="G52" i="21"/>
  <c r="G66" i="21"/>
  <c r="S32" i="22"/>
  <c r="S66" i="22" s="1"/>
  <c r="T434" i="22"/>
  <c r="J422" i="9"/>
  <c r="I147" i="9"/>
  <c r="H144" i="22"/>
  <c r="H146" i="22" s="1"/>
  <c r="H293" i="22"/>
  <c r="S574" i="21"/>
  <c r="T35" i="22" l="1"/>
  <c r="T540" i="22" s="1"/>
  <c r="T434" i="21"/>
  <c r="S32" i="21"/>
  <c r="S66" i="21" s="1"/>
  <c r="H446" i="21"/>
  <c r="G453" i="21"/>
  <c r="G455" i="21" s="1"/>
  <c r="H452" i="21" s="1"/>
  <c r="G425" i="21"/>
  <c r="G426" i="21" s="1"/>
  <c r="G427" i="21" s="1"/>
  <c r="G428" i="21" s="1"/>
  <c r="G481" i="21" s="1"/>
  <c r="G470" i="21"/>
  <c r="G471" i="21" s="1"/>
  <c r="H469" i="21" s="1"/>
  <c r="T446" i="21"/>
  <c r="S455" i="21"/>
  <c r="T452" i="21" s="1"/>
  <c r="H526" i="22"/>
  <c r="H534" i="22" s="1"/>
  <c r="T594" i="22"/>
  <c r="T588" i="22"/>
  <c r="T32" i="21"/>
  <c r="T66" i="21" s="1"/>
  <c r="H566" i="22"/>
  <c r="H118" i="22"/>
  <c r="G543" i="22"/>
  <c r="G550" i="22" s="1"/>
  <c r="G53" i="22"/>
  <c r="G544" i="22"/>
  <c r="G551" i="22" s="1"/>
  <c r="H413" i="9"/>
  <c r="I410" i="9" s="1"/>
  <c r="G465" i="21"/>
  <c r="H461" i="21" s="1"/>
  <c r="S582" i="21"/>
  <c r="S588" i="21"/>
  <c r="S594" i="21"/>
  <c r="J463" i="9"/>
  <c r="J423" i="9" s="1"/>
  <c r="J185" i="9" s="1"/>
  <c r="P100" i="7"/>
  <c r="J26" i="7"/>
  <c r="N159" i="7" s="1"/>
  <c r="K159" i="7"/>
  <c r="Q100" i="7"/>
  <c r="I32" i="9"/>
  <c r="I405" i="9"/>
  <c r="D99" i="7"/>
  <c r="J148" i="7"/>
  <c r="I321" i="22"/>
  <c r="I297" i="22" s="1"/>
  <c r="I145" i="22" s="1"/>
  <c r="H525" i="22"/>
  <c r="H533" i="22" s="1"/>
  <c r="I290" i="22"/>
  <c r="H113" i="22"/>
  <c r="H458" i="9"/>
  <c r="T113" i="21"/>
  <c r="T525" i="21"/>
  <c r="T533" i="21" s="1"/>
  <c r="I321" i="21"/>
  <c r="I297" i="21" s="1"/>
  <c r="I145" i="21" s="1"/>
  <c r="S426" i="21"/>
  <c r="H26" i="21"/>
  <c r="H291" i="21"/>
  <c r="S35" i="22"/>
  <c r="G41" i="21"/>
  <c r="G123" i="21"/>
  <c r="G70" i="21" s="1"/>
  <c r="G137" i="21"/>
  <c r="G537" i="21"/>
  <c r="G538" i="21"/>
  <c r="G540" i="21"/>
  <c r="E657" i="21"/>
  <c r="S434" i="21"/>
  <c r="T41" i="22" l="1"/>
  <c r="T67" i="22" s="1"/>
  <c r="T537" i="22"/>
  <c r="T543" i="22" s="1"/>
  <c r="T550" i="22" s="1"/>
  <c r="T137" i="22"/>
  <c r="T538" i="22"/>
  <c r="T544" i="22" s="1"/>
  <c r="T551" i="22" s="1"/>
  <c r="S35" i="21"/>
  <c r="S137" i="21" s="1"/>
  <c r="T447" i="21"/>
  <c r="T454" i="21" s="1"/>
  <c r="S464" i="21"/>
  <c r="T35" i="21"/>
  <c r="G552" i="22"/>
  <c r="G43" i="22" s="1"/>
  <c r="H145" i="9"/>
  <c r="I299" i="21"/>
  <c r="I526" i="21" s="1"/>
  <c r="I534" i="21" s="1"/>
  <c r="G544" i="21"/>
  <c r="G551" i="21" s="1"/>
  <c r="G543" i="21"/>
  <c r="G550" i="21" s="1"/>
  <c r="G67" i="21"/>
  <c r="G53" i="21"/>
  <c r="H144" i="21"/>
  <c r="H146" i="21" s="1"/>
  <c r="H293" i="21"/>
  <c r="I299" i="22"/>
  <c r="M99" i="7"/>
  <c r="G99" i="7"/>
  <c r="K99" i="7" s="1"/>
  <c r="L99" i="7" s="1"/>
  <c r="S41" i="22"/>
  <c r="S67" i="22" s="1"/>
  <c r="S123" i="22"/>
  <c r="S70" i="22" s="1"/>
  <c r="S137" i="22"/>
  <c r="S537" i="22"/>
  <c r="S538" i="22"/>
  <c r="S540" i="22"/>
  <c r="I461" i="9"/>
  <c r="I411" i="9" s="1"/>
  <c r="I183" i="9" s="1"/>
  <c r="S427" i="21"/>
  <c r="S428" i="21" s="1"/>
  <c r="S481" i="21" s="1"/>
  <c r="G431" i="21"/>
  <c r="G482" i="21"/>
  <c r="H393" i="9"/>
  <c r="H30" i="9"/>
  <c r="I320" i="22"/>
  <c r="I182" i="9"/>
  <c r="I407" i="9"/>
  <c r="U159" i="7"/>
  <c r="L159" i="7"/>
  <c r="R159" i="7" s="1"/>
  <c r="S159" i="7" s="1"/>
  <c r="G419" i="9" s="1"/>
  <c r="J425" i="9"/>
  <c r="G664" i="21"/>
  <c r="G657" i="21" s="1"/>
  <c r="D41" i="7" s="1"/>
  <c r="K664" i="21"/>
  <c r="K657" i="21" s="1"/>
  <c r="O664" i="21"/>
  <c r="O657" i="21" s="1"/>
  <c r="I664" i="21"/>
  <c r="I657" i="21" s="1"/>
  <c r="M664" i="21"/>
  <c r="M657" i="21" s="1"/>
  <c r="N664" i="21"/>
  <c r="N657" i="21" s="1"/>
  <c r="H664" i="21"/>
  <c r="H657" i="21" s="1"/>
  <c r="J664" i="21"/>
  <c r="J657" i="21" s="1"/>
  <c r="L664" i="21"/>
  <c r="L657" i="21" s="1"/>
  <c r="S537" i="21" l="1"/>
  <c r="S123" i="21"/>
  <c r="S70" i="21" s="1"/>
  <c r="S540" i="21"/>
  <c r="S41" i="21"/>
  <c r="S67" i="21" s="1"/>
  <c r="S538" i="21"/>
  <c r="T537" i="21"/>
  <c r="S470" i="21"/>
  <c r="S471" i="21" s="1"/>
  <c r="O16" i="7" s="1"/>
  <c r="T448" i="21"/>
  <c r="T449" i="21" s="1"/>
  <c r="T453" i="21" s="1"/>
  <c r="S465" i="21"/>
  <c r="E656" i="21"/>
  <c r="J663" i="21" s="1"/>
  <c r="J656" i="21" s="1"/>
  <c r="T540" i="21"/>
  <c r="T137" i="21"/>
  <c r="T41" i="21"/>
  <c r="T67" i="21" s="1"/>
  <c r="T538" i="21"/>
  <c r="I118" i="21"/>
  <c r="G44" i="22"/>
  <c r="I566" i="21"/>
  <c r="J296" i="21"/>
  <c r="J321" i="21" s="1"/>
  <c r="J297" i="21" s="1"/>
  <c r="J145" i="21" s="1"/>
  <c r="G552" i="21"/>
  <c r="G43" i="21" s="1"/>
  <c r="T552" i="22"/>
  <c r="T43" i="22" s="1"/>
  <c r="H58" i="9" s="1"/>
  <c r="I413" i="9"/>
  <c r="J410" i="9" s="1"/>
  <c r="G484" i="21"/>
  <c r="G492" i="21" s="1"/>
  <c r="G485" i="21" s="1"/>
  <c r="G486" i="21" s="1"/>
  <c r="S544" i="22"/>
  <c r="S551" i="22" s="1"/>
  <c r="S543" i="22"/>
  <c r="S550" i="22" s="1"/>
  <c r="I139" i="9"/>
  <c r="J404" i="9"/>
  <c r="K422" i="9"/>
  <c r="J147" i="9"/>
  <c r="H180" i="9"/>
  <c r="H395" i="9"/>
  <c r="S431" i="21"/>
  <c r="S482" i="21"/>
  <c r="J25" i="7"/>
  <c r="N148" i="7" s="1"/>
  <c r="Q99" i="7"/>
  <c r="K148" i="7"/>
  <c r="P99" i="7"/>
  <c r="H113" i="21"/>
  <c r="I290" i="21"/>
  <c r="H525" i="21"/>
  <c r="H533" i="21" s="1"/>
  <c r="H416" i="9"/>
  <c r="G146" i="9"/>
  <c r="I26" i="22"/>
  <c r="I291" i="22"/>
  <c r="T123" i="22"/>
  <c r="T70" i="22" s="1"/>
  <c r="E165" i="7"/>
  <c r="I118" i="22"/>
  <c r="J296" i="22"/>
  <c r="I526" i="22"/>
  <c r="I534" i="22" s="1"/>
  <c r="I566" i="22"/>
  <c r="G491" i="21" l="1"/>
  <c r="G493" i="21" s="1"/>
  <c r="H490" i="21" s="1"/>
  <c r="G487" i="21"/>
  <c r="T123" i="21"/>
  <c r="T70" i="21" s="1"/>
  <c r="S543" i="21"/>
  <c r="S550" i="21" s="1"/>
  <c r="F165" i="7"/>
  <c r="J165" i="7" s="1"/>
  <c r="S544" i="21"/>
  <c r="S551" i="21" s="1"/>
  <c r="T543" i="21"/>
  <c r="T550" i="21" s="1"/>
  <c r="T469" i="21"/>
  <c r="T455" i="21"/>
  <c r="T461" i="21"/>
  <c r="M663" i="21"/>
  <c r="M656" i="21" s="1"/>
  <c r="K663" i="21"/>
  <c r="K656" i="21" s="1"/>
  <c r="N663" i="21"/>
  <c r="N656" i="21" s="1"/>
  <c r="L663" i="21"/>
  <c r="L656" i="21" s="1"/>
  <c r="G663" i="21"/>
  <c r="G656" i="21" s="1"/>
  <c r="O663" i="21"/>
  <c r="O656" i="21" s="1"/>
  <c r="H663" i="21"/>
  <c r="H656" i="21" s="1"/>
  <c r="I663" i="21"/>
  <c r="I656" i="21" s="1"/>
  <c r="T544" i="21"/>
  <c r="T551" i="21" s="1"/>
  <c r="I145" i="9"/>
  <c r="S552" i="22"/>
  <c r="S44" i="22" s="1"/>
  <c r="T44" i="22"/>
  <c r="H63" i="9" s="1"/>
  <c r="G44" i="21"/>
  <c r="J299" i="21"/>
  <c r="K296" i="21" s="1"/>
  <c r="S484" i="21"/>
  <c r="J461" i="9"/>
  <c r="J411" i="9" s="1"/>
  <c r="J183" i="9" s="1"/>
  <c r="G430" i="21"/>
  <c r="G432" i="21" s="1"/>
  <c r="G433" i="21" s="1"/>
  <c r="G437" i="21" s="1"/>
  <c r="G438" i="21" s="1"/>
  <c r="J321" i="22"/>
  <c r="J297" i="22" s="1"/>
  <c r="J145" i="22" s="1"/>
  <c r="H462" i="9"/>
  <c r="H417" i="9" s="1"/>
  <c r="H184" i="9" s="1"/>
  <c r="I320" i="21"/>
  <c r="I144" i="22"/>
  <c r="I146" i="22" s="1"/>
  <c r="I293" i="22"/>
  <c r="U148" i="7"/>
  <c r="L148" i="7"/>
  <c r="R148" i="7" s="1"/>
  <c r="S148" i="7" s="1"/>
  <c r="G401" i="9" s="1"/>
  <c r="K463" i="9"/>
  <c r="K423" i="9" s="1"/>
  <c r="K185" i="9" s="1"/>
  <c r="J460" i="9"/>
  <c r="I392" i="9"/>
  <c r="H137" i="9"/>
  <c r="S492" i="21" l="1"/>
  <c r="S485" i="21" s="1"/>
  <c r="S486" i="21" s="1"/>
  <c r="S491" i="21" s="1"/>
  <c r="T552" i="21"/>
  <c r="T44" i="21" s="1"/>
  <c r="S552" i="21"/>
  <c r="F171" i="7" s="1"/>
  <c r="J171" i="7" s="1"/>
  <c r="T463" i="21"/>
  <c r="T425" i="21" s="1"/>
  <c r="J566" i="21"/>
  <c r="J118" i="21"/>
  <c r="J299" i="22"/>
  <c r="J526" i="22" s="1"/>
  <c r="J534" i="22" s="1"/>
  <c r="J526" i="21"/>
  <c r="J534" i="21" s="1"/>
  <c r="E171" i="7"/>
  <c r="E45" i="7" s="1"/>
  <c r="S43" i="22"/>
  <c r="H419" i="9"/>
  <c r="G114" i="21"/>
  <c r="G148" i="21" s="1"/>
  <c r="G151" i="21" s="1"/>
  <c r="G152" i="21" s="1"/>
  <c r="H436" i="21"/>
  <c r="K425" i="9"/>
  <c r="I458" i="9"/>
  <c r="J32" i="9"/>
  <c r="J405" i="9"/>
  <c r="I113" i="22"/>
  <c r="I525" i="22"/>
  <c r="I533" i="22" s="1"/>
  <c r="J290" i="22"/>
  <c r="I291" i="21"/>
  <c r="I26" i="21"/>
  <c r="J413" i="9"/>
  <c r="K321" i="21"/>
  <c r="K297" i="21" s="1"/>
  <c r="K145" i="21" s="1"/>
  <c r="G138" i="9"/>
  <c r="H398" i="9"/>
  <c r="S493" i="21" l="1"/>
  <c r="T490" i="21" s="1"/>
  <c r="S487" i="21"/>
  <c r="S430" i="21"/>
  <c r="S432" i="21" s="1"/>
  <c r="S433" i="21" s="1"/>
  <c r="S437" i="21" s="1"/>
  <c r="S438" i="21" s="1"/>
  <c r="S43" i="21"/>
  <c r="T43" i="21"/>
  <c r="S44" i="21"/>
  <c r="T426" i="21"/>
  <c r="T427" i="21" s="1"/>
  <c r="T428" i="21" s="1"/>
  <c r="T481" i="21" s="1"/>
  <c r="T470" i="21"/>
  <c r="T471" i="21" s="1"/>
  <c r="T465" i="21"/>
  <c r="K296" i="22"/>
  <c r="I416" i="9"/>
  <c r="I462" i="9" s="1"/>
  <c r="I417" i="9" s="1"/>
  <c r="I184" i="9" s="1"/>
  <c r="H790" i="9"/>
  <c r="J118" i="22"/>
  <c r="J566" i="22"/>
  <c r="H146" i="9"/>
  <c r="H459" i="9"/>
  <c r="K410" i="9"/>
  <c r="J145" i="9"/>
  <c r="I144" i="21"/>
  <c r="I146" i="21" s="1"/>
  <c r="I293" i="21"/>
  <c r="J320" i="22"/>
  <c r="J182" i="9"/>
  <c r="J407" i="9"/>
  <c r="K147" i="9"/>
  <c r="L422" i="9"/>
  <c r="K321" i="22"/>
  <c r="K297" i="22" s="1"/>
  <c r="K145" i="22" s="1"/>
  <c r="K299" i="21"/>
  <c r="I393" i="9"/>
  <c r="I30" i="9"/>
  <c r="G247" i="21"/>
  <c r="S114" i="21"/>
  <c r="T436" i="21"/>
  <c r="T482" i="21" l="1"/>
  <c r="T491" i="21" s="1"/>
  <c r="T431" i="21"/>
  <c r="I419" i="9"/>
  <c r="S148" i="21"/>
  <c r="S151" i="21" s="1"/>
  <c r="S152" i="21" s="1"/>
  <c r="F154" i="7"/>
  <c r="L463" i="9"/>
  <c r="L423" i="9" s="1"/>
  <c r="L185" i="9" s="1"/>
  <c r="J26" i="22"/>
  <c r="J291" i="22"/>
  <c r="I113" i="21"/>
  <c r="I525" i="21"/>
  <c r="I533" i="21" s="1"/>
  <c r="J290" i="21"/>
  <c r="I180" i="9"/>
  <c r="I395" i="9"/>
  <c r="J139" i="9"/>
  <c r="K404" i="9"/>
  <c r="K118" i="21"/>
  <c r="L296" i="21"/>
  <c r="K526" i="21"/>
  <c r="K534" i="21" s="1"/>
  <c r="K566" i="21"/>
  <c r="K299" i="22"/>
  <c r="K461" i="9"/>
  <c r="K411" i="9" s="1"/>
  <c r="K183" i="9" s="1"/>
  <c r="H399" i="9"/>
  <c r="H31" i="9"/>
  <c r="T484" i="21" l="1"/>
  <c r="T492" i="21" s="1"/>
  <c r="T485" i="21" s="1"/>
  <c r="I146" i="9"/>
  <c r="I790" i="9"/>
  <c r="L425" i="9"/>
  <c r="L147" i="9" s="1"/>
  <c r="J416" i="9"/>
  <c r="J462" i="9" s="1"/>
  <c r="J417" i="9" s="1"/>
  <c r="J184" i="9" s="1"/>
  <c r="K460" i="9"/>
  <c r="S247" i="21"/>
  <c r="S248" i="21" s="1"/>
  <c r="S253" i="21" s="1"/>
  <c r="K413" i="9"/>
  <c r="K118" i="22"/>
  <c r="K526" i="22"/>
  <c r="K534" i="22" s="1"/>
  <c r="K566" i="22"/>
  <c r="L296" i="22"/>
  <c r="J392" i="9"/>
  <c r="I137" i="9"/>
  <c r="H181" i="9"/>
  <c r="H401" i="9"/>
  <c r="J144" i="22"/>
  <c r="J146" i="22" s="1"/>
  <c r="J293" i="22"/>
  <c r="J320" i="21"/>
  <c r="L321" i="21"/>
  <c r="L297" i="21" s="1"/>
  <c r="L145" i="21" s="1"/>
  <c r="S270" i="21" l="1"/>
  <c r="S256" i="21"/>
  <c r="S257" i="21" s="1"/>
  <c r="T493" i="21"/>
  <c r="T486" i="21"/>
  <c r="M422" i="9"/>
  <c r="M463" i="9" s="1"/>
  <c r="M423" i="9" s="1"/>
  <c r="M185" i="9" s="1"/>
  <c r="L299" i="21"/>
  <c r="M296" i="21" s="1"/>
  <c r="J113" i="22"/>
  <c r="K290" i="22"/>
  <c r="J525" i="22"/>
  <c r="J533" i="22" s="1"/>
  <c r="L410" i="9"/>
  <c r="K145" i="9"/>
  <c r="K32" i="9"/>
  <c r="K405" i="9"/>
  <c r="J458" i="9"/>
  <c r="H138" i="9"/>
  <c r="I398" i="9"/>
  <c r="L321" i="22"/>
  <c r="L297" i="22" s="1"/>
  <c r="L145" i="22" s="1"/>
  <c r="J419" i="9"/>
  <c r="J790" i="9" s="1"/>
  <c r="J291" i="21"/>
  <c r="J26" i="21"/>
  <c r="S258" i="21" l="1"/>
  <c r="S259" i="21" s="1"/>
  <c r="T430" i="21"/>
  <c r="T432" i="21" s="1"/>
  <c r="T433" i="21" s="1"/>
  <c r="T437" i="21" s="1"/>
  <c r="T438" i="21" s="1"/>
  <c r="T114" i="21" s="1"/>
  <c r="T148" i="21" s="1"/>
  <c r="T151" i="21" s="1"/>
  <c r="T152" i="21" s="1"/>
  <c r="T247" i="21" s="1"/>
  <c r="T487" i="21"/>
  <c r="L526" i="21"/>
  <c r="L534" i="21" s="1"/>
  <c r="L566" i="21"/>
  <c r="L118" i="21"/>
  <c r="S163" i="21"/>
  <c r="S280" i="21"/>
  <c r="S281" i="21" s="1"/>
  <c r="J144" i="21"/>
  <c r="J146" i="21" s="1"/>
  <c r="J293" i="21"/>
  <c r="J30" i="9"/>
  <c r="J393" i="9"/>
  <c r="L461" i="9"/>
  <c r="L411" i="9" s="1"/>
  <c r="L183" i="9" s="1"/>
  <c r="J146" i="9"/>
  <c r="K416" i="9"/>
  <c r="L299" i="22"/>
  <c r="K182" i="9"/>
  <c r="K407" i="9"/>
  <c r="S271" i="21"/>
  <c r="S272" i="21" s="1"/>
  <c r="S275" i="21" s="1"/>
  <c r="M321" i="21"/>
  <c r="M297" i="21" s="1"/>
  <c r="M145" i="21" s="1"/>
  <c r="I459" i="9"/>
  <c r="K320" i="22"/>
  <c r="M425" i="9"/>
  <c r="L413" i="9" l="1"/>
  <c r="M410" i="9" s="1"/>
  <c r="K26" i="22"/>
  <c r="K291" i="22"/>
  <c r="M299" i="21"/>
  <c r="L404" i="9"/>
  <c r="K139" i="9"/>
  <c r="J180" i="9"/>
  <c r="J395" i="9"/>
  <c r="S164" i="21"/>
  <c r="S286" i="21"/>
  <c r="S287" i="21" s="1"/>
  <c r="N422" i="9"/>
  <c r="M147" i="9"/>
  <c r="I31" i="9"/>
  <c r="I399" i="9"/>
  <c r="T278" i="21"/>
  <c r="S111" i="21"/>
  <c r="F146" i="7" s="1"/>
  <c r="K462" i="9"/>
  <c r="K417" i="9" s="1"/>
  <c r="K184" i="9" s="1"/>
  <c r="S565" i="21"/>
  <c r="S110" i="21"/>
  <c r="T269" i="21"/>
  <c r="L526" i="22"/>
  <c r="L534" i="22" s="1"/>
  <c r="L566" i="22"/>
  <c r="M296" i="22"/>
  <c r="L118" i="22"/>
  <c r="K290" i="21"/>
  <c r="J113" i="21"/>
  <c r="J525" i="21"/>
  <c r="J533" i="21" s="1"/>
  <c r="L145" i="9" l="1"/>
  <c r="N463" i="9"/>
  <c r="N423" i="9" s="1"/>
  <c r="N185" i="9" s="1"/>
  <c r="K144" i="22"/>
  <c r="K146" i="22" s="1"/>
  <c r="K293" i="22"/>
  <c r="M321" i="22"/>
  <c r="M297" i="22" s="1"/>
  <c r="M145" i="22" s="1"/>
  <c r="I181" i="9"/>
  <c r="I401" i="9"/>
  <c r="T284" i="21"/>
  <c r="S112" i="21"/>
  <c r="F147" i="7" s="1"/>
  <c r="S601" i="21"/>
  <c r="K419" i="9"/>
  <c r="K790" i="9" s="1"/>
  <c r="L460" i="9"/>
  <c r="M461" i="9"/>
  <c r="M411" i="9" s="1"/>
  <c r="M183" i="9" s="1"/>
  <c r="T279" i="21"/>
  <c r="T249" i="21" s="1"/>
  <c r="S162" i="21"/>
  <c r="S168" i="21" s="1"/>
  <c r="S170" i="21" s="1"/>
  <c r="S84" i="21" s="1"/>
  <c r="F145" i="7"/>
  <c r="K320" i="21"/>
  <c r="S563" i="21"/>
  <c r="J146" i="7"/>
  <c r="D97" i="7"/>
  <c r="J137" i="9"/>
  <c r="K392" i="9"/>
  <c r="N296" i="21"/>
  <c r="M118" i="21"/>
  <c r="M526" i="21"/>
  <c r="M534" i="21" s="1"/>
  <c r="M566" i="21"/>
  <c r="S69" i="21" l="1"/>
  <c r="M299" i="22"/>
  <c r="M118" i="22" s="1"/>
  <c r="M413" i="9"/>
  <c r="M145" i="9" s="1"/>
  <c r="S116" i="21"/>
  <c r="S124" i="21" s="1"/>
  <c r="N425" i="9"/>
  <c r="O422" i="9" s="1"/>
  <c r="G97" i="7"/>
  <c r="K97" i="7" s="1"/>
  <c r="M97" i="7"/>
  <c r="J22" i="7"/>
  <c r="F149" i="7"/>
  <c r="F156" i="7" s="1"/>
  <c r="J145" i="7"/>
  <c r="J398" i="9"/>
  <c r="I138" i="9"/>
  <c r="L290" i="22"/>
  <c r="K113" i="22"/>
  <c r="K525" i="22"/>
  <c r="K533" i="22" s="1"/>
  <c r="N321" i="21"/>
  <c r="N297" i="21" s="1"/>
  <c r="N145" i="21" s="1"/>
  <c r="K26" i="21"/>
  <c r="K291" i="21"/>
  <c r="T244" i="21"/>
  <c r="T246" i="21" s="1"/>
  <c r="T248" i="21" s="1"/>
  <c r="F112" i="7"/>
  <c r="S89" i="21"/>
  <c r="S98" i="21" s="1"/>
  <c r="S71" i="21" s="1"/>
  <c r="G639" i="21"/>
  <c r="K458" i="9"/>
  <c r="S564" i="21"/>
  <c r="S567" i="21"/>
  <c r="S598" i="21" s="1"/>
  <c r="S602" i="21"/>
  <c r="L32" i="9"/>
  <c r="L405" i="9"/>
  <c r="J147" i="7"/>
  <c r="D98" i="7"/>
  <c r="E25" i="7" s="1"/>
  <c r="L416" i="9"/>
  <c r="K146" i="9"/>
  <c r="T285" i="21"/>
  <c r="T250" i="21" s="1"/>
  <c r="T252" i="21" s="1"/>
  <c r="M566" i="22" l="1"/>
  <c r="M526" i="22"/>
  <c r="M534" i="22" s="1"/>
  <c r="N296" i="22"/>
  <c r="N321" i="22" s="1"/>
  <c r="N297" i="22" s="1"/>
  <c r="N145" i="22" s="1"/>
  <c r="N410" i="9"/>
  <c r="N461" i="9" s="1"/>
  <c r="N411" i="9" s="1"/>
  <c r="N183" i="9" s="1"/>
  <c r="N147" i="9"/>
  <c r="L182" i="9"/>
  <c r="L407" i="9"/>
  <c r="S599" i="21"/>
  <c r="S603" i="21"/>
  <c r="S604" i="21"/>
  <c r="T253" i="21"/>
  <c r="L320" i="22"/>
  <c r="K30" i="9"/>
  <c r="K393" i="9"/>
  <c r="H639" i="21"/>
  <c r="G640" i="21"/>
  <c r="K144" i="21"/>
  <c r="K146" i="21" s="1"/>
  <c r="K293" i="21"/>
  <c r="N299" i="21"/>
  <c r="J149" i="7"/>
  <c r="L145" i="7"/>
  <c r="P97" i="7"/>
  <c r="Q97" i="7"/>
  <c r="K146" i="7"/>
  <c r="J23" i="7"/>
  <c r="N146" i="7" s="1"/>
  <c r="O463" i="9"/>
  <c r="O423" i="9" s="1"/>
  <c r="O185" i="9" s="1"/>
  <c r="G98" i="7"/>
  <c r="K98" i="7" s="1"/>
  <c r="L98" i="7" s="1"/>
  <c r="M98" i="7"/>
  <c r="E26" i="7" s="1"/>
  <c r="J459" i="9"/>
  <c r="F166" i="7"/>
  <c r="L97" i="7"/>
  <c r="L462" i="9"/>
  <c r="L417" i="9" s="1"/>
  <c r="L184" i="9" s="1"/>
  <c r="E30" i="7"/>
  <c r="J112" i="7"/>
  <c r="F117" i="7"/>
  <c r="F128" i="7" s="1"/>
  <c r="O31" i="7" s="1"/>
  <c r="J38" i="7"/>
  <c r="N145" i="7"/>
  <c r="T256" i="21" l="1"/>
  <c r="T257" i="21" s="1"/>
  <c r="T270" i="21"/>
  <c r="N299" i="22"/>
  <c r="N566" i="22" s="1"/>
  <c r="L101" i="7"/>
  <c r="O425" i="9"/>
  <c r="O147" i="9" s="1"/>
  <c r="U145" i="7"/>
  <c r="J31" i="9"/>
  <c r="J399" i="9"/>
  <c r="U146" i="7"/>
  <c r="L146" i="7"/>
  <c r="R146" i="7" s="1"/>
  <c r="S146" i="7" s="1"/>
  <c r="G365" i="9" s="1"/>
  <c r="R145" i="7"/>
  <c r="L291" i="22"/>
  <c r="L26" i="22"/>
  <c r="F174" i="7"/>
  <c r="L419" i="9"/>
  <c r="L790" i="9" s="1"/>
  <c r="K101" i="7"/>
  <c r="E18" i="7" s="1"/>
  <c r="E19" i="7" s="1"/>
  <c r="E21" i="7" s="1"/>
  <c r="G644" i="21"/>
  <c r="G649" i="21"/>
  <c r="D37" i="7" s="1"/>
  <c r="G654" i="21"/>
  <c r="D40" i="7" s="1"/>
  <c r="G646" i="21"/>
  <c r="D36" i="7" s="1"/>
  <c r="G652" i="21"/>
  <c r="G653" i="21"/>
  <c r="D39" i="7" s="1"/>
  <c r="G645" i="21"/>
  <c r="D35" i="7" s="1"/>
  <c r="G648" i="21"/>
  <c r="G650" i="21"/>
  <c r="D38" i="7" s="1"/>
  <c r="M404" i="9"/>
  <c r="L139" i="9"/>
  <c r="J117" i="7"/>
  <c r="O296" i="21"/>
  <c r="N118" i="21"/>
  <c r="N566" i="21"/>
  <c r="N526" i="21"/>
  <c r="N534" i="21" s="1"/>
  <c r="I639" i="21"/>
  <c r="H640" i="21"/>
  <c r="N413" i="9"/>
  <c r="J24" i="7"/>
  <c r="Q98" i="7"/>
  <c r="P98" i="7"/>
  <c r="P101" i="7" s="1"/>
  <c r="J29" i="7" s="1"/>
  <c r="K147" i="7"/>
  <c r="K113" i="21"/>
  <c r="L290" i="21"/>
  <c r="K525" i="21"/>
  <c r="K533" i="21" s="1"/>
  <c r="K180" i="9"/>
  <c r="K395" i="9"/>
  <c r="T258" i="21" l="1"/>
  <c r="T259" i="21" s="1"/>
  <c r="N526" i="22"/>
  <c r="N534" i="22" s="1"/>
  <c r="O296" i="22"/>
  <c r="O321" i="22" s="1"/>
  <c r="O297" i="22" s="1"/>
  <c r="O145" i="22" s="1"/>
  <c r="N118" i="22"/>
  <c r="P422" i="9"/>
  <c r="P463" i="9" s="1"/>
  <c r="P423" i="9" s="1"/>
  <c r="P185" i="9" s="1"/>
  <c r="T280" i="21"/>
  <c r="T281" i="21" s="1"/>
  <c r="T111" i="21" s="1"/>
  <c r="T163" i="21"/>
  <c r="K137" i="9"/>
  <c r="L392" i="9"/>
  <c r="H648" i="21"/>
  <c r="H653" i="21"/>
  <c r="H645" i="21"/>
  <c r="H650" i="21"/>
  <c r="H652" i="21"/>
  <c r="H644" i="21"/>
  <c r="H654" i="21"/>
  <c r="H646" i="21"/>
  <c r="H649" i="21"/>
  <c r="S145" i="7"/>
  <c r="J181" i="9"/>
  <c r="J401" i="9"/>
  <c r="J47" i="7"/>
  <c r="N165" i="7"/>
  <c r="N147" i="7"/>
  <c r="N149" i="7" s="1"/>
  <c r="J45" i="7"/>
  <c r="J27" i="7"/>
  <c r="J639" i="21"/>
  <c r="I640" i="21"/>
  <c r="O321" i="21"/>
  <c r="O297" i="21" s="1"/>
  <c r="O145" i="21" s="1"/>
  <c r="G132" i="9"/>
  <c r="H362" i="9"/>
  <c r="L147" i="7"/>
  <c r="J20" i="7"/>
  <c r="E24" i="7"/>
  <c r="L144" i="22"/>
  <c r="L146" i="22" s="1"/>
  <c r="L293" i="22"/>
  <c r="K149" i="7"/>
  <c r="K156" i="7" s="1"/>
  <c r="L320" i="21"/>
  <c r="O410" i="9"/>
  <c r="N145" i="9"/>
  <c r="M460" i="9"/>
  <c r="T271" i="21"/>
  <c r="T272" i="21" s="1"/>
  <c r="T275" i="21" s="1"/>
  <c r="M416" i="9"/>
  <c r="L146" i="9"/>
  <c r="H363" i="9" l="1"/>
  <c r="H314" i="9" s="1"/>
  <c r="O299" i="21"/>
  <c r="O566" i="21" s="1"/>
  <c r="T565" i="21"/>
  <c r="T601" i="21" s="1"/>
  <c r="T110" i="21"/>
  <c r="R147" i="7"/>
  <c r="L149" i="7"/>
  <c r="O461" i="9"/>
  <c r="O411" i="9" s="1"/>
  <c r="O183" i="9" s="1"/>
  <c r="J18" i="7"/>
  <c r="U147" i="7"/>
  <c r="U149" i="7" s="1"/>
  <c r="I646" i="21"/>
  <c r="I652" i="21"/>
  <c r="I644" i="21"/>
  <c r="I649" i="21"/>
  <c r="I654" i="21"/>
  <c r="I650" i="21"/>
  <c r="I653" i="21"/>
  <c r="I645" i="21"/>
  <c r="I648" i="21"/>
  <c r="K398" i="9"/>
  <c r="J138" i="9"/>
  <c r="T286" i="21"/>
  <c r="T287" i="21" s="1"/>
  <c r="T112" i="21" s="1"/>
  <c r="T164" i="21"/>
  <c r="E41" i="7"/>
  <c r="O8" i="7"/>
  <c r="O10" i="7" s="1"/>
  <c r="G647" i="9" s="1"/>
  <c r="O29" i="7"/>
  <c r="O32" i="7" s="1"/>
  <c r="E31" i="7"/>
  <c r="M32" i="9"/>
  <c r="M405" i="9"/>
  <c r="L525" i="22"/>
  <c r="L533" i="22" s="1"/>
  <c r="M290" i="22"/>
  <c r="L113" i="22"/>
  <c r="K639" i="21"/>
  <c r="J640" i="21"/>
  <c r="L458" i="9"/>
  <c r="M462" i="9"/>
  <c r="M417" i="9" s="1"/>
  <c r="M184" i="9" s="1"/>
  <c r="L26" i="21"/>
  <c r="L291" i="21"/>
  <c r="P425" i="9"/>
  <c r="O299" i="22"/>
  <c r="H453" i="9"/>
  <c r="H25" i="9" s="1"/>
  <c r="T69" i="21" l="1"/>
  <c r="I647" i="9"/>
  <c r="I649" i="9" s="1"/>
  <c r="M647" i="9"/>
  <c r="M649" i="9" s="1"/>
  <c r="Q647" i="9"/>
  <c r="Q649" i="9" s="1"/>
  <c r="O647" i="9"/>
  <c r="O649" i="9" s="1"/>
  <c r="P647" i="9"/>
  <c r="P649" i="9" s="1"/>
  <c r="J647" i="9"/>
  <c r="J649" i="9" s="1"/>
  <c r="N647" i="9"/>
  <c r="N649" i="9" s="1"/>
  <c r="K647" i="9"/>
  <c r="K649" i="9" s="1"/>
  <c r="L647" i="9"/>
  <c r="L649" i="9" s="1"/>
  <c r="G649" i="9"/>
  <c r="H647" i="9"/>
  <c r="H649" i="9" s="1"/>
  <c r="O526" i="21"/>
  <c r="O534" i="21" s="1"/>
  <c r="P296" i="21"/>
  <c r="P321" i="21" s="1"/>
  <c r="P297" i="21" s="1"/>
  <c r="P145" i="21" s="1"/>
  <c r="O118" i="21"/>
  <c r="O12" i="7"/>
  <c r="O14" i="7" s="1"/>
  <c r="O17" i="7" s="1"/>
  <c r="O25" i="7" s="1"/>
  <c r="J44" i="7"/>
  <c r="J50" i="7" s="1"/>
  <c r="K112" i="7"/>
  <c r="T162" i="21"/>
  <c r="T168" i="21" s="1"/>
  <c r="T170" i="21" s="1"/>
  <c r="T84" i="21" s="1"/>
  <c r="T116" i="21"/>
  <c r="T124" i="21" s="1"/>
  <c r="O118" i="22"/>
  <c r="O526" i="22"/>
  <c r="O534" i="22" s="1"/>
  <c r="O566" i="22"/>
  <c r="P296" i="22"/>
  <c r="M419" i="9"/>
  <c r="M790" i="9" s="1"/>
  <c r="J645" i="21"/>
  <c r="J650" i="21"/>
  <c r="J648" i="21"/>
  <c r="J653" i="21"/>
  <c r="J649" i="21"/>
  <c r="J652" i="21"/>
  <c r="J644" i="21"/>
  <c r="J654" i="21"/>
  <c r="J646" i="21"/>
  <c r="M320" i="22"/>
  <c r="E37" i="7"/>
  <c r="E38" i="7"/>
  <c r="E39" i="7"/>
  <c r="E40" i="7"/>
  <c r="E35" i="7"/>
  <c r="E36" i="7"/>
  <c r="K459" i="9"/>
  <c r="O413" i="9"/>
  <c r="L393" i="9"/>
  <c r="L30" i="9"/>
  <c r="P147" i="9"/>
  <c r="Q422" i="9"/>
  <c r="L639" i="21"/>
  <c r="K640" i="21"/>
  <c r="J19" i="7"/>
  <c r="L144" i="21"/>
  <c r="L146" i="21" s="1"/>
  <c r="L293" i="21"/>
  <c r="M182" i="9"/>
  <c r="M407" i="9"/>
  <c r="H59" i="7"/>
  <c r="S147" i="7"/>
  <c r="R149" i="7"/>
  <c r="T563" i="21"/>
  <c r="T602" i="21" s="1"/>
  <c r="T567" i="21" l="1"/>
  <c r="T598" i="21" s="1"/>
  <c r="T564" i="21"/>
  <c r="L180" i="9"/>
  <c r="L395" i="9"/>
  <c r="G246" i="21"/>
  <c r="G248" i="21" s="1"/>
  <c r="G253" i="21" s="1"/>
  <c r="T89" i="21"/>
  <c r="T98" i="21" s="1"/>
  <c r="T71" i="21" s="1"/>
  <c r="J10" i="7"/>
  <c r="E46" i="7"/>
  <c r="E50" i="7" s="1"/>
  <c r="E51" i="7" s="1"/>
  <c r="Q463" i="9"/>
  <c r="Q423" i="9" s="1"/>
  <c r="Q185" i="9" s="1"/>
  <c r="G383" i="9"/>
  <c r="S149" i="7"/>
  <c r="M139" i="9"/>
  <c r="N404" i="9"/>
  <c r="K399" i="9"/>
  <c r="K31" i="9"/>
  <c r="M26" i="22"/>
  <c r="M291" i="22"/>
  <c r="P321" i="22"/>
  <c r="P297" i="22" s="1"/>
  <c r="P145" i="22" s="1"/>
  <c r="P299" i="21"/>
  <c r="J59" i="7"/>
  <c r="G574" i="9"/>
  <c r="O35" i="7"/>
  <c r="G59" i="7"/>
  <c r="H122" i="7"/>
  <c r="I59" i="7"/>
  <c r="I64" i="7" s="1"/>
  <c r="O24" i="7" s="1"/>
  <c r="O26" i="7" s="1"/>
  <c r="O37" i="7" s="1"/>
  <c r="L113" i="21"/>
  <c r="M290" i="21"/>
  <c r="L525" i="21"/>
  <c r="L533" i="21" s="1"/>
  <c r="M639" i="21"/>
  <c r="L640" i="21"/>
  <c r="P410" i="9"/>
  <c r="O145" i="9"/>
  <c r="M146" i="9"/>
  <c r="N416" i="9"/>
  <c r="K644" i="21"/>
  <c r="K649" i="21"/>
  <c r="K654" i="21"/>
  <c r="K646" i="21"/>
  <c r="K652" i="21"/>
  <c r="K648" i="21"/>
  <c r="K650" i="21"/>
  <c r="K653" i="21"/>
  <c r="K645" i="21"/>
  <c r="K117" i="7"/>
  <c r="L112" i="7"/>
  <c r="G270" i="21" l="1"/>
  <c r="G256" i="21"/>
  <c r="G257" i="21" s="1"/>
  <c r="T603" i="21"/>
  <c r="T604" i="21"/>
  <c r="Q425" i="9"/>
  <c r="Q147" i="9" s="1"/>
  <c r="N462" i="9"/>
  <c r="N417" i="9" s="1"/>
  <c r="N184" i="9" s="1"/>
  <c r="M320" i="21"/>
  <c r="P118" i="21"/>
  <c r="P526" i="21"/>
  <c r="P534" i="21" s="1"/>
  <c r="P566" i="21"/>
  <c r="L648" i="21"/>
  <c r="L653" i="21"/>
  <c r="L645" i="21"/>
  <c r="L650" i="21"/>
  <c r="L646" i="21"/>
  <c r="L649" i="21"/>
  <c r="L652" i="21"/>
  <c r="L644" i="21"/>
  <c r="L654" i="21"/>
  <c r="T599" i="21"/>
  <c r="N639" i="21"/>
  <c r="M640" i="21"/>
  <c r="H567" i="9"/>
  <c r="H569" i="9" s="1"/>
  <c r="L567" i="9"/>
  <c r="L569" i="9" s="1"/>
  <c r="P567" i="9"/>
  <c r="P569" i="9" s="1"/>
  <c r="J568" i="9"/>
  <c r="N568" i="9"/>
  <c r="H572" i="9"/>
  <c r="I567" i="9"/>
  <c r="I569" i="9" s="1"/>
  <c r="M567" i="9"/>
  <c r="M569" i="9" s="1"/>
  <c r="Q567" i="9"/>
  <c r="Q569" i="9" s="1"/>
  <c r="K568" i="9"/>
  <c r="O568" i="9"/>
  <c r="K567" i="9"/>
  <c r="K569" i="9" s="1"/>
  <c r="I568" i="9"/>
  <c r="Q568" i="9"/>
  <c r="O567" i="9"/>
  <c r="O569" i="9" s="1"/>
  <c r="M568" i="9"/>
  <c r="H568" i="9"/>
  <c r="L568" i="9"/>
  <c r="J567" i="9"/>
  <c r="J569" i="9" s="1"/>
  <c r="P568" i="9"/>
  <c r="N567" i="9"/>
  <c r="N569" i="9" s="1"/>
  <c r="P299" i="22"/>
  <c r="K181" i="9"/>
  <c r="K401" i="9"/>
  <c r="G135" i="9"/>
  <c r="H380" i="9"/>
  <c r="K162" i="7"/>
  <c r="K170" i="7"/>
  <c r="L170" i="7" s="1"/>
  <c r="R170" i="7" s="1"/>
  <c r="S170" i="7" s="1"/>
  <c r="G159" i="9" s="1"/>
  <c r="H159" i="9" s="1"/>
  <c r="K171" i="7"/>
  <c r="L171" i="7" s="1"/>
  <c r="R171" i="7" s="1"/>
  <c r="S171" i="7" s="1"/>
  <c r="G160" i="9" s="1"/>
  <c r="H160" i="9" s="1"/>
  <c r="I160" i="9" s="1"/>
  <c r="J160" i="9" s="1"/>
  <c r="K160" i="9" s="1"/>
  <c r="L160" i="9" s="1"/>
  <c r="M160" i="9" s="1"/>
  <c r="N160" i="9" s="1"/>
  <c r="O160" i="9" s="1"/>
  <c r="P160" i="9" s="1"/>
  <c r="Q160" i="9" s="1"/>
  <c r="L117" i="7"/>
  <c r="P461" i="9"/>
  <c r="P411" i="9" s="1"/>
  <c r="P183" i="9" s="1"/>
  <c r="H128" i="7"/>
  <c r="J122" i="7"/>
  <c r="U122" i="7"/>
  <c r="G701" i="9"/>
  <c r="H699" i="9" s="1"/>
  <c r="J64" i="7"/>
  <c r="O20" i="7" s="1"/>
  <c r="O22" i="7" s="1"/>
  <c r="M144" i="22"/>
  <c r="M146" i="22" s="1"/>
  <c r="M293" i="22"/>
  <c r="N460" i="9"/>
  <c r="M392" i="9"/>
  <c r="L137" i="9"/>
  <c r="G258" i="21" l="1"/>
  <c r="P570" i="9"/>
  <c r="H381" i="9"/>
  <c r="H317" i="9" s="1"/>
  <c r="P413" i="9"/>
  <c r="Q410" i="9" s="1"/>
  <c r="O570" i="9"/>
  <c r="K570" i="9"/>
  <c r="M570" i="9"/>
  <c r="N32" i="9"/>
  <c r="N405" i="9"/>
  <c r="G271" i="21"/>
  <c r="G272" i="21" s="1"/>
  <c r="G275" i="21" s="1"/>
  <c r="I570" i="9"/>
  <c r="H570" i="9"/>
  <c r="H573" i="9" s="1"/>
  <c r="H579" i="9" s="1"/>
  <c r="M113" i="22"/>
  <c r="M525" i="22"/>
  <c r="M533" i="22" s="1"/>
  <c r="N290" i="22"/>
  <c r="K138" i="9"/>
  <c r="L398" i="9"/>
  <c r="L570" i="9"/>
  <c r="N570" i="9"/>
  <c r="M646" i="21"/>
  <c r="M652" i="21"/>
  <c r="M644" i="21"/>
  <c r="M649" i="21"/>
  <c r="M654" i="21"/>
  <c r="M645" i="21"/>
  <c r="M648" i="21"/>
  <c r="M650" i="21"/>
  <c r="M653" i="21"/>
  <c r="O36" i="7"/>
  <c r="O38" i="7" s="1"/>
  <c r="O39" i="7" s="1"/>
  <c r="I154" i="7"/>
  <c r="I159" i="9"/>
  <c r="H215" i="9"/>
  <c r="P526" i="22"/>
  <c r="P534" i="22" s="1"/>
  <c r="P566" i="22"/>
  <c r="P118" i="22"/>
  <c r="M291" i="21"/>
  <c r="M26" i="21"/>
  <c r="U162" i="7"/>
  <c r="L162" i="7"/>
  <c r="R162" i="7" s="1"/>
  <c r="S162" i="7" s="1"/>
  <c r="G149" i="9" s="1"/>
  <c r="H149" i="9" s="1"/>
  <c r="I149" i="9" s="1"/>
  <c r="J149" i="9" s="1"/>
  <c r="K149" i="9" s="1"/>
  <c r="L149" i="9" s="1"/>
  <c r="M149" i="9" s="1"/>
  <c r="N149" i="9" s="1"/>
  <c r="O149" i="9" s="1"/>
  <c r="P149" i="9" s="1"/>
  <c r="Q149" i="9" s="1"/>
  <c r="M458" i="9"/>
  <c r="L122" i="7"/>
  <c r="R122" i="7" s="1"/>
  <c r="S122" i="7" s="1"/>
  <c r="G113" i="9" s="1"/>
  <c r="J128" i="7"/>
  <c r="H456" i="9"/>
  <c r="H28" i="9" s="1"/>
  <c r="J570" i="9"/>
  <c r="Q570" i="9"/>
  <c r="O639" i="21"/>
  <c r="O640" i="21" s="1"/>
  <c r="N640" i="21"/>
  <c r="N419" i="9"/>
  <c r="N790" i="9" s="1"/>
  <c r="P145" i="9" l="1"/>
  <c r="H574" i="9"/>
  <c r="I572" i="9" s="1"/>
  <c r="I573" i="9" s="1"/>
  <c r="I579" i="9" s="1"/>
  <c r="O644" i="21"/>
  <c r="O649" i="21"/>
  <c r="O654" i="21"/>
  <c r="O646" i="21"/>
  <c r="O652" i="21"/>
  <c r="O653" i="21"/>
  <c r="O645" i="21"/>
  <c r="O648" i="21"/>
  <c r="O650" i="21"/>
  <c r="Q461" i="9"/>
  <c r="Q411" i="9" s="1"/>
  <c r="Q183" i="9" s="1"/>
  <c r="M393" i="9"/>
  <c r="M30" i="9"/>
  <c r="L459" i="9"/>
  <c r="N146" i="9"/>
  <c r="O416" i="9"/>
  <c r="J159" i="9"/>
  <c r="I215" i="9"/>
  <c r="N182" i="9"/>
  <c r="N407" i="9"/>
  <c r="N645" i="21"/>
  <c r="N650" i="21"/>
  <c r="N648" i="21"/>
  <c r="N653" i="21"/>
  <c r="N644" i="21"/>
  <c r="N654" i="21"/>
  <c r="N646" i="21"/>
  <c r="N649" i="21"/>
  <c r="N652" i="21"/>
  <c r="U154" i="7"/>
  <c r="I156" i="7"/>
  <c r="I166" i="7" s="1"/>
  <c r="J154" i="7"/>
  <c r="G110" i="21"/>
  <c r="H315" i="21"/>
  <c r="H269" i="21"/>
  <c r="H580" i="9"/>
  <c r="H16" i="9" s="1"/>
  <c r="H700" i="9"/>
  <c r="H701" i="9" s="1"/>
  <c r="I699" i="9" s="1"/>
  <c r="G280" i="21"/>
  <c r="G281" i="21" s="1"/>
  <c r="G163" i="21"/>
  <c r="M144" i="21"/>
  <c r="M146" i="21" s="1"/>
  <c r="M293" i="21"/>
  <c r="O40" i="7"/>
  <c r="K165" i="7" s="1"/>
  <c r="N320" i="22"/>
  <c r="H113" i="9" l="1"/>
  <c r="H77" i="9"/>
  <c r="Q413" i="9"/>
  <c r="Q145" i="9" s="1"/>
  <c r="O41" i="7"/>
  <c r="K121" i="7" s="1"/>
  <c r="U121" i="7" s="1"/>
  <c r="G111" i="21"/>
  <c r="H278" i="21"/>
  <c r="I700" i="9"/>
  <c r="I701" i="9" s="1"/>
  <c r="J699" i="9" s="1"/>
  <c r="I580" i="9"/>
  <c r="I16" i="9" s="1"/>
  <c r="I77" i="9" s="1"/>
  <c r="L154" i="7"/>
  <c r="J156" i="7"/>
  <c r="J166" i="7" s="1"/>
  <c r="N139" i="9"/>
  <c r="O404" i="9"/>
  <c r="M180" i="9"/>
  <c r="M395" i="9"/>
  <c r="N26" i="22"/>
  <c r="N291" i="22"/>
  <c r="U165" i="7"/>
  <c r="L165" i="7"/>
  <c r="R165" i="7" s="1"/>
  <c r="S165" i="7" s="1"/>
  <c r="G152" i="9" s="1"/>
  <c r="K166" i="7"/>
  <c r="G286" i="21"/>
  <c r="G287" i="21" s="1"/>
  <c r="G164" i="21"/>
  <c r="H18" i="9"/>
  <c r="H47" i="9"/>
  <c r="H173" i="9"/>
  <c r="H186" i="9" s="1"/>
  <c r="H23" i="21"/>
  <c r="O462" i="9"/>
  <c r="O417" i="9" s="1"/>
  <c r="O184" i="9" s="1"/>
  <c r="L31" i="9"/>
  <c r="L399" i="9"/>
  <c r="N290" i="21"/>
  <c r="M525" i="21"/>
  <c r="M533" i="21" s="1"/>
  <c r="M113" i="21"/>
  <c r="J215" i="9"/>
  <c r="K159" i="9"/>
  <c r="H317" i="21"/>
  <c r="G565" i="21"/>
  <c r="G162" i="21"/>
  <c r="I574" i="9"/>
  <c r="J572" i="9" s="1"/>
  <c r="G259" i="21"/>
  <c r="H83" i="9" l="1"/>
  <c r="I113" i="9"/>
  <c r="K128" i="7"/>
  <c r="L121" i="7"/>
  <c r="L128" i="7" s="1"/>
  <c r="O419" i="9"/>
  <c r="N392" i="9"/>
  <c r="M137" i="9"/>
  <c r="G601" i="21"/>
  <c r="G112" i="21"/>
  <c r="H284" i="21"/>
  <c r="N144" i="22"/>
  <c r="N146" i="22" s="1"/>
  <c r="N293" i="22"/>
  <c r="R154" i="7"/>
  <c r="L156" i="7"/>
  <c r="L166" i="7" s="1"/>
  <c r="G563" i="21"/>
  <c r="H22" i="21"/>
  <c r="H19" i="9"/>
  <c r="H84" i="9" s="1"/>
  <c r="O460" i="9"/>
  <c r="H318" i="21"/>
  <c r="H279" i="21"/>
  <c r="H249" i="21" s="1"/>
  <c r="L181" i="9"/>
  <c r="L401" i="9"/>
  <c r="J573" i="9"/>
  <c r="J579" i="9" s="1"/>
  <c r="G168" i="21"/>
  <c r="G170" i="21" s="1"/>
  <c r="G84" i="21" s="1"/>
  <c r="K215" i="9"/>
  <c r="L159" i="9"/>
  <c r="N320" i="21"/>
  <c r="I18" i="9"/>
  <c r="I47" i="9"/>
  <c r="I173" i="9"/>
  <c r="I186" i="9" s="1"/>
  <c r="I83" i="9" l="1"/>
  <c r="P416" i="9"/>
  <c r="P462" i="9" s="1"/>
  <c r="P417" i="9" s="1"/>
  <c r="P184" i="9" s="1"/>
  <c r="O790" i="9"/>
  <c r="R121" i="7"/>
  <c r="S121" i="7" s="1"/>
  <c r="G112" i="9" s="1"/>
  <c r="O146" i="9"/>
  <c r="J574" i="9"/>
  <c r="K572" i="9" s="1"/>
  <c r="K573" i="9" s="1"/>
  <c r="K579" i="9" s="1"/>
  <c r="L174" i="7"/>
  <c r="L138" i="9"/>
  <c r="M398" i="9"/>
  <c r="H24" i="21"/>
  <c r="G564" i="21"/>
  <c r="G567" i="21"/>
  <c r="G598" i="21" s="1"/>
  <c r="G602" i="21"/>
  <c r="M159" i="9"/>
  <c r="L215" i="9"/>
  <c r="H319" i="21"/>
  <c r="H25" i="21" s="1"/>
  <c r="H285" i="21"/>
  <c r="H250" i="21" s="1"/>
  <c r="H252" i="21" s="1"/>
  <c r="I19" i="9"/>
  <c r="I84" i="9" s="1"/>
  <c r="J700" i="9"/>
  <c r="J701" i="9" s="1"/>
  <c r="K699" i="9" s="1"/>
  <c r="J580" i="9"/>
  <c r="J16" i="9" s="1"/>
  <c r="J77" i="9" s="1"/>
  <c r="G69" i="21"/>
  <c r="G116" i="21"/>
  <c r="G124" i="21" s="1"/>
  <c r="N458" i="9"/>
  <c r="N291" i="21"/>
  <c r="N26" i="21"/>
  <c r="G89" i="21"/>
  <c r="G98" i="21" s="1"/>
  <c r="H21" i="21"/>
  <c r="H244" i="21"/>
  <c r="H246" i="21" s="1"/>
  <c r="O32" i="9"/>
  <c r="O405" i="9"/>
  <c r="N113" i="22"/>
  <c r="O290" i="22"/>
  <c r="N525" i="22"/>
  <c r="N533" i="22" s="1"/>
  <c r="H112" i="9" l="1"/>
  <c r="H323" i="21"/>
  <c r="H571" i="21" s="1"/>
  <c r="H579" i="21" s="1"/>
  <c r="H324" i="21"/>
  <c r="H572" i="21" s="1"/>
  <c r="H592" i="21" s="1"/>
  <c r="H326" i="21"/>
  <c r="H327" i="21" s="1"/>
  <c r="K574" i="9"/>
  <c r="L572" i="9" s="1"/>
  <c r="L573" i="9" s="1"/>
  <c r="L579" i="9" s="1"/>
  <c r="N144" i="21"/>
  <c r="N146" i="21" s="1"/>
  <c r="N293" i="21"/>
  <c r="J173" i="9"/>
  <c r="J186" i="9" s="1"/>
  <c r="J18" i="9"/>
  <c r="J47" i="9"/>
  <c r="J113" i="9"/>
  <c r="O182" i="9"/>
  <c r="O407" i="9"/>
  <c r="K580" i="9"/>
  <c r="K16" i="9" s="1"/>
  <c r="K77" i="9" s="1"/>
  <c r="K700" i="9"/>
  <c r="K701" i="9" s="1"/>
  <c r="L699" i="9" s="1"/>
  <c r="H27" i="21"/>
  <c r="N30" i="9"/>
  <c r="N393" i="9"/>
  <c r="G599" i="21"/>
  <c r="G603" i="21"/>
  <c r="G604" i="21"/>
  <c r="M459" i="9"/>
  <c r="O320" i="22"/>
  <c r="G126" i="21"/>
  <c r="G71" i="21"/>
  <c r="P419" i="9"/>
  <c r="P790" i="9" s="1"/>
  <c r="N159" i="9"/>
  <c r="M215" i="9"/>
  <c r="H325" i="21"/>
  <c r="J83" i="9" l="1"/>
  <c r="I112" i="9"/>
  <c r="J112" i="9" s="1"/>
  <c r="K112" i="9" s="1"/>
  <c r="L112" i="9" s="1"/>
  <c r="M112" i="9" s="1"/>
  <c r="N112" i="9" s="1"/>
  <c r="O112" i="9" s="1"/>
  <c r="P112" i="9" s="1"/>
  <c r="Q112" i="9" s="1"/>
  <c r="H585" i="21"/>
  <c r="H591" i="21"/>
  <c r="H586" i="21"/>
  <c r="H580" i="21"/>
  <c r="H328" i="21"/>
  <c r="H34" i="21" s="1"/>
  <c r="L574" i="9"/>
  <c r="M572" i="9" s="1"/>
  <c r="M573" i="9" s="1"/>
  <c r="M579" i="9" s="1"/>
  <c r="O26" i="22"/>
  <c r="O291" i="22"/>
  <c r="N180" i="9"/>
  <c r="N395" i="9"/>
  <c r="K173" i="9"/>
  <c r="K186" i="9" s="1"/>
  <c r="K18" i="9"/>
  <c r="K47" i="9"/>
  <c r="J19" i="9"/>
  <c r="J84" i="9" s="1"/>
  <c r="N215" i="9"/>
  <c r="O159" i="9"/>
  <c r="P404" i="9"/>
  <c r="O139" i="9"/>
  <c r="K113" i="9"/>
  <c r="M31" i="9"/>
  <c r="M399" i="9"/>
  <c r="H30" i="21"/>
  <c r="H421" i="21"/>
  <c r="H424" i="21" s="1"/>
  <c r="H447" i="21" s="1"/>
  <c r="H454" i="21" s="1"/>
  <c r="N525" i="21"/>
  <c r="N533" i="21" s="1"/>
  <c r="O290" i="21"/>
  <c r="N113" i="21"/>
  <c r="H573" i="21"/>
  <c r="Q416" i="9"/>
  <c r="P146" i="9"/>
  <c r="L580" i="9"/>
  <c r="L16" i="9" s="1"/>
  <c r="L77" i="9" s="1"/>
  <c r="L700" i="9"/>
  <c r="L701" i="9" s="1"/>
  <c r="M699" i="9" s="1"/>
  <c r="K83" i="9" l="1"/>
  <c r="H574" i="21"/>
  <c r="H594" i="21" s="1"/>
  <c r="H581" i="21"/>
  <c r="H587" i="21"/>
  <c r="H593" i="21"/>
  <c r="P460" i="9"/>
  <c r="M700" i="9"/>
  <c r="M701" i="9" s="1"/>
  <c r="N699" i="9" s="1"/>
  <c r="M580" i="9"/>
  <c r="M16" i="9" s="1"/>
  <c r="M77" i="9" s="1"/>
  <c r="M574" i="9"/>
  <c r="N572" i="9" s="1"/>
  <c r="H31" i="21"/>
  <c r="H32" i="21" s="1"/>
  <c r="L113" i="9"/>
  <c r="N137" i="9"/>
  <c r="O392" i="9"/>
  <c r="O144" i="22"/>
  <c r="O146" i="22" s="1"/>
  <c r="O293" i="22"/>
  <c r="L18" i="9"/>
  <c r="L47" i="9"/>
  <c r="L173" i="9"/>
  <c r="L186" i="9" s="1"/>
  <c r="H462" i="21"/>
  <c r="O215" i="9"/>
  <c r="P159" i="9"/>
  <c r="Q462" i="9"/>
  <c r="Q417" i="9" s="1"/>
  <c r="Q184" i="9" s="1"/>
  <c r="O320" i="21"/>
  <c r="M181" i="9"/>
  <c r="M401" i="9"/>
  <c r="K19" i="9"/>
  <c r="K84" i="9" s="1"/>
  <c r="L83" i="9" l="1"/>
  <c r="H448" i="21"/>
  <c r="H449" i="21" s="1"/>
  <c r="H453" i="21" s="1"/>
  <c r="H463" i="21"/>
  <c r="H425" i="21" s="1"/>
  <c r="H588" i="21"/>
  <c r="H582" i="21"/>
  <c r="M113" i="9"/>
  <c r="H35" i="21"/>
  <c r="H52" i="21"/>
  <c r="H66" i="21"/>
  <c r="P290" i="22"/>
  <c r="O113" i="22"/>
  <c r="O525" i="22"/>
  <c r="O533" i="22" s="1"/>
  <c r="N398" i="9"/>
  <c r="M138" i="9"/>
  <c r="Q419" i="9"/>
  <c r="L19" i="9"/>
  <c r="L84" i="9" s="1"/>
  <c r="O458" i="9"/>
  <c r="H434" i="21"/>
  <c r="P32" i="9"/>
  <c r="P405" i="9"/>
  <c r="O26" i="21"/>
  <c r="O291" i="21"/>
  <c r="Q159" i="9"/>
  <c r="Q215" i="9" s="1"/>
  <c r="P215" i="9"/>
  <c r="N573" i="9"/>
  <c r="N579" i="9" s="1"/>
  <c r="M18" i="9"/>
  <c r="M47" i="9"/>
  <c r="M173" i="9"/>
  <c r="M186" i="9" s="1"/>
  <c r="M83" i="9" l="1"/>
  <c r="H426" i="21"/>
  <c r="H427" i="21" s="1"/>
  <c r="H470" i="21"/>
  <c r="H471" i="21" s="1"/>
  <c r="I469" i="21" s="1"/>
  <c r="H455" i="21"/>
  <c r="I452" i="21" s="1"/>
  <c r="I446" i="21"/>
  <c r="Q146" i="9"/>
  <c r="Q790" i="9"/>
  <c r="N574" i="9"/>
  <c r="O572" i="9" s="1"/>
  <c r="O573" i="9" s="1"/>
  <c r="O579" i="9" s="1"/>
  <c r="N459" i="9"/>
  <c r="P182" i="9"/>
  <c r="P407" i="9"/>
  <c r="O30" i="9"/>
  <c r="O393" i="9"/>
  <c r="M19" i="9"/>
  <c r="M84" i="9" s="1"/>
  <c r="H41" i="21"/>
  <c r="H538" i="21"/>
  <c r="H137" i="21"/>
  <c r="H537" i="21"/>
  <c r="H540" i="21"/>
  <c r="E658" i="21"/>
  <c r="H123" i="21"/>
  <c r="H70" i="21" s="1"/>
  <c r="E42" i="7"/>
  <c r="N700" i="9"/>
  <c r="N701" i="9" s="1"/>
  <c r="O699" i="9" s="1"/>
  <c r="N580" i="9"/>
  <c r="N16" i="9" s="1"/>
  <c r="N77" i="9" s="1"/>
  <c r="O144" i="21"/>
  <c r="O146" i="21" s="1"/>
  <c r="O293" i="21"/>
  <c r="H465" i="21"/>
  <c r="I461" i="21" s="1"/>
  <c r="P320" i="22"/>
  <c r="O574" i="9" l="1"/>
  <c r="P572" i="9" s="1"/>
  <c r="P573" i="9" s="1"/>
  <c r="P579" i="9" s="1"/>
  <c r="H544" i="21"/>
  <c r="H551" i="21" s="1"/>
  <c r="N173" i="9"/>
  <c r="N18" i="9"/>
  <c r="N47" i="9"/>
  <c r="N113" i="9"/>
  <c r="J665" i="21"/>
  <c r="J658" i="21" s="1"/>
  <c r="N665" i="21"/>
  <c r="N658" i="21" s="1"/>
  <c r="H665" i="21"/>
  <c r="H658" i="21" s="1"/>
  <c r="L665" i="21"/>
  <c r="L658" i="21" s="1"/>
  <c r="M665" i="21"/>
  <c r="M658" i="21" s="1"/>
  <c r="G665" i="21"/>
  <c r="G658" i="21" s="1"/>
  <c r="D42" i="7" s="1"/>
  <c r="O665" i="21"/>
  <c r="O658" i="21" s="1"/>
  <c r="I665" i="21"/>
  <c r="I658" i="21" s="1"/>
  <c r="K665" i="21"/>
  <c r="K658" i="21" s="1"/>
  <c r="H67" i="21"/>
  <c r="H53" i="21"/>
  <c r="H431" i="21"/>
  <c r="H482" i="21"/>
  <c r="H428" i="21"/>
  <c r="H481" i="21" s="1"/>
  <c r="O113" i="21"/>
  <c r="P290" i="21"/>
  <c r="O525" i="21"/>
  <c r="O533" i="21" s="1"/>
  <c r="H543" i="21"/>
  <c r="H550" i="21" s="1"/>
  <c r="O180" i="9"/>
  <c r="O395" i="9"/>
  <c r="N31" i="9"/>
  <c r="N399" i="9"/>
  <c r="O580" i="9"/>
  <c r="O16" i="9" s="1"/>
  <c r="O77" i="9" s="1"/>
  <c r="O700" i="9"/>
  <c r="O701" i="9" s="1"/>
  <c r="P699" i="9" s="1"/>
  <c r="Q404" i="9"/>
  <c r="P139" i="9"/>
  <c r="P291" i="22"/>
  <c r="P26" i="22"/>
  <c r="N83" i="9" l="1"/>
  <c r="O113" i="9"/>
  <c r="P574" i="9"/>
  <c r="Q572" i="9" s="1"/>
  <c r="Q573" i="9" s="1"/>
  <c r="H552" i="21"/>
  <c r="H43" i="21" s="1"/>
  <c r="H484" i="21"/>
  <c r="Q460" i="9"/>
  <c r="O137" i="9"/>
  <c r="P392" i="9"/>
  <c r="P320" i="21"/>
  <c r="H491" i="21"/>
  <c r="P580" i="9"/>
  <c r="P16" i="9" s="1"/>
  <c r="P77" i="9" s="1"/>
  <c r="P700" i="9"/>
  <c r="P701" i="9" s="1"/>
  <c r="Q699" i="9" s="1"/>
  <c r="P144" i="22"/>
  <c r="P146" i="22" s="1"/>
  <c r="P293" i="22"/>
  <c r="O173" i="9"/>
  <c r="O18" i="9"/>
  <c r="O47" i="9"/>
  <c r="N19" i="9"/>
  <c r="N84" i="9" s="1"/>
  <c r="N181" i="9"/>
  <c r="N186" i="9" s="1"/>
  <c r="N401" i="9"/>
  <c r="O83" i="9" l="1"/>
  <c r="P113" i="9"/>
  <c r="H44" i="21"/>
  <c r="Q579" i="9"/>
  <c r="Q700" i="9" s="1"/>
  <c r="Q701" i="9" s="1"/>
  <c r="Q574" i="9"/>
  <c r="O398" i="9"/>
  <c r="N138" i="9"/>
  <c r="O19" i="9"/>
  <c r="O84" i="9" s="1"/>
  <c r="Q32" i="9"/>
  <c r="Q405" i="9"/>
  <c r="P18" i="9"/>
  <c r="P47" i="9"/>
  <c r="P173" i="9"/>
  <c r="P26" i="21"/>
  <c r="P291" i="21"/>
  <c r="H492" i="21"/>
  <c r="H485" i="21" s="1"/>
  <c r="H486" i="21" s="1"/>
  <c r="H487" i="21" s="1"/>
  <c r="P525" i="22"/>
  <c r="P533" i="22" s="1"/>
  <c r="P113" i="22"/>
  <c r="P458" i="9"/>
  <c r="P83" i="9" l="1"/>
  <c r="Q580" i="9"/>
  <c r="Q16" i="9" s="1"/>
  <c r="H430" i="21"/>
  <c r="H432" i="21" s="1"/>
  <c r="H433" i="21" s="1"/>
  <c r="H437" i="21" s="1"/>
  <c r="H438" i="21" s="1"/>
  <c r="P393" i="9"/>
  <c r="P30" i="9"/>
  <c r="P144" i="21"/>
  <c r="P146" i="21" s="1"/>
  <c r="P293" i="21"/>
  <c r="P19" i="9"/>
  <c r="P84" i="9" s="1"/>
  <c r="H493" i="21"/>
  <c r="I490" i="21" s="1"/>
  <c r="Q182" i="9"/>
  <c r="Q407" i="9"/>
  <c r="Q139" i="9" s="1"/>
  <c r="O459" i="9"/>
  <c r="Q113" i="9" l="1"/>
  <c r="Q77" i="9"/>
  <c r="Q173" i="9"/>
  <c r="Q47" i="9"/>
  <c r="Q18" i="9"/>
  <c r="O399" i="9"/>
  <c r="O31" i="9"/>
  <c r="P180" i="9"/>
  <c r="P395" i="9"/>
  <c r="P113" i="21"/>
  <c r="P525" i="21"/>
  <c r="P533" i="21" s="1"/>
  <c r="H114" i="21"/>
  <c r="H148" i="21" s="1"/>
  <c r="H151" i="21" s="1"/>
  <c r="H152" i="21" s="1"/>
  <c r="I436" i="21"/>
  <c r="Q83" i="9" l="1"/>
  <c r="Q19" i="9"/>
  <c r="Q84" i="9" s="1"/>
  <c r="O181" i="9"/>
  <c r="O186" i="9" s="1"/>
  <c r="O401" i="9"/>
  <c r="H247" i="21"/>
  <c r="H248" i="21" s="1"/>
  <c r="H253" i="21" s="1"/>
  <c r="Q392" i="9"/>
  <c r="P137" i="9"/>
  <c r="H270" i="21" l="1"/>
  <c r="H256" i="21"/>
  <c r="H257" i="21" s="1"/>
  <c r="H258" i="21" s="1"/>
  <c r="Q458" i="9"/>
  <c r="O138" i="9"/>
  <c r="P398" i="9"/>
  <c r="H271" i="21" l="1"/>
  <c r="H272" i="21" s="1"/>
  <c r="H275" i="21" s="1"/>
  <c r="P459" i="9"/>
  <c r="Q393" i="9"/>
  <c r="Q30" i="9"/>
  <c r="Q180" i="9" l="1"/>
  <c r="Q395" i="9"/>
  <c r="Q137" i="9" s="1"/>
  <c r="P399" i="9"/>
  <c r="P31" i="9"/>
  <c r="H286" i="21"/>
  <c r="H287" i="21" s="1"/>
  <c r="H164" i="21"/>
  <c r="H259" i="21"/>
  <c r="H110" i="21"/>
  <c r="I315" i="21"/>
  <c r="I269" i="21"/>
  <c r="H280" i="21"/>
  <c r="H281" i="21" s="1"/>
  <c r="H163" i="21"/>
  <c r="I317" i="21" l="1"/>
  <c r="H111" i="21"/>
  <c r="I278" i="21"/>
  <c r="H565" i="21"/>
  <c r="H162" i="21"/>
  <c r="H168" i="21" s="1"/>
  <c r="H170" i="21" s="1"/>
  <c r="H84" i="21" s="1"/>
  <c r="H563" i="21"/>
  <c r="P181" i="9"/>
  <c r="P186" i="9" s="1"/>
  <c r="P401" i="9"/>
  <c r="I23" i="21"/>
  <c r="H112" i="21"/>
  <c r="I284" i="21"/>
  <c r="H69" i="21" l="1"/>
  <c r="H116" i="21"/>
  <c r="H124" i="21" s="1"/>
  <c r="I244" i="21"/>
  <c r="I246" i="21" s="1"/>
  <c r="H89" i="21"/>
  <c r="H98" i="21" s="1"/>
  <c r="I21" i="21"/>
  <c r="I279" i="21"/>
  <c r="I249" i="21" s="1"/>
  <c r="I318" i="21"/>
  <c r="P138" i="9"/>
  <c r="Q398" i="9"/>
  <c r="I319" i="21"/>
  <c r="I25" i="21" s="1"/>
  <c r="I285" i="21"/>
  <c r="I250" i="21" s="1"/>
  <c r="H567" i="21"/>
  <c r="H598" i="21" s="1"/>
  <c r="H602" i="21"/>
  <c r="H564" i="21"/>
  <c r="H601" i="21"/>
  <c r="I22" i="21"/>
  <c r="I24" i="21" l="1"/>
  <c r="I27" i="21" s="1"/>
  <c r="I323" i="21"/>
  <c r="I571" i="21" s="1"/>
  <c r="I325" i="21"/>
  <c r="I324" i="21"/>
  <c r="I572" i="21" s="1"/>
  <c r="Q459" i="9"/>
  <c r="H126" i="21"/>
  <c r="H71" i="21"/>
  <c r="I252" i="21"/>
  <c r="I326" i="21"/>
  <c r="H599" i="21"/>
  <c r="H604" i="21"/>
  <c r="H603" i="21"/>
  <c r="Q31" i="9" l="1"/>
  <c r="Q399" i="9"/>
  <c r="I580" i="21"/>
  <c r="I586" i="21"/>
  <c r="I592" i="21"/>
  <c r="I573" i="21"/>
  <c r="I327" i="21"/>
  <c r="I328" i="21" s="1"/>
  <c r="I34" i="21" s="1"/>
  <c r="I579" i="21"/>
  <c r="I585" i="21"/>
  <c r="I591" i="21"/>
  <c r="I30" i="21"/>
  <c r="I421" i="21"/>
  <c r="I424" i="21" s="1"/>
  <c r="I447" i="21" s="1"/>
  <c r="I454" i="21" s="1"/>
  <c r="I462" i="21" l="1"/>
  <c r="I574" i="21"/>
  <c r="I31" i="21"/>
  <c r="I32" i="21" s="1"/>
  <c r="I581" i="21"/>
  <c r="I587" i="21"/>
  <c r="I593" i="21"/>
  <c r="Q181" i="9"/>
  <c r="Q186" i="9" s="1"/>
  <c r="Q401" i="9"/>
  <c r="Q138" i="9" s="1"/>
  <c r="I448" i="21" l="1"/>
  <c r="I449" i="21" s="1"/>
  <c r="I463" i="21"/>
  <c r="I425" i="21" s="1"/>
  <c r="I66" i="21"/>
  <c r="I35" i="21"/>
  <c r="I52" i="21"/>
  <c r="I582" i="21"/>
  <c r="I588" i="21"/>
  <c r="I594" i="21"/>
  <c r="I434" i="21"/>
  <c r="J446" i="21" l="1"/>
  <c r="I453" i="21"/>
  <c r="I455" i="21" s="1"/>
  <c r="J452" i="21" s="1"/>
  <c r="I426" i="21"/>
  <c r="I427" i="21" s="1"/>
  <c r="I428" i="21" s="1"/>
  <c r="I481" i="21" s="1"/>
  <c r="I470" i="21"/>
  <c r="I471" i="21" s="1"/>
  <c r="J469" i="21" s="1"/>
  <c r="I137" i="21"/>
  <c r="I41" i="21"/>
  <c r="I537" i="21"/>
  <c r="I538" i="21"/>
  <c r="I540" i="21"/>
  <c r="I123" i="21"/>
  <c r="I70" i="21" s="1"/>
  <c r="I465" i="21"/>
  <c r="J461" i="21" s="1"/>
  <c r="I543" i="21" l="1"/>
  <c r="I550" i="21" s="1"/>
  <c r="I544" i="21"/>
  <c r="I551" i="21" s="1"/>
  <c r="I431" i="21"/>
  <c r="I482" i="21"/>
  <c r="I491" i="21" s="1"/>
  <c r="I53" i="21"/>
  <c r="I67" i="21"/>
  <c r="I552" i="21" l="1"/>
  <c r="I44" i="21" s="1"/>
  <c r="I484" i="21"/>
  <c r="I492" i="21" s="1"/>
  <c r="I43" i="21" l="1"/>
  <c r="I485" i="21"/>
  <c r="I486" i="21" s="1"/>
  <c r="I487" i="21" s="1"/>
  <c r="I493" i="21"/>
  <c r="J490" i="21" s="1"/>
  <c r="I430" i="21" l="1"/>
  <c r="I432" i="21" s="1"/>
  <c r="I433" i="21" s="1"/>
  <c r="I437" i="21" s="1"/>
  <c r="I438" i="21" s="1"/>
  <c r="J436" i="21" l="1"/>
  <c r="I114" i="21"/>
  <c r="I148" i="21" s="1"/>
  <c r="I151" i="21" s="1"/>
  <c r="I152" i="21" s="1"/>
  <c r="I247" i="21" l="1"/>
  <c r="I248" i="21" s="1"/>
  <c r="I253" i="21" s="1"/>
  <c r="I270" i="21" l="1"/>
  <c r="I256" i="21"/>
  <c r="I257" i="21" s="1"/>
  <c r="I258" i="21" s="1"/>
  <c r="I271" i="21" l="1"/>
  <c r="I272" i="21" s="1"/>
  <c r="I275" i="21" s="1"/>
  <c r="J315" i="21" s="1"/>
  <c r="I259" i="21"/>
  <c r="I286" i="21"/>
  <c r="I287" i="21" s="1"/>
  <c r="I164" i="21"/>
  <c r="I280" i="21"/>
  <c r="I281" i="21" s="1"/>
  <c r="I163" i="21"/>
  <c r="J269" i="21" l="1"/>
  <c r="J317" i="21" s="1"/>
  <c r="I110" i="21"/>
  <c r="I162" i="21" s="1"/>
  <c r="I168" i="21" s="1"/>
  <c r="I170" i="21" s="1"/>
  <c r="I84" i="21" s="1"/>
  <c r="I563" i="21"/>
  <c r="I567" i="21" s="1"/>
  <c r="I565" i="21"/>
  <c r="I601" i="21" s="1"/>
  <c r="J284" i="21"/>
  <c r="I112" i="21"/>
  <c r="I111" i="21"/>
  <c r="J278" i="21"/>
  <c r="J23" i="21"/>
  <c r="I69" i="21" l="1"/>
  <c r="I602" i="21"/>
  <c r="I598" i="21"/>
  <c r="I116" i="21"/>
  <c r="I124" i="21" s="1"/>
  <c r="J244" i="21"/>
  <c r="J246" i="21" s="1"/>
  <c r="I89" i="21"/>
  <c r="I98" i="21" s="1"/>
  <c r="J21" i="21"/>
  <c r="J285" i="21"/>
  <c r="J250" i="21" s="1"/>
  <c r="J319" i="21"/>
  <c r="J25" i="21" s="1"/>
  <c r="I564" i="21"/>
  <c r="J22" i="21"/>
  <c r="J279" i="21"/>
  <c r="J249" i="21" s="1"/>
  <c r="J318" i="21"/>
  <c r="J24" i="21" s="1"/>
  <c r="J324" i="21" l="1"/>
  <c r="J572" i="21" s="1"/>
  <c r="J252" i="21"/>
  <c r="I599" i="21"/>
  <c r="I603" i="21"/>
  <c r="I604" i="21"/>
  <c r="J325" i="21"/>
  <c r="I126" i="21"/>
  <c r="I71" i="21"/>
  <c r="J326" i="21"/>
  <c r="J327" i="21" s="1"/>
  <c r="J27" i="21"/>
  <c r="J323" i="21"/>
  <c r="J571" i="21" s="1"/>
  <c r="J579" i="21" l="1"/>
  <c r="J585" i="21"/>
  <c r="J591" i="21"/>
  <c r="J573" i="21"/>
  <c r="J30" i="21"/>
  <c r="J421" i="21"/>
  <c r="J424" i="21" s="1"/>
  <c r="J447" i="21" s="1"/>
  <c r="J454" i="21" s="1"/>
  <c r="J328" i="21"/>
  <c r="J34" i="21" s="1"/>
  <c r="J580" i="21"/>
  <c r="J586" i="21"/>
  <c r="J592" i="21"/>
  <c r="J31" i="21" l="1"/>
  <c r="J32" i="21" s="1"/>
  <c r="J574" i="21"/>
  <c r="J462" i="21"/>
  <c r="J581" i="21"/>
  <c r="J587" i="21"/>
  <c r="J593" i="21"/>
  <c r="J463" i="21" l="1"/>
  <c r="J425" i="21" s="1"/>
  <c r="J448" i="21"/>
  <c r="J449" i="21" s="1"/>
  <c r="J453" i="21" s="1"/>
  <c r="J582" i="21"/>
  <c r="J588" i="21"/>
  <c r="J594" i="21"/>
  <c r="J35" i="21"/>
  <c r="J52" i="21"/>
  <c r="J66" i="21"/>
  <c r="J434" i="21"/>
  <c r="J426" i="21" l="1"/>
  <c r="J427" i="21" s="1"/>
  <c r="J428" i="21" s="1"/>
  <c r="J481" i="21" s="1"/>
  <c r="J455" i="21"/>
  <c r="K452" i="21" s="1"/>
  <c r="J470" i="21"/>
  <c r="J471" i="21" s="1"/>
  <c r="K469" i="21" s="1"/>
  <c r="K446" i="21"/>
  <c r="J137" i="21"/>
  <c r="J41" i="21"/>
  <c r="J537" i="21"/>
  <c r="J540" i="21"/>
  <c r="J538" i="21"/>
  <c r="J123" i="21"/>
  <c r="J465" i="21"/>
  <c r="K461" i="21" s="1"/>
  <c r="J544" i="21" l="1"/>
  <c r="J551" i="21" s="1"/>
  <c r="J53" i="21"/>
  <c r="J67" i="21"/>
  <c r="J70" i="21"/>
  <c r="J543" i="21"/>
  <c r="J550" i="21" s="1"/>
  <c r="J431" i="21"/>
  <c r="J482" i="21"/>
  <c r="J491" i="21" s="1"/>
  <c r="J552" i="21" l="1"/>
  <c r="J43" i="21" s="1"/>
  <c r="J484" i="21"/>
  <c r="J44" i="21" l="1"/>
  <c r="J492" i="21"/>
  <c r="J485" i="21" l="1"/>
  <c r="J486" i="21" s="1"/>
  <c r="J487" i="21" s="1"/>
  <c r="J493" i="21"/>
  <c r="K490" i="21" s="1"/>
  <c r="J430" i="21" l="1"/>
  <c r="J432" i="21" s="1"/>
  <c r="J433" i="21" s="1"/>
  <c r="J437" i="21" s="1"/>
  <c r="J438" i="21" s="1"/>
  <c r="J114" i="21" l="1"/>
  <c r="J148" i="21" s="1"/>
  <c r="J151" i="21" s="1"/>
  <c r="J152" i="21" s="1"/>
  <c r="K436" i="21"/>
  <c r="J247" i="21" l="1"/>
  <c r="J248" i="21" s="1"/>
  <c r="J253" i="21" s="1"/>
  <c r="J270" i="21" l="1"/>
  <c r="J256" i="21"/>
  <c r="J271" i="21" s="1"/>
  <c r="J272" i="21" l="1"/>
  <c r="J275" i="21" s="1"/>
  <c r="K315" i="21" s="1"/>
  <c r="J257" i="21"/>
  <c r="J258" i="21" s="1"/>
  <c r="J110" i="21" l="1"/>
  <c r="J162" i="21" s="1"/>
  <c r="K269" i="21"/>
  <c r="K317" i="21" s="1"/>
  <c r="J259" i="21"/>
  <c r="J286" i="21"/>
  <c r="J287" i="21" s="1"/>
  <c r="J164" i="21"/>
  <c r="J280" i="21"/>
  <c r="J281" i="21" s="1"/>
  <c r="J163" i="21"/>
  <c r="K23" i="21"/>
  <c r="J168" i="21" l="1"/>
  <c r="J170" i="21" s="1"/>
  <c r="J84" i="21" s="1"/>
  <c r="K21" i="21" s="1"/>
  <c r="K284" i="21"/>
  <c r="J112" i="21"/>
  <c r="J563" i="21"/>
  <c r="J565" i="21"/>
  <c r="J601" i="21" s="1"/>
  <c r="J111" i="21"/>
  <c r="K278" i="21"/>
  <c r="K22" i="21"/>
  <c r="J89" i="21" l="1"/>
  <c r="J98" i="21" s="1"/>
  <c r="J71" i="21" s="1"/>
  <c r="J69" i="21"/>
  <c r="J116" i="21"/>
  <c r="J124" i="21" s="1"/>
  <c r="K319" i="21"/>
  <c r="K25" i="21" s="1"/>
  <c r="K285" i="21"/>
  <c r="K250" i="21" s="1"/>
  <c r="K244" i="21"/>
  <c r="K246" i="21" s="1"/>
  <c r="J564" i="21"/>
  <c r="J604" i="21" s="1"/>
  <c r="J567" i="21"/>
  <c r="J598" i="21" s="1"/>
  <c r="J602" i="21"/>
  <c r="K279" i="21"/>
  <c r="K249" i="21" s="1"/>
  <c r="K318" i="21"/>
  <c r="J126" i="21" l="1"/>
  <c r="K252" i="21"/>
  <c r="J599" i="21"/>
  <c r="K24" i="21"/>
  <c r="K27" i="21" s="1"/>
  <c r="K30" i="21" s="1"/>
  <c r="K31" i="21" s="1"/>
  <c r="K32" i="21" s="1"/>
  <c r="K326" i="21"/>
  <c r="K324" i="21"/>
  <c r="K572" i="21" s="1"/>
  <c r="K325" i="21"/>
  <c r="K573" i="21" s="1"/>
  <c r="K323" i="21"/>
  <c r="K571" i="21" s="1"/>
  <c r="J603" i="21"/>
  <c r="K421" i="21" l="1"/>
  <c r="K424" i="21" s="1"/>
  <c r="K447" i="21" s="1"/>
  <c r="K454" i="21" s="1"/>
  <c r="K581" i="21"/>
  <c r="K587" i="21"/>
  <c r="K593" i="21"/>
  <c r="K592" i="21"/>
  <c r="K580" i="21"/>
  <c r="K586" i="21"/>
  <c r="K327" i="21"/>
  <c r="K328" i="21" s="1"/>
  <c r="K585" i="21"/>
  <c r="K591" i="21"/>
  <c r="K579" i="21"/>
  <c r="K52" i="21"/>
  <c r="K66" i="21"/>
  <c r="K434" i="21"/>
  <c r="K462" i="21" l="1"/>
  <c r="K463" i="21" s="1"/>
  <c r="K425" i="21" s="1"/>
  <c r="K34" i="21"/>
  <c r="K35" i="21" s="1"/>
  <c r="K137" i="21" s="1"/>
  <c r="K574" i="21"/>
  <c r="K448" i="21"/>
  <c r="K449" i="21" s="1"/>
  <c r="K453" i="21" s="1"/>
  <c r="K41" i="21" l="1"/>
  <c r="K67" i="21" s="1"/>
  <c r="K540" i="21"/>
  <c r="K538" i="21"/>
  <c r="K537" i="21"/>
  <c r="K123" i="21"/>
  <c r="K70" i="21" s="1"/>
  <c r="K582" i="21"/>
  <c r="K588" i="21"/>
  <c r="K594" i="21"/>
  <c r="K426" i="21"/>
  <c r="K427" i="21" s="1"/>
  <c r="K428" i="21" s="1"/>
  <c r="K481" i="21" s="1"/>
  <c r="K470" i="21"/>
  <c r="K471" i="21" s="1"/>
  <c r="L469" i="21" s="1"/>
  <c r="K465" i="21"/>
  <c r="L461" i="21" s="1"/>
  <c r="L446" i="21"/>
  <c r="K455" i="21"/>
  <c r="L452" i="21" s="1"/>
  <c r="K53" i="21" l="1"/>
  <c r="K544" i="21"/>
  <c r="K551" i="21" s="1"/>
  <c r="K543" i="21"/>
  <c r="K550" i="21" s="1"/>
  <c r="K482" i="21"/>
  <c r="K491" i="21" s="1"/>
  <c r="K431" i="21"/>
  <c r="K552" i="21" l="1"/>
  <c r="K43" i="21" s="1"/>
  <c r="K484" i="21"/>
  <c r="K492" i="21" s="1"/>
  <c r="K485" i="21" s="1"/>
  <c r="K486" i="21" s="1"/>
  <c r="K487" i="21" s="1"/>
  <c r="K44" i="21" l="1"/>
  <c r="K430" i="21"/>
  <c r="K432" i="21" s="1"/>
  <c r="K433" i="21" s="1"/>
  <c r="K437" i="21" s="1"/>
  <c r="K438" i="21" s="1"/>
  <c r="K114" i="21" s="1"/>
  <c r="K148" i="21" s="1"/>
  <c r="K151" i="21" s="1"/>
  <c r="K152" i="21" s="1"/>
  <c r="K493" i="21"/>
  <c r="L490" i="21" s="1"/>
  <c r="L436" i="21" l="1"/>
  <c r="K247" i="21"/>
  <c r="K248" i="21" s="1"/>
  <c r="K253" i="21" s="1"/>
  <c r="K270" i="21" l="1"/>
  <c r="K256" i="21"/>
  <c r="K257" i="21" s="1"/>
  <c r="K163" i="21" l="1"/>
  <c r="K280" i="21"/>
  <c r="K281" i="21" s="1"/>
  <c r="K111" i="21" s="1"/>
  <c r="K271" i="21"/>
  <c r="K272" i="21" s="1"/>
  <c r="K258" i="21"/>
  <c r="K286" i="21" s="1"/>
  <c r="K287" i="21" s="1"/>
  <c r="K275" i="21" l="1"/>
  <c r="L315" i="21" s="1"/>
  <c r="L23" i="21" s="1"/>
  <c r="L269" i="21"/>
  <c r="L317" i="21" s="1"/>
  <c r="L278" i="21"/>
  <c r="L279" i="21" s="1"/>
  <c r="L249" i="21" s="1"/>
  <c r="K563" i="21"/>
  <c r="K567" i="21" s="1"/>
  <c r="K565" i="21"/>
  <c r="K601" i="21" s="1"/>
  <c r="K259" i="21"/>
  <c r="K164" i="21"/>
  <c r="K110" i="21"/>
  <c r="K162" i="21" s="1"/>
  <c r="K112" i="21"/>
  <c r="L284" i="21"/>
  <c r="L318" i="21" l="1"/>
  <c r="L24" i="21" s="1"/>
  <c r="K168" i="21"/>
  <c r="K170" i="21" s="1"/>
  <c r="K84" i="21" s="1"/>
  <c r="K89" i="21" s="1"/>
  <c r="K98" i="21" s="1"/>
  <c r="K598" i="21"/>
  <c r="K69" i="21"/>
  <c r="K602" i="21"/>
  <c r="K116" i="21"/>
  <c r="K124" i="21" s="1"/>
  <c r="L319" i="21"/>
  <c r="L285" i="21"/>
  <c r="L250" i="21" s="1"/>
  <c r="L22" i="21"/>
  <c r="L323" i="21" l="1"/>
  <c r="L571" i="21" s="1"/>
  <c r="L579" i="21" s="1"/>
  <c r="L21" i="21"/>
  <c r="K564" i="21"/>
  <c r="K604" i="21" s="1"/>
  <c r="L244" i="21"/>
  <c r="L246" i="21" s="1"/>
  <c r="L25" i="21"/>
  <c r="L324" i="21"/>
  <c r="L572" i="21" s="1"/>
  <c r="L325" i="21"/>
  <c r="L326" i="21"/>
  <c r="K126" i="21"/>
  <c r="K71" i="21"/>
  <c r="L252" i="21"/>
  <c r="L591" i="21" l="1"/>
  <c r="L585" i="21"/>
  <c r="L27" i="21"/>
  <c r="L30" i="21" s="1"/>
  <c r="K603" i="21"/>
  <c r="K599" i="21"/>
  <c r="L327" i="21"/>
  <c r="L328" i="21" s="1"/>
  <c r="L573" i="21"/>
  <c r="L580" i="21"/>
  <c r="L586" i="21"/>
  <c r="L592" i="21"/>
  <c r="L421" i="21" l="1"/>
  <c r="L424" i="21" s="1"/>
  <c r="L447" i="21" s="1"/>
  <c r="L454" i="21" s="1"/>
  <c r="L34" i="21"/>
  <c r="L574" i="21"/>
  <c r="L581" i="21"/>
  <c r="L587" i="21"/>
  <c r="L593" i="21"/>
  <c r="L31" i="21"/>
  <c r="L32" i="21" s="1"/>
  <c r="L462" i="21" l="1"/>
  <c r="L463" i="21" s="1"/>
  <c r="L425" i="21" s="1"/>
  <c r="L448" i="21"/>
  <c r="L449" i="21" s="1"/>
  <c r="L453" i="21" s="1"/>
  <c r="L35" i="21"/>
  <c r="L52" i="21"/>
  <c r="L66" i="21"/>
  <c r="L582" i="21"/>
  <c r="L588" i="21"/>
  <c r="L594" i="21"/>
  <c r="L434" i="21"/>
  <c r="L426" i="21" l="1"/>
  <c r="L427" i="21" s="1"/>
  <c r="L428" i="21" s="1"/>
  <c r="L481" i="21" s="1"/>
  <c r="L455" i="21"/>
  <c r="M452" i="21" s="1"/>
  <c r="L470" i="21"/>
  <c r="L471" i="21" s="1"/>
  <c r="M469" i="21" s="1"/>
  <c r="M446" i="21"/>
  <c r="L41" i="21"/>
  <c r="L537" i="21"/>
  <c r="L540" i="21"/>
  <c r="L137" i="21"/>
  <c r="L538" i="21"/>
  <c r="L123" i="21"/>
  <c r="L70" i="21" s="1"/>
  <c r="L465" i="21"/>
  <c r="M461" i="21" s="1"/>
  <c r="L543" i="21" l="1"/>
  <c r="L550" i="21" s="1"/>
  <c r="L544" i="21"/>
  <c r="L551" i="21" s="1"/>
  <c r="L431" i="21"/>
  <c r="L482" i="21"/>
  <c r="L491" i="21" s="1"/>
  <c r="L67" i="21"/>
  <c r="L53" i="21"/>
  <c r="L552" i="21" l="1"/>
  <c r="L43" i="21" s="1"/>
  <c r="L484" i="21"/>
  <c r="L44" i="21" l="1"/>
  <c r="L492" i="21"/>
  <c r="L485" i="21" l="1"/>
  <c r="L486" i="21" s="1"/>
  <c r="L487" i="21" s="1"/>
  <c r="L493" i="21"/>
  <c r="M490" i="21" s="1"/>
  <c r="L430" i="21" l="1"/>
  <c r="L432" i="21" s="1"/>
  <c r="L433" i="21" s="1"/>
  <c r="L437" i="21" s="1"/>
  <c r="L438" i="21" s="1"/>
  <c r="L114" i="21" l="1"/>
  <c r="L148" i="21" s="1"/>
  <c r="L151" i="21" s="1"/>
  <c r="L152" i="21" s="1"/>
  <c r="M436" i="21"/>
  <c r="L247" i="21" l="1"/>
  <c r="L248" i="21" s="1"/>
  <c r="L253" i="21" s="1"/>
  <c r="L270" i="21" l="1"/>
  <c r="L256" i="21"/>
  <c r="L257" i="21" l="1"/>
  <c r="L271" i="21"/>
  <c r="L272" i="21" s="1"/>
  <c r="L275" i="21" s="1"/>
  <c r="M315" i="21" s="1"/>
  <c r="M269" i="21" l="1"/>
  <c r="M317" i="21" s="1"/>
  <c r="L110" i="21"/>
  <c r="L162" i="21" s="1"/>
  <c r="L280" i="21"/>
  <c r="L281" i="21" s="1"/>
  <c r="L163" i="21"/>
  <c r="L258" i="21"/>
  <c r="M23" i="21"/>
  <c r="L286" i="21" l="1"/>
  <c r="L287" i="21" s="1"/>
  <c r="L164" i="21"/>
  <c r="L168" i="21" s="1"/>
  <c r="L170" i="21" s="1"/>
  <c r="L84" i="21" s="1"/>
  <c r="M244" i="21" s="1"/>
  <c r="M246" i="21" s="1"/>
  <c r="L259" i="21"/>
  <c r="L565" i="21"/>
  <c r="L601" i="21" s="1"/>
  <c r="L111" i="21"/>
  <c r="M278" i="21"/>
  <c r="M22" i="21"/>
  <c r="M21" i="21" l="1"/>
  <c r="M279" i="21"/>
  <c r="M249" i="21" s="1"/>
  <c r="M318" i="21"/>
  <c r="M24" i="21" s="1"/>
  <c r="L89" i="21"/>
  <c r="L98" i="21" s="1"/>
  <c r="L71" i="21" s="1"/>
  <c r="L563" i="21"/>
  <c r="L112" i="21"/>
  <c r="M284" i="21"/>
  <c r="M285" i="21" l="1"/>
  <c r="M250" i="21" s="1"/>
  <c r="M252" i="21" s="1"/>
  <c r="M319" i="21"/>
  <c r="M326" i="21" s="1"/>
  <c r="L116" i="21"/>
  <c r="L124" i="21" s="1"/>
  <c r="L126" i="21" s="1"/>
  <c r="L69" i="21"/>
  <c r="L602" i="21"/>
  <c r="L567" i="21"/>
  <c r="L598" i="21" s="1"/>
  <c r="L564" i="21"/>
  <c r="M327" i="21" l="1"/>
  <c r="M328" i="21" s="1"/>
  <c r="M34" i="21" s="1"/>
  <c r="M324" i="21"/>
  <c r="M572" i="21" s="1"/>
  <c r="M586" i="21" s="1"/>
  <c r="M325" i="21"/>
  <c r="M573" i="21" s="1"/>
  <c r="M581" i="21" s="1"/>
  <c r="L599" i="21"/>
  <c r="L604" i="21"/>
  <c r="L603" i="21"/>
  <c r="M323" i="21"/>
  <c r="M571" i="21" s="1"/>
  <c r="M25" i="21"/>
  <c r="M27" i="21" s="1"/>
  <c r="M593" i="21" l="1"/>
  <c r="M587" i="21"/>
  <c r="M574" i="21"/>
  <c r="M588" i="21" s="1"/>
  <c r="M580" i="21"/>
  <c r="M592" i="21"/>
  <c r="M421" i="21"/>
  <c r="M424" i="21" s="1"/>
  <c r="M30" i="21"/>
  <c r="M31" i="21" s="1"/>
  <c r="M32" i="21" s="1"/>
  <c r="M35" i="21" s="1"/>
  <c r="M579" i="21"/>
  <c r="M585" i="21"/>
  <c r="M591" i="21"/>
  <c r="M582" i="21" l="1"/>
  <c r="M66" i="21"/>
  <c r="M594" i="21"/>
  <c r="M52" i="21"/>
  <c r="M434" i="21"/>
  <c r="M447" i="21"/>
  <c r="M462" i="21"/>
  <c r="M137" i="21"/>
  <c r="M537" i="21"/>
  <c r="M538" i="21"/>
  <c r="M540" i="21"/>
  <c r="M41" i="21"/>
  <c r="M123" i="21"/>
  <c r="M463" i="21" l="1"/>
  <c r="M425" i="21" s="1"/>
  <c r="M426" i="21" s="1"/>
  <c r="M427" i="21" s="1"/>
  <c r="M428" i="21" s="1"/>
  <c r="M481" i="21" s="1"/>
  <c r="M454" i="21"/>
  <c r="M448" i="21"/>
  <c r="M543" i="21"/>
  <c r="M550" i="21" s="1"/>
  <c r="M70" i="21"/>
  <c r="M53" i="21"/>
  <c r="M67" i="21"/>
  <c r="M544" i="21"/>
  <c r="M551" i="21" s="1"/>
  <c r="M465" i="21" l="1"/>
  <c r="N461" i="21" s="1"/>
  <c r="M449" i="21"/>
  <c r="M470" i="21"/>
  <c r="M471" i="21" s="1"/>
  <c r="N469" i="21" s="1"/>
  <c r="M482" i="21"/>
  <c r="M491" i="21" s="1"/>
  <c r="M431" i="21"/>
  <c r="M552" i="21"/>
  <c r="M484" i="21" l="1"/>
  <c r="M492" i="21" s="1"/>
  <c r="M485" i="21" s="1"/>
  <c r="M486" i="21" s="1"/>
  <c r="M487" i="21" s="1"/>
  <c r="M453" i="21"/>
  <c r="M455" i="21" s="1"/>
  <c r="N452" i="21" s="1"/>
  <c r="N446" i="21"/>
  <c r="M43" i="21"/>
  <c r="M44" i="21"/>
  <c r="M430" i="21" l="1"/>
  <c r="M432" i="21" s="1"/>
  <c r="M433" i="21" s="1"/>
  <c r="M437" i="21" s="1"/>
  <c r="M438" i="21" s="1"/>
  <c r="M114" i="21" s="1"/>
  <c r="M148" i="21" s="1"/>
  <c r="M151" i="21" s="1"/>
  <c r="M152" i="21" s="1"/>
  <c r="M493" i="21"/>
  <c r="N490" i="21" s="1"/>
  <c r="N436" i="21" l="1"/>
  <c r="M247" i="21"/>
  <c r="M248" i="21" s="1"/>
  <c r="M253" i="21" s="1"/>
  <c r="M270" i="21" l="1"/>
  <c r="M256" i="21"/>
  <c r="M257" i="21" s="1"/>
  <c r="M163" i="21" l="1"/>
  <c r="M280" i="21"/>
  <c r="M281" i="21" s="1"/>
  <c r="N278" i="21" s="1"/>
  <c r="M271" i="21"/>
  <c r="M272" i="21" s="1"/>
  <c r="M275" i="21" s="1"/>
  <c r="N315" i="21" s="1"/>
  <c r="M258" i="21"/>
  <c r="M164" i="21" s="1"/>
  <c r="N269" i="21" l="1"/>
  <c r="N317" i="21" s="1"/>
  <c r="M286" i="21"/>
  <c r="M287" i="21" s="1"/>
  <c r="M563" i="21" s="1"/>
  <c r="M567" i="21" s="1"/>
  <c r="M111" i="21"/>
  <c r="M565" i="21"/>
  <c r="M601" i="21" s="1"/>
  <c r="M259" i="21"/>
  <c r="M110" i="21"/>
  <c r="M162" i="21" s="1"/>
  <c r="M168" i="21" s="1"/>
  <c r="M170" i="21" s="1"/>
  <c r="N23" i="21"/>
  <c r="N279" i="21"/>
  <c r="N249" i="21" s="1"/>
  <c r="N318" i="21"/>
  <c r="N24" i="21" s="1"/>
  <c r="N284" i="21" l="1"/>
  <c r="N285" i="21" s="1"/>
  <c r="N250" i="21" s="1"/>
  <c r="N252" i="21" s="1"/>
  <c r="M112" i="21"/>
  <c r="M69" i="21" s="1"/>
  <c r="M602" i="21"/>
  <c r="M598" i="21"/>
  <c r="M84" i="21"/>
  <c r="M564" i="21" s="1"/>
  <c r="M599" i="21" s="1"/>
  <c r="N22" i="21"/>
  <c r="N319" i="21" l="1"/>
  <c r="N25" i="21" s="1"/>
  <c r="M116" i="21"/>
  <c r="M124" i="21" s="1"/>
  <c r="N244" i="21"/>
  <c r="N246" i="21" s="1"/>
  <c r="N21" i="21"/>
  <c r="M89" i="21"/>
  <c r="M98" i="21" s="1"/>
  <c r="M604" i="21"/>
  <c r="M603" i="21"/>
  <c r="N326" i="21" l="1"/>
  <c r="N327" i="21" s="1"/>
  <c r="N328" i="21" s="1"/>
  <c r="N325" i="21"/>
  <c r="N573" i="21" s="1"/>
  <c r="N581" i="21" s="1"/>
  <c r="N324" i="21"/>
  <c r="N572" i="21" s="1"/>
  <c r="N580" i="21" s="1"/>
  <c r="N323" i="21"/>
  <c r="N571" i="21" s="1"/>
  <c r="N585" i="21" s="1"/>
  <c r="N27" i="21"/>
  <c r="N30" i="21" s="1"/>
  <c r="N31" i="21" s="1"/>
  <c r="N32" i="21" s="1"/>
  <c r="M126" i="21"/>
  <c r="M71" i="21"/>
  <c r="N593" i="21" l="1"/>
  <c r="N587" i="21"/>
  <c r="N592" i="21"/>
  <c r="N586" i="21"/>
  <c r="N421" i="21"/>
  <c r="N424" i="21" s="1"/>
  <c r="N447" i="21" s="1"/>
  <c r="N454" i="21" s="1"/>
  <c r="N591" i="21"/>
  <c r="N579" i="21"/>
  <c r="N34" i="21"/>
  <c r="N35" i="21" s="1"/>
  <c r="N574" i="21"/>
  <c r="N434" i="21"/>
  <c r="N52" i="21"/>
  <c r="N66" i="21"/>
  <c r="N462" i="21" l="1"/>
  <c r="N463" i="21" s="1"/>
  <c r="N425" i="21" s="1"/>
  <c r="N448" i="21"/>
  <c r="N449" i="21" s="1"/>
  <c r="N453" i="21" s="1"/>
  <c r="N588" i="21"/>
  <c r="N594" i="21"/>
  <c r="N582" i="21"/>
  <c r="N137" i="21"/>
  <c r="N538" i="21"/>
  <c r="N41" i="21"/>
  <c r="N537" i="21"/>
  <c r="N540" i="21"/>
  <c r="N123" i="21"/>
  <c r="N70" i="21" s="1"/>
  <c r="N426" i="21" l="1"/>
  <c r="N427" i="21" s="1"/>
  <c r="N431" i="21" s="1"/>
  <c r="N470" i="21"/>
  <c r="N471" i="21" s="1"/>
  <c r="O469" i="21" s="1"/>
  <c r="N465" i="21"/>
  <c r="O461" i="21" s="1"/>
  <c r="O446" i="21"/>
  <c r="N455" i="21"/>
  <c r="O452" i="21" s="1"/>
  <c r="N544" i="21"/>
  <c r="N551" i="21" s="1"/>
  <c r="N543" i="21"/>
  <c r="N550" i="21" s="1"/>
  <c r="N53" i="21"/>
  <c r="N67" i="21"/>
  <c r="N428" i="21" l="1"/>
  <c r="N481" i="21" s="1"/>
  <c r="N482" i="21"/>
  <c r="N552" i="21"/>
  <c r="N43" i="21" s="1"/>
  <c r="N484" i="21" l="1"/>
  <c r="N492" i="21" s="1"/>
  <c r="N485" i="21" s="1"/>
  <c r="N486" i="21" s="1"/>
  <c r="N487" i="21" s="1"/>
  <c r="N491" i="21"/>
  <c r="N44" i="21"/>
  <c r="N430" i="21" l="1"/>
  <c r="N432" i="21" s="1"/>
  <c r="N433" i="21" s="1"/>
  <c r="N437" i="21" s="1"/>
  <c r="N438" i="21" s="1"/>
  <c r="N493" i="21"/>
  <c r="O490" i="21" s="1"/>
  <c r="O436" i="21" l="1"/>
  <c r="N114" i="21"/>
  <c r="N148" i="21" s="1"/>
  <c r="N151" i="21" s="1"/>
  <c r="N152" i="21" s="1"/>
  <c r="N247" i="21" l="1"/>
  <c r="N248" i="21" s="1"/>
  <c r="N253" i="21" s="1"/>
  <c r="N270" i="21" l="1"/>
  <c r="N256" i="21"/>
  <c r="N271" i="21" s="1"/>
  <c r="N272" i="21" l="1"/>
  <c r="N275" i="21" s="1"/>
  <c r="O315" i="21" s="1"/>
  <c r="N257" i="21"/>
  <c r="N258" i="21" s="1"/>
  <c r="N110" i="21" l="1"/>
  <c r="N162" i="21" s="1"/>
  <c r="N280" i="21"/>
  <c r="N281" i="21" s="1"/>
  <c r="O278" i="21" s="1"/>
  <c r="O269" i="21"/>
  <c r="O317" i="21" s="1"/>
  <c r="N163" i="21"/>
  <c r="O23" i="21"/>
  <c r="N286" i="21"/>
  <c r="N287" i="21" s="1"/>
  <c r="N164" i="21"/>
  <c r="N259" i="21"/>
  <c r="N565" i="21" l="1"/>
  <c r="N601" i="21" s="1"/>
  <c r="N111" i="21"/>
  <c r="N168" i="21"/>
  <c r="N170" i="21" s="1"/>
  <c r="O318" i="21"/>
  <c r="O24" i="21" s="1"/>
  <c r="O279" i="21"/>
  <c r="O249" i="21" s="1"/>
  <c r="O22" i="21"/>
  <c r="N112" i="21"/>
  <c r="O284" i="21"/>
  <c r="N563" i="21"/>
  <c r="N69" i="21" l="1"/>
  <c r="N84" i="21"/>
  <c r="O21" i="21" s="1"/>
  <c r="N116" i="21"/>
  <c r="N124" i="21" s="1"/>
  <c r="N567" i="21"/>
  <c r="N598" i="21" s="1"/>
  <c r="N602" i="21"/>
  <c r="O285" i="21"/>
  <c r="O250" i="21" s="1"/>
  <c r="O319" i="21"/>
  <c r="O323" i="21" s="1"/>
  <c r="O571" i="21" s="1"/>
  <c r="N564" i="21" l="1"/>
  <c r="N603" i="21" s="1"/>
  <c r="O244" i="21"/>
  <c r="O246" i="21" s="1"/>
  <c r="N89" i="21"/>
  <c r="N98" i="21" s="1"/>
  <c r="N71" i="21" s="1"/>
  <c r="O579" i="21"/>
  <c r="O585" i="21"/>
  <c r="O591" i="21"/>
  <c r="O25" i="21"/>
  <c r="O27" i="21" s="1"/>
  <c r="O325" i="21"/>
  <c r="O324" i="21"/>
  <c r="O572" i="21" s="1"/>
  <c r="O326" i="21"/>
  <c r="O252" i="21"/>
  <c r="N126" i="21" l="1"/>
  <c r="N604" i="21"/>
  <c r="N599" i="21"/>
  <c r="O580" i="21"/>
  <c r="O586" i="21"/>
  <c r="O592" i="21"/>
  <c r="O573" i="21"/>
  <c r="O30" i="21"/>
  <c r="O421" i="21"/>
  <c r="O424" i="21" s="1"/>
  <c r="O447" i="21" s="1"/>
  <c r="O454" i="21" s="1"/>
  <c r="O327" i="21"/>
  <c r="O328" i="21" s="1"/>
  <c r="O34" i="21" l="1"/>
  <c r="O574" i="21"/>
  <c r="O462" i="21"/>
  <c r="O581" i="21"/>
  <c r="O587" i="21"/>
  <c r="O593" i="21"/>
  <c r="O31" i="21"/>
  <c r="O32" i="21" s="1"/>
  <c r="O463" i="21" l="1"/>
  <c r="O425" i="21" s="1"/>
  <c r="O448" i="21"/>
  <c r="O449" i="21" s="1"/>
  <c r="O453" i="21" s="1"/>
  <c r="O582" i="21"/>
  <c r="O588" i="21"/>
  <c r="O594" i="21"/>
  <c r="O434" i="21"/>
  <c r="O35" i="21"/>
  <c r="O52" i="21"/>
  <c r="O66" i="21"/>
  <c r="O426" i="21" l="1"/>
  <c r="O427" i="21" s="1"/>
  <c r="O428" i="21" s="1"/>
  <c r="O481" i="21" s="1"/>
  <c r="O470" i="21"/>
  <c r="O471" i="21" s="1"/>
  <c r="P469" i="21" s="1"/>
  <c r="O455" i="21"/>
  <c r="P452" i="21" s="1"/>
  <c r="P446" i="21"/>
  <c r="O465" i="21"/>
  <c r="P461" i="21" s="1"/>
  <c r="O41" i="21"/>
  <c r="O137" i="21"/>
  <c r="O537" i="21"/>
  <c r="O538" i="21"/>
  <c r="O540" i="21"/>
  <c r="O123" i="21"/>
  <c r="O70" i="21" s="1"/>
  <c r="O544" i="21" l="1"/>
  <c r="O551" i="21" s="1"/>
  <c r="O67" i="21"/>
  <c r="O53" i="21"/>
  <c r="O431" i="21"/>
  <c r="O482" i="21"/>
  <c r="O491" i="21" s="1"/>
  <c r="O543" i="21"/>
  <c r="O550" i="21" s="1"/>
  <c r="O484" i="21" l="1"/>
  <c r="O492" i="21" s="1"/>
  <c r="O485" i="21" s="1"/>
  <c r="O486" i="21" s="1"/>
  <c r="O487" i="21" s="1"/>
  <c r="O552" i="21"/>
  <c r="O430" i="21" l="1"/>
  <c r="O432" i="21" s="1"/>
  <c r="O433" i="21" s="1"/>
  <c r="O437" i="21" s="1"/>
  <c r="O438" i="21" s="1"/>
  <c r="O43" i="21"/>
  <c r="O44" i="21"/>
  <c r="O493" i="21"/>
  <c r="P490" i="21" s="1"/>
  <c r="O114" i="21" l="1"/>
  <c r="O148" i="21" s="1"/>
  <c r="O151" i="21" s="1"/>
  <c r="O152" i="21" s="1"/>
  <c r="P436" i="21"/>
  <c r="O247" i="21" l="1"/>
  <c r="O248" i="21" s="1"/>
  <c r="O253" i="21" s="1"/>
  <c r="O270" i="21" l="1"/>
  <c r="O256" i="21"/>
  <c r="O257" i="21" s="1"/>
  <c r="O280" i="21" l="1"/>
  <c r="O281" i="21" s="1"/>
  <c r="O111" i="21" s="1"/>
  <c r="O163" i="21"/>
  <c r="O258" i="21"/>
  <c r="O286" i="21" s="1"/>
  <c r="O287" i="21" s="1"/>
  <c r="O271" i="21"/>
  <c r="O272" i="21" s="1"/>
  <c r="O275" i="21" s="1"/>
  <c r="P315" i="21" s="1"/>
  <c r="P278" i="21" l="1"/>
  <c r="P318" i="21" s="1"/>
  <c r="P24" i="21" s="1"/>
  <c r="O259" i="21"/>
  <c r="O164" i="21"/>
  <c r="O565" i="21"/>
  <c r="O601" i="21" s="1"/>
  <c r="O563" i="21"/>
  <c r="O567" i="21" s="1"/>
  <c r="P269" i="21"/>
  <c r="P317" i="21" s="1"/>
  <c r="O110" i="21"/>
  <c r="O162" i="21" s="1"/>
  <c r="O168" i="21" s="1"/>
  <c r="O170" i="21" s="1"/>
  <c r="O84" i="21" s="1"/>
  <c r="P23" i="21"/>
  <c r="O112" i="21"/>
  <c r="P284" i="21"/>
  <c r="P279" i="21" l="1"/>
  <c r="P249" i="21" s="1"/>
  <c r="O116" i="21"/>
  <c r="O124" i="21" s="1"/>
  <c r="O602" i="21"/>
  <c r="O598" i="21"/>
  <c r="O69" i="21"/>
  <c r="O89" i="21"/>
  <c r="O98" i="21" s="1"/>
  <c r="P21" i="21"/>
  <c r="P244" i="21"/>
  <c r="P246" i="21" s="1"/>
  <c r="P22" i="21"/>
  <c r="P319" i="21"/>
  <c r="P25" i="21" s="1"/>
  <c r="P285" i="21"/>
  <c r="P250" i="21" s="1"/>
  <c r="O564" i="21"/>
  <c r="P324" i="21" l="1"/>
  <c r="P572" i="21" s="1"/>
  <c r="P586" i="21" s="1"/>
  <c r="P323" i="21"/>
  <c r="P571" i="21" s="1"/>
  <c r="P585" i="21" s="1"/>
  <c r="P325" i="21"/>
  <c r="P573" i="21" s="1"/>
  <c r="P326" i="21"/>
  <c r="P27" i="21"/>
  <c r="O599" i="21"/>
  <c r="O603" i="21"/>
  <c r="O604" i="21"/>
  <c r="P252" i="21"/>
  <c r="O126" i="21"/>
  <c r="O71" i="21"/>
  <c r="P579" i="21" l="1"/>
  <c r="P592" i="21"/>
  <c r="P580" i="21"/>
  <c r="P591" i="21"/>
  <c r="P30" i="21"/>
  <c r="P421" i="21"/>
  <c r="P424" i="21" s="1"/>
  <c r="P447" i="21" s="1"/>
  <c r="P454" i="21" s="1"/>
  <c r="P581" i="21"/>
  <c r="P587" i="21"/>
  <c r="P593" i="21"/>
  <c r="P327" i="21"/>
  <c r="P328" i="21" s="1"/>
  <c r="P34" i="21" l="1"/>
  <c r="P574" i="21"/>
  <c r="P31" i="21"/>
  <c r="P32" i="21" s="1"/>
  <c r="P462" i="21"/>
  <c r="P463" i="21" l="1"/>
  <c r="P425" i="21" s="1"/>
  <c r="P426" i="21" s="1"/>
  <c r="P448" i="21"/>
  <c r="P449" i="21" s="1"/>
  <c r="P453" i="21" s="1"/>
  <c r="P35" i="21"/>
  <c r="P52" i="21"/>
  <c r="P66" i="21"/>
  <c r="P434" i="21"/>
  <c r="P582" i="21"/>
  <c r="P588" i="21"/>
  <c r="P594" i="21"/>
  <c r="P470" i="21" l="1"/>
  <c r="P471" i="21" s="1"/>
  <c r="P455" i="21"/>
  <c r="P427" i="21"/>
  <c r="P428" i="21" s="1"/>
  <c r="P481" i="21" s="1"/>
  <c r="P465" i="21"/>
  <c r="P41" i="21"/>
  <c r="P137" i="21"/>
  <c r="P538" i="21"/>
  <c r="P537" i="21"/>
  <c r="P540" i="21"/>
  <c r="P123" i="21"/>
  <c r="P70" i="21" s="1"/>
  <c r="P543" i="21" l="1"/>
  <c r="P550" i="21" s="1"/>
  <c r="P544" i="21"/>
  <c r="P551" i="21" s="1"/>
  <c r="P67" i="21"/>
  <c r="P53" i="21"/>
  <c r="P431" i="21"/>
  <c r="P482" i="21"/>
  <c r="P491" i="21" s="1"/>
  <c r="P484" i="21" l="1"/>
  <c r="P552" i="21"/>
  <c r="P43" i="21" l="1"/>
  <c r="P44" i="21"/>
  <c r="P492" i="21"/>
  <c r="P485" i="21" l="1"/>
  <c r="P486" i="21" s="1"/>
  <c r="P487" i="21" s="1"/>
  <c r="P493" i="21"/>
  <c r="P430" i="21" l="1"/>
  <c r="P432" i="21" s="1"/>
  <c r="P433" i="21" s="1"/>
  <c r="P437" i="21" s="1"/>
  <c r="P438" i="21" s="1"/>
  <c r="P114" i="21" s="1"/>
  <c r="P148" i="21" s="1"/>
  <c r="P151" i="21" s="1"/>
  <c r="P152" i="21" s="1"/>
  <c r="P247" i="21" l="1"/>
  <c r="P248" i="21" s="1"/>
  <c r="P253" i="21" s="1"/>
  <c r="P270" i="21" l="1"/>
  <c r="P256" i="21"/>
  <c r="P271" i="21" s="1"/>
  <c r="P272" i="21" l="1"/>
  <c r="P275" i="21" s="1"/>
  <c r="P257" i="21"/>
  <c r="P258" i="21" s="1"/>
  <c r="P110" i="21" l="1"/>
  <c r="P162" i="21" s="1"/>
  <c r="P163" i="21"/>
  <c r="P280" i="21"/>
  <c r="P281" i="21" s="1"/>
  <c r="P111" i="21" s="1"/>
  <c r="P286" i="21"/>
  <c r="P287" i="21" s="1"/>
  <c r="P164" i="21"/>
  <c r="P259" i="21"/>
  <c r="P565" i="21" l="1"/>
  <c r="P601" i="21" s="1"/>
  <c r="P168" i="21"/>
  <c r="P170" i="21" s="1"/>
  <c r="P112" i="21"/>
  <c r="P563" i="21"/>
  <c r="P84" i="21" l="1"/>
  <c r="P89" i="21" s="1"/>
  <c r="P98" i="21" s="1"/>
  <c r="P71" i="21" s="1"/>
  <c r="P567" i="21"/>
  <c r="P598" i="21" s="1"/>
  <c r="P602" i="21"/>
  <c r="P116" i="21"/>
  <c r="P124" i="21" s="1"/>
  <c r="P69" i="21"/>
  <c r="P564" i="21" l="1"/>
  <c r="P599" i="21" s="1"/>
  <c r="P126" i="21"/>
  <c r="O54" i="7" s="1"/>
  <c r="P603" i="21" l="1"/>
  <c r="P604" i="21"/>
  <c r="G246" i="22"/>
  <c r="H363" i="22" l="1"/>
  <c r="G373" i="22"/>
  <c r="T373" i="22" s="1"/>
  <c r="T397" i="22" s="1"/>
  <c r="S373" i="22" l="1"/>
  <c r="S397" i="22" s="1"/>
  <c r="G374" i="22"/>
  <c r="G397" i="22"/>
  <c r="I363" i="22"/>
  <c r="J363" i="22" s="1"/>
  <c r="T374" i="22" l="1"/>
  <c r="G398" i="22"/>
  <c r="S374" i="22"/>
  <c r="K363" i="22"/>
  <c r="S398" i="22" l="1"/>
  <c r="S399" i="22" s="1"/>
  <c r="S417" i="22" s="1"/>
  <c r="S424" i="22" s="1"/>
  <c r="T398" i="22"/>
  <c r="T399" i="22" s="1"/>
  <c r="G399" i="22"/>
  <c r="G417" i="22" s="1"/>
  <c r="G424" i="22" s="1"/>
  <c r="L363" i="22"/>
  <c r="M363" i="22" s="1"/>
  <c r="G447" i="22" l="1"/>
  <c r="G462" i="22"/>
  <c r="T417" i="22"/>
  <c r="T424" i="22" s="1"/>
  <c r="T462" i="22" s="1"/>
  <c r="H548" i="9"/>
  <c r="H551" i="9" s="1"/>
  <c r="H620" i="9" s="1"/>
  <c r="S462" i="22"/>
  <c r="S447" i="22"/>
  <c r="N363" i="22"/>
  <c r="G463" i="22" l="1"/>
  <c r="G425" i="22" s="1"/>
  <c r="G426" i="22" s="1"/>
  <c r="S463" i="22"/>
  <c r="S464" i="22" s="1"/>
  <c r="S448" i="22"/>
  <c r="S449" i="22" s="1"/>
  <c r="S454" i="22"/>
  <c r="G448" i="22"/>
  <c r="G449" i="22" s="1"/>
  <c r="G454" i="22"/>
  <c r="O363" i="22"/>
  <c r="G464" i="22" l="1"/>
  <c r="G465" i="22" s="1"/>
  <c r="H461" i="22" s="1"/>
  <c r="S465" i="22"/>
  <c r="G669" i="9" s="1"/>
  <c r="H665" i="9" s="1"/>
  <c r="S425" i="22"/>
  <c r="S426" i="22" s="1"/>
  <c r="S427" i="22" s="1"/>
  <c r="S428" i="22" s="1"/>
  <c r="S481" i="22" s="1"/>
  <c r="S470" i="22"/>
  <c r="S471" i="22" s="1"/>
  <c r="T469" i="22" s="1"/>
  <c r="S453" i="22"/>
  <c r="S455" i="22" s="1"/>
  <c r="G655" i="9"/>
  <c r="H652" i="9" s="1"/>
  <c r="T446" i="22"/>
  <c r="H446" i="22"/>
  <c r="G453" i="22"/>
  <c r="G455" i="22" s="1"/>
  <c r="H452" i="22" s="1"/>
  <c r="G427" i="22"/>
  <c r="G428" i="22" s="1"/>
  <c r="G481" i="22" s="1"/>
  <c r="P363" i="22"/>
  <c r="G470" i="22" l="1"/>
  <c r="G471" i="22" s="1"/>
  <c r="H469" i="22" s="1"/>
  <c r="T461" i="22"/>
  <c r="G431" i="22"/>
  <c r="G482" i="22"/>
  <c r="G491" i="22" s="1"/>
  <c r="S431" i="22"/>
  <c r="S482" i="22"/>
  <c r="S491" i="22" s="1"/>
  <c r="G661" i="9"/>
  <c r="H658" i="9" s="1"/>
  <c r="T452" i="22"/>
  <c r="T447" i="22" s="1"/>
  <c r="T463" i="22" l="1"/>
  <c r="T464" i="22" s="1"/>
  <c r="H668" i="9" s="1"/>
  <c r="T448" i="22"/>
  <c r="T449" i="22" s="1"/>
  <c r="T453" i="22" s="1"/>
  <c r="T454" i="22"/>
  <c r="G484" i="22"/>
  <c r="G492" i="22" s="1"/>
  <c r="G485" i="22" s="1"/>
  <c r="G486" i="22" s="1"/>
  <c r="G487" i="22" s="1"/>
  <c r="S484" i="22"/>
  <c r="T470" i="22" l="1"/>
  <c r="T471" i="22" s="1"/>
  <c r="S492" i="22"/>
  <c r="T425" i="22"/>
  <c r="T426" i="22" s="1"/>
  <c r="G430" i="22"/>
  <c r="G432" i="22" s="1"/>
  <c r="G433" i="22" s="1"/>
  <c r="G437" i="22" s="1"/>
  <c r="G438" i="22" s="1"/>
  <c r="T465" i="22"/>
  <c r="G493" i="22"/>
  <c r="H490" i="22" s="1"/>
  <c r="T455" i="22"/>
  <c r="T427" i="22" l="1"/>
  <c r="T428" i="22" s="1"/>
  <c r="T481" i="22" s="1"/>
  <c r="G114" i="22"/>
  <c r="G148" i="22" s="1"/>
  <c r="G151" i="22" s="1"/>
  <c r="G152" i="22" s="1"/>
  <c r="G247" i="22" s="1"/>
  <c r="G248" i="22" s="1"/>
  <c r="G253" i="22" s="1"/>
  <c r="H436" i="22"/>
  <c r="S485" i="22"/>
  <c r="S486" i="22" s="1"/>
  <c r="S487" i="22" s="1"/>
  <c r="S493" i="22"/>
  <c r="G270" i="22" l="1"/>
  <c r="G256" i="22"/>
  <c r="T490" i="22"/>
  <c r="G689" i="9"/>
  <c r="H686" i="9" s="1"/>
  <c r="S430" i="22"/>
  <c r="S432" i="22" s="1"/>
  <c r="S433" i="22" s="1"/>
  <c r="S437" i="22" s="1"/>
  <c r="S438" i="22" s="1"/>
  <c r="T431" i="22"/>
  <c r="T482" i="22"/>
  <c r="T491" i="22" s="1"/>
  <c r="G257" i="22" l="1"/>
  <c r="G280" i="22" s="1"/>
  <c r="G281" i="22" s="1"/>
  <c r="G271" i="22"/>
  <c r="G272" i="22" s="1"/>
  <c r="H269" i="22" s="1"/>
  <c r="T436" i="22"/>
  <c r="S114" i="22"/>
  <c r="T484" i="22"/>
  <c r="G258" i="22" l="1"/>
  <c r="G259" i="22" s="1"/>
  <c r="G163" i="22"/>
  <c r="G565" i="22"/>
  <c r="G601" i="22" s="1"/>
  <c r="G110" i="22"/>
  <c r="G162" i="22" s="1"/>
  <c r="G275" i="22"/>
  <c r="H315" i="22" s="1"/>
  <c r="H23" i="22" s="1"/>
  <c r="S148" i="22"/>
  <c r="S151" i="22" s="1"/>
  <c r="S152" i="22" s="1"/>
  <c r="S247" i="22" s="1"/>
  <c r="S248" i="22" s="1"/>
  <c r="S253" i="22" s="1"/>
  <c r="E154" i="7"/>
  <c r="S154" i="7" s="1"/>
  <c r="G643" i="9" s="1"/>
  <c r="T492" i="22"/>
  <c r="H278" i="22"/>
  <c r="G111" i="22"/>
  <c r="H317" i="22"/>
  <c r="G164" i="22" l="1"/>
  <c r="G168" i="22" s="1"/>
  <c r="G170" i="22" s="1"/>
  <c r="G84" i="22" s="1"/>
  <c r="H21" i="22" s="1"/>
  <c r="S270" i="22"/>
  <c r="S256" i="22"/>
  <c r="S257" i="22" s="1"/>
  <c r="G286" i="22"/>
  <c r="G287" i="22" s="1"/>
  <c r="T485" i="22"/>
  <c r="T486" i="22" s="1"/>
  <c r="T487" i="22" s="1"/>
  <c r="T493" i="22"/>
  <c r="H641" i="9"/>
  <c r="G141" i="9"/>
  <c r="H22" i="22"/>
  <c r="H279" i="22"/>
  <c r="H249" i="22" s="1"/>
  <c r="H318" i="22"/>
  <c r="H244" i="22" l="1"/>
  <c r="H246" i="22" s="1"/>
  <c r="G89" i="22"/>
  <c r="G98" i="22" s="1"/>
  <c r="G71" i="22" s="1"/>
  <c r="S258" i="22"/>
  <c r="G563" i="22"/>
  <c r="H284" i="22"/>
  <c r="G112" i="22"/>
  <c r="T430" i="22"/>
  <c r="T432" i="22" s="1"/>
  <c r="T433" i="22" s="1"/>
  <c r="T437" i="22" s="1"/>
  <c r="T438" i="22" s="1"/>
  <c r="T114" i="22" s="1"/>
  <c r="T148" i="22" s="1"/>
  <c r="T151" i="22" s="1"/>
  <c r="T152" i="22" s="1"/>
  <c r="T247" i="22" s="1"/>
  <c r="S271" i="22"/>
  <c r="S272" i="22" s="1"/>
  <c r="H24" i="22"/>
  <c r="H319" i="22" l="1"/>
  <c r="H285" i="22"/>
  <c r="H250" i="22" s="1"/>
  <c r="H252" i="22" s="1"/>
  <c r="G567" i="22"/>
  <c r="G598" i="22" s="1"/>
  <c r="G602" i="22"/>
  <c r="G564" i="22"/>
  <c r="G69" i="22"/>
  <c r="G116" i="22"/>
  <c r="G124" i="22" s="1"/>
  <c r="G126" i="22" s="1"/>
  <c r="T269" i="22"/>
  <c r="S110" i="22"/>
  <c r="S275" i="22"/>
  <c r="S163" i="22"/>
  <c r="S280" i="22"/>
  <c r="S281" i="22" s="1"/>
  <c r="S259" i="22"/>
  <c r="G604" i="22" l="1"/>
  <c r="G603" i="22"/>
  <c r="G599" i="22"/>
  <c r="H25" i="22"/>
  <c r="H27" i="22" s="1"/>
  <c r="H325" i="22"/>
  <c r="H573" i="22" s="1"/>
  <c r="H587" i="22" s="1"/>
  <c r="H326" i="22"/>
  <c r="H324" i="22"/>
  <c r="H572" i="22" s="1"/>
  <c r="H323" i="22"/>
  <c r="H571" i="22" s="1"/>
  <c r="S111" i="22"/>
  <c r="T278" i="22"/>
  <c r="S162" i="22"/>
  <c r="E140" i="7"/>
  <c r="S286" i="22"/>
  <c r="S287" i="22" s="1"/>
  <c r="S563" i="22" s="1"/>
  <c r="S164" i="22"/>
  <c r="S565" i="22"/>
  <c r="H581" i="22" l="1"/>
  <c r="T279" i="22"/>
  <c r="T249" i="22" s="1"/>
  <c r="H327" i="22"/>
  <c r="H328" i="22" s="1"/>
  <c r="H593" i="22"/>
  <c r="H591" i="22"/>
  <c r="H579" i="22"/>
  <c r="H585" i="22"/>
  <c r="H421" i="22"/>
  <c r="H30" i="22"/>
  <c r="H31" i="22" s="1"/>
  <c r="H32" i="22" s="1"/>
  <c r="H52" i="22" s="1"/>
  <c r="H586" i="22"/>
  <c r="H592" i="22"/>
  <c r="H580" i="22"/>
  <c r="S567" i="22"/>
  <c r="S598" i="22" s="1"/>
  <c r="S602" i="22"/>
  <c r="S168" i="22"/>
  <c r="S170" i="22" s="1"/>
  <c r="S601" i="22"/>
  <c r="T284" i="22"/>
  <c r="S112" i="22"/>
  <c r="E142" i="7" s="1"/>
  <c r="S142" i="7" s="1"/>
  <c r="G377" i="9" s="1"/>
  <c r="E141" i="7"/>
  <c r="S141" i="7" s="1"/>
  <c r="G359" i="9" s="1"/>
  <c r="T285" i="22" l="1"/>
  <c r="T250" i="22" s="1"/>
  <c r="T252" i="22" s="1"/>
  <c r="H434" i="22"/>
  <c r="H66" i="22"/>
  <c r="H34" i="22"/>
  <c r="H35" i="22" s="1"/>
  <c r="H137" i="22" s="1"/>
  <c r="H574" i="22"/>
  <c r="S84" i="22"/>
  <c r="E112" i="7" s="1"/>
  <c r="S69" i="22"/>
  <c r="S116" i="22"/>
  <c r="S124" i="22" s="1"/>
  <c r="H356" i="9"/>
  <c r="G131" i="9"/>
  <c r="G134" i="9"/>
  <c r="H374" i="9"/>
  <c r="E144" i="7"/>
  <c r="E156" i="7" s="1"/>
  <c r="E166" i="7" s="1"/>
  <c r="H41" i="22" l="1"/>
  <c r="H53" i="22" s="1"/>
  <c r="H538" i="22"/>
  <c r="H582" i="22"/>
  <c r="H588" i="22"/>
  <c r="H594" i="22"/>
  <c r="H537" i="22"/>
  <c r="H540" i="22"/>
  <c r="H123" i="22"/>
  <c r="H70" i="22" s="1"/>
  <c r="T244" i="22"/>
  <c r="T246" i="22" s="1"/>
  <c r="T248" i="22" s="1"/>
  <c r="T253" i="22" s="1"/>
  <c r="S564" i="22"/>
  <c r="S603" i="22" s="1"/>
  <c r="S89" i="22"/>
  <c r="S98" i="22" s="1"/>
  <c r="S71" i="22" s="1"/>
  <c r="H452" i="9"/>
  <c r="H24" i="9" s="1"/>
  <c r="H455" i="9"/>
  <c r="H27" i="9" s="1"/>
  <c r="H375" i="9"/>
  <c r="H316" i="9" s="1"/>
  <c r="J37" i="7"/>
  <c r="J13" i="7" s="1"/>
  <c r="E117" i="7"/>
  <c r="E128" i="7" s="1"/>
  <c r="E174" i="7" s="1"/>
  <c r="H357" i="9"/>
  <c r="H313" i="9" s="1"/>
  <c r="H67" i="22" l="1"/>
  <c r="T270" i="22"/>
  <c r="T256" i="22"/>
  <c r="T257" i="22" s="1"/>
  <c r="H544" i="22"/>
  <c r="H551" i="22" s="1"/>
  <c r="H543" i="22"/>
  <c r="H550" i="22" s="1"/>
  <c r="S599" i="22"/>
  <c r="S604" i="22"/>
  <c r="S126" i="22"/>
  <c r="H322" i="9"/>
  <c r="J39" i="7"/>
  <c r="J41" i="7" s="1"/>
  <c r="J51" i="7" s="1"/>
  <c r="N112" i="7"/>
  <c r="H552" i="22" l="1"/>
  <c r="H43" i="22" s="1"/>
  <c r="I58" i="9" s="1"/>
  <c r="T280" i="22"/>
  <c r="T281" i="22" s="1"/>
  <c r="T111" i="22" s="1"/>
  <c r="T258" i="22"/>
  <c r="T259" i="22" s="1"/>
  <c r="T163" i="22"/>
  <c r="T271" i="22"/>
  <c r="T272" i="22" s="1"/>
  <c r="T275" i="22" s="1"/>
  <c r="N117" i="7"/>
  <c r="N128" i="7" s="1"/>
  <c r="U112" i="7"/>
  <c r="U117" i="7" s="1"/>
  <c r="U128" i="7" s="1"/>
  <c r="R112" i="7"/>
  <c r="J52" i="7"/>
  <c r="O50" i="7" s="1"/>
  <c r="J28" i="7"/>
  <c r="H44" i="22" l="1"/>
  <c r="I63" i="9" s="1"/>
  <c r="T565" i="22"/>
  <c r="T601" i="22" s="1"/>
  <c r="T110" i="22"/>
  <c r="T164" i="22"/>
  <c r="T286" i="22"/>
  <c r="T287" i="22" s="1"/>
  <c r="T112" i="22" s="1"/>
  <c r="J9" i="7"/>
  <c r="J15" i="7" s="1"/>
  <c r="J33" i="7"/>
  <c r="N140" i="7"/>
  <c r="S112" i="7"/>
  <c r="R117" i="7"/>
  <c r="R128" i="7" s="1"/>
  <c r="T69" i="22" l="1"/>
  <c r="T116" i="22"/>
  <c r="T124" i="22" s="1"/>
  <c r="T563" i="22"/>
  <c r="T602" i="22" s="1"/>
  <c r="T162" i="22"/>
  <c r="T168" i="22" s="1"/>
  <c r="T170" i="22" s="1"/>
  <c r="O49" i="7"/>
  <c r="G103" i="9"/>
  <c r="S117" i="7"/>
  <c r="S128" i="7" s="1"/>
  <c r="R140" i="7"/>
  <c r="N144" i="7"/>
  <c r="N156" i="7" s="1"/>
  <c r="N166" i="7" s="1"/>
  <c r="U140" i="7"/>
  <c r="U144" i="7" s="1"/>
  <c r="U156" i="7" s="1"/>
  <c r="U166" i="7" s="1"/>
  <c r="U174" i="7" s="1"/>
  <c r="T84" i="22" l="1"/>
  <c r="T89" i="22" s="1"/>
  <c r="T98" i="22" s="1"/>
  <c r="T567" i="22"/>
  <c r="T598" i="22" s="1"/>
  <c r="H308" i="9"/>
  <c r="H310" i="9" s="1"/>
  <c r="G108" i="9"/>
  <c r="G118" i="9" s="1"/>
  <c r="H21" i="9"/>
  <c r="R144" i="7"/>
  <c r="R156" i="7" s="1"/>
  <c r="R166" i="7" s="1"/>
  <c r="R174" i="7" s="1"/>
  <c r="S140" i="7"/>
  <c r="T564" i="22" l="1"/>
  <c r="T604" i="22" s="1"/>
  <c r="T71" i="22"/>
  <c r="T126" i="22"/>
  <c r="G350" i="9"/>
  <c r="S144" i="7"/>
  <c r="S156" i="7" s="1"/>
  <c r="S166" i="7" s="1"/>
  <c r="S174" i="7" s="1"/>
  <c r="O51" i="7" s="1"/>
  <c r="O55" i="7"/>
  <c r="T599" i="22" l="1"/>
  <c r="T603" i="22"/>
  <c r="G353" i="9"/>
  <c r="H449" i="9" s="1"/>
  <c r="G130" i="9"/>
  <c r="G140" i="9" s="1"/>
  <c r="G143" i="9" s="1"/>
  <c r="G153" i="9" s="1"/>
  <c r="G155" i="9" s="1"/>
  <c r="H347" i="9"/>
  <c r="H451" i="9" s="1"/>
  <c r="H468" i="9" s="1"/>
  <c r="H469" i="9" s="1"/>
  <c r="H22" i="9" l="1"/>
  <c r="H465" i="9"/>
  <c r="H795" i="9" s="1"/>
  <c r="H23" i="9"/>
  <c r="H467" i="9"/>
  <c r="H797" i="9" s="1"/>
  <c r="H805" i="9" s="1"/>
  <c r="H466" i="9"/>
  <c r="H796" i="9" s="1"/>
  <c r="H470" i="9"/>
  <c r="H33" i="9" l="1"/>
  <c r="H39" i="9" s="1"/>
  <c r="H40" i="9" s="1"/>
  <c r="H817" i="9"/>
  <c r="H811" i="9"/>
  <c r="H804" i="9"/>
  <c r="H810" i="9"/>
  <c r="H816" i="9"/>
  <c r="H815" i="9"/>
  <c r="H809" i="9"/>
  <c r="H803" i="9"/>
  <c r="H43" i="9"/>
  <c r="H798" i="9"/>
  <c r="H623" i="9" l="1"/>
  <c r="H629" i="9" s="1"/>
  <c r="H666" i="9" s="1"/>
  <c r="H639" i="9"/>
  <c r="H41" i="9"/>
  <c r="H44" i="9" s="1"/>
  <c r="H806" i="9"/>
  <c r="H812" i="9"/>
  <c r="H818" i="9"/>
  <c r="H85" i="9" l="1"/>
  <c r="H653" i="9"/>
  <c r="H654" i="9" s="1"/>
  <c r="H655" i="9" s="1"/>
  <c r="I652" i="9" s="1"/>
  <c r="H59" i="9"/>
  <c r="H61" i="9" s="1"/>
  <c r="H152" i="9"/>
  <c r="H89" i="9" s="1"/>
  <c r="H171" i="9"/>
  <c r="H51" i="9"/>
  <c r="H86" i="9" s="1"/>
  <c r="H659" i="9" l="1"/>
  <c r="H667" i="9"/>
  <c r="H669" i="9" s="1"/>
  <c r="I665" i="9" s="1"/>
  <c r="H660" i="9"/>
  <c r="H60" i="9"/>
  <c r="H64" i="9"/>
  <c r="H66" i="9" s="1"/>
  <c r="H630" i="9" l="1"/>
  <c r="H631" i="9" s="1"/>
  <c r="H632" i="9" s="1"/>
  <c r="H661" i="9"/>
  <c r="I658" i="9" s="1"/>
  <c r="H65" i="9"/>
  <c r="H636" i="9" l="1"/>
  <c r="H678" i="9"/>
  <c r="H633" i="9"/>
  <c r="H677" i="9" s="1"/>
  <c r="H680" i="9" l="1"/>
  <c r="H687" i="9"/>
  <c r="H688" i="9" l="1"/>
  <c r="H681" i="9" s="1"/>
  <c r="H682" i="9" s="1"/>
  <c r="H683" i="9" s="1"/>
  <c r="H635" i="9" l="1"/>
  <c r="H637" i="9" s="1"/>
  <c r="H638" i="9" s="1"/>
  <c r="H642" i="9" s="1"/>
  <c r="H643" i="9" s="1"/>
  <c r="H689" i="9"/>
  <c r="I686" i="9" s="1"/>
  <c r="I641" i="9" l="1"/>
  <c r="H141" i="9"/>
  <c r="H188" i="9" s="1"/>
  <c r="H191" i="9" s="1"/>
  <c r="H192" i="9" s="1"/>
  <c r="H311" i="9" s="1"/>
  <c r="H312" i="9" s="1"/>
  <c r="H323" i="9" s="1"/>
  <c r="H348" i="9" l="1"/>
  <c r="H326" i="9"/>
  <c r="H327" i="9" l="1"/>
  <c r="H349" i="9"/>
  <c r="H350" i="9" s="1"/>
  <c r="H328" i="9" l="1"/>
  <c r="H203" i="9"/>
  <c r="H358" i="9"/>
  <c r="H359" i="9" s="1"/>
  <c r="I356" i="9" s="1"/>
  <c r="H353" i="9"/>
  <c r="I449" i="9" s="1"/>
  <c r="I23" i="9" s="1"/>
  <c r="H130" i="9"/>
  <c r="H202" i="9" s="1"/>
  <c r="I347" i="9"/>
  <c r="I451" i="9" s="1"/>
  <c r="I452" i="9" l="1"/>
  <c r="I24" i="9" s="1"/>
  <c r="H329" i="9"/>
  <c r="H330" i="9" s="1"/>
  <c r="H331" i="9" s="1"/>
  <c r="H332" i="9" s="1"/>
  <c r="H364" i="9"/>
  <c r="H365" i="9" s="1"/>
  <c r="I362" i="9" s="1"/>
  <c r="H204" i="9"/>
  <c r="I357" i="9"/>
  <c r="I313" i="9" s="1"/>
  <c r="H131" i="9"/>
  <c r="I22" i="9"/>
  <c r="H205" i="9" l="1"/>
  <c r="I363" i="9"/>
  <c r="I314" i="9" s="1"/>
  <c r="H206" i="9"/>
  <c r="H382" i="9"/>
  <c r="H383" i="9" s="1"/>
  <c r="I380" i="9" s="1"/>
  <c r="H376" i="9"/>
  <c r="H377" i="9" s="1"/>
  <c r="H134" i="9" s="1"/>
  <c r="I453" i="9"/>
  <c r="I25" i="9" s="1"/>
  <c r="H370" i="9"/>
  <c r="H371" i="9" s="1"/>
  <c r="H133" i="9" s="1"/>
  <c r="H132" i="9"/>
  <c r="I374" i="9" l="1"/>
  <c r="H789" i="9"/>
  <c r="H825" i="9" s="1"/>
  <c r="I368" i="9"/>
  <c r="H208" i="9"/>
  <c r="H207" i="9"/>
  <c r="I375" i="9"/>
  <c r="I316" i="9" s="1"/>
  <c r="I376" i="9" s="1"/>
  <c r="I377" i="9" s="1"/>
  <c r="I454" i="9"/>
  <c r="I26" i="9" s="1"/>
  <c r="I455" i="9"/>
  <c r="I27" i="9" s="1"/>
  <c r="H333" i="9"/>
  <c r="H135" i="9"/>
  <c r="I456" i="9"/>
  <c r="I28" i="9" s="1"/>
  <c r="I381" i="9"/>
  <c r="I317" i="9" s="1"/>
  <c r="I369" i="9" l="1"/>
  <c r="I315" i="9" s="1"/>
  <c r="H388" i="9"/>
  <c r="H389" i="9" s="1"/>
  <c r="I386" i="9" s="1"/>
  <c r="H216" i="9"/>
  <c r="H218" i="9" s="1"/>
  <c r="H103" i="9" s="1"/>
  <c r="J374" i="9"/>
  <c r="I134" i="9"/>
  <c r="I387" i="9"/>
  <c r="I318" i="9" s="1"/>
  <c r="I457" i="9"/>
  <c r="I466" i="9" s="1"/>
  <c r="I796" i="9" s="1"/>
  <c r="H136" i="9" l="1"/>
  <c r="H140" i="9" s="1"/>
  <c r="H143" i="9" s="1"/>
  <c r="H153" i="9" s="1"/>
  <c r="H787" i="9"/>
  <c r="H826" i="9" s="1"/>
  <c r="H108" i="9"/>
  <c r="H118" i="9" s="1"/>
  <c r="H90" i="9" s="1"/>
  <c r="I308" i="9"/>
  <c r="I310" i="9" s="1"/>
  <c r="I21" i="9"/>
  <c r="I468" i="9"/>
  <c r="I469" i="9" s="1"/>
  <c r="I470" i="9" s="1"/>
  <c r="I43" i="9" s="1"/>
  <c r="I804" i="9"/>
  <c r="I810" i="9"/>
  <c r="I816" i="9"/>
  <c r="J455" i="9"/>
  <c r="J27" i="9" s="1"/>
  <c r="J375" i="9"/>
  <c r="J316" i="9" s="1"/>
  <c r="I322" i="9"/>
  <c r="I29" i="9"/>
  <c r="I33" i="9" s="1"/>
  <c r="I465" i="9"/>
  <c r="I795" i="9" s="1"/>
  <c r="I467" i="9"/>
  <c r="H88" i="9" l="1"/>
  <c r="H791" i="9"/>
  <c r="H822" i="9" s="1"/>
  <c r="H788" i="9"/>
  <c r="H828" i="9" s="1"/>
  <c r="H155" i="9"/>
  <c r="I39" i="9"/>
  <c r="I623" i="9"/>
  <c r="I798" i="9"/>
  <c r="I797" i="9"/>
  <c r="I803" i="9"/>
  <c r="I809" i="9"/>
  <c r="I815" i="9"/>
  <c r="J376" i="9"/>
  <c r="J377" i="9" s="1"/>
  <c r="H823" i="9" l="1"/>
  <c r="H827" i="9"/>
  <c r="J134" i="9"/>
  <c r="K374" i="9"/>
  <c r="I805" i="9"/>
  <c r="I811" i="9"/>
  <c r="I817" i="9"/>
  <c r="I806" i="9"/>
  <c r="I812" i="9"/>
  <c r="I818" i="9"/>
  <c r="I40" i="9"/>
  <c r="I41" i="9" l="1"/>
  <c r="I639" i="9"/>
  <c r="K455" i="9"/>
  <c r="K27" i="9" s="1"/>
  <c r="K375" i="9"/>
  <c r="K316" i="9" s="1"/>
  <c r="I44" i="9" l="1"/>
  <c r="I85" i="9" s="1"/>
  <c r="I71" i="9"/>
  <c r="K376" i="9"/>
  <c r="K377" i="9" s="1"/>
  <c r="I171" i="9" l="1"/>
  <c r="I59" i="9"/>
  <c r="I61" i="9" s="1"/>
  <c r="I152" i="9"/>
  <c r="I89" i="9" s="1"/>
  <c r="I51" i="9"/>
  <c r="K134" i="9"/>
  <c r="L374" i="9"/>
  <c r="I86" i="9" l="1"/>
  <c r="I72" i="9"/>
  <c r="I60" i="9"/>
  <c r="I64" i="9"/>
  <c r="I66" i="9" s="1"/>
  <c r="L455" i="9"/>
  <c r="L27" i="9" s="1"/>
  <c r="L375" i="9"/>
  <c r="L316" i="9" s="1"/>
  <c r="I65" i="9" l="1"/>
  <c r="L376" i="9"/>
  <c r="L377" i="9" s="1"/>
  <c r="M374" i="9" l="1"/>
  <c r="L134" i="9"/>
  <c r="M455" i="9" l="1"/>
  <c r="M27" i="9" s="1"/>
  <c r="M375" i="9"/>
  <c r="M316" i="9" s="1"/>
  <c r="M376" i="9" l="1"/>
  <c r="M377" i="9" s="1"/>
  <c r="N374" i="9" l="1"/>
  <c r="M134" i="9"/>
  <c r="N455" i="9" l="1"/>
  <c r="N27" i="9" s="1"/>
  <c r="N375" i="9"/>
  <c r="N316" i="9" s="1"/>
  <c r="N376" i="9" l="1"/>
  <c r="N377" i="9" s="1"/>
  <c r="N134" i="9" l="1"/>
  <c r="O374" i="9"/>
  <c r="O455" i="9" l="1"/>
  <c r="O27" i="9" s="1"/>
  <c r="O375" i="9"/>
  <c r="O316" i="9" s="1"/>
  <c r="O376" i="9" l="1"/>
  <c r="O377" i="9" s="1"/>
  <c r="O134" i="9" l="1"/>
  <c r="P374" i="9"/>
  <c r="P455" i="9" l="1"/>
  <c r="P27" i="9" s="1"/>
  <c r="P375" i="9"/>
  <c r="P316" i="9" s="1"/>
  <c r="P376" i="9" l="1"/>
  <c r="P377" i="9" s="1"/>
  <c r="Q374" i="9" l="1"/>
  <c r="P134" i="9"/>
  <c r="Q455" i="9" l="1"/>
  <c r="Q27" i="9" s="1"/>
  <c r="Q375" i="9"/>
  <c r="Q316" i="9" s="1"/>
  <c r="Q376" i="9" l="1"/>
  <c r="Q377" i="9" s="1"/>
  <c r="Q134" i="9" s="1"/>
  <c r="I364" i="22" l="1"/>
  <c r="J364" i="22" s="1"/>
  <c r="H373" i="22"/>
  <c r="H374" i="22" s="1"/>
  <c r="H398" i="22" s="1"/>
  <c r="H397" i="22" l="1"/>
  <c r="H399" i="22" s="1"/>
  <c r="K364" i="22"/>
  <c r="H417" i="22" l="1"/>
  <c r="H424" i="22" s="1"/>
  <c r="I548" i="9"/>
  <c r="I551" i="9" s="1"/>
  <c r="I620" i="9" s="1"/>
  <c r="I629" i="9" s="1"/>
  <c r="L364" i="22"/>
  <c r="I666" i="9" l="1"/>
  <c r="I653" i="9"/>
  <c r="H447" i="22"/>
  <c r="H462" i="22"/>
  <c r="M364" i="22"/>
  <c r="H454" i="22" l="1"/>
  <c r="H448" i="22"/>
  <c r="I654" i="9" s="1"/>
  <c r="I655" i="9" s="1"/>
  <c r="I667" i="9"/>
  <c r="I630" i="9" s="1"/>
  <c r="I631" i="9" s="1"/>
  <c r="I632" i="9" s="1"/>
  <c r="I660" i="9"/>
  <c r="H463" i="22"/>
  <c r="N364" i="22"/>
  <c r="O364" i="22" s="1"/>
  <c r="I659" i="9" l="1"/>
  <c r="I661" i="9" s="1"/>
  <c r="J658" i="9" s="1"/>
  <c r="J652" i="9"/>
  <c r="I633" i="9"/>
  <c r="I677" i="9" s="1"/>
  <c r="I636" i="9"/>
  <c r="I678" i="9"/>
  <c r="H425" i="22"/>
  <c r="H426" i="22" s="1"/>
  <c r="H464" i="22"/>
  <c r="H470" i="22" s="1"/>
  <c r="H471" i="22" s="1"/>
  <c r="I469" i="22" s="1"/>
  <c r="H449" i="22"/>
  <c r="P364" i="22"/>
  <c r="I680" i="9" l="1"/>
  <c r="I688" i="9" s="1"/>
  <c r="I668" i="9"/>
  <c r="I669" i="9" s="1"/>
  <c r="J665" i="9" s="1"/>
  <c r="H465" i="22"/>
  <c r="I461" i="22" s="1"/>
  <c r="H427" i="22"/>
  <c r="H428" i="22" s="1"/>
  <c r="H481" i="22" s="1"/>
  <c r="H453" i="22"/>
  <c r="H455" i="22" s="1"/>
  <c r="I452" i="22" s="1"/>
  <c r="I446" i="22"/>
  <c r="I681" i="9" l="1"/>
  <c r="I682" i="9" s="1"/>
  <c r="I687" i="9" s="1"/>
  <c r="I689" i="9"/>
  <c r="J686" i="9" s="1"/>
  <c r="H431" i="22"/>
  <c r="H482" i="22"/>
  <c r="H491" i="22" s="1"/>
  <c r="H484" i="22" l="1"/>
  <c r="H492" i="22" s="1"/>
  <c r="H485" i="22" s="1"/>
  <c r="H486" i="22" s="1"/>
  <c r="I635" i="9"/>
  <c r="I637" i="9" s="1"/>
  <c r="I638" i="9" s="1"/>
  <c r="I642" i="9" s="1"/>
  <c r="I643" i="9" s="1"/>
  <c r="I683" i="9"/>
  <c r="H493" i="22" l="1"/>
  <c r="I490" i="22" s="1"/>
  <c r="I141" i="9"/>
  <c r="I188" i="9" s="1"/>
  <c r="I191" i="9" s="1"/>
  <c r="I192" i="9" s="1"/>
  <c r="I311" i="9" s="1"/>
  <c r="I312" i="9" s="1"/>
  <c r="I323" i="9" s="1"/>
  <c r="J641" i="9"/>
  <c r="H430" i="22"/>
  <c r="H432" i="22" s="1"/>
  <c r="H433" i="22" s="1"/>
  <c r="H437" i="22" s="1"/>
  <c r="H438" i="22" s="1"/>
  <c r="H487" i="22"/>
  <c r="I326" i="9" l="1"/>
  <c r="I327" i="9" s="1"/>
  <c r="I348" i="9"/>
  <c r="I436" i="22"/>
  <c r="H114" i="22"/>
  <c r="H148" i="22" s="1"/>
  <c r="H151" i="22" s="1"/>
  <c r="H152" i="22" s="1"/>
  <c r="H247" i="22" s="1"/>
  <c r="H248" i="22" s="1"/>
  <c r="H253" i="22" s="1"/>
  <c r="I349" i="9" l="1"/>
  <c r="I328" i="9"/>
  <c r="H256" i="22"/>
  <c r="H257" i="22" s="1"/>
  <c r="H270" i="22"/>
  <c r="I350" i="9"/>
  <c r="I329" i="9" l="1"/>
  <c r="H258" i="22"/>
  <c r="H164" i="22" s="1"/>
  <c r="H271" i="22"/>
  <c r="H272" i="22" s="1"/>
  <c r="H275" i="22" s="1"/>
  <c r="I315" i="22" s="1"/>
  <c r="I358" i="9"/>
  <c r="I359" i="9" s="1"/>
  <c r="I203" i="9"/>
  <c r="I353" i="9"/>
  <c r="J449" i="9" s="1"/>
  <c r="J23" i="9" s="1"/>
  <c r="J347" i="9"/>
  <c r="J451" i="9" s="1"/>
  <c r="J22" i="9" s="1"/>
  <c r="I130" i="9"/>
  <c r="I202" i="9" s="1"/>
  <c r="H280" i="22"/>
  <c r="H281" i="22" s="1"/>
  <c r="H163" i="22"/>
  <c r="I330" i="9" l="1"/>
  <c r="I206" i="9" s="1"/>
  <c r="H259" i="22"/>
  <c r="H286" i="22"/>
  <c r="H287" i="22" s="1"/>
  <c r="H563" i="22" s="1"/>
  <c r="H567" i="22" s="1"/>
  <c r="I269" i="22"/>
  <c r="I317" i="22" s="1"/>
  <c r="H110" i="22"/>
  <c r="H162" i="22" s="1"/>
  <c r="H168" i="22" s="1"/>
  <c r="H170" i="22" s="1"/>
  <c r="H84" i="22" s="1"/>
  <c r="I205" i="9"/>
  <c r="I370" i="9"/>
  <c r="I371" i="9" s="1"/>
  <c r="I204" i="9"/>
  <c r="I364" i="9"/>
  <c r="I365" i="9" s="1"/>
  <c r="I131" i="9"/>
  <c r="J356" i="9"/>
  <c r="I23" i="22"/>
  <c r="H111" i="22"/>
  <c r="I278" i="22"/>
  <c r="H565" i="22"/>
  <c r="I284" i="22" l="1"/>
  <c r="I285" i="22" s="1"/>
  <c r="I250" i="22" s="1"/>
  <c r="I331" i="9"/>
  <c r="I332" i="9" s="1"/>
  <c r="I208" i="9" s="1"/>
  <c r="H112" i="22"/>
  <c r="H69" i="22" s="1"/>
  <c r="I789" i="9"/>
  <c r="I825" i="9" s="1"/>
  <c r="J452" i="9"/>
  <c r="J24" i="9" s="1"/>
  <c r="J357" i="9"/>
  <c r="J313" i="9" s="1"/>
  <c r="J368" i="9"/>
  <c r="I133" i="9"/>
  <c r="I132" i="9"/>
  <c r="J362" i="9"/>
  <c r="H602" i="22"/>
  <c r="I279" i="22"/>
  <c r="I249" i="22" s="1"/>
  <c r="I318" i="22"/>
  <c r="I24" i="22" s="1"/>
  <c r="I22" i="22"/>
  <c r="H89" i="22"/>
  <c r="H98" i="22" s="1"/>
  <c r="I244" i="22"/>
  <c r="I246" i="22" s="1"/>
  <c r="I21" i="22"/>
  <c r="H564" i="22"/>
  <c r="H601" i="22"/>
  <c r="H598" i="22"/>
  <c r="I319" i="22" l="1"/>
  <c r="I25" i="22" s="1"/>
  <c r="I27" i="22" s="1"/>
  <c r="I333" i="9"/>
  <c r="H116" i="22"/>
  <c r="H124" i="22" s="1"/>
  <c r="H126" i="22" s="1"/>
  <c r="I388" i="9"/>
  <c r="I389" i="9" s="1"/>
  <c r="J386" i="9" s="1"/>
  <c r="I207" i="9"/>
  <c r="I216" i="9" s="1"/>
  <c r="I218" i="9" s="1"/>
  <c r="I103" i="9" s="1"/>
  <c r="I382" i="9"/>
  <c r="I383" i="9" s="1"/>
  <c r="I135" i="9" s="1"/>
  <c r="J369" i="9"/>
  <c r="J315" i="9" s="1"/>
  <c r="J454" i="9"/>
  <c r="J26" i="9" s="1"/>
  <c r="J453" i="9"/>
  <c r="J25" i="9" s="1"/>
  <c r="J363" i="9"/>
  <c r="J314" i="9" s="1"/>
  <c r="H599" i="22"/>
  <c r="H604" i="22"/>
  <c r="H603" i="22"/>
  <c r="H71" i="22"/>
  <c r="I252" i="22"/>
  <c r="I323" i="22" l="1"/>
  <c r="I571" i="22" s="1"/>
  <c r="I591" i="22" s="1"/>
  <c r="I324" i="22"/>
  <c r="I572" i="22" s="1"/>
  <c r="I580" i="22" s="1"/>
  <c r="I326" i="22"/>
  <c r="I327" i="22" s="1"/>
  <c r="I328" i="22" s="1"/>
  <c r="I325" i="22"/>
  <c r="I573" i="22" s="1"/>
  <c r="I581" i="22" s="1"/>
  <c r="I136" i="9"/>
  <c r="I140" i="9" s="1"/>
  <c r="I88" i="9" s="1"/>
  <c r="J380" i="9"/>
  <c r="I787" i="9"/>
  <c r="I826" i="9" s="1"/>
  <c r="J387" i="9"/>
  <c r="J318" i="9" s="1"/>
  <c r="J457" i="9"/>
  <c r="J308" i="9"/>
  <c r="J310" i="9" s="1"/>
  <c r="I108" i="9"/>
  <c r="I118" i="9" s="1"/>
  <c r="J21" i="9"/>
  <c r="I587" i="22"/>
  <c r="I421" i="22"/>
  <c r="I30" i="22"/>
  <c r="I574" i="22" l="1"/>
  <c r="I34" i="22"/>
  <c r="I585" i="22"/>
  <c r="I579" i="22"/>
  <c r="I592" i="22"/>
  <c r="I593" i="22"/>
  <c r="I586" i="22"/>
  <c r="J381" i="9"/>
  <c r="J317" i="9" s="1"/>
  <c r="J322" i="9" s="1"/>
  <c r="J456" i="9"/>
  <c r="J468" i="9" s="1"/>
  <c r="J469" i="9" s="1"/>
  <c r="J470" i="9" s="1"/>
  <c r="J43" i="9" s="1"/>
  <c r="I143" i="9"/>
  <c r="I153" i="9" s="1"/>
  <c r="I155" i="9" s="1"/>
  <c r="I788" i="9"/>
  <c r="I827" i="9" s="1"/>
  <c r="I791" i="9"/>
  <c r="I822" i="9" s="1"/>
  <c r="J29" i="9"/>
  <c r="I90" i="9"/>
  <c r="I582" i="22"/>
  <c r="I588" i="22"/>
  <c r="I594" i="22"/>
  <c r="I31" i="22"/>
  <c r="I32" i="22" s="1"/>
  <c r="J467" i="9" l="1"/>
  <c r="J797" i="9" s="1"/>
  <c r="J817" i="9" s="1"/>
  <c r="J465" i="9"/>
  <c r="J795" i="9" s="1"/>
  <c r="J815" i="9" s="1"/>
  <c r="J466" i="9"/>
  <c r="J796" i="9" s="1"/>
  <c r="J810" i="9" s="1"/>
  <c r="J28" i="9"/>
  <c r="J33" i="9" s="1"/>
  <c r="I828" i="9"/>
  <c r="I823" i="9"/>
  <c r="I52" i="22"/>
  <c r="I35" i="22"/>
  <c r="I137" i="22" s="1"/>
  <c r="I66" i="22"/>
  <c r="I434" i="22"/>
  <c r="J811" i="9" l="1"/>
  <c r="J805" i="9"/>
  <c r="J798" i="9"/>
  <c r="J806" i="9" s="1"/>
  <c r="J803" i="9"/>
  <c r="J809" i="9"/>
  <c r="J804" i="9"/>
  <c r="J816" i="9"/>
  <c r="J39" i="9"/>
  <c r="J623" i="9"/>
  <c r="I123" i="22"/>
  <c r="I70" i="22" s="1"/>
  <c r="I41" i="22"/>
  <c r="I538" i="22"/>
  <c r="I537" i="22"/>
  <c r="I540" i="22"/>
  <c r="J818" i="9" l="1"/>
  <c r="J812" i="9"/>
  <c r="J40" i="9"/>
  <c r="J639" i="9" s="1"/>
  <c r="I544" i="22"/>
  <c r="I551" i="22" s="1"/>
  <c r="I53" i="22"/>
  <c r="I67" i="22"/>
  <c r="I543" i="22"/>
  <c r="I550" i="22" s="1"/>
  <c r="J41" i="9" l="1"/>
  <c r="J44" i="9" s="1"/>
  <c r="I552" i="22"/>
  <c r="I43" i="22" s="1"/>
  <c r="J58" i="9" s="1"/>
  <c r="J71" i="9" l="1"/>
  <c r="J51" i="9"/>
  <c r="J59" i="9"/>
  <c r="J60" i="9" s="1"/>
  <c r="J171" i="9"/>
  <c r="J85" i="9"/>
  <c r="J152" i="9"/>
  <c r="J89" i="9" s="1"/>
  <c r="I44" i="22"/>
  <c r="J63" i="9" s="1"/>
  <c r="J365" i="22"/>
  <c r="I373" i="22"/>
  <c r="I397" i="22" s="1"/>
  <c r="I374" i="22" l="1"/>
  <c r="I398" i="22" s="1"/>
  <c r="I399" i="22" s="1"/>
  <c r="J61" i="9"/>
  <c r="J72" i="9"/>
  <c r="J86" i="9"/>
  <c r="J64" i="9"/>
  <c r="J65" i="9" s="1"/>
  <c r="K365" i="22"/>
  <c r="J66" i="9" l="1"/>
  <c r="J548" i="9"/>
  <c r="J551" i="9" s="1"/>
  <c r="J620" i="9" s="1"/>
  <c r="J629" i="9" s="1"/>
  <c r="I417" i="22"/>
  <c r="I424" i="22" s="1"/>
  <c r="L365" i="22"/>
  <c r="M365" i="22" s="1"/>
  <c r="N365" i="22" l="1"/>
  <c r="O365" i="22" s="1"/>
  <c r="P365" i="22" s="1"/>
  <c r="I447" i="22"/>
  <c r="I462" i="22"/>
  <c r="J666" i="9"/>
  <c r="J653" i="9"/>
  <c r="J660" i="9" s="1"/>
  <c r="I454" i="22" l="1"/>
  <c r="I463" i="22"/>
  <c r="I448" i="22"/>
  <c r="J667" i="9"/>
  <c r="J630" i="9" s="1"/>
  <c r="J631" i="9" s="1"/>
  <c r="J632" i="9" s="1"/>
  <c r="I464" i="22" l="1"/>
  <c r="J668" i="9" s="1"/>
  <c r="J669" i="9" s="1"/>
  <c r="K665" i="9" s="1"/>
  <c r="I425" i="22"/>
  <c r="I426" i="22" s="1"/>
  <c r="I427" i="22" s="1"/>
  <c r="I428" i="22" s="1"/>
  <c r="I481" i="22" s="1"/>
  <c r="J654" i="9"/>
  <c r="J655" i="9" s="1"/>
  <c r="I449" i="22"/>
  <c r="J633" i="9"/>
  <c r="J677" i="9" s="1"/>
  <c r="J636" i="9"/>
  <c r="J678" i="9"/>
  <c r="I431" i="22" l="1"/>
  <c r="I465" i="22"/>
  <c r="J461" i="22" s="1"/>
  <c r="J687" i="9"/>
  <c r="I470" i="22"/>
  <c r="I471" i="22" s="1"/>
  <c r="J469" i="22" s="1"/>
  <c r="I482" i="22"/>
  <c r="I491" i="22" s="1"/>
  <c r="K652" i="9"/>
  <c r="J659" i="9"/>
  <c r="J661" i="9" s="1"/>
  <c r="K658" i="9" s="1"/>
  <c r="J680" i="9"/>
  <c r="J688" i="9" s="1"/>
  <c r="J681" i="9" s="1"/>
  <c r="J682" i="9" s="1"/>
  <c r="J446" i="22"/>
  <c r="I453" i="22"/>
  <c r="I455" i="22" s="1"/>
  <c r="J452" i="22" s="1"/>
  <c r="I484" i="22" l="1"/>
  <c r="I492" i="22" s="1"/>
  <c r="I485" i="22" s="1"/>
  <c r="I486" i="22" s="1"/>
  <c r="I487" i="22" s="1"/>
  <c r="J635" i="9"/>
  <c r="J637" i="9" s="1"/>
  <c r="J638" i="9" s="1"/>
  <c r="J642" i="9" s="1"/>
  <c r="J643" i="9" s="1"/>
  <c r="J683" i="9"/>
  <c r="J689" i="9"/>
  <c r="K686" i="9" s="1"/>
  <c r="I430" i="22" l="1"/>
  <c r="I432" i="22" s="1"/>
  <c r="I433" i="22" s="1"/>
  <c r="I437" i="22" s="1"/>
  <c r="I438" i="22" s="1"/>
  <c r="J436" i="22" s="1"/>
  <c r="I493" i="22"/>
  <c r="J490" i="22" s="1"/>
  <c r="J141" i="9"/>
  <c r="J188" i="9" s="1"/>
  <c r="J191" i="9" s="1"/>
  <c r="J192" i="9" s="1"/>
  <c r="J311" i="9" s="1"/>
  <c r="J312" i="9" s="1"/>
  <c r="J323" i="9" s="1"/>
  <c r="K641" i="9"/>
  <c r="J326" i="9" l="1"/>
  <c r="J327" i="9" s="1"/>
  <c r="J348" i="9"/>
  <c r="I114" i="22"/>
  <c r="I148" i="22" s="1"/>
  <c r="I151" i="22" s="1"/>
  <c r="I152" i="22" s="1"/>
  <c r="I247" i="22" s="1"/>
  <c r="I248" i="22" s="1"/>
  <c r="I253" i="22" s="1"/>
  <c r="J328" i="9" l="1"/>
  <c r="J329" i="9" s="1"/>
  <c r="J330" i="9" s="1"/>
  <c r="J331" i="9" s="1"/>
  <c r="J332" i="9" s="1"/>
  <c r="I256" i="22"/>
  <c r="I257" i="22" s="1"/>
  <c r="J349" i="9"/>
  <c r="J350" i="9" s="1"/>
  <c r="K347" i="9" s="1"/>
  <c r="J203" i="9"/>
  <c r="I270" i="22"/>
  <c r="J358" i="9" l="1"/>
  <c r="J359" i="9" s="1"/>
  <c r="I258" i="22"/>
  <c r="J130" i="9"/>
  <c r="J202" i="9" s="1"/>
  <c r="J353" i="9"/>
  <c r="K449" i="9" s="1"/>
  <c r="K23" i="9" s="1"/>
  <c r="J204" i="9"/>
  <c r="J364" i="9"/>
  <c r="J365" i="9" s="1"/>
  <c r="I163" i="22"/>
  <c r="I280" i="22"/>
  <c r="I281" i="22" s="1"/>
  <c r="I271" i="22"/>
  <c r="I272" i="22" s="1"/>
  <c r="K451" i="9"/>
  <c r="J333" i="9" l="1"/>
  <c r="K356" i="9"/>
  <c r="J131" i="9"/>
  <c r="J206" i="9"/>
  <c r="K362" i="9"/>
  <c r="J132" i="9"/>
  <c r="J205" i="9"/>
  <c r="J370" i="9"/>
  <c r="J371" i="9" s="1"/>
  <c r="J269" i="22"/>
  <c r="I110" i="22"/>
  <c r="I275" i="22"/>
  <c r="J315" i="22" s="1"/>
  <c r="I565" i="22"/>
  <c r="K22" i="9"/>
  <c r="I286" i="22"/>
  <c r="I287" i="22" s="1"/>
  <c r="I563" i="22" s="1"/>
  <c r="I164" i="22"/>
  <c r="J278" i="22"/>
  <c r="I111" i="22"/>
  <c r="I259" i="22"/>
  <c r="K452" i="9" l="1"/>
  <c r="K24" i="9" s="1"/>
  <c r="K357" i="9"/>
  <c r="K313" i="9" s="1"/>
  <c r="J133" i="9"/>
  <c r="K368" i="9"/>
  <c r="K453" i="9"/>
  <c r="K25" i="9" s="1"/>
  <c r="K363" i="9"/>
  <c r="K314" i="9" s="1"/>
  <c r="J207" i="9"/>
  <c r="J382" i="9"/>
  <c r="J383" i="9" s="1"/>
  <c r="J789" i="9"/>
  <c r="J825" i="9" s="1"/>
  <c r="I602" i="22"/>
  <c r="I567" i="22"/>
  <c r="I598" i="22" s="1"/>
  <c r="J23" i="22"/>
  <c r="J279" i="22"/>
  <c r="J249" i="22" s="1"/>
  <c r="J318" i="22"/>
  <c r="J24" i="22" s="1"/>
  <c r="I112" i="22"/>
  <c r="I116" i="22" s="1"/>
  <c r="I124" i="22" s="1"/>
  <c r="J284" i="22"/>
  <c r="I162" i="22"/>
  <c r="I168" i="22" s="1"/>
  <c r="I170" i="22" s="1"/>
  <c r="I84" i="22" s="1"/>
  <c r="I564" i="22" s="1"/>
  <c r="I601" i="22"/>
  <c r="J317" i="22"/>
  <c r="J208" i="9" l="1"/>
  <c r="J216" i="9" s="1"/>
  <c r="J218" i="9" s="1"/>
  <c r="J103" i="9" s="1"/>
  <c r="J388" i="9"/>
  <c r="J389" i="9" s="1"/>
  <c r="J135" i="9"/>
  <c r="K380" i="9"/>
  <c r="K369" i="9"/>
  <c r="K315" i="9" s="1"/>
  <c r="K454" i="9"/>
  <c r="K26" i="9" s="1"/>
  <c r="I599" i="22"/>
  <c r="I604" i="22"/>
  <c r="I603" i="22"/>
  <c r="J22" i="22"/>
  <c r="I69" i="22"/>
  <c r="J285" i="22"/>
  <c r="J250" i="22" s="1"/>
  <c r="J252" i="22" s="1"/>
  <c r="J319" i="22"/>
  <c r="J25" i="22" s="1"/>
  <c r="J21" i="22"/>
  <c r="I89" i="22"/>
  <c r="I98" i="22" s="1"/>
  <c r="J244" i="22"/>
  <c r="J246" i="22" s="1"/>
  <c r="J27" i="22" l="1"/>
  <c r="J421" i="22" s="1"/>
  <c r="J325" i="22"/>
  <c r="J573" i="22" s="1"/>
  <c r="J324" i="22"/>
  <c r="J572" i="22" s="1"/>
  <c r="J592" i="22" s="1"/>
  <c r="J787" i="9"/>
  <c r="J136" i="9"/>
  <c r="J140" i="9" s="1"/>
  <c r="K386" i="9"/>
  <c r="J326" i="22"/>
  <c r="J327" i="22" s="1"/>
  <c r="K456" i="9"/>
  <c r="K381" i="9"/>
  <c r="K317" i="9" s="1"/>
  <c r="K308" i="9"/>
  <c r="K310" i="9" s="1"/>
  <c r="K21" i="9"/>
  <c r="J108" i="9"/>
  <c r="J118" i="9" s="1"/>
  <c r="J90" i="9" s="1"/>
  <c r="I126" i="22"/>
  <c r="I71" i="22"/>
  <c r="J323" i="22"/>
  <c r="J571" i="22" s="1"/>
  <c r="J30" i="22" l="1"/>
  <c r="J31" i="22" s="1"/>
  <c r="J580" i="22"/>
  <c r="J586" i="22"/>
  <c r="K457" i="9"/>
  <c r="K465" i="9" s="1"/>
  <c r="K795" i="9" s="1"/>
  <c r="K387" i="9"/>
  <c r="K318" i="9" s="1"/>
  <c r="K322" i="9" s="1"/>
  <c r="J328" i="22"/>
  <c r="J34" i="22" s="1"/>
  <c r="J143" i="9"/>
  <c r="J153" i="9" s="1"/>
  <c r="J155" i="9" s="1"/>
  <c r="J88" i="9"/>
  <c r="K28" i="9"/>
  <c r="J788" i="9"/>
  <c r="J791" i="9"/>
  <c r="J822" i="9" s="1"/>
  <c r="J826" i="9"/>
  <c r="J591" i="22"/>
  <c r="J579" i="22"/>
  <c r="J585" i="22"/>
  <c r="J587" i="22"/>
  <c r="J581" i="22"/>
  <c r="J593" i="22"/>
  <c r="K468" i="9" l="1"/>
  <c r="K469" i="9" s="1"/>
  <c r="K470" i="9" s="1"/>
  <c r="K43" i="9" s="1"/>
  <c r="J574" i="22"/>
  <c r="J582" i="22" s="1"/>
  <c r="K803" i="9"/>
  <c r="K815" i="9"/>
  <c r="K809" i="9"/>
  <c r="J828" i="9"/>
  <c r="J827" i="9"/>
  <c r="J823" i="9"/>
  <c r="K29" i="9"/>
  <c r="K33" i="9" s="1"/>
  <c r="K466" i="9"/>
  <c r="K796" i="9" s="1"/>
  <c r="K467" i="9"/>
  <c r="J434" i="22"/>
  <c r="J32" i="22"/>
  <c r="J594" i="22" l="1"/>
  <c r="J588" i="22"/>
  <c r="K39" i="9"/>
  <c r="K623" i="9"/>
  <c r="K798" i="9"/>
  <c r="K797" i="9"/>
  <c r="K816" i="9"/>
  <c r="K810" i="9"/>
  <c r="K804" i="9"/>
  <c r="J35" i="22"/>
  <c r="J52" i="22"/>
  <c r="J66" i="22"/>
  <c r="K817" i="9" l="1"/>
  <c r="K811" i="9"/>
  <c r="K805" i="9"/>
  <c r="K818" i="9"/>
  <c r="K812" i="9"/>
  <c r="K806" i="9"/>
  <c r="K40" i="9"/>
  <c r="K639" i="9" s="1"/>
  <c r="J137" i="22"/>
  <c r="J41" i="22"/>
  <c r="J123" i="22"/>
  <c r="J70" i="22" s="1"/>
  <c r="J538" i="22"/>
  <c r="J540" i="22"/>
  <c r="J537" i="22"/>
  <c r="J543" i="22" l="1"/>
  <c r="J550" i="22" s="1"/>
  <c r="K41" i="9"/>
  <c r="K71" i="9" s="1"/>
  <c r="J544" i="22"/>
  <c r="J551" i="22" s="1"/>
  <c r="J53" i="22"/>
  <c r="J67" i="22"/>
  <c r="K366" i="22"/>
  <c r="L366" i="22" s="1"/>
  <c r="J373" i="22"/>
  <c r="J552" i="22" l="1"/>
  <c r="J44" i="22" s="1"/>
  <c r="K63" i="9" s="1"/>
  <c r="K44" i="9"/>
  <c r="K85" i="9" s="1"/>
  <c r="J397" i="22"/>
  <c r="J374" i="22"/>
  <c r="J398" i="22" s="1"/>
  <c r="M366" i="22"/>
  <c r="J43" i="22" l="1"/>
  <c r="K58" i="9" s="1"/>
  <c r="K152" i="9"/>
  <c r="K89" i="9" s="1"/>
  <c r="K171" i="9"/>
  <c r="K59" i="9"/>
  <c r="K51" i="9"/>
  <c r="K72" i="9" s="1"/>
  <c r="N366" i="22"/>
  <c r="O366" i="22" s="1"/>
  <c r="J399" i="22"/>
  <c r="K61" i="9" l="1"/>
  <c r="K60" i="9"/>
  <c r="K64" i="9"/>
  <c r="K66" i="9" s="1"/>
  <c r="K86" i="9"/>
  <c r="P366" i="22"/>
  <c r="J417" i="22"/>
  <c r="J424" i="22" s="1"/>
  <c r="K548" i="9"/>
  <c r="K551" i="9" s="1"/>
  <c r="K620" i="9" s="1"/>
  <c r="K629" i="9" s="1"/>
  <c r="K65" i="9" l="1"/>
  <c r="J462" i="22"/>
  <c r="J447" i="22"/>
  <c r="K653" i="9"/>
  <c r="K666" i="9"/>
  <c r="K667" i="9" l="1"/>
  <c r="K630" i="9" s="1"/>
  <c r="K631" i="9" s="1"/>
  <c r="K632" i="9" s="1"/>
  <c r="J463" i="22"/>
  <c r="J464" i="22" s="1"/>
  <c r="K668" i="9" s="1"/>
  <c r="J454" i="22"/>
  <c r="J448" i="22"/>
  <c r="K660" i="9"/>
  <c r="K669" i="9" l="1"/>
  <c r="L665" i="9" s="1"/>
  <c r="J425" i="22"/>
  <c r="J426" i="22" s="1"/>
  <c r="J427" i="22" s="1"/>
  <c r="J428" i="22" s="1"/>
  <c r="J481" i="22" s="1"/>
  <c r="J470" i="22"/>
  <c r="J471" i="22" s="1"/>
  <c r="K469" i="22" s="1"/>
  <c r="J449" i="22"/>
  <c r="K636" i="9"/>
  <c r="K678" i="9"/>
  <c r="J465" i="22"/>
  <c r="K461" i="22" s="1"/>
  <c r="K654" i="9"/>
  <c r="K655" i="9" s="1"/>
  <c r="K633" i="9"/>
  <c r="K677" i="9" s="1"/>
  <c r="K687" i="9" l="1"/>
  <c r="J431" i="22"/>
  <c r="J482" i="22"/>
  <c r="J491" i="22" s="1"/>
  <c r="K680" i="9"/>
  <c r="K659" i="9"/>
  <c r="K661" i="9" s="1"/>
  <c r="L658" i="9" s="1"/>
  <c r="L652" i="9"/>
  <c r="K446" i="22"/>
  <c r="J453" i="22"/>
  <c r="J455" i="22" s="1"/>
  <c r="K452" i="22" s="1"/>
  <c r="J484" i="22" l="1"/>
  <c r="K688" i="9"/>
  <c r="K681" i="9" l="1"/>
  <c r="K682" i="9" s="1"/>
  <c r="K689" i="9"/>
  <c r="L686" i="9" s="1"/>
  <c r="J492" i="22"/>
  <c r="J485" i="22" l="1"/>
  <c r="J486" i="22" s="1"/>
  <c r="J493" i="22"/>
  <c r="K490" i="22" s="1"/>
  <c r="K635" i="9"/>
  <c r="K637" i="9" s="1"/>
  <c r="K638" i="9" s="1"/>
  <c r="K642" i="9" s="1"/>
  <c r="K643" i="9" s="1"/>
  <c r="K683" i="9"/>
  <c r="K141" i="9" l="1"/>
  <c r="K188" i="9" s="1"/>
  <c r="K191" i="9" s="1"/>
  <c r="K192" i="9" s="1"/>
  <c r="L641" i="9"/>
  <c r="J430" i="22"/>
  <c r="J432" i="22" s="1"/>
  <c r="J433" i="22" s="1"/>
  <c r="J437" i="22" s="1"/>
  <c r="J438" i="22" s="1"/>
  <c r="J487" i="22"/>
  <c r="K311" i="9" l="1"/>
  <c r="K312" i="9" s="1"/>
  <c r="K323" i="9" s="1"/>
  <c r="J114" i="22"/>
  <c r="J148" i="22" s="1"/>
  <c r="J151" i="22" s="1"/>
  <c r="J152" i="22" s="1"/>
  <c r="K436" i="22"/>
  <c r="K326" i="9" l="1"/>
  <c r="K327" i="9" s="1"/>
  <c r="J247" i="22"/>
  <c r="J248" i="22" s="1"/>
  <c r="J253" i="22" s="1"/>
  <c r="K348" i="9"/>
  <c r="K328" i="9" l="1"/>
  <c r="K329" i="9" s="1"/>
  <c r="K330" i="9" s="1"/>
  <c r="K331" i="9" s="1"/>
  <c r="K332" i="9" s="1"/>
  <c r="J256" i="22"/>
  <c r="J257" i="22" s="1"/>
  <c r="J270" i="22"/>
  <c r="K349" i="9"/>
  <c r="K350" i="9" s="1"/>
  <c r="K333" i="9" l="1"/>
  <c r="J258" i="22"/>
  <c r="J286" i="22" s="1"/>
  <c r="J287" i="22" s="1"/>
  <c r="K130" i="9"/>
  <c r="K353" i="9"/>
  <c r="L449" i="9" s="1"/>
  <c r="L347" i="9"/>
  <c r="J271" i="22"/>
  <c r="J272" i="22" s="1"/>
  <c r="K203" i="9"/>
  <c r="K358" i="9"/>
  <c r="K359" i="9" s="1"/>
  <c r="J163" i="22"/>
  <c r="J280" i="22"/>
  <c r="J281" i="22" s="1"/>
  <c r="K364" i="9"/>
  <c r="K365" i="9" s="1"/>
  <c r="K204" i="9"/>
  <c r="J164" i="22" l="1"/>
  <c r="J259" i="22"/>
  <c r="L451" i="9"/>
  <c r="K131" i="9"/>
  <c r="L356" i="9"/>
  <c r="J112" i="22"/>
  <c r="K284" i="22"/>
  <c r="L23" i="9"/>
  <c r="K205" i="9"/>
  <c r="K370" i="9"/>
  <c r="K371" i="9" s="1"/>
  <c r="K789" i="9" s="1"/>
  <c r="K206" i="9"/>
  <c r="K132" i="9"/>
  <c r="L362" i="9"/>
  <c r="J110" i="22"/>
  <c r="J275" i="22"/>
  <c r="K315" i="22" s="1"/>
  <c r="K269" i="22"/>
  <c r="J565" i="22"/>
  <c r="J563" i="22"/>
  <c r="J111" i="22"/>
  <c r="K278" i="22"/>
  <c r="K202" i="9"/>
  <c r="J567" i="22" l="1"/>
  <c r="J598" i="22" s="1"/>
  <c r="J602" i="22"/>
  <c r="J116" i="22"/>
  <c r="J124" i="22" s="1"/>
  <c r="J162" i="22"/>
  <c r="J168" i="22" s="1"/>
  <c r="J170" i="22" s="1"/>
  <c r="J84" i="22" s="1"/>
  <c r="J564" i="22" s="1"/>
  <c r="J69" i="22"/>
  <c r="K825" i="9"/>
  <c r="J601" i="22"/>
  <c r="L363" i="9"/>
  <c r="L314" i="9" s="1"/>
  <c r="L453" i="9"/>
  <c r="L25" i="9" s="1"/>
  <c r="K285" i="22"/>
  <c r="K250" i="22" s="1"/>
  <c r="K319" i="22"/>
  <c r="K25" i="22" s="1"/>
  <c r="K318" i="22"/>
  <c r="K24" i="22" s="1"/>
  <c r="K279" i="22"/>
  <c r="K249" i="22" s="1"/>
  <c r="K317" i="22"/>
  <c r="K133" i="9"/>
  <c r="L368" i="9"/>
  <c r="L22" i="9"/>
  <c r="K23" i="22"/>
  <c r="L357" i="9"/>
  <c r="L313" i="9" s="1"/>
  <c r="L452" i="9"/>
  <c r="K323" i="22" l="1"/>
  <c r="K571" i="22" s="1"/>
  <c r="K579" i="22" s="1"/>
  <c r="K207" i="9"/>
  <c r="K382" i="9"/>
  <c r="K383" i="9" s="1"/>
  <c r="K252" i="22"/>
  <c r="K22" i="22"/>
  <c r="K326" i="22"/>
  <c r="J599" i="22"/>
  <c r="J604" i="22"/>
  <c r="J603" i="22"/>
  <c r="L369" i="9"/>
  <c r="L315" i="9" s="1"/>
  <c r="L454" i="9"/>
  <c r="L26" i="9" s="1"/>
  <c r="K324" i="22"/>
  <c r="K572" i="22" s="1"/>
  <c r="K244" i="22"/>
  <c r="K246" i="22" s="1"/>
  <c r="J89" i="22"/>
  <c r="J98" i="22" s="1"/>
  <c r="K21" i="22"/>
  <c r="L24" i="9"/>
  <c r="K325" i="22"/>
  <c r="K591" i="22" l="1"/>
  <c r="K585" i="22"/>
  <c r="K27" i="22"/>
  <c r="K30" i="22" s="1"/>
  <c r="K208" i="9"/>
  <c r="K216" i="9" s="1"/>
  <c r="K218" i="9" s="1"/>
  <c r="K103" i="9" s="1"/>
  <c r="K388" i="9"/>
  <c r="K389" i="9" s="1"/>
  <c r="K787" i="9" s="1"/>
  <c r="K573" i="22"/>
  <c r="K580" i="22"/>
  <c r="K586" i="22"/>
  <c r="K592" i="22"/>
  <c r="L380" i="9"/>
  <c r="K135" i="9"/>
  <c r="J71" i="22"/>
  <c r="J126" i="22"/>
  <c r="K327" i="22"/>
  <c r="K328" i="22" s="1"/>
  <c r="K421" i="22" l="1"/>
  <c r="K34" i="22"/>
  <c r="K574" i="22"/>
  <c r="K31" i="22"/>
  <c r="K32" i="22" s="1"/>
  <c r="K136" i="9"/>
  <c r="K140" i="9" s="1"/>
  <c r="L386" i="9"/>
  <c r="L456" i="9"/>
  <c r="L381" i="9"/>
  <c r="L317" i="9" s="1"/>
  <c r="K581" i="22"/>
  <c r="K593" i="22"/>
  <c r="K587" i="22"/>
  <c r="L308" i="9"/>
  <c r="L310" i="9" s="1"/>
  <c r="L21" i="9"/>
  <c r="K108" i="9"/>
  <c r="K118" i="9" s="1"/>
  <c r="K791" i="9"/>
  <c r="K822" i="9" s="1"/>
  <c r="K826" i="9"/>
  <c r="K788" i="9"/>
  <c r="K88" i="9" l="1"/>
  <c r="K143" i="9"/>
  <c r="K153" i="9" s="1"/>
  <c r="K155" i="9" s="1"/>
  <c r="L28" i="9"/>
  <c r="K434" i="22"/>
  <c r="L387" i="9"/>
  <c r="L318" i="9" s="1"/>
  <c r="L322" i="9" s="1"/>
  <c r="L457" i="9"/>
  <c r="L29" i="9" s="1"/>
  <c r="K828" i="9"/>
  <c r="K823" i="9"/>
  <c r="K827" i="9"/>
  <c r="K582" i="22"/>
  <c r="K588" i="22"/>
  <c r="K594" i="22"/>
  <c r="K35" i="22"/>
  <c r="K66" i="22"/>
  <c r="K52" i="22"/>
  <c r="K90" i="9"/>
  <c r="L33" i="9" l="1"/>
  <c r="L39" i="9" s="1"/>
  <c r="L466" i="9"/>
  <c r="L796" i="9" s="1"/>
  <c r="L816" i="9" s="1"/>
  <c r="L467" i="9"/>
  <c r="L797" i="9" s="1"/>
  <c r="K41" i="22"/>
  <c r="K137" i="22"/>
  <c r="K123" i="22"/>
  <c r="K538" i="22"/>
  <c r="K537" i="22"/>
  <c r="K540" i="22"/>
  <c r="L468" i="9"/>
  <c r="L465" i="9"/>
  <c r="L795" i="9" s="1"/>
  <c r="L623" i="9" l="1"/>
  <c r="L810" i="9"/>
  <c r="K543" i="22"/>
  <c r="K550" i="22" s="1"/>
  <c r="L804" i="9"/>
  <c r="K53" i="22"/>
  <c r="K67" i="22"/>
  <c r="L803" i="9"/>
  <c r="L809" i="9"/>
  <c r="L815" i="9"/>
  <c r="L805" i="9"/>
  <c r="L811" i="9"/>
  <c r="L817" i="9"/>
  <c r="K70" i="22"/>
  <c r="L469" i="9"/>
  <c r="L470" i="9" s="1"/>
  <c r="K544" i="22"/>
  <c r="K551" i="22" s="1"/>
  <c r="L40" i="9"/>
  <c r="K552" i="22" l="1"/>
  <c r="K44" i="22" s="1"/>
  <c r="L63" i="9" s="1"/>
  <c r="L43" i="9"/>
  <c r="L798" i="9"/>
  <c r="L639" i="9"/>
  <c r="L41" i="9"/>
  <c r="K43" i="22" l="1"/>
  <c r="L58" i="9" s="1"/>
  <c r="L806" i="9"/>
  <c r="L818" i="9"/>
  <c r="L812" i="9"/>
  <c r="L44" i="9"/>
  <c r="L71" i="9"/>
  <c r="L85" i="9" l="1"/>
  <c r="L171" i="9"/>
  <c r="L59" i="9"/>
  <c r="L51" i="9"/>
  <c r="L152" i="9"/>
  <c r="L89" i="9" l="1"/>
  <c r="L86" i="9"/>
  <c r="L64" i="9"/>
  <c r="L72" i="9"/>
  <c r="L60" i="9"/>
  <c r="L61" i="9"/>
  <c r="L65" i="9" l="1"/>
  <c r="L66" i="9"/>
  <c r="L367" i="22"/>
  <c r="M367" i="22" s="1"/>
  <c r="K373" i="22"/>
  <c r="K397" i="22" s="1"/>
  <c r="K374" i="22" l="1"/>
  <c r="K398" i="22" s="1"/>
  <c r="K399" i="22"/>
  <c r="L548" i="9" s="1"/>
  <c r="L551" i="9" s="1"/>
  <c r="L620" i="9" s="1"/>
  <c r="L629" i="9" s="1"/>
  <c r="L653" i="9" s="1"/>
  <c r="N367" i="22"/>
  <c r="K417" i="22" l="1"/>
  <c r="K424" i="22" s="1"/>
  <c r="K447" i="22" s="1"/>
  <c r="K448" i="22" s="1"/>
  <c r="L654" i="9" s="1"/>
  <c r="L655" i="9" s="1"/>
  <c r="L666" i="9"/>
  <c r="L667" i="9" s="1"/>
  <c r="L630" i="9" s="1"/>
  <c r="L631" i="9" s="1"/>
  <c r="L632" i="9" s="1"/>
  <c r="O367" i="22"/>
  <c r="P367" i="22" s="1"/>
  <c r="L660" i="9"/>
  <c r="K462" i="22" l="1"/>
  <c r="K463" i="22" s="1"/>
  <c r="K464" i="22" s="1"/>
  <c r="L668" i="9" s="1"/>
  <c r="L669" i="9" s="1"/>
  <c r="M665" i="9" s="1"/>
  <c r="K454" i="22"/>
  <c r="K449" i="22"/>
  <c r="K453" i="22" s="1"/>
  <c r="M652" i="9"/>
  <c r="L659" i="9"/>
  <c r="L661" i="9" s="1"/>
  <c r="M658" i="9" s="1"/>
  <c r="L636" i="9"/>
  <c r="L678" i="9"/>
  <c r="L633" i="9"/>
  <c r="L677" i="9" s="1"/>
  <c r="L446" i="22" l="1"/>
  <c r="K470" i="22"/>
  <c r="K471" i="22" s="1"/>
  <c r="L469" i="22" s="1"/>
  <c r="K465" i="22"/>
  <c r="L461" i="22" s="1"/>
  <c r="K425" i="22"/>
  <c r="K426" i="22" s="1"/>
  <c r="K427" i="22" s="1"/>
  <c r="K428" i="22" s="1"/>
  <c r="K481" i="22" s="1"/>
  <c r="K455" i="22"/>
  <c r="L452" i="22" s="1"/>
  <c r="L687" i="9"/>
  <c r="L680" i="9"/>
  <c r="K482" i="22" l="1"/>
  <c r="K491" i="22" s="1"/>
  <c r="K431" i="22"/>
  <c r="L688" i="9"/>
  <c r="K484" i="22"/>
  <c r="K492" i="22" s="1"/>
  <c r="K485" i="22" l="1"/>
  <c r="K486" i="22" s="1"/>
  <c r="K493" i="22"/>
  <c r="L490" i="22" s="1"/>
  <c r="L681" i="9"/>
  <c r="L682" i="9" s="1"/>
  <c r="L689" i="9"/>
  <c r="M686" i="9" s="1"/>
  <c r="L635" i="9" l="1"/>
  <c r="L637" i="9" s="1"/>
  <c r="L638" i="9" s="1"/>
  <c r="L642" i="9" s="1"/>
  <c r="L643" i="9" s="1"/>
  <c r="L683" i="9"/>
  <c r="K430" i="22"/>
  <c r="K432" i="22" s="1"/>
  <c r="K433" i="22" s="1"/>
  <c r="K437" i="22" s="1"/>
  <c r="K438" i="22" s="1"/>
  <c r="K487" i="22"/>
  <c r="L141" i="9" l="1"/>
  <c r="L188" i="9" s="1"/>
  <c r="L191" i="9" s="1"/>
  <c r="L192" i="9" s="1"/>
  <c r="M641" i="9"/>
  <c r="K114" i="22"/>
  <c r="K148" i="22" s="1"/>
  <c r="K151" i="22" s="1"/>
  <c r="K152" i="22" s="1"/>
  <c r="L436" i="22"/>
  <c r="K247" i="22" l="1"/>
  <c r="K248" i="22" s="1"/>
  <c r="K253" i="22" s="1"/>
  <c r="L311" i="9"/>
  <c r="L312" i="9" s="1"/>
  <c r="L323" i="9" s="1"/>
  <c r="L326" i="9" l="1"/>
  <c r="L327" i="9" s="1"/>
  <c r="K256" i="22"/>
  <c r="K257" i="22" s="1"/>
  <c r="K270" i="22"/>
  <c r="L348" i="9"/>
  <c r="L328" i="9" l="1"/>
  <c r="L329" i="9" s="1"/>
  <c r="L330" i="9" s="1"/>
  <c r="K258" i="22"/>
  <c r="L349" i="9"/>
  <c r="L350" i="9" s="1"/>
  <c r="K271" i="22"/>
  <c r="K272" i="22" s="1"/>
  <c r="L331" i="9" l="1"/>
  <c r="L332" i="9" s="1"/>
  <c r="L269" i="22"/>
  <c r="K110" i="22"/>
  <c r="K275" i="22"/>
  <c r="L315" i="22" s="1"/>
  <c r="L358" i="9"/>
  <c r="L359" i="9" s="1"/>
  <c r="L203" i="9"/>
  <c r="K280" i="22"/>
  <c r="K281" i="22" s="1"/>
  <c r="K565" i="22" s="1"/>
  <c r="K163" i="22"/>
  <c r="L353" i="9"/>
  <c r="M449" i="9" s="1"/>
  <c r="M347" i="9"/>
  <c r="L130" i="9"/>
  <c r="L333" i="9" l="1"/>
  <c r="K286" i="22"/>
  <c r="K287" i="22" s="1"/>
  <c r="K563" i="22" s="1"/>
  <c r="K164" i="22"/>
  <c r="K601" i="22"/>
  <c r="K259" i="22"/>
  <c r="L23" i="22"/>
  <c r="L204" i="9"/>
  <c r="L364" i="9"/>
  <c r="L365" i="9" s="1"/>
  <c r="M451" i="9"/>
  <c r="L131" i="9"/>
  <c r="M356" i="9"/>
  <c r="K162" i="22"/>
  <c r="L202" i="9"/>
  <c r="M23" i="9"/>
  <c r="L278" i="22"/>
  <c r="K111" i="22"/>
  <c r="L317" i="22"/>
  <c r="K168" i="22" l="1"/>
  <c r="K170" i="22" s="1"/>
  <c r="K84" i="22" s="1"/>
  <c r="L244" i="22" s="1"/>
  <c r="L246" i="22" s="1"/>
  <c r="L206" i="9"/>
  <c r="M22" i="9"/>
  <c r="L22" i="22"/>
  <c r="L279" i="22"/>
  <c r="L249" i="22" s="1"/>
  <c r="L318" i="22"/>
  <c r="K112" i="22"/>
  <c r="K69" i="22" s="1"/>
  <c r="L284" i="22"/>
  <c r="M362" i="9"/>
  <c r="L132" i="9"/>
  <c r="K567" i="22"/>
  <c r="K598" i="22" s="1"/>
  <c r="K602" i="22"/>
  <c r="M357" i="9"/>
  <c r="M313" i="9" s="1"/>
  <c r="M452" i="9"/>
  <c r="L370" i="9"/>
  <c r="L371" i="9" s="1"/>
  <c r="L789" i="9" s="1"/>
  <c r="L205" i="9"/>
  <c r="L21" i="22" l="1"/>
  <c r="K564" i="22"/>
  <c r="K599" i="22" s="1"/>
  <c r="K89" i="22"/>
  <c r="K98" i="22" s="1"/>
  <c r="K71" i="22" s="1"/>
  <c r="L825" i="9"/>
  <c r="L285" i="22"/>
  <c r="L250" i="22" s="1"/>
  <c r="L252" i="22" s="1"/>
  <c r="L319" i="22"/>
  <c r="L324" i="22" s="1"/>
  <c r="L572" i="22" s="1"/>
  <c r="M24" i="9"/>
  <c r="L24" i="22"/>
  <c r="L207" i="9"/>
  <c r="L382" i="9"/>
  <c r="L383" i="9" s="1"/>
  <c r="L133" i="9"/>
  <c r="M368" i="9"/>
  <c r="M363" i="9"/>
  <c r="M314" i="9" s="1"/>
  <c r="M453" i="9"/>
  <c r="K116" i="22"/>
  <c r="K124" i="22" s="1"/>
  <c r="K603" i="22" l="1"/>
  <c r="K604" i="22"/>
  <c r="K126" i="22"/>
  <c r="L580" i="22"/>
  <c r="L586" i="22"/>
  <c r="L592" i="22"/>
  <c r="L25" i="22"/>
  <c r="L27" i="22" s="1"/>
  <c r="L326" i="22"/>
  <c r="L327" i="22" s="1"/>
  <c r="L325" i="22"/>
  <c r="M454" i="9"/>
  <c r="M369" i="9"/>
  <c r="M315" i="9" s="1"/>
  <c r="M380" i="9"/>
  <c r="L135" i="9"/>
  <c r="L323" i="22"/>
  <c r="L571" i="22" s="1"/>
  <c r="M25" i="9"/>
  <c r="L208" i="9"/>
  <c r="L216" i="9" s="1"/>
  <c r="L218" i="9" s="1"/>
  <c r="L103" i="9" s="1"/>
  <c r="L388" i="9"/>
  <c r="L389" i="9" s="1"/>
  <c r="M21" i="9" l="1"/>
  <c r="L108" i="9"/>
  <c r="L118" i="9" s="1"/>
  <c r="M308" i="9"/>
  <c r="M310" i="9" s="1"/>
  <c r="L30" i="22"/>
  <c r="L421" i="22"/>
  <c r="M26" i="9"/>
  <c r="L573" i="22"/>
  <c r="M381" i="9"/>
  <c r="M317" i="9" s="1"/>
  <c r="M456" i="9"/>
  <c r="M28" i="9" s="1"/>
  <c r="L328" i="22"/>
  <c r="L34" i="22" s="1"/>
  <c r="L579" i="22"/>
  <c r="L585" i="22"/>
  <c r="L591" i="22"/>
  <c r="L136" i="9"/>
  <c r="L140" i="9" s="1"/>
  <c r="M386" i="9"/>
  <c r="L787" i="9"/>
  <c r="L788" i="9" l="1"/>
  <c r="L791" i="9"/>
  <c r="L822" i="9" s="1"/>
  <c r="L826" i="9"/>
  <c r="L90" i="9"/>
  <c r="M457" i="9"/>
  <c r="M467" i="9" s="1"/>
  <c r="M387" i="9"/>
  <c r="M318" i="9" s="1"/>
  <c r="L574" i="22"/>
  <c r="L587" i="22"/>
  <c r="L581" i="22"/>
  <c r="L593" i="22"/>
  <c r="L88" i="9"/>
  <c r="L143" i="9"/>
  <c r="L153" i="9" s="1"/>
  <c r="L155" i="9" s="1"/>
  <c r="L31" i="22"/>
  <c r="M466" i="9" l="1"/>
  <c r="M796" i="9" s="1"/>
  <c r="M816" i="9" s="1"/>
  <c r="M797" i="9"/>
  <c r="L434" i="22"/>
  <c r="M468" i="9"/>
  <c r="M469" i="9" s="1"/>
  <c r="L582" i="22"/>
  <c r="L588" i="22"/>
  <c r="L594" i="22"/>
  <c r="M29" i="9"/>
  <c r="M33" i="9" s="1"/>
  <c r="M465" i="9"/>
  <c r="M795" i="9" s="1"/>
  <c r="L32" i="22"/>
  <c r="M322" i="9"/>
  <c r="L823" i="9"/>
  <c r="L828" i="9"/>
  <c r="L827" i="9"/>
  <c r="M804" i="9" l="1"/>
  <c r="M810" i="9"/>
  <c r="M803" i="9"/>
  <c r="M809" i="9"/>
  <c r="M815" i="9"/>
  <c r="L35" i="22"/>
  <c r="L52" i="22"/>
  <c r="L66" i="22"/>
  <c r="M470" i="9"/>
  <c r="M805" i="9"/>
  <c r="M811" i="9"/>
  <c r="M817" i="9"/>
  <c r="M39" i="9"/>
  <c r="M623" i="9"/>
  <c r="L137" i="22" l="1"/>
  <c r="L123" i="22"/>
  <c r="L70" i="22" s="1"/>
  <c r="L538" i="22"/>
  <c r="L41" i="22"/>
  <c r="L540" i="22"/>
  <c r="L537" i="22"/>
  <c r="M43" i="9"/>
  <c r="M798" i="9"/>
  <c r="M40" i="9"/>
  <c r="M41" i="9" s="1"/>
  <c r="L544" i="22" l="1"/>
  <c r="L551" i="22" s="1"/>
  <c r="M71" i="9"/>
  <c r="M44" i="9"/>
  <c r="M806" i="9"/>
  <c r="M818" i="9"/>
  <c r="M812" i="9"/>
  <c r="L67" i="22"/>
  <c r="L53" i="22"/>
  <c r="M639" i="9"/>
  <c r="L543" i="22"/>
  <c r="L550" i="22" s="1"/>
  <c r="L552" i="22" l="1"/>
  <c r="L43" i="22" s="1"/>
  <c r="M58" i="9" s="1"/>
  <c r="M171" i="9"/>
  <c r="M59" i="9"/>
  <c r="M85" i="9"/>
  <c r="M152" i="9"/>
  <c r="M51" i="9"/>
  <c r="L44" i="22" l="1"/>
  <c r="M63" i="9" s="1"/>
  <c r="M64" i="9"/>
  <c r="M72" i="9"/>
  <c r="M86" i="9"/>
  <c r="M60" i="9"/>
  <c r="M61" i="9"/>
  <c r="M89" i="9"/>
  <c r="M65" i="9" l="1"/>
  <c r="M66" i="9"/>
  <c r="M368" i="22"/>
  <c r="L373" i="22"/>
  <c r="L374" i="22" l="1"/>
  <c r="L398" i="22" s="1"/>
  <c r="L397" i="22"/>
  <c r="N368" i="22"/>
  <c r="L399" i="22" l="1"/>
  <c r="L417" i="22" s="1"/>
  <c r="L424" i="22" s="1"/>
  <c r="O368" i="22"/>
  <c r="M548" i="9" l="1"/>
  <c r="M551" i="9" s="1"/>
  <c r="M620" i="9" s="1"/>
  <c r="M629" i="9" s="1"/>
  <c r="M666" i="9" s="1"/>
  <c r="L447" i="22"/>
  <c r="L462" i="22"/>
  <c r="P368" i="22"/>
  <c r="M653" i="9" l="1"/>
  <c r="M667" i="9" s="1"/>
  <c r="M630" i="9" s="1"/>
  <c r="M631" i="9" s="1"/>
  <c r="M632" i="9" s="1"/>
  <c r="L454" i="22"/>
  <c r="L448" i="22"/>
  <c r="L463" i="22"/>
  <c r="L425" i="22" s="1"/>
  <c r="L426" i="22" s="1"/>
  <c r="M654" i="9" l="1"/>
  <c r="M655" i="9" s="1"/>
  <c r="M659" i="9" s="1"/>
  <c r="M660" i="9"/>
  <c r="L464" i="22"/>
  <c r="M668" i="9" s="1"/>
  <c r="M669" i="9" s="1"/>
  <c r="N665" i="9" s="1"/>
  <c r="L427" i="22"/>
  <c r="L428" i="22" s="1"/>
  <c r="L481" i="22" s="1"/>
  <c r="L449" i="22"/>
  <c r="M636" i="9"/>
  <c r="M678" i="9"/>
  <c r="M633" i="9"/>
  <c r="M677" i="9" s="1"/>
  <c r="N652" i="9" l="1"/>
  <c r="M661" i="9"/>
  <c r="N658" i="9" s="1"/>
  <c r="L465" i="22"/>
  <c r="M461" i="22" s="1"/>
  <c r="L470" i="22"/>
  <c r="L471" i="22" s="1"/>
  <c r="M469" i="22" s="1"/>
  <c r="M687" i="9"/>
  <c r="M680" i="9"/>
  <c r="L431" i="22"/>
  <c r="L482" i="22"/>
  <c r="L491" i="22" s="1"/>
  <c r="M446" i="22"/>
  <c r="L453" i="22"/>
  <c r="L455" i="22" s="1"/>
  <c r="M452" i="22" s="1"/>
  <c r="L484" i="22" l="1"/>
  <c r="L492" i="22" s="1"/>
  <c r="L485" i="22" s="1"/>
  <c r="M688" i="9"/>
  <c r="L493" i="22" l="1"/>
  <c r="M490" i="22" s="1"/>
  <c r="L486" i="22"/>
  <c r="L487" i="22" s="1"/>
  <c r="M681" i="9"/>
  <c r="M682" i="9" s="1"/>
  <c r="M689" i="9"/>
  <c r="N686" i="9" s="1"/>
  <c r="L430" i="22" l="1"/>
  <c r="L432" i="22" s="1"/>
  <c r="L433" i="22" s="1"/>
  <c r="L437" i="22" s="1"/>
  <c r="L438" i="22" s="1"/>
  <c r="L114" i="22" s="1"/>
  <c r="L148" i="22" s="1"/>
  <c r="L151" i="22" s="1"/>
  <c r="L152" i="22" s="1"/>
  <c r="M635" i="9"/>
  <c r="M637" i="9" s="1"/>
  <c r="M638" i="9" s="1"/>
  <c r="M642" i="9" s="1"/>
  <c r="M643" i="9" s="1"/>
  <c r="M683" i="9"/>
  <c r="M436" i="22" l="1"/>
  <c r="N641" i="9"/>
  <c r="M141" i="9"/>
  <c r="M188" i="9" s="1"/>
  <c r="M191" i="9" s="1"/>
  <c r="M192" i="9" s="1"/>
  <c r="L247" i="22"/>
  <c r="L248" i="22" s="1"/>
  <c r="L253" i="22" s="1"/>
  <c r="L256" i="22" l="1"/>
  <c r="L257" i="22" s="1"/>
  <c r="M311" i="9"/>
  <c r="M312" i="9" s="1"/>
  <c r="M323" i="9" s="1"/>
  <c r="L270" i="22"/>
  <c r="M326" i="9" l="1"/>
  <c r="M327" i="9" s="1"/>
  <c r="L258" i="22"/>
  <c r="L271" i="22"/>
  <c r="L272" i="22" s="1"/>
  <c r="M348" i="9"/>
  <c r="M328" i="9" l="1"/>
  <c r="L164" i="22"/>
  <c r="L286" i="22"/>
  <c r="L287" i="22" s="1"/>
  <c r="L275" i="22"/>
  <c r="M315" i="22" s="1"/>
  <c r="M269" i="22"/>
  <c r="L110" i="22"/>
  <c r="M349" i="9"/>
  <c r="M350" i="9" s="1"/>
  <c r="L280" i="22"/>
  <c r="L281" i="22" s="1"/>
  <c r="L163" i="22"/>
  <c r="L259" i="22"/>
  <c r="M329" i="9" l="1"/>
  <c r="M130" i="9"/>
  <c r="N347" i="9"/>
  <c r="M353" i="9"/>
  <c r="N449" i="9" s="1"/>
  <c r="M317" i="22"/>
  <c r="L111" i="22"/>
  <c r="M278" i="22"/>
  <c r="L563" i="22"/>
  <c r="M23" i="22"/>
  <c r="M358" i="9"/>
  <c r="M359" i="9" s="1"/>
  <c r="M203" i="9"/>
  <c r="L565" i="22"/>
  <c r="L112" i="22"/>
  <c r="M284" i="22"/>
  <c r="L162" i="22"/>
  <c r="L168" i="22" s="1"/>
  <c r="L170" i="22" s="1"/>
  <c r="L84" i="22" s="1"/>
  <c r="M330" i="9" l="1"/>
  <c r="M331" i="9" s="1"/>
  <c r="M332" i="9" s="1"/>
  <c r="L116" i="22"/>
  <c r="L124" i="22" s="1"/>
  <c r="L69" i="22"/>
  <c r="M319" i="22"/>
  <c r="M25" i="22" s="1"/>
  <c r="M285" i="22"/>
  <c r="M250" i="22" s="1"/>
  <c r="M22" i="22"/>
  <c r="N23" i="9"/>
  <c r="L89" i="22"/>
  <c r="L98" i="22" s="1"/>
  <c r="M21" i="22"/>
  <c r="M244" i="22"/>
  <c r="M246" i="22" s="1"/>
  <c r="L601" i="22"/>
  <c r="L567" i="22"/>
  <c r="L598" i="22" s="1"/>
  <c r="L602" i="22"/>
  <c r="L564" i="22"/>
  <c r="N451" i="9"/>
  <c r="M131" i="9"/>
  <c r="N356" i="9"/>
  <c r="M370" i="9"/>
  <c r="M371" i="9" s="1"/>
  <c r="M205" i="9"/>
  <c r="M204" i="9"/>
  <c r="M364" i="9"/>
  <c r="M365" i="9" s="1"/>
  <c r="M279" i="22"/>
  <c r="M249" i="22" s="1"/>
  <c r="M318" i="22"/>
  <c r="M202" i="9"/>
  <c r="M206" i="9" l="1"/>
  <c r="M333" i="9"/>
  <c r="M24" i="22"/>
  <c r="M27" i="22" s="1"/>
  <c r="M325" i="22"/>
  <c r="M252" i="22"/>
  <c r="N357" i="9"/>
  <c r="N313" i="9" s="1"/>
  <c r="N452" i="9"/>
  <c r="N24" i="9" s="1"/>
  <c r="M132" i="9"/>
  <c r="N362" i="9"/>
  <c r="M324" i="22"/>
  <c r="M572" i="22" s="1"/>
  <c r="N22" i="9"/>
  <c r="M323" i="22"/>
  <c r="M571" i="22" s="1"/>
  <c r="M326" i="22"/>
  <c r="M133" i="9"/>
  <c r="N368" i="9"/>
  <c r="M789" i="9"/>
  <c r="L603" i="22"/>
  <c r="L604" i="22"/>
  <c r="L599" i="22"/>
  <c r="L126" i="22"/>
  <c r="L71" i="22"/>
  <c r="M382" i="9" l="1"/>
  <c r="M383" i="9" s="1"/>
  <c r="M207" i="9"/>
  <c r="M580" i="22"/>
  <c r="M586" i="22"/>
  <c r="M592" i="22"/>
  <c r="M825" i="9"/>
  <c r="M327" i="22"/>
  <c r="M328" i="22" s="1"/>
  <c r="M573" i="22"/>
  <c r="N369" i="9"/>
  <c r="N315" i="9" s="1"/>
  <c r="N454" i="9"/>
  <c r="N26" i="9" s="1"/>
  <c r="M579" i="22"/>
  <c r="M585" i="22"/>
  <c r="M591" i="22"/>
  <c r="M30" i="22"/>
  <c r="M421" i="22"/>
  <c r="N363" i="9"/>
  <c r="N314" i="9" s="1"/>
  <c r="N453" i="9"/>
  <c r="M388" i="9" l="1"/>
  <c r="M389" i="9" s="1"/>
  <c r="M208" i="9"/>
  <c r="M216" i="9" s="1"/>
  <c r="M218" i="9" s="1"/>
  <c r="M103" i="9" s="1"/>
  <c r="M135" i="9"/>
  <c r="N380" i="9"/>
  <c r="M34" i="22"/>
  <c r="M574" i="22"/>
  <c r="M581" i="22"/>
  <c r="M587" i="22"/>
  <c r="M593" i="22"/>
  <c r="N25" i="9"/>
  <c r="M31" i="22"/>
  <c r="M32" i="22" s="1"/>
  <c r="N308" i="9" l="1"/>
  <c r="N310" i="9" s="1"/>
  <c r="M108" i="9"/>
  <c r="M118" i="9" s="1"/>
  <c r="M90" i="9" s="1"/>
  <c r="N21" i="9"/>
  <c r="M787" i="9"/>
  <c r="M136" i="9"/>
  <c r="M140" i="9" s="1"/>
  <c r="N386" i="9"/>
  <c r="N381" i="9"/>
  <c r="N317" i="9" s="1"/>
  <c r="N456" i="9"/>
  <c r="M434" i="22"/>
  <c r="M582" i="22"/>
  <c r="M594" i="22"/>
  <c r="M588" i="22"/>
  <c r="M35" i="22"/>
  <c r="M52" i="22"/>
  <c r="M66" i="22"/>
  <c r="N387" i="9" l="1"/>
  <c r="N318" i="9" s="1"/>
  <c r="N322" i="9" s="1"/>
  <c r="N457" i="9"/>
  <c r="N465" i="9" s="1"/>
  <c r="N795" i="9" s="1"/>
  <c r="N28" i="9"/>
  <c r="M826" i="9"/>
  <c r="M788" i="9"/>
  <c r="M791" i="9"/>
  <c r="M822" i="9" s="1"/>
  <c r="M143" i="9"/>
  <c r="M153" i="9" s="1"/>
  <c r="M155" i="9" s="1"/>
  <c r="M88" i="9"/>
  <c r="M123" i="22"/>
  <c r="M70" i="22" s="1"/>
  <c r="M41" i="22"/>
  <c r="M137" i="22"/>
  <c r="M537" i="22"/>
  <c r="M540" i="22"/>
  <c r="M538" i="22"/>
  <c r="M544" i="22" l="1"/>
  <c r="M551" i="22" s="1"/>
  <c r="N803" i="9"/>
  <c r="N809" i="9"/>
  <c r="N815" i="9"/>
  <c r="M823" i="9"/>
  <c r="M828" i="9"/>
  <c r="M827" i="9"/>
  <c r="N29" i="9"/>
  <c r="N33" i="9" s="1"/>
  <c r="N468" i="9"/>
  <c r="N467" i="9"/>
  <c r="N466" i="9"/>
  <c r="N796" i="9" s="1"/>
  <c r="M543" i="22"/>
  <c r="M550" i="22" s="1"/>
  <c r="M53" i="22"/>
  <c r="M67" i="22"/>
  <c r="M552" i="22" l="1"/>
  <c r="M43" i="22" s="1"/>
  <c r="N58" i="9" s="1"/>
  <c r="N469" i="9"/>
  <c r="N470" i="9" s="1"/>
  <c r="N39" i="9"/>
  <c r="N40" i="9" s="1"/>
  <c r="N639" i="9" s="1"/>
  <c r="N623" i="9"/>
  <c r="N810" i="9"/>
  <c r="N804" i="9"/>
  <c r="N816" i="9"/>
  <c r="N797" i="9"/>
  <c r="M44" i="22" l="1"/>
  <c r="N63" i="9" s="1"/>
  <c r="N41" i="9"/>
  <c r="N71" i="9" s="1"/>
  <c r="N43" i="9"/>
  <c r="N798" i="9"/>
  <c r="N805" i="9"/>
  <c r="N811" i="9"/>
  <c r="N817" i="9"/>
  <c r="N44" i="9" l="1"/>
  <c r="N59" i="9" s="1"/>
  <c r="N818" i="9"/>
  <c r="N812" i="9"/>
  <c r="N806" i="9"/>
  <c r="N51" i="9" l="1"/>
  <c r="N64" i="9" s="1"/>
  <c r="N152" i="9"/>
  <c r="N89" i="9" s="1"/>
  <c r="N171" i="9"/>
  <c r="N85" i="9"/>
  <c r="N60" i="9"/>
  <c r="N61" i="9"/>
  <c r="N86" i="9" l="1"/>
  <c r="N72" i="9"/>
  <c r="N65" i="9"/>
  <c r="N66" i="9"/>
  <c r="N369" i="22"/>
  <c r="O369" i="22" s="1"/>
  <c r="M373" i="22"/>
  <c r="M374" i="22" l="1"/>
  <c r="M398" i="22" s="1"/>
  <c r="M397" i="22"/>
  <c r="M399" i="22" s="1"/>
  <c r="P369" i="22"/>
  <c r="M417" i="22" l="1"/>
  <c r="M424" i="22" s="1"/>
  <c r="N548" i="9"/>
  <c r="N551" i="9" s="1"/>
  <c r="N620" i="9" s="1"/>
  <c r="N629" i="9" s="1"/>
  <c r="N653" i="9" l="1"/>
  <c r="N666" i="9"/>
  <c r="M447" i="22"/>
  <c r="M462" i="22"/>
  <c r="M463" i="22" l="1"/>
  <c r="M425" i="22" s="1"/>
  <c r="M426" i="22" s="1"/>
  <c r="N660" i="9"/>
  <c r="M454" i="22"/>
  <c r="M448" i="22"/>
  <c r="N654" i="9" s="1"/>
  <c r="N655" i="9" s="1"/>
  <c r="N667" i="9"/>
  <c r="N630" i="9" s="1"/>
  <c r="N631" i="9" s="1"/>
  <c r="M464" i="22" l="1"/>
  <c r="N668" i="9" s="1"/>
  <c r="N669" i="9" s="1"/>
  <c r="O665" i="9" s="1"/>
  <c r="M449" i="22"/>
  <c r="N446" i="22" s="1"/>
  <c r="N659" i="9"/>
  <c r="N661" i="9" s="1"/>
  <c r="O658" i="9" s="1"/>
  <c r="O652" i="9"/>
  <c r="N632" i="9"/>
  <c r="N633" i="9" s="1"/>
  <c r="N677" i="9" s="1"/>
  <c r="M427" i="22"/>
  <c r="M428" i="22" s="1"/>
  <c r="M481" i="22" s="1"/>
  <c r="M453" i="22" l="1"/>
  <c r="M455" i="22" s="1"/>
  <c r="N452" i="22" s="1"/>
  <c r="M470" i="22"/>
  <c r="M471" i="22" s="1"/>
  <c r="N469" i="22" s="1"/>
  <c r="M465" i="22"/>
  <c r="N461" i="22" s="1"/>
  <c r="M431" i="22"/>
  <c r="M482" i="22"/>
  <c r="M491" i="22" s="1"/>
  <c r="N636" i="9"/>
  <c r="N678" i="9"/>
  <c r="N687" i="9" s="1"/>
  <c r="N680" i="9" l="1"/>
  <c r="N688" i="9" s="1"/>
  <c r="N681" i="9" s="1"/>
  <c r="N682" i="9" s="1"/>
  <c r="M484" i="22"/>
  <c r="M492" i="22" s="1"/>
  <c r="M485" i="22" s="1"/>
  <c r="M486" i="22" s="1"/>
  <c r="N689" i="9" l="1"/>
  <c r="O686" i="9" s="1"/>
  <c r="M430" i="22"/>
  <c r="M432" i="22" s="1"/>
  <c r="M433" i="22" s="1"/>
  <c r="M437" i="22" s="1"/>
  <c r="M438" i="22" s="1"/>
  <c r="M487" i="22"/>
  <c r="M493" i="22"/>
  <c r="N490" i="22" s="1"/>
  <c r="N635" i="9"/>
  <c r="N637" i="9" s="1"/>
  <c r="N638" i="9" s="1"/>
  <c r="N642" i="9" s="1"/>
  <c r="N643" i="9" s="1"/>
  <c r="N683" i="9"/>
  <c r="N141" i="9" l="1"/>
  <c r="N188" i="9" s="1"/>
  <c r="N191" i="9" s="1"/>
  <c r="N192" i="9" s="1"/>
  <c r="O641" i="9"/>
  <c r="N436" i="22"/>
  <c r="M114" i="22"/>
  <c r="M148" i="22" s="1"/>
  <c r="M151" i="22" s="1"/>
  <c r="M152" i="22" s="1"/>
  <c r="N311" i="9" l="1"/>
  <c r="N312" i="9" s="1"/>
  <c r="N323" i="9" s="1"/>
  <c r="M247" i="22"/>
  <c r="M248" i="22" s="1"/>
  <c r="M253" i="22" s="1"/>
  <c r="N326" i="9" l="1"/>
  <c r="N327" i="9" s="1"/>
  <c r="N328" i="9" s="1"/>
  <c r="M256" i="22"/>
  <c r="M270" i="22"/>
  <c r="N348" i="9"/>
  <c r="N329" i="9" l="1"/>
  <c r="N330" i="9" s="1"/>
  <c r="N331" i="9" s="1"/>
  <c r="N332" i="9" s="1"/>
  <c r="M257" i="22"/>
  <c r="M258" i="22" s="1"/>
  <c r="N364" i="9"/>
  <c r="N365" i="9" s="1"/>
  <c r="N349" i="9"/>
  <c r="N350" i="9" s="1"/>
  <c r="M271" i="22"/>
  <c r="M272" i="22" s="1"/>
  <c r="M280" i="22" l="1"/>
  <c r="M281" i="22" s="1"/>
  <c r="N278" i="22" s="1"/>
  <c r="M163" i="22"/>
  <c r="N358" i="9"/>
  <c r="N359" i="9" s="1"/>
  <c r="O356" i="9" s="1"/>
  <c r="N203" i="9"/>
  <c r="N204" i="9"/>
  <c r="N269" i="22"/>
  <c r="M110" i="22"/>
  <c r="M275" i="22"/>
  <c r="N315" i="22" s="1"/>
  <c r="N353" i="9"/>
  <c r="O449" i="9" s="1"/>
  <c r="O347" i="9"/>
  <c r="N130" i="9"/>
  <c r="O362" i="9"/>
  <c r="N132" i="9"/>
  <c r="M164" i="22"/>
  <c r="M286" i="22"/>
  <c r="M287" i="22" s="1"/>
  <c r="M259" i="22"/>
  <c r="M565" i="22" l="1"/>
  <c r="M601" i="22" s="1"/>
  <c r="N333" i="9"/>
  <c r="M111" i="22"/>
  <c r="N131" i="9"/>
  <c r="N206" i="9"/>
  <c r="N208" i="9"/>
  <c r="N370" i="9"/>
  <c r="N371" i="9" s="1"/>
  <c r="N205" i="9"/>
  <c r="N202" i="9"/>
  <c r="M162" i="22"/>
  <c r="M168" i="22" s="1"/>
  <c r="M170" i="22" s="1"/>
  <c r="M84" i="22" s="1"/>
  <c r="O452" i="9"/>
  <c r="O24" i="9" s="1"/>
  <c r="O357" i="9"/>
  <c r="O313" i="9" s="1"/>
  <c r="N318" i="22"/>
  <c r="N24" i="22" s="1"/>
  <c r="N279" i="22"/>
  <c r="N249" i="22" s="1"/>
  <c r="N284" i="22"/>
  <c r="M112" i="22"/>
  <c r="O363" i="9"/>
  <c r="O314" i="9" s="1"/>
  <c r="O453" i="9"/>
  <c r="O25" i="9" s="1"/>
  <c r="O451" i="9"/>
  <c r="M563" i="22"/>
  <c r="O23" i="9"/>
  <c r="N23" i="22"/>
  <c r="N317" i="22"/>
  <c r="M116" i="22" l="1"/>
  <c r="M124" i="22" s="1"/>
  <c r="N382" i="9"/>
  <c r="N383" i="9" s="1"/>
  <c r="N135" i="9" s="1"/>
  <c r="N207" i="9"/>
  <c r="N216" i="9" s="1"/>
  <c r="N218" i="9" s="1"/>
  <c r="N103" i="9" s="1"/>
  <c r="N388" i="9"/>
  <c r="N389" i="9" s="1"/>
  <c r="O386" i="9" s="1"/>
  <c r="N133" i="9"/>
  <c r="N789" i="9"/>
  <c r="N825" i="9" s="1"/>
  <c r="O368" i="9"/>
  <c r="O22" i="9"/>
  <c r="N244" i="22"/>
  <c r="N246" i="22" s="1"/>
  <c r="M89" i="22"/>
  <c r="M98" i="22" s="1"/>
  <c r="N21" i="22"/>
  <c r="M69" i="22"/>
  <c r="N285" i="22"/>
  <c r="N250" i="22" s="1"/>
  <c r="N252" i="22" s="1"/>
  <c r="N319" i="22"/>
  <c r="N326" i="22" s="1"/>
  <c r="N22" i="22"/>
  <c r="M564" i="22"/>
  <c r="M567" i="22"/>
  <c r="M598" i="22" s="1"/>
  <c r="M602" i="22"/>
  <c r="O380" i="9" l="1"/>
  <c r="O456" i="9" s="1"/>
  <c r="N136" i="9"/>
  <c r="N140" i="9" s="1"/>
  <c r="N787" i="9"/>
  <c r="N826" i="9" s="1"/>
  <c r="O454" i="9"/>
  <c r="O26" i="9" s="1"/>
  <c r="O369" i="9"/>
  <c r="O315" i="9" s="1"/>
  <c r="N327" i="22"/>
  <c r="N328" i="22" s="1"/>
  <c r="N34" i="22" s="1"/>
  <c r="O457" i="9"/>
  <c r="O29" i="9" s="1"/>
  <c r="O387" i="9"/>
  <c r="O318" i="9" s="1"/>
  <c r="M599" i="22"/>
  <c r="M603" i="22"/>
  <c r="M604" i="22"/>
  <c r="N25" i="22"/>
  <c r="N27" i="22" s="1"/>
  <c r="N323" i="22"/>
  <c r="N571" i="22" s="1"/>
  <c r="M71" i="22"/>
  <c r="M126" i="22"/>
  <c r="O308" i="9"/>
  <c r="O310" i="9" s="1"/>
  <c r="O21" i="9"/>
  <c r="N108" i="9"/>
  <c r="N118" i="9" s="1"/>
  <c r="N325" i="22"/>
  <c r="N324" i="22"/>
  <c r="N572" i="22" s="1"/>
  <c r="N788" i="9" l="1"/>
  <c r="N828" i="9" s="1"/>
  <c r="O381" i="9"/>
  <c r="O317" i="9" s="1"/>
  <c r="O322" i="9" s="1"/>
  <c r="N791" i="9"/>
  <c r="N822" i="9" s="1"/>
  <c r="N30" i="22"/>
  <c r="N421" i="22"/>
  <c r="N90" i="9"/>
  <c r="N586" i="22"/>
  <c r="N592" i="22"/>
  <c r="N580" i="22"/>
  <c r="O28" i="9"/>
  <c r="O33" i="9" s="1"/>
  <c r="O467" i="9"/>
  <c r="O466" i="9"/>
  <c r="O796" i="9" s="1"/>
  <c r="O465" i="9"/>
  <c r="O795" i="9" s="1"/>
  <c r="O468" i="9"/>
  <c r="N88" i="9"/>
  <c r="N143" i="9"/>
  <c r="N153" i="9" s="1"/>
  <c r="N155" i="9" s="1"/>
  <c r="N574" i="22"/>
  <c r="N573" i="22"/>
  <c r="N579" i="22"/>
  <c r="N585" i="22"/>
  <c r="N591" i="22"/>
  <c r="N827" i="9" l="1"/>
  <c r="N823" i="9"/>
  <c r="O623" i="9"/>
  <c r="O39" i="9"/>
  <c r="N582" i="22"/>
  <c r="N594" i="22"/>
  <c r="N588" i="22"/>
  <c r="O803" i="9"/>
  <c r="O809" i="9"/>
  <c r="O815" i="9"/>
  <c r="O797" i="9"/>
  <c r="N581" i="22"/>
  <c r="N593" i="22"/>
  <c r="N587" i="22"/>
  <c r="O469" i="9"/>
  <c r="O470" i="9" s="1"/>
  <c r="O804" i="9"/>
  <c r="O810" i="9"/>
  <c r="O816" i="9"/>
  <c r="N31" i="22"/>
  <c r="O43" i="9" l="1"/>
  <c r="O798" i="9"/>
  <c r="O40" i="9"/>
  <c r="N434" i="22"/>
  <c r="O805" i="9"/>
  <c r="O817" i="9"/>
  <c r="O811" i="9"/>
  <c r="N32" i="22"/>
  <c r="N35" i="22" l="1"/>
  <c r="N52" i="22"/>
  <c r="N66" i="22"/>
  <c r="O639" i="9"/>
  <c r="O41" i="9"/>
  <c r="O806" i="9"/>
  <c r="O812" i="9"/>
  <c r="O818" i="9"/>
  <c r="O71" i="9" l="1"/>
  <c r="O44" i="9"/>
  <c r="N137" i="22"/>
  <c r="N538" i="22"/>
  <c r="N537" i="22"/>
  <c r="N540" i="22"/>
  <c r="N41" i="22"/>
  <c r="N123" i="22"/>
  <c r="N544" i="22" l="1"/>
  <c r="N551" i="22" s="1"/>
  <c r="N70" i="22"/>
  <c r="N67" i="22"/>
  <c r="N53" i="22"/>
  <c r="O51" i="9"/>
  <c r="O85" i="9"/>
  <c r="O171" i="9"/>
  <c r="O152" i="9"/>
  <c r="O89" i="9" s="1"/>
  <c r="O59" i="9"/>
  <c r="N543" i="22"/>
  <c r="N550" i="22" s="1"/>
  <c r="N552" i="22" l="1"/>
  <c r="O86" i="9"/>
  <c r="O64" i="9"/>
  <c r="O72" i="9"/>
  <c r="N43" i="22" l="1"/>
  <c r="O58" i="9" s="1"/>
  <c r="N44" i="22"/>
  <c r="O63" i="9" s="1"/>
  <c r="O65" i="9" s="1"/>
  <c r="O66" i="9" l="1"/>
  <c r="O61" i="9"/>
  <c r="O60" i="9"/>
  <c r="O370" i="22"/>
  <c r="P370" i="22" s="1"/>
  <c r="N373" i="22"/>
  <c r="N374" i="22" s="1"/>
  <c r="N398" i="22" s="1"/>
  <c r="N397" i="22"/>
  <c r="N399" i="22" s="1"/>
  <c r="N417" i="22" s="1"/>
  <c r="N424" i="22" s="1"/>
  <c r="O548" i="9" l="1"/>
  <c r="O551" i="9" s="1"/>
  <c r="O620" i="9" s="1"/>
  <c r="O629" i="9" s="1"/>
  <c r="O653" i="9" s="1"/>
  <c r="O660" i="9" s="1"/>
  <c r="N462" i="22"/>
  <c r="N447" i="22"/>
  <c r="N463" i="22" l="1"/>
  <c r="N464" i="22" s="1"/>
  <c r="O668" i="9" s="1"/>
  <c r="O666" i="9"/>
  <c r="O667" i="9" s="1"/>
  <c r="O630" i="9" s="1"/>
  <c r="O631" i="9" s="1"/>
  <c r="N454" i="22"/>
  <c r="N448" i="22"/>
  <c r="O654" i="9" s="1"/>
  <c r="O655" i="9" s="1"/>
  <c r="N425" i="22" l="1"/>
  <c r="N426" i="22" s="1"/>
  <c r="N427" i="22" s="1"/>
  <c r="N465" i="22"/>
  <c r="O461" i="22" s="1"/>
  <c r="O669" i="9"/>
  <c r="P665" i="9" s="1"/>
  <c r="N470" i="22"/>
  <c r="N471" i="22" s="1"/>
  <c r="O469" i="22" s="1"/>
  <c r="O659" i="9"/>
  <c r="O661" i="9" s="1"/>
  <c r="P658" i="9" s="1"/>
  <c r="P652" i="9"/>
  <c r="N449" i="22"/>
  <c r="O632" i="9"/>
  <c r="O633" i="9" s="1"/>
  <c r="O677" i="9" s="1"/>
  <c r="N431" i="22" l="1"/>
  <c r="N482" i="22"/>
  <c r="N428" i="22"/>
  <c r="N481" i="22" s="1"/>
  <c r="O636" i="9"/>
  <c r="O678" i="9"/>
  <c r="O687" i="9" s="1"/>
  <c r="O446" i="22"/>
  <c r="N453" i="22"/>
  <c r="N455" i="22" s="1"/>
  <c r="O452" i="22" s="1"/>
  <c r="N491" i="22" l="1"/>
  <c r="O680" i="9"/>
  <c r="N484" i="22"/>
  <c r="N492" i="22" s="1"/>
  <c r="N485" i="22" s="1"/>
  <c r="O688" i="9" l="1"/>
  <c r="N493" i="22"/>
  <c r="O490" i="22" s="1"/>
  <c r="N486" i="22"/>
  <c r="N430" i="22" l="1"/>
  <c r="N432" i="22" s="1"/>
  <c r="N433" i="22" s="1"/>
  <c r="N437" i="22" s="1"/>
  <c r="N438" i="22" s="1"/>
  <c r="N487" i="22"/>
  <c r="O681" i="9"/>
  <c r="O682" i="9" s="1"/>
  <c r="O689" i="9"/>
  <c r="P686" i="9" s="1"/>
  <c r="O683" i="9" l="1"/>
  <c r="O635" i="9"/>
  <c r="O637" i="9" s="1"/>
  <c r="O638" i="9" s="1"/>
  <c r="O642" i="9" s="1"/>
  <c r="O643" i="9" s="1"/>
  <c r="O436" i="22"/>
  <c r="N114" i="22"/>
  <c r="N148" i="22" s="1"/>
  <c r="N151" i="22" s="1"/>
  <c r="N152" i="22" s="1"/>
  <c r="O141" i="9" l="1"/>
  <c r="O188" i="9" s="1"/>
  <c r="O191" i="9" s="1"/>
  <c r="O192" i="9" s="1"/>
  <c r="P641" i="9"/>
  <c r="N247" i="22"/>
  <c r="N248" i="22" s="1"/>
  <c r="N253" i="22" s="1"/>
  <c r="N256" i="22" l="1"/>
  <c r="N257" i="22" s="1"/>
  <c r="O311" i="9"/>
  <c r="O312" i="9" s="1"/>
  <c r="O323" i="9" s="1"/>
  <c r="N270" i="22"/>
  <c r="O326" i="9" l="1"/>
  <c r="O327" i="9" s="1"/>
  <c r="N258" i="22"/>
  <c r="N271" i="22"/>
  <c r="N272" i="22" s="1"/>
  <c r="O348" i="9"/>
  <c r="O328" i="9" l="1"/>
  <c r="N110" i="22"/>
  <c r="O269" i="22"/>
  <c r="N275" i="22"/>
  <c r="O315" i="22" s="1"/>
  <c r="O203" i="9"/>
  <c r="O358" i="9"/>
  <c r="O359" i="9" s="1"/>
  <c r="O349" i="9"/>
  <c r="O350" i="9" s="1"/>
  <c r="N280" i="22"/>
  <c r="N281" i="22" s="1"/>
  <c r="N565" i="22" s="1"/>
  <c r="N163" i="22"/>
  <c r="O329" i="9" l="1"/>
  <c r="O330" i="9" s="1"/>
  <c r="O331" i="9" s="1"/>
  <c r="O332" i="9" s="1"/>
  <c r="O204" i="9"/>
  <c r="O364" i="9"/>
  <c r="O365" i="9" s="1"/>
  <c r="O130" i="9"/>
  <c r="O353" i="9"/>
  <c r="P449" i="9" s="1"/>
  <c r="P347" i="9"/>
  <c r="N601" i="22"/>
  <c r="O278" i="22"/>
  <c r="N111" i="22"/>
  <c r="O131" i="9"/>
  <c r="P356" i="9"/>
  <c r="O317" i="22"/>
  <c r="N164" i="22"/>
  <c r="N286" i="22"/>
  <c r="N287" i="22" s="1"/>
  <c r="N563" i="22" s="1"/>
  <c r="N259" i="22"/>
  <c r="O23" i="22"/>
  <c r="N162" i="22"/>
  <c r="N168" i="22" l="1"/>
  <c r="N170" i="22" s="1"/>
  <c r="N84" i="22" s="1"/>
  <c r="N89" i="22" s="1"/>
  <c r="N98" i="22" s="1"/>
  <c r="O333" i="9"/>
  <c r="O22" i="22"/>
  <c r="O205" i="9"/>
  <c r="O370" i="9"/>
  <c r="O371" i="9" s="1"/>
  <c r="O789" i="9" s="1"/>
  <c r="O284" i="22"/>
  <c r="N112" i="22"/>
  <c r="P23" i="9"/>
  <c r="O206" i="9"/>
  <c r="N602" i="22"/>
  <c r="N567" i="22"/>
  <c r="N598" i="22" s="1"/>
  <c r="O279" i="22"/>
  <c r="O249" i="22" s="1"/>
  <c r="O318" i="22"/>
  <c r="O24" i="22" s="1"/>
  <c r="O202" i="9"/>
  <c r="O132" i="9"/>
  <c r="P362" i="9"/>
  <c r="P452" i="9"/>
  <c r="P24" i="9" s="1"/>
  <c r="P357" i="9"/>
  <c r="P313" i="9" s="1"/>
  <c r="P451" i="9"/>
  <c r="N564" i="22" l="1"/>
  <c r="N603" i="22" s="1"/>
  <c r="O21" i="22"/>
  <c r="O244" i="22"/>
  <c r="O246" i="22" s="1"/>
  <c r="O825" i="9"/>
  <c r="N71" i="22"/>
  <c r="N116" i="22"/>
  <c r="N124" i="22" s="1"/>
  <c r="N126" i="22" s="1"/>
  <c r="N69" i="22"/>
  <c r="P22" i="9"/>
  <c r="P363" i="9"/>
  <c r="P314" i="9" s="1"/>
  <c r="P453" i="9"/>
  <c r="P25" i="9" s="1"/>
  <c r="O319" i="22"/>
  <c r="O25" i="22" s="1"/>
  <c r="O285" i="22"/>
  <c r="O250" i="22" s="1"/>
  <c r="O252" i="22" s="1"/>
  <c r="O133" i="9"/>
  <c r="P368" i="9"/>
  <c r="N599" i="22" l="1"/>
  <c r="N604" i="22"/>
  <c r="O27" i="22"/>
  <c r="O30" i="22" s="1"/>
  <c r="O326" i="22"/>
  <c r="O327" i="22" s="1"/>
  <c r="O328" i="22" s="1"/>
  <c r="O34" i="22" s="1"/>
  <c r="O325" i="22"/>
  <c r="P369" i="9"/>
  <c r="P315" i="9" s="1"/>
  <c r="P454" i="9"/>
  <c r="O207" i="9"/>
  <c r="O382" i="9"/>
  <c r="O383" i="9" s="1"/>
  <c r="O323" i="22"/>
  <c r="O571" i="22" s="1"/>
  <c r="O388" i="9"/>
  <c r="O389" i="9" s="1"/>
  <c r="O208" i="9"/>
  <c r="O324" i="22"/>
  <c r="O572" i="22" s="1"/>
  <c r="O421" i="22" l="1"/>
  <c r="O136" i="9"/>
  <c r="P386" i="9"/>
  <c r="P26" i="9"/>
  <c r="O574" i="22"/>
  <c r="O573" i="22"/>
  <c r="O579" i="22"/>
  <c r="O585" i="22"/>
  <c r="O591" i="22"/>
  <c r="O135" i="9"/>
  <c r="P380" i="9"/>
  <c r="O787" i="9"/>
  <c r="O216" i="9"/>
  <c r="O218" i="9" s="1"/>
  <c r="O103" i="9" s="1"/>
  <c r="O31" i="22"/>
  <c r="O32" i="22" s="1"/>
  <c r="O580" i="22"/>
  <c r="O586" i="22"/>
  <c r="O592" i="22"/>
  <c r="O140" i="9" l="1"/>
  <c r="O143" i="9" s="1"/>
  <c r="O153" i="9" s="1"/>
  <c r="O35" i="22"/>
  <c r="O52" i="22"/>
  <c r="O66" i="22"/>
  <c r="P457" i="9"/>
  <c r="P29" i="9" s="1"/>
  <c r="P387" i="9"/>
  <c r="P318" i="9" s="1"/>
  <c r="O434" i="22"/>
  <c r="P456" i="9"/>
  <c r="P381" i="9"/>
  <c r="P317" i="9" s="1"/>
  <c r="O582" i="22"/>
  <c r="O588" i="22"/>
  <c r="O594" i="22"/>
  <c r="P21" i="9"/>
  <c r="P308" i="9"/>
  <c r="P310" i="9" s="1"/>
  <c r="O108" i="9"/>
  <c r="O118" i="9" s="1"/>
  <c r="O788" i="9"/>
  <c r="O826" i="9"/>
  <c r="O791" i="9"/>
  <c r="O822" i="9" s="1"/>
  <c r="O581" i="22"/>
  <c r="O587" i="22"/>
  <c r="O593" i="22"/>
  <c r="O88" i="9" l="1"/>
  <c r="O90" i="9"/>
  <c r="O155" i="9"/>
  <c r="P322" i="9"/>
  <c r="P28" i="9"/>
  <c r="P33" i="9" s="1"/>
  <c r="P465" i="9"/>
  <c r="P795" i="9" s="1"/>
  <c r="P467" i="9"/>
  <c r="P466" i="9"/>
  <c r="P796" i="9" s="1"/>
  <c r="P468" i="9"/>
  <c r="P469" i="9" s="1"/>
  <c r="O827" i="9"/>
  <c r="O823" i="9"/>
  <c r="O828" i="9"/>
  <c r="O41" i="22"/>
  <c r="O538" i="22"/>
  <c r="O123" i="22"/>
  <c r="O137" i="22"/>
  <c r="O537" i="22"/>
  <c r="O540" i="22"/>
  <c r="O70" i="22" l="1"/>
  <c r="P804" i="9"/>
  <c r="P810" i="9"/>
  <c r="P816" i="9"/>
  <c r="O543" i="22"/>
  <c r="O550" i="22" s="1"/>
  <c r="O544" i="22"/>
  <c r="O551" i="22" s="1"/>
  <c r="P797" i="9"/>
  <c r="O67" i="22"/>
  <c r="O53" i="22"/>
  <c r="P39" i="9"/>
  <c r="P623" i="9"/>
  <c r="P470" i="9"/>
  <c r="P43" i="9" s="1"/>
  <c r="P803" i="9"/>
  <c r="P809" i="9"/>
  <c r="P815" i="9"/>
  <c r="P40" i="9" l="1"/>
  <c r="O552" i="22"/>
  <c r="P805" i="9"/>
  <c r="P811" i="9"/>
  <c r="P817" i="9"/>
  <c r="P798" i="9"/>
  <c r="P806" i="9" l="1"/>
  <c r="P812" i="9"/>
  <c r="P818" i="9"/>
  <c r="O43" i="22"/>
  <c r="P58" i="9" s="1"/>
  <c r="O44" i="22"/>
  <c r="P63" i="9" s="1"/>
  <c r="P639" i="9"/>
  <c r="P41" i="9"/>
  <c r="P44" i="9" l="1"/>
  <c r="P71" i="9"/>
  <c r="P85" i="9" l="1"/>
  <c r="P152" i="9"/>
  <c r="P89" i="9" s="1"/>
  <c r="P171" i="9"/>
  <c r="P51" i="9"/>
  <c r="P59" i="9"/>
  <c r="P64" i="9" l="1"/>
  <c r="P72" i="9"/>
  <c r="P86" i="9"/>
  <c r="P60" i="9"/>
  <c r="P61" i="9"/>
  <c r="P65" i="9" l="1"/>
  <c r="P66" i="9"/>
  <c r="P371" i="22"/>
  <c r="O373" i="22"/>
  <c r="O374" i="22" s="1"/>
  <c r="O398" i="22" s="1"/>
  <c r="O397" i="22" l="1"/>
  <c r="O399" i="22" s="1"/>
  <c r="O417" i="22" l="1"/>
  <c r="O424" i="22" s="1"/>
  <c r="P548" i="9"/>
  <c r="P551" i="9" s="1"/>
  <c r="P620" i="9" s="1"/>
  <c r="P629" i="9" s="1"/>
  <c r="P653" i="9" l="1"/>
  <c r="P660" i="9" s="1"/>
  <c r="P666" i="9"/>
  <c r="O462" i="22"/>
  <c r="O447" i="22"/>
  <c r="O463" i="22" l="1"/>
  <c r="O464" i="22" s="1"/>
  <c r="P668" i="9" s="1"/>
  <c r="O448" i="22"/>
  <c r="O454" i="22"/>
  <c r="P667" i="9"/>
  <c r="P630" i="9" l="1"/>
  <c r="P631" i="9" s="1"/>
  <c r="P669" i="9"/>
  <c r="Q665" i="9" s="1"/>
  <c r="P654" i="9"/>
  <c r="P655" i="9" s="1"/>
  <c r="O470" i="22"/>
  <c r="O471" i="22" s="1"/>
  <c r="P469" i="22" s="1"/>
  <c r="O449" i="22"/>
  <c r="O425" i="22"/>
  <c r="O426" i="22" s="1"/>
  <c r="O427" i="22" s="1"/>
  <c r="O465" i="22"/>
  <c r="P461" i="22" s="1"/>
  <c r="P659" i="9" l="1"/>
  <c r="P661" i="9" s="1"/>
  <c r="Q658" i="9" s="1"/>
  <c r="Q652" i="9"/>
  <c r="O428" i="22"/>
  <c r="O481" i="22" s="1"/>
  <c r="O431" i="22"/>
  <c r="O482" i="22"/>
  <c r="P446" i="22"/>
  <c r="O453" i="22"/>
  <c r="O455" i="22" s="1"/>
  <c r="P452" i="22" s="1"/>
  <c r="P632" i="9"/>
  <c r="O484" i="22" l="1"/>
  <c r="O492" i="22" s="1"/>
  <c r="O491" i="22"/>
  <c r="P636" i="9"/>
  <c r="P678" i="9"/>
  <c r="P633" i="9"/>
  <c r="P677" i="9" s="1"/>
  <c r="O485" i="22" l="1"/>
  <c r="O486" i="22" s="1"/>
  <c r="O430" i="22" s="1"/>
  <c r="O432" i="22" s="1"/>
  <c r="O433" i="22" s="1"/>
  <c r="O437" i="22" s="1"/>
  <c r="O438" i="22" s="1"/>
  <c r="O493" i="22"/>
  <c r="P490" i="22" s="1"/>
  <c r="P680" i="9"/>
  <c r="P687" i="9"/>
  <c r="O487" i="22" l="1"/>
  <c r="P688" i="9"/>
  <c r="P681" i="9" s="1"/>
  <c r="P682" i="9" s="1"/>
  <c r="O114" i="22"/>
  <c r="O148" i="22" s="1"/>
  <c r="O151" i="22" s="1"/>
  <c r="O152" i="22" s="1"/>
  <c r="P436" i="22"/>
  <c r="P683" i="9" l="1"/>
  <c r="P635" i="9"/>
  <c r="P637" i="9" s="1"/>
  <c r="P638" i="9" s="1"/>
  <c r="P642" i="9" s="1"/>
  <c r="P643" i="9" s="1"/>
  <c r="P689" i="9"/>
  <c r="Q686" i="9" s="1"/>
  <c r="O247" i="22"/>
  <c r="O248" i="22" s="1"/>
  <c r="O253" i="22" s="1"/>
  <c r="O256" i="22" l="1"/>
  <c r="O257" i="22" s="1"/>
  <c r="Q641" i="9"/>
  <c r="P141" i="9"/>
  <c r="P188" i="9" s="1"/>
  <c r="P191" i="9" s="1"/>
  <c r="P192" i="9" s="1"/>
  <c r="P311" i="9" s="1"/>
  <c r="P312" i="9" s="1"/>
  <c r="P323" i="9" s="1"/>
  <c r="O270" i="22"/>
  <c r="P326" i="9" l="1"/>
  <c r="P327" i="9" s="1"/>
  <c r="O258" i="22"/>
  <c r="P348" i="9"/>
  <c r="O271" i="22"/>
  <c r="O272" i="22" s="1"/>
  <c r="P328" i="9" l="1"/>
  <c r="P329" i="9" s="1"/>
  <c r="P349" i="9"/>
  <c r="P350" i="9" s="1"/>
  <c r="O275" i="22"/>
  <c r="P315" i="22" s="1"/>
  <c r="O110" i="22"/>
  <c r="P269" i="22"/>
  <c r="O280" i="22"/>
  <c r="O281" i="22" s="1"/>
  <c r="O163" i="22"/>
  <c r="O259" i="22"/>
  <c r="P330" i="9" l="1"/>
  <c r="P206" i="9" s="1"/>
  <c r="P204" i="9"/>
  <c r="P364" i="9"/>
  <c r="P365" i="9" s="1"/>
  <c r="P130" i="9"/>
  <c r="P202" i="9" s="1"/>
  <c r="Q347" i="9"/>
  <c r="Q451" i="9" s="1"/>
  <c r="Q22" i="9" s="1"/>
  <c r="P353" i="9"/>
  <c r="Q449" i="9" s="1"/>
  <c r="Q23" i="9" s="1"/>
  <c r="P203" i="9"/>
  <c r="P358" i="9"/>
  <c r="P359" i="9" s="1"/>
  <c r="P317" i="22"/>
  <c r="O111" i="22"/>
  <c r="P278" i="22"/>
  <c r="O162" i="22"/>
  <c r="O565" i="22"/>
  <c r="O164" i="22"/>
  <c r="O286" i="22"/>
  <c r="O287" i="22" s="1"/>
  <c r="O563" i="22" s="1"/>
  <c r="P23" i="22"/>
  <c r="P331" i="9" l="1"/>
  <c r="Q362" i="9"/>
  <c r="P132" i="9"/>
  <c r="P131" i="9"/>
  <c r="Q356" i="9"/>
  <c r="P370" i="9"/>
  <c r="P371" i="9" s="1"/>
  <c r="P205" i="9"/>
  <c r="O567" i="22"/>
  <c r="O598" i="22" s="1"/>
  <c r="O602" i="22"/>
  <c r="P22" i="22"/>
  <c r="P284" i="22"/>
  <c r="O112" i="22"/>
  <c r="O69" i="22" s="1"/>
  <c r="O601" i="22"/>
  <c r="O168" i="22"/>
  <c r="O170" i="22" s="1"/>
  <c r="O84" i="22" s="1"/>
  <c r="O564" i="22" s="1"/>
  <c r="P279" i="22"/>
  <c r="P249" i="22" s="1"/>
  <c r="P318" i="22"/>
  <c r="P332" i="9" l="1"/>
  <c r="P333" i="9" s="1"/>
  <c r="Q368" i="9"/>
  <c r="P133" i="9"/>
  <c r="P789" i="9"/>
  <c r="P825" i="9" s="1"/>
  <c r="Q357" i="9"/>
  <c r="Q313" i="9" s="1"/>
  <c r="Q452" i="9"/>
  <c r="Q24" i="9" s="1"/>
  <c r="Q453" i="9"/>
  <c r="Q25" i="9" s="1"/>
  <c r="Q363" i="9"/>
  <c r="Q314" i="9" s="1"/>
  <c r="P207" i="9"/>
  <c r="P382" i="9"/>
  <c r="P383" i="9" s="1"/>
  <c r="O599" i="22"/>
  <c r="O604" i="22"/>
  <c r="O603" i="22"/>
  <c r="P319" i="22"/>
  <c r="P325" i="22" s="1"/>
  <c r="P285" i="22"/>
  <c r="P250" i="22" s="1"/>
  <c r="P24" i="22"/>
  <c r="P244" i="22"/>
  <c r="P246" i="22" s="1"/>
  <c r="O89" i="22"/>
  <c r="O98" i="22" s="1"/>
  <c r="P21" i="22"/>
  <c r="O116" i="22"/>
  <c r="O124" i="22" s="1"/>
  <c r="P388" i="9" l="1"/>
  <c r="P389" i="9" s="1"/>
  <c r="P136" i="9" s="1"/>
  <c r="P208" i="9"/>
  <c r="P216" i="9" s="1"/>
  <c r="P218" i="9" s="1"/>
  <c r="P103" i="9" s="1"/>
  <c r="Q21" i="9" s="1"/>
  <c r="P323" i="22"/>
  <c r="P571" i="22" s="1"/>
  <c r="P591" i="22" s="1"/>
  <c r="P135" i="9"/>
  <c r="Q380" i="9"/>
  <c r="P324" i="22"/>
  <c r="P572" i="22" s="1"/>
  <c r="P592" i="22" s="1"/>
  <c r="Q369" i="9"/>
  <c r="Q315" i="9" s="1"/>
  <c r="Q454" i="9"/>
  <c r="Q26" i="9" s="1"/>
  <c r="O126" i="22"/>
  <c r="O71" i="22"/>
  <c r="P573" i="22"/>
  <c r="P25" i="22"/>
  <c r="P27" i="22" s="1"/>
  <c r="P326" i="22"/>
  <c r="P252" i="22"/>
  <c r="Q386" i="9" l="1"/>
  <c r="Q457" i="9" s="1"/>
  <c r="Q29" i="9" s="1"/>
  <c r="P787" i="9"/>
  <c r="P791" i="9" s="1"/>
  <c r="P822" i="9" s="1"/>
  <c r="P108" i="9"/>
  <c r="P118" i="9" s="1"/>
  <c r="P90" i="9" s="1"/>
  <c r="Q308" i="9"/>
  <c r="Q310" i="9" s="1"/>
  <c r="P586" i="22"/>
  <c r="P580" i="22"/>
  <c r="P140" i="9"/>
  <c r="P88" i="9" s="1"/>
  <c r="P579" i="22"/>
  <c r="P585" i="22"/>
  <c r="Q456" i="9"/>
  <c r="Q381" i="9"/>
  <c r="Q317" i="9" s="1"/>
  <c r="P30" i="22"/>
  <c r="P421" i="22"/>
  <c r="P327" i="22"/>
  <c r="P328" i="22" s="1"/>
  <c r="P581" i="22"/>
  <c r="P587" i="22"/>
  <c r="P593" i="22"/>
  <c r="P788" i="9" l="1"/>
  <c r="P823" i="9" s="1"/>
  <c r="P826" i="9"/>
  <c r="Q387" i="9"/>
  <c r="Q318" i="9" s="1"/>
  <c r="Q322" i="9" s="1"/>
  <c r="P143" i="9"/>
  <c r="P153" i="9" s="1"/>
  <c r="P155" i="9" s="1"/>
  <c r="Q28" i="9"/>
  <c r="Q33" i="9" s="1"/>
  <c r="Q467" i="9"/>
  <c r="Q797" i="9" s="1"/>
  <c r="Q805" i="9" s="1"/>
  <c r="Q466" i="9"/>
  <c r="Q796" i="9" s="1"/>
  <c r="Q465" i="9"/>
  <c r="Q795" i="9" s="1"/>
  <c r="Q468" i="9"/>
  <c r="Q469" i="9" s="1"/>
  <c r="Q470" i="9" s="1"/>
  <c r="Q43" i="9" s="1"/>
  <c r="P34" i="22"/>
  <c r="P574" i="22"/>
  <c r="P31" i="22"/>
  <c r="P827" i="9" l="1"/>
  <c r="P828" i="9"/>
  <c r="Q811" i="9"/>
  <c r="Q817" i="9"/>
  <c r="Q803" i="9"/>
  <c r="Q815" i="9"/>
  <c r="Q809" i="9"/>
  <c r="Q39" i="9"/>
  <c r="Q40" i="9" s="1"/>
  <c r="Q639" i="9" s="1"/>
  <c r="Q623" i="9"/>
  <c r="Q810" i="9"/>
  <c r="Q804" i="9"/>
  <c r="Q816" i="9"/>
  <c r="Q798" i="9"/>
  <c r="Q806" i="9" s="1"/>
  <c r="P434" i="22"/>
  <c r="P32" i="22"/>
  <c r="P582" i="22"/>
  <c r="P594" i="22"/>
  <c r="P588" i="22"/>
  <c r="Q812" i="9" l="1"/>
  <c r="Q818" i="9"/>
  <c r="Q41" i="9"/>
  <c r="Q44" i="9" s="1"/>
  <c r="P35" i="22"/>
  <c r="P52" i="22"/>
  <c r="P66" i="22"/>
  <c r="Q71" i="9" l="1"/>
  <c r="P538" i="22"/>
  <c r="P41" i="22"/>
  <c r="P123" i="22"/>
  <c r="P70" i="22" s="1"/>
  <c r="P540" i="22"/>
  <c r="P137" i="22"/>
  <c r="P537" i="22"/>
  <c r="Q59" i="9"/>
  <c r="Q152" i="9"/>
  <c r="Q89" i="9" s="1"/>
  <c r="Q51" i="9"/>
  <c r="Q85" i="9"/>
  <c r="Q171" i="9"/>
  <c r="P543" i="22" l="1"/>
  <c r="P550" i="22" s="1"/>
  <c r="P544" i="22"/>
  <c r="P551" i="22" s="1"/>
  <c r="P53" i="22"/>
  <c r="P67" i="22"/>
  <c r="Q64" i="9"/>
  <c r="Q72" i="9"/>
  <c r="Q86" i="9"/>
  <c r="P552" i="22" l="1"/>
  <c r="P43" i="22" s="1"/>
  <c r="Q58" i="9" s="1"/>
  <c r="Q60" i="9" s="1"/>
  <c r="P373" i="22"/>
  <c r="P374" i="22" s="1"/>
  <c r="P398" i="22" s="1"/>
  <c r="P44" i="22" l="1"/>
  <c r="Q63" i="9" s="1"/>
  <c r="Q66" i="9" s="1"/>
  <c r="Q61" i="9"/>
  <c r="P397" i="22"/>
  <c r="P399" i="22" s="1"/>
  <c r="Q65" i="9" l="1"/>
  <c r="P417" i="22"/>
  <c r="P424" i="22" s="1"/>
  <c r="Q548" i="9"/>
  <c r="Q551" i="9" s="1"/>
  <c r="Q620" i="9" s="1"/>
  <c r="Q629" i="9" s="1"/>
  <c r="Q653" i="9" l="1"/>
  <c r="Q666" i="9"/>
  <c r="P447" i="22"/>
  <c r="P462" i="22"/>
  <c r="Q667" i="9" l="1"/>
  <c r="Q630" i="9" s="1"/>
  <c r="Q631" i="9" s="1"/>
  <c r="Q632" i="9" s="1"/>
  <c r="Q633" i="9" s="1"/>
  <c r="Q677" i="9" s="1"/>
  <c r="P463" i="22"/>
  <c r="P464" i="22" s="1"/>
  <c r="P454" i="22"/>
  <c r="P448" i="22"/>
  <c r="P449" i="22" s="1"/>
  <c r="P453" i="22" s="1"/>
  <c r="Q660" i="9"/>
  <c r="Q654" i="9" l="1"/>
  <c r="Q655" i="9" s="1"/>
  <c r="Q659" i="9" s="1"/>
  <c r="Q661" i="9" s="1"/>
  <c r="Q668" i="9"/>
  <c r="Q669" i="9" s="1"/>
  <c r="P470" i="22"/>
  <c r="P471" i="22" s="1"/>
  <c r="P425" i="22"/>
  <c r="P426" i="22" s="1"/>
  <c r="P427" i="22" s="1"/>
  <c r="P428" i="22" s="1"/>
  <c r="P481" i="22" s="1"/>
  <c r="P465" i="22"/>
  <c r="P455" i="22"/>
  <c r="Q636" i="9"/>
  <c r="Q678" i="9"/>
  <c r="Q687" i="9" s="1"/>
  <c r="Q680" i="9" l="1"/>
  <c r="P431" i="22"/>
  <c r="P482" i="22"/>
  <c r="P491" i="22" s="1"/>
  <c r="P484" i="22" l="1"/>
  <c r="P492" i="22" s="1"/>
  <c r="P485" i="22" s="1"/>
  <c r="P486" i="22" s="1"/>
  <c r="Q688" i="9"/>
  <c r="P493" i="22" l="1"/>
  <c r="Q681" i="9"/>
  <c r="Q682" i="9" s="1"/>
  <c r="Q689" i="9"/>
  <c r="P487" i="22"/>
  <c r="P430" i="22"/>
  <c r="P432" i="22" s="1"/>
  <c r="P433" i="22" s="1"/>
  <c r="P437" i="22" s="1"/>
  <c r="P438" i="22" s="1"/>
  <c r="P114" i="22" s="1"/>
  <c r="P148" i="22" s="1"/>
  <c r="P151" i="22" s="1"/>
  <c r="P152" i="22" s="1"/>
  <c r="P247" i="22" l="1"/>
  <c r="P248" i="22" s="1"/>
  <c r="P253" i="22" s="1"/>
  <c r="Q635" i="9"/>
  <c r="Q637" i="9" s="1"/>
  <c r="Q638" i="9" s="1"/>
  <c r="Q642" i="9" s="1"/>
  <c r="Q643" i="9" s="1"/>
  <c r="Q141" i="9" s="1"/>
  <c r="Q188" i="9" s="1"/>
  <c r="Q191" i="9" s="1"/>
  <c r="Q192" i="9" s="1"/>
  <c r="Q683" i="9"/>
  <c r="P256" i="22" l="1"/>
  <c r="P257" i="22" s="1"/>
  <c r="Q311" i="9"/>
  <c r="Q312" i="9" s="1"/>
  <c r="Q323" i="9" s="1"/>
  <c r="P270" i="22"/>
  <c r="Q326" i="9" l="1"/>
  <c r="Q327" i="9" s="1"/>
  <c r="P258" i="22"/>
  <c r="P259" i="22" s="1"/>
  <c r="P163" i="22"/>
  <c r="P280" i="22"/>
  <c r="P281" i="22" s="1"/>
  <c r="P111" i="22" s="1"/>
  <c r="Q348" i="9"/>
  <c r="P271" i="22"/>
  <c r="P272" i="22" s="1"/>
  <c r="Q328" i="9" l="1"/>
  <c r="Q329" i="9" s="1"/>
  <c r="Q330" i="9" s="1"/>
  <c r="Q331" i="9" s="1"/>
  <c r="Q332" i="9" s="1"/>
  <c r="Q358" i="9"/>
  <c r="Q359" i="9" s="1"/>
  <c r="Q131" i="9" s="1"/>
  <c r="Q203" i="9"/>
  <c r="P110" i="22"/>
  <c r="P275" i="22"/>
  <c r="P565" i="22"/>
  <c r="P164" i="22"/>
  <c r="P286" i="22"/>
  <c r="P287" i="22" s="1"/>
  <c r="P112" i="22" s="1"/>
  <c r="Q349" i="9"/>
  <c r="Q350" i="9" s="1"/>
  <c r="P563" i="22" l="1"/>
  <c r="P567" i="22" s="1"/>
  <c r="P598" i="22" s="1"/>
  <c r="Q130" i="9"/>
  <c r="Q353" i="9"/>
  <c r="Q204" i="9"/>
  <c r="Q364" i="9"/>
  <c r="Q365" i="9" s="1"/>
  <c r="Q132" i="9" s="1"/>
  <c r="P69" i="22"/>
  <c r="P116" i="22"/>
  <c r="P124" i="22" s="1"/>
  <c r="P162" i="22"/>
  <c r="P168" i="22" s="1"/>
  <c r="P170" i="22" s="1"/>
  <c r="P84" i="22" s="1"/>
  <c r="P89" i="22" s="1"/>
  <c r="P98" i="22" s="1"/>
  <c r="P601" i="22"/>
  <c r="Q333" i="9" l="1"/>
  <c r="P602" i="22"/>
  <c r="P564" i="22"/>
  <c r="P603" i="22" s="1"/>
  <c r="P71" i="22"/>
  <c r="P126" i="22"/>
  <c r="O53" i="7" s="1"/>
  <c r="Q370" i="9"/>
  <c r="Q371" i="9" s="1"/>
  <c r="Q205" i="9"/>
  <c r="Q202" i="9"/>
  <c r="P604" i="22" l="1"/>
  <c r="P599" i="22"/>
  <c r="Q133" i="9"/>
  <c r="Q789" i="9"/>
  <c r="Q206" i="9"/>
  <c r="Q207" i="9" l="1"/>
  <c r="Q382" i="9"/>
  <c r="Q383" i="9" s="1"/>
  <c r="Q825" i="9"/>
  <c r="Q388" i="9" l="1"/>
  <c r="Q389" i="9" s="1"/>
  <c r="Q136" i="9" s="1"/>
  <c r="Q208" i="9"/>
  <c r="Q216" i="9" s="1"/>
  <c r="Q218" i="9" s="1"/>
  <c r="Q103" i="9" s="1"/>
  <c r="Q108" i="9" s="1"/>
  <c r="Q118" i="9" s="1"/>
  <c r="Q135" i="9"/>
  <c r="Q787" i="9" l="1"/>
  <c r="Q791" i="9" s="1"/>
  <c r="Q822" i="9" s="1"/>
  <c r="Q140" i="9"/>
  <c r="Q90" i="9"/>
  <c r="Q788" i="9" l="1"/>
  <c r="Q828" i="9" s="1"/>
  <c r="Q826" i="9"/>
  <c r="Q88" i="9"/>
  <c r="Q143" i="9"/>
  <c r="Q153" i="9" s="1"/>
  <c r="Q155" i="9" s="1"/>
  <c r="O52" i="7" s="1"/>
  <c r="Q823" i="9" l="1"/>
  <c r="Q82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rmacgre1</author>
    <author>Ryan MacGregor</author>
  </authors>
  <commentList>
    <comment ref="G10" authorId="0" shapeId="0" xr:uid="{00000000-0006-0000-0100-000001000000}">
      <text>
        <r>
          <rPr>
            <b/>
            <sz val="8"/>
            <color indexed="81"/>
            <rFont val="Tahoma"/>
            <family val="2"/>
          </rPr>
          <t>rmacgre1:</t>
        </r>
        <r>
          <rPr>
            <sz val="8"/>
            <color indexed="81"/>
            <rFont val="Tahoma"/>
            <family val="2"/>
          </rPr>
          <t xml:space="preserve">
This is the premium paid to the target's current share price.  Enter premiums as low/medium/high.</t>
        </r>
      </text>
    </comment>
    <comment ref="M57" authorId="1" shapeId="0" xr:uid="{00000000-0006-0000-0100-000002000000}">
      <text>
        <r>
          <rPr>
            <b/>
            <sz val="9"/>
            <color indexed="81"/>
            <rFont val="Tahoma"/>
            <family val="2"/>
          </rPr>
          <t>Macabacus:</t>
        </r>
        <r>
          <rPr>
            <sz val="9"/>
            <color indexed="81"/>
            <rFont val="Tahoma"/>
            <family val="2"/>
          </rPr>
          <t xml:space="preserve">
Likely varies by the type of debt issued, but we have assumed a single fee for all debt financing for simplicity.</t>
        </r>
      </text>
    </comment>
    <comment ref="M60" authorId="1" shapeId="0" xr:uid="{00000000-0006-0000-0100-000003000000}">
      <text>
        <r>
          <rPr>
            <b/>
            <sz val="9"/>
            <color indexed="81"/>
            <rFont val="Tahoma"/>
            <family val="2"/>
          </rPr>
          <t>Macabacus:</t>
        </r>
        <r>
          <rPr>
            <sz val="9"/>
            <color indexed="81"/>
            <rFont val="Tahoma"/>
            <family val="2"/>
          </rPr>
          <t xml:space="preserve">
This is the discount to the acquirer's share price at which new acquirer shares are issued to the market in a secondary offering.  A discount is customary when issuing a large block of stock to encourage buy-side participation.  In IPOs, for example, the discount is often 15%.  Secondary, or "follow-on" offerings have much lower discounts (5% or less).</t>
        </r>
      </text>
    </comment>
    <comment ref="B62" authorId="1" shapeId="0" xr:uid="{00000000-0006-0000-0100-000004000000}">
      <text>
        <r>
          <rPr>
            <b/>
            <sz val="9"/>
            <color indexed="81"/>
            <rFont val="Tahoma"/>
            <family val="2"/>
          </rPr>
          <t>Macabacus:</t>
        </r>
        <r>
          <rPr>
            <sz val="9"/>
            <color indexed="81"/>
            <rFont val="Tahoma"/>
            <family val="2"/>
          </rPr>
          <t xml:space="preserve">
Includes M&amp;A, legal, and other advisory fees.</t>
        </r>
      </text>
    </comment>
    <comment ref="E64" authorId="1" shapeId="0" xr:uid="{00000000-0006-0000-0100-000005000000}">
      <text>
        <r>
          <rPr>
            <b/>
            <sz val="9"/>
            <color indexed="81"/>
            <rFont val="Tahoma"/>
            <family val="2"/>
          </rPr>
          <t>Macabacus:</t>
        </r>
        <r>
          <rPr>
            <sz val="9"/>
            <color indexed="81"/>
            <rFont val="Tahoma"/>
            <family val="2"/>
          </rPr>
          <t xml:space="preserve">
When average interest is not selected, interest expense is computed using the beginning balance.  To break the circular reference, toggle average interest off then back on.  After toggling, hit F9 to recalculate.</t>
        </r>
      </text>
    </comment>
    <comment ref="M67" authorId="1" shapeId="0" xr:uid="{00000000-0006-0000-0100-000006000000}">
      <text>
        <r>
          <rPr>
            <b/>
            <sz val="9"/>
            <color indexed="81"/>
            <rFont val="Tahoma"/>
            <family val="2"/>
          </rPr>
          <t>Macabacus:</t>
        </r>
        <r>
          <rPr>
            <sz val="9"/>
            <color indexed="81"/>
            <rFont val="Tahoma"/>
            <family val="2"/>
          </rPr>
          <t xml:space="preserve">
Amortize over 15 years per IRC Section 197.</t>
        </r>
      </text>
    </comment>
    <comment ref="M68" authorId="1" shapeId="0" xr:uid="{00000000-0006-0000-0100-000007000000}">
      <text>
        <r>
          <rPr>
            <b/>
            <sz val="9"/>
            <color indexed="81"/>
            <rFont val="Tahoma"/>
            <family val="2"/>
          </rPr>
          <t>Macabacus:</t>
        </r>
        <r>
          <rPr>
            <sz val="9"/>
            <color indexed="81"/>
            <rFont val="Tahoma"/>
            <family val="2"/>
          </rPr>
          <t xml:space="preserve">
Amortize over 15 years per IRC Section 197.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Pat McFarlan</author>
  </authors>
  <commentList>
    <comment ref="A1" authorId="0" shapeId="0" xr:uid="{00000000-0006-0000-0200-000001000000}">
      <text>
        <r>
          <rPr>
            <b/>
            <sz val="9"/>
            <color indexed="81"/>
            <rFont val="Tahoma"/>
            <family val="2"/>
          </rPr>
          <t>卟䙄_x0001_＀＀뤘兓&amp;䙒䥞彃卅䥔䅍䕔䔨卐䴬䅅ⱎ呑归佒䱌⬬ⰵ⤰_x0018_＀＀_x0018_＀＀_x0008_＀＀_x0001_＀＀_x0001_＀＀⛪࠱Წ㿊뤛兓+单幂䍉䕟呓䵉呁⡅䕎彔义ⱃ䕍乁儬剔剟䱏ⱌ㔫〬착_x0018_＀＀_x0018_＀＀_x0008_＀＀_x0001_＀＀_x0001_＀＀ꗣ쒛㜠䂖뤗兓＀Ｏ单幂䝒彆佃彍䡓当問彔偅当䥄⡌位ⱎⰰⰬⰬ丬䅏䑕呉착_x0018_＀＀_x0018_＀＀_x0008_＀＀_x0001_＀＀_x0001_＀＀＀＀＀＀ꀀ䂝뤖兓_x0015_䉂幔彐啃剒久奃∨卉≏착_x0014_＀＀_x0018_＀＀_x0004_＀＀_x0001_＀＀_x0008_＀＀单D뤘兓&amp;䙒䥞彃卅䥔䅍䕔䔨卐䴬䅅ⱎ呑归佒䱌⬬ⰲ⤰_x0018_＀＀_x0018_＀＀_x0008_＀＀_x0001_＀＀_x0001_＀＀⛪࠱Წ㿊뤜兓-午䅂䜭幂䍉䕟呓䵉呁⡅䕎彔义ⱃ䕍乁䄬乎⬬〲㔱〬착_x0018_＀＀_x0018_＀＀_x0008_＀＀_x0001_＀＀_x0001_＀＀롒蔞珋䃗뤘兓'䡆幎䍉䕟呓䵉呁⡅偅ⱓ䕍乁儬剔剟䱏ⱌ㜫〬착_x0018_＀＀_x0018_＀＀_x0008_＀＀_x0001_＀＀_x0001_＀＀嘄ⴎ鶲㿏뤚兓+单幂䍉䕟呓䵉呁⡅䕎彔义ⱃ䕍乁儬剔剟䱏ⱌ㈫〬착_x0018_＀＀_x0018_＀＀_x0008_＀＀_x0001_＀＀_x0001_＀＀⋐彛䂖뤛兓＀Ｏ午䅂䜭幂䍉䕟呓䵉呁⡅䕎彔义ⱃ䕍乁儬剔剟䱏ⱌ㘫〬착_x0018_＀＀_x0018_＀＀_x0008_＀＀_x0001_＀＀_x0001_＀＀豀碵꼝쐕뤙兓%䉂幔䍉䕟呓䵉呁⡅偅ⱓ䕍乁䄬乎⬬〲㌱〬착_x0018_＀＀_x0018_＀＀_x0008_＀＀_x0001_＀＀_x0001_＀＀ᑺ䞮䀇뤘兓'䡆幎䍉䕟呓䵉呁⡅偅ⱓ䕍乁儬剔剟䱏ⱌ㐫〬착_x0018_＀＀_x0018_＀＀_x0008_＀＀_x0001_＀＀_x0001_＀＀뀡桲㿌뤛兓*䙒䥞彃卅䥔䅍䕔丨呅䥟䍎䴬䅅ⱎ呑归佒䱌⬬ⰷ⤰_x0018_＀＀_x0018_＀＀_x0008_＀＀_x0001_＀＀_x0001_＀＀ొ⬂䂇䁲뤙兓'䉂幔䍉䕟呓䵉呁⡅偅ⱓ䕍乁儬剔剟䱏ⱌ㠫〬착_x0018_＀＀_x0018_＀＀_x0008_＀＀_x0001_＀＀_x0001_＀＀멞౉⬂㿫뤜兓,䅓ⵎ卅䥞彃卅䥔䅍䕔丨呅䥟䍎䴬䅅ⱎ乁ⱎ㈫㄰ⰴ⤰_x0018_＀＀_x0018_＀＀_x0008_＀＀_x0001_＀＀_x0001_＀＀쫁䖡糖䂽뤝兓*偞䕟䍘彈䅒䕔䨨奐唬䑓㐬㈱㘲〮㘴㈱㘲㔸ⰲⰬ⤰_x0018_＀＀_x0018_＀＀_x0008_＀＀_x0001_＀＀_x0001_＀＀塋呎쟌㾉뤚兓＀Ｏ午䅂䜭幂䍉䕟呓䵉呁⡅䕎彔义ⱃ䕍乁儬剔剟䱏ⱌ㌫〬착_x0018_＀＀_x0018_＀＀_x0008_＀＀_x0001_＀＀_x0001_＀＀豀碵꼝쐕뤘兓'䡆幎䍉䕟呓䵉呁⡅偅ⱓ䕍乁儬剔剟䱏ⱌㄫ〬착_x0018_＀＀_x0018_＀＀_x0008_＀＀_x0001_＀＀_x0001_＀＀尨슏㿅뤚兓*䙒䥞彃卅䥔䅍䕔丨呅䥟䍎䴬䅅ⱎ呑归佒䱌⬬ⰴ⤰_x0018_＀＀_x0018_＀＀_x0008_＀＀_x0001_＀＀_x0001_＀＀ᑻ䞮僡䁲뤙兓+午䅂䜭幂䍉䕟呓䵉呁⡅偅ⱓ䕍乁儬剔剟䱏ⱌ㠫〬착_x0018_＀＀_x0018_＀＀_x0008_＀＀_x0001_＀＀_x0001_＀＀豀碵꼝쐕뤘兓'䉂幔䍉䕟呓䵉呁⡅偅ⱓ䕍乁儬剔剟䱏ⱌ㔫〬착_x0018_＀＀_x0018_＀＀_x0008_＀＀_x0001_＀＀_x0001_＀＀俟鞍ቮ㿧뤜兓.䅓ⵎ卅䥞彃卅䥔䅍䕔丨呅䥟䍎䴬䅅ⱎ呑归佒䱌⬬ⰸ⤰_x0018_＀＀_x0018_＀＀_x0008_＀＀_x0001_＀＀_x0001_＀＀豀碵꼝쐕뤖兓_x001D_乐幃彐剐䍉⡅ㄴ㈲⸶㐰ㄶ㈲㠶㈵착_x0018_＀＀_x0018_＀＀_x0008_＀＀_x0001_＀＀_x0001_＀＀ᑻ䞮竡䁋뤚兓*䙒䥞彃卅䥔䅍䕔丨呅䥟䍎䴬䅅ⱎ呑归佒䱌⬬ⰱ⤰_x0018_＀＀_x0018_＀＀_x0008_＀＀_x0001_＀＀_x0001_＀＀⬂ᚇ櫙䁱뤘兓+午䅂䜭幂䍉䕟呓䵉呁⡅偅ⱓ䕍乁儬剔剟䱏ⱌ㔫〬착_x0018_＀＀_x0018_＀＀_x0008_＀＀_x0001_＀＀_x0001_＀＀豀碵꼝쐕뤘兓'䉂幔䍉䕟呓䵉呁⡅偅ⱓ䕍乁儬剔剟䱏ⱌ㈫〬착_x0018_＀＀_x0018_＀＀_x0008_＀＀_x0001_＀＀_x0001_＀＀閁譃㿧뤙兓'乐幃䍉䕟呓䵉呁⡅偅ⱓ䕍乁儬剔剟䱏ⱌ㠫〬착_x0018_＀＀_x0018_＀＀_x0008_＀＀_x0001_＀＀_x0001_＀＀䯇褷恁㿽뤛兓+呓幉䍉䕟呓䵉呁⡅䕎彔义ⱃ䕍乁儬剔剟䱏ⱌ㘫〬착_x0018_＀＀_x0018_＀＀_x0008_＀＀_x0001_＀＀_x0001_＀＀ㄧ갈␜䁸뤛兓.䅓ⵎ卅䥞彃卅䥔䅍䕔丨呅䥟䍎䴬䅅ⱎ呑归佒䱌⬬ⰵ⤰_x0018_＀＀_x0018_＀＀_x0008_＀＀_x0001_＀＀_x0001_＀＀豀碵꼝쐕뤜兓)呓幉䍉䕟呓䵉呁⡅䕎彔义ⱃ䕍乁䄬乎⬬〲㌱〬착_x0018_＀＀_x0018_＀＀_x0008_＀＀_x0001_＀＀_x0001_＀＀뀡桲鮑䂖뤘兓+午䅂䜭幂䍉䕟呓䵉呁⡅偅ⱓ䕍乁儬剔剟䱏ⱌ㈫〬착_x0018_＀＀_x0018_＀＀_x0008_＀＀_x0001_＀＀_x0001_＀＀豀碵꼝쐕뤖兓_x0017_䅓ⵎ卅偞䍟䵏卟午佟呕〨착_x0018_＀＀_x0018_＀＀_x0008_＀＀_x0001_＀＀_x0001_＀＀䎖沋镗䃄뤘兓'乐幃䍉䕟呓䵉呁⡅偅ⱓ䕍乁儬剔剟䱏ⱌ㔫〬착_x0018_＀＀_x0018_＀＀_x0008_＀＀_x0001_＀＀_x0001_＀＀눭욧㿹뤜兓)单幂䍉䕟呓䵉呁⡅䕎彔义ⱃ䕍乁䄬乎⬬〲㌱〬착_x0018_＀＀_x0018_＀＀_x0008_＀＀_x0001_＀＀_x0001_＀＀司ꗣ㢻䂶뤚兓+呓幉䍉䕟呓䵉呁⡅䕎彔义ⱃ䕍乁儬剔剟䱏ⱌ㌫〬착_x0018_＀＀_x0018_＀＀_x0008_＀＀_x0001_＀＀_x0001_＀＀帵䦺䐌䁷뤚兓.䅓ⵎ卅䥞彃卅䥔䅍䕔丨呅䥟䍎䴬䅅ⱎ呑归佒䱌⬬ⰲ⤰_x0018_＀＀_x0018_＀＀_x0008_＀＀_x0001_＀＀_x0001_＀＀鞍ቮﰃ䂕뤙兓&amp;㌸㘰䥞彃卅䥔䅍䕔䔨卐䴬䅅ⱎ乁ⱎ㈫㄰ⰴ⤰_x0018_＀＀_x0018_＀＀_x0008_＀＀_x0001_＀＀_x0001_＀＀犰酨볭䁊뤘兓'乐幃䍉䕟呓䵉呁⡅偅ⱓ䕍乁儬剔剟䱏ⱌ㈫〬착_x0018_＀＀_x0018_＀＀_x0008_＀＀_x0001_＀＀_x0001_＀＀磕⛩࠱㿺뤙兓(䅓ⵎ卅䥞彃卅䥔䅍䕔䔨卐䴬䅅ⱎ乁ⱎ㈫㄰ⰴ⤰_x0018_＀＀_x0018_＀＀_x0008_＀＀_x0001_＀＀_x0001_＀＀恂탥_xDB22_㿥뤘兓)䑔䌭幁䍉䕟呓䵉呁⡅偅ⱓ䕍乁儬剔剟䱏ⱌ㘫〬착_x0018_＀＀_x0018_＀＀_x0008_＀＀_x0001_＀＀_x0001_＀＀뱫鍴И䀁뤘兓(㌸㘰䥞彃卅䥔䅍䕔䔨卐䴬䅅ⱎ呑归佒䱌⬬ⰶ⤰_x0018_＀＀_x0018_＀＀_x0008_＀＀_x0001_＀＀_x0001_＀＀豀碵꼝쐕뤘兓'呓幉䍉䕟呓䵉呁⡅偅ⱓ䕍乁儬剔剟䱏ⱌ㜫〬착_x0018_＀＀_x0018_＀＀_x0008_＀＀_x0001_＀＀_x0001_＀＀䷓ၢ㥘㿨뤘兓'单幂䍉䕟呓䵉呁⡅偅ⱓ䕍乁儬剔剟䱏ⱌ㘫〬착_x0018_＀＀_x0018_＀＀_x0008_＀＀_x0001_＀＀_x0001_＀＀ﯨ䷒㿪뤘兓)䑔䌭幁䍉䕟呓䵉呁⡅偅ⱓ䕍乁儬剔剟䱏ⱌ㌫〬착_x0018_＀＀_x0018_＀＀_x0008_＀＀_x0001_＀＀_x0001_＀＀ቯ삃ꇊ㿿뤖兓!午䅂䜭幂彐剐䍉⡅ㄴ㈲⸶㐰ㄶ㈲㠶㈵착_x0018_＀＀_x0018_＀＀_x0008_＀＀_x0001_＀＀_x0001_＀＀틲才堐䀘뤘兓(㌸㘰䥞彃卅䥔䅍䕔䔨卐䴬䅅ⱎ呑归佒䱌⬬ⰳ⤰_x0018_＀＀_x0018_＀＀_x0008_＀＀_x0001_＀＀_x0001_＀＀豀碵꼝쐕뤘兓'呓幉䍉䕟呓䵉呁⡅偅ⱓ䕍乁儬剔剟䱏ⱌ㐫〬착_x0018_＀＀_x0018_＀＀_x0008_＀＀_x0001_＀＀_x0001_＀＀슏⣵轜㿦뤘兓'单幂䍉䕟呓䵉呁⡅偅ⱓ䕍乁儬剔剟䱏ⱌ㌫〬착_x0018_＀＀_x0018_＀＀_x0008_＀＀_x0001_＀＀_x0001_＀＀㝌䆉㿨뤙兓%呓幉䍉䕟呓䵉呁⡅偅ⱓ䕍乁䄬乎⬬〲㌱〬착_x0018_＀＀_x0018_＀＀_x0008_＀＀_x0001_＀＀_x0001_＀＀탦_xDB22_绹䀅뤜兓(䙒䥞彃卅䥔䅍䕔丨呅䥟䍎䴬䅅ⱎ乁ⱎ㈫㄰ⰵ⤰_x0018_＀＀_x0018_＀＀_x0008_＀＀_x0001_＀＀_x0001_＀＀尩슏_xDAF5_䂒뤙兓%单幂䍉䕟呓䵉呁⡅偅ⱓ䕍乁䄬乎⬬〲㔱〬착_x0018_＀＀_x0018_＀＀_x0008_＀＀_x0001_＀＀_x0001_＀＀嘄ⴎ鶲䀌뤘兓'呓幉䍉䕟呓䵉呁⡅偅ⱓ䕍乁儬剔剟䱏ⱌㄫ〬착_x0018_＀＀_x0018_＀＀_x0008_＀＀_x0001_＀＀_x0001_＀＀눭욧㿣뤙兓)午䅂䜭幂䍉䕟呓䵉呁⡅偅ⱓ䕍乁䄬乎⬬〲㔱〬착_x0018_＀＀_x0018_＀＀_x0008_＀＀_x0001_＀＀_x0001_＀＀㵱휊炣㿳뤖兓_x0014_呓幉彐佃彍䡓当問⡔⤰_x0018_＀＀_x0018_＀＀_x0008_＀＀_x0001_＀＀_x0001_＀＀扎堐䂀뤛兓+䡆幎䍉䕟呓䵉呁⡅䕎彔义ⱃ䕍乁儬剔剟䱏ⱌ㜫〬착_x0018_＀＀_x0018_＀＀_x0008_＀＀_x0001_＀＀_x0001_＀＀晧晦٦䁍뤛兓,㌸㘰䥞彃卅䥔䅍䕔丨呅䥟䍎䴬䅅ⱎ呑归佒䱌⬬ⰶ⤰_x0018_＀＀_x0018_＀＀_x0008_＀＀_x0001_＀＀_x0001_＀＀豀碵꼝쐕뤖兓_x0019_䙒偞䑟噉当䑐〨ⰬⰬ䐢噉≓착_x0018_＀＀_x0018_＀＀_x0008_＀＀_x0001_＀＀_x0001_＀＀ᑻ䞮竡㾄뤜兓_x001A_午䅂䜭幂䍉䵟䅅彎偅当呌⡇⤰_x0018_＀＀_x0018_＀＀_x0008_＀＀_x0001_＀＀_x0001_＀＀凬Ẹ䀭뤚兓+䡆幎䍉䕟呓䵉呁⡅䕎彔义ⱃ䕍乁儬剔剟䱏ⱌ㐫〬착_x0018_＀＀_x0018_＀＀_x0008_＀＀_x0001_＀＀_x0001_＀＀࠱Წ呚䁊뤚兓,㌸㘰䥞彃卅䥔䅍䕔丨呅䥟䍎䴬䅅ⱎ呑归佒䱌⬬ⰳ⤰_x0018_＀＀_x0018_＀＀_x0008_＀＀_x0001_＀＀_x0001_＀＀豀碵꼝쐕뤙兓%䡆幎䍉䕟呓䵉呁⡅偅ⱓ䕍乁䄬乎⬬〲㐱〬착_x0018_＀＀_x0018_＀＀_x0008_＀＀_x0001_＀＀_x0001_＀＀㕀멞౉㿮뤜兓_x001F_偞䕟䍘彈䅒䕔䜨偂唬䑓㐬ㄱ㈸Ⱜ〬착_x0018_＀＀_x0018_＀＀_x0008_＀＀_x0001_＀＀_x0001_＀＀䫵虙호㿹뤜兓_x0016_䉂幔䍉䵟䅅彎偅当呌⡇⤰_x0018_＀＀_x0018_＀＀_x0008_＀＀_x0001_＀＀_x0001_＀＀탥_xDB22_ﻹ䀤뤜兓)乐幃䍉䕟呓䵉呁⡅䕎彔义ⱃ䕍乁䄬乎⬬〲㌱〬착_x0018_＀＀_x0018_＀＀_x0008_＀＀_x0001_＀＀_x0001_＀＀뀡桲厑䂫뤘兓*䅓ⵎ卅䥞彃卅䥔䅍䕔䔨卐䴬䅅ⱎ呑归佒䱌⬬ⰶ⤰_x0018_＀＀_x0018_＀＀_x0008_＀＀_x0001_＀＀_x0001_＀＀豀碵꼝쐕뤜兓)䡆幎䍉䕟呓䵉呁⡅䕎彔义ⱃ䕍乁䄬乎⬬〲㔱〬착_x0018_＀＀_x0018_＀＀_x0008_＀＀_x0001_＀＀_x0001_＀＀_xDF3C_赏⺗䁬뤚兓+䡆幎䍉䕟呓䵉呁⡅䕎彔义ⱃ䕍乁儬剔剟䱏ⱌㄫ〬착_x0018_＀＀_x0018_＀＀_x0008_＀＀_x0001_＀＀_x0001_＀＀ᢔ嘄紎䁄뤜兓*㌸㘰䥞彃卅䥔䅍䕔丨呅䥟䍎䴬䅅ⱎ乁ⱎ㈫㄰ⰵ⤰_x0018_＀＀_x0018_＀＀_x0008_＀＀_x0001_＀＀_x0001_＀＀＀＀＀＀䄧뤜兓-䑔䌭幁䍉䕟呓䵉呁⡅䕎彔义ⱃ䕍乁儬剔剟䱏ⱌ㠫〬착_x0018_＀＀_x0018_＀＀_x0008_＀＀_x0001_＀＀_x0001_＀＀扎堐碹䂠뤘兓*䅓ⵎ卅䥞彃卅䥔䅍䕔䔨卐䴬䅅ⱎ呑归佒䱌⬬ⰳ⤰_x0018_＀＀_x0018_＀＀_x0008_＀＀_x0001_＀＀_x0001_＀＀⼛ⓝ脆㿅뤛兓-䑔䌭幁䍉䕟呓䵉呁⡅䕎彔义ⱃ䕍乁儬剔剟䱏ⱌ㔫〬착_x0018_＀＀_x0018_＀＀_x0008_＀＀_x0001_＀＀_x0001_＀＀ొ⬂甇䂝뤙兓%乐幃䍉䕟呓䵉呁⡅偅ⱓ䕍乁䄬乎⬬〲㌱〬착_x0018_＀＀_x0018_＀＀_x0008_＀＀_x0001_＀＀_x0001_＀＀蔟凫Ẹ䀚뤙兓$䙒䥞彃卅䥔䅍䕔䔨卐䴬䅅ⱎ乁ⱎ㈫㄰ⰴ⤰_x0018_＀＀_x0018_＀＀_x0008_＀＀_x0001_＀＀_x0001_＀＀鞍ቮ삃㿪뤜兓_x0017_㌸㘰䥞彃䕍乁䕟卐䱟䝔〨착_x0018_＀＀_x0018_＀＀_x0008_＀＀_x0001_＀＀_x0001_＀＀＀＀＀＀＀＀쀠뤖兓_x001D_单幂彐剐䍉⡅ㄴ㈲⸶㐰ㄶ㈲㠶㈵착_x0018_＀＀_x0018_＀＀_x0008_＀＀_x0001_＀＀_x0001_＀＀⣶轜뗂䀿뤚兓-䑔䌭幁䍉䕟呓䵉呁⡅䕎彔义ⱃ䕍乁儬剔剟䱏ⱌ㈫〬착_x0018_＀＀_x0018_＀＀_x0008_＀＀_x0001_＀＀_x0001_＀＀䦻Ȍ⨫䂝뤜兓)䉂幔䍉䕟呓䵉呁⡅䕎彔义ⱃ䕍乁䄬乎⬬〲㌱〬착_x0018_＀＀_x0018_＀＀_x0008_＀＀_x0001_＀＀_x0001_＀＀탥_xDB22_仹䂠뤜兓_x0016_呓幉䍉䵟䅅彎偅当呌⡇⤰_x0018_＀＀_x0018_＀＀_x0008_＀＀_x0001_＀＀_x0001_＀＀＀＀＀＀＀＀䀤뤖兓_x0016_䑔䌭幁彐佃彍䡓当問⡔⤰_x0018_＀＀_x0018_＀＀_x0008_＀＀_x0001_＀＀_x0001_＀＀尩슏틵䂌뤛兓+乐幃䍉䕟呓䵉呁⡅䕎彔义ⱃ䕍乁儬剔剟䱏ⱌ㘫〬착_x0018_＀＀_x0018_＀＀_x0008_＀＀_x0001_＀＀_x0001_＀＀溘茒퇀䂌뤛兓+䉂幔䍉䕟呓䵉呁⡅䕎彔义ⱃ䕍乁儬剔剟䱏ⱌ㘫〬착_x0018_＀＀_x0018_＀＀_x0008_＀＀_x0001_＀＀_x0001_＀＀좴빶䂁뤜兓+䑔䌭幁䍉䕟呓䵉呁⡅䕎彔义ⱃ䕍乁䄬乎⬬〲㔱〬착_x0018_＀＀_x0018_＀＀_x0008_＀＀_x0001_＀＀_x0001_＀＀탥_xDB22_銹䃀뤝兓*偞䕟䍘彈䅒䕔䔨剕唬䑓㐬㈱㘲〮㘴㈱㘲㔸ⰲⰬ⤰_x0018_＀＀_x0018_＀＀_x0008_＀＀_x0001_＀＀_x0001_＀＀℮噬㿴뤖兓_x001A_呓幉彐䥄卖偟⡄ⰰⰬ∬䥄卖⤢_x0018_＀＀_x0018_＀＀_x0008_＀＀_x0001_＀＀_x0001_＀＀馚香香㾩뤙兓'䑔䌭幁䍉䕟呓䵉呁⡅偅ⱓ䕍乁䄬乎⬬〲㔱〬착_x0018_＀＀_x0018_＀＀_x0008_＀＀_x0001_＀＀_x0001_＀＀휊炣਽䀢뤚兓+乐幃䍉䕟呓䵉呁⡅䕎彔义ⱃ䕍乁儬剔剟䱏ⱌ㌫〬착_x0018_＀＀_x0018_＀＀_x0008_＀＀_x0001_＀＀_x0001_＀＀鍵И詖䂋뤖兓_x001C_䑔䌭幁彐䥄卖偟⡄ⰰⰬ∬䥄卖⤢_x0018_＀＀_x0018_＀＀_x0008_＀＀_x0001_＀＀_x0001_＀＀炤਽ꏗ㿨뤚兓+䉂幔䍉䕟呓䵉呁⡅䕎彔义ⱃ䕍乁儬剔剟䱏ⱌ㌫〬착_x0018_＀＀_x0018_＀＀_x0008_＀＀_x0001_＀＀_x0001_＀＀_xDB23_绹ꁪ䂀뤜兓_x0018_䑔䌭幁䍉䵟䅅彎偅当呌⡇⤰_x0018_＀＀_x0018_＀＀_x0008_＀＀_x0001_＀＀_x0001_＀＀＀＀＀＀＀＀䀞뤜兓_x001F_偞䕟䍘彈䅒䕔唨䑓唬䑓㐬ㄱ㈸Ⱜ〬착_x0018_＀＀_x0018_＀＀_x0008_＀＀_x0001_＀＀_x0001_＀＀＀＀＀＀＀＀㿰뤘兓&amp;䙒䥞彃卅䥔䅍䕔䔨卐䴬䅅ⱎ呑归佒䱌⬬ⰶ⤰_x0018_＀＀_x0018_＀＀_x0008_＀＀_x0001_＀＀_x0001_＀＀䆉⋐㿋뤝兓*偞䕟䍘彈䅒䕔䜨偂唬䑓㐬㈱㘲〮㘴㈱㘲㔸ⰲⰬ⤰_x0018_＀＀_x0018_＀＀_x0008_＀＀_x0001_＀＀_x0001_＀＀⵸ἡ泴㿹뤜兓_x0016_乐幃䍉䵟䅅彎偅当呌⡇⤰_x0018_＀＀_x0018_＀＀_x0008_＀＀_x0001_＀＀_x0001_＀＀ꏗ㵰휊䀚뤛兓+单幂䍉䕟呓䵉呁⡅䕎彔义ⱃ䕍乁儬剔剟䱏ⱌ㘫〬착_x0018_＀＀_x0018_＀＀_x0008_＀＀_x0001_＀＀_x0001_＀＀ꧻ໱䂗뤝兓*偞䕟䍘彈䅒䕔䌨䑁唬䑓㐬㈱㘲〮㘴㈱㘲㔸ⰲⰬ⤰_x0018_＀＀_x0018_＀＀_x0008_＀＀_x0001_＀＀_x0001_＀＀霗뒪㿯뤘兓&amp;䙒䥞彃卅䥔䅍䕔䔨卐䴬䅅ⱎ呑归佒䱌⬬ⰳ⤰_x0018_＀＀_x0018_＀＀_x0008_＀＀_x0001_＀＀_x0001_＀＀탦_xDB22_绹㿊뤙兓'䡆幎䍉䕟呓䵉呁⡅偅ⱓ䕍乁儬剔剟䱏ⱌ㠫〬착_x0018_＀＀_x0018_＀＀_x0008_＀＀_x0001_＀＀_x0001_＀＀炤਽ꏗ㿐뤚兓+单幂䍉䕟呓䵉呁⡅䕎彔义ⱃ䕍乁儬剔剟䱏ⱌ㌫〬착_x0018_＀＀_x0018_＀＀_x0008_＀＀_x0001_＀＀_x0001_＀＀ㄦ榈䂖뤖兓_x001A_乐幃彐䥄卖偟⡄ⰰⰬ∬䥄卖⤢_x0018_＀＀_x0018_＀＀_x0008_＀＀_x0001_＀＀_x0001_＀＀馚香香㿙뤛兓＀Ｏ午䅂䜭幂䍉䕟呓䵉呁⡅䕎彔义ⱃ䕍乁儬剔剟䱏ⱌ㜫〬착_x0018_＀＀_x0018_＀＀_x0008_＀＀_x0001_＀＀_x0001_＀＀豀碵꼝쐕뤗兓2䅓ⵎ卅剞䙇䍟䵏卟午佟呕䕟卐䑟䱉䴨乏〬ⰬⰬⰬ低啁䥄⥔_x0018_＀＀_x0018_＀＀_x0008_＀＀_x0001_＀＀_x0001_＀＀踢煵镗䃄뤜兓-午䅂䜭幂䍉䕟呓䵉呁⡅䕎彔义ⱃ䕍乁䄬乎⬬〲㌱〬착_x0018_＀＀_x0018_＀＀_x0008_＀＀_x0001_＀＀_x0001_＀＀㵱휊˓䃒뤙兓%䉂幔䍉䕟呓䵉呁⡅偅ⱓ䕍乁䄬乎⬬〲㐱〬착_x0018_＀＀_x0018_＀＀_x0008_＀＀_x0001_＀＀_x0001_＀＀䷒ၢ䀉뤘兓'䡆幎䍉䕟呓䵉呁⡅偅ⱓ䕍乁儬剔剟䱏ⱌ㔫〬착_x0018_＀＀_x0018_＀＀_x0008_＀＀_x0001_＀＀_x0001_＀＀㽼帵㿊뤛兓*䙒䥞彃卅䥔䅍䕔丨呅䥟䍎䴬䅅ⱎ呑归佒䱌⬬ⰸ⤰_x0018_＀＀_x0018_＀＀_x0008_＀＀_x0001_＀＀_x0001_＀＀ొ⬂窇䁲뤜兓,䅓ⵎ卅䥞彃卅䥔䅍䕔丨呅䥟䍎䴬䅅ⱎ乁ⱎ㈫㄰ⰵ⤰_x0018_＀＀_x0018_＀＀_x0008_＀＀_x0001_＀＀_x0001_＀＀틲才ॠ䃁뤚兓＀Ｏ午䅂䜭幂䍉䕟呓䵉呁⡅䕎彔义ⱃ䕍乁儬剔剟䱏ⱌ㐫〬착_x0018_＀＀_x0018_＀＀_x0008_＀＀_x0001_＀＀_x0001_＀＀豀碵꼝쐕뤖兓_x0018_午䅂䜭幂彐佃彍䡓当問⡔⤰_x0018_＀＀_x0018_＀＀_x0008_＀＀_x0001_＀＀_x0001_＀＀＀＀＀＀ഠ䃒뤘兓'䡆幎䍉䕟呓䵉呁⡅偅ⱓ䕍乁儬剔剟䱏ⱌ㈫〬착_x0018_＀＀_x0018_＀＀_x0008_＀＀_x0001_＀＀_x0001_＀＀틲才堐㿉뤛兓*䙒䥞彃卅䥔䅍䕔丨呅䥟䍎䴬䅅ⱎ呑归佒䱌⬬ⰵ⤰_x0018_＀＀_x0018_＀＀_x0008_＀＀_x0001_＀＀_x0001_＀＀ᑻ䞮훡䁰뤘兓'䉂幔䍉䕟呓䵉呁⡅偅ⱓ䕍乁儬剔剟䱏ⱌ㘫〬착_x0018_＀＀_x0018_＀＀_x0008_＀＀_x0001_＀＀_x0001_＀＀娝㭤俟㿩뤖兓_x0015_㌸㘰偞䍟䵏卟午佟呕〨착_x0018_＀＀_x0018_＀＀_x0008_＀＀_x0001_＀＀_x0001_＀＀䦻Ȍꝋ䃋뤚兓＀Ｏ午䅂䜭幂䍉䕟呓䵉呁⡅䕎彔义ⱃ䕍乁儬剔剟䱏ⱌㄫ〬착_x0018_＀＀_x0018_＀＀_x0008_＀＀_x0001_＀＀_x0001_＀＀豀碵꼝쐕뤚兓*䙒䥞彃卅䥔䅍䕔丨呅䥟䍎䴬䅅ⱎ呑归佒䱌⬬ⰲ⤰_x0018_＀＀_x0018_＀＀_x0008_＀＀_x0001_＀＀_x0001_＀＀沋ﯧީ䁲뤘兓+午䅂䜭幂䍉䕟呓䵉呁⡅偅ⱓ䕍乁儬剔剟䱏ⱌ㘫〬착_x0018_＀＀_x0018_＀＀_x0008_＀＀_x0001_＀＀_x0001_＀＀豀碵꼝쐕뤘兓'䉂幔䍉䕟呓䵉呁⡅偅ⱓ䕍乁儬剔剟䱏ⱌ㌫〬착_x0018_＀＀_x0018_＀＀_x0008_＀＀_x0001_＀＀_x0001_＀＀컙号ꗣ㿧뤛兓+呓幉䍉䕟呓䵉呁⡅䕎彔义ⱃ䕍乁儬剔剟䱏ⱌ㜫〬착_x0018_＀＀_x0018_＀＀_x0008_＀＀_x0001_＀＀_x0001_＀＀눭겧䁹뤛兓.䅓ⵎ卅䥞彃卅䥔䅍䕔丨呅䥟䍎䴬䅅ⱎ呑归佒䱌⬬ⰶ⤰_x0018_＀＀_x0018_＀＀_x0008_＀＀_x0001_＀＀_x0001_＀＀豀碵꼝쐕뤜兓)呓幉䍉䕟呓䵉呁⡅䕎彔义ⱃ䕍乁䄬乎⬬〲㐱〬착_x0018_＀＀_x0018_＀＀_x0008_＀＀_x0001_＀＀_x0001_＀＀눭䮧䂘뤘兓+午䅂䜭幂䍉䕟呓䵉呁⡅偅ⱓ䕍乁儬剔剟䱏ⱌ㌫〬착_x0018_＀＀_x0018_＀＀_x0008_＀＀_x0001_＀＀_x0001_＀＀豀碵꼝쐕뤘兓'乐幃䍉䕟呓䵉呁⡅偅ⱓ䕍乁儬剔剟䱏ⱌ㘫〬착_x0018_＀＀_x0018_＀＀_x0008_＀＀_x0001_＀＀_x0001_＀＀쒜뀠桲㿻뤖兓_x0014_䡆幎彐佃彍䡓当問⡔⤰_x0018_＀＀_x0018_＀＀_x0008_＀＀_x0001_＀＀_x0001_＀＀삃ꇊ㩅䁮뤜兓)单幂䍉䕟呓䵉呁⡅䕎彔义ⱃ䕍乁䄬乎⬬〲㐱〬착_x0018_＀＀_x0018_＀＀_x0008_＀＀_x0001_＀＀_x0001_＀＀鶲꟯ᮆ䂷뤚兓+呓幉䍉䕟呓䵉呁⡅䕎彔义ⱃ䕍乁儬剔剟䱏ⱌ㐫〬착_x0018_＀＀_x0018_＀＀_x0008_＀＀_x0001_＀＀_x0001_＀＀삃ꇊ홅䁷뤚兓.䅓ⵎ卅䥞彃卅䥔䅍䕔丨呅䥟䍎䴬䅅ⱎ呑归佒䱌⬬ⰳ⤰_x0018_＀＀_x0018_＀＀_x0008_＀＀_x0001_＀＀_x0001_＀＀鞍ቮﰃ䂕뤙兓&amp;㌸㘰䥞彃卅䥔䅍䕔䔨卐䴬䅅ⱎ乁ⱎ㈫㄰ⰵ⤰_x0018_＀＀_x0018_＀＀_x0008_＀＀_x0001_＀＀_x0001_＀＀＀＀＀＀䀀䁌뤖兓_x0017_䑔䌭幁彐啃剒久奃∨卉≏착_x0014_＀＀_x0018_＀＀_x0004_＀＀_x0001_＀＀_x0008_＀＀䅃D뤘兓'乐幃䍉䕟呓䵉呁⡅偅ⱓ䕍乁儬剔剟䱏ⱌ㌫〬착_x0018_＀＀_x0018_＀＀_x0008_＀＀_x0001_＀＀_x0001_＀＀욨㝋䆉㿺뤖兓_x001C_䙒偞偟䥒䕃㐨㈱㘲〮㘴㈱㘲㔸⤲_x0018_＀＀_x0018_＀＀_x0008_＀＀_x0001_＀＀_x0001_＀＀쳍쳌쳌䀙뤙兓(䅓ⵎ卅䥞彃卅䥔䅍䕔䔨卐䴬䅅ⱎ乁ⱎ㈫㄰ⰵ⤰_x0018_＀＀_x0018_＀＀_x0008_＀＀_x0001_＀＀_x0001_＀＀휊炣਽㿧뤚兓+呓幉䍉䕟呓䵉呁⡅䕎彔义ⱃ䕍乁儬剔剟䱏ⱌㄫ〬착_x0018_＀＀_x0018_＀＀_x0008_＀＀_x0001_＀＀_x0001_＀＀꟰䯆_xDF37_䁴뤙兓)䑔䌭幁䍉䕟呓䵉呁⡅偅ⱓ䕍乁儬剔剟䱏ⱌ㜫〬착_x0018_＀＀_x0018_＀＀_x0008_＀＀_x0001_＀＀_x0001_＀＀䖢퓽䀀뤘兓(㌸㘰䥞彃卅䥔䅍䕔䔨卐䴬䅅ⱎ呑归佒䱌⬬ⰷ⤰_x0018_＀＀_x0018_＀＀_x0008_＀＀_x0001_＀＀_x0001_＀＀豀碵꼝쐕뤙兓'呓幉䍉䕟呓䵉呁⡅偅ⱓ䕍乁儬剔剟䱏ⱌ㠫〬착_x0018_＀＀_x0018_＀＀_x0008_＀＀_x0001_＀＀_x0001_＀＀蔟凫Ẹ㿩뤘兓'单幂䍉䕟呓䵉呁⡅偅ⱓ䕍乁儬剔剟䱏ⱌ㜫〬착_x0018_＀＀_x0018_＀＀_x0008_＀＀_x0001_＀＀_x0001_＀＀俟鞍ቮ㿫뤘兓)䑔䌭幁䍉䕟呓䵉呁⡅偅ⱓ䕍乁儬剔剟䱏ⱌ㐫〬착_x0018_＀＀_x0018_＀＀_x0008_＀＀_x0001_＀＀_x0001_＀＀Й๖눭䀀뤘兓(㌸㘰䥞彃卅䥔䅍䕔䔨卐䴬䅅ⱎ呑归佒䱌⬬ⰴ⤰_x0018_＀＀_x0018_＀＀_x0008_＀＀_x0001_＀＀_x0001_＀＀豀碵꼝쐕뤘兓'呓幉䍉䕟呓䵉呁⡅偅ⱓ䕍乁儬剔剟䱏ⱌ㔫〬착_x0018_＀＀_x0018_＀＀_x0008_＀＀_x0001_＀＀_x0001_＀＀ﷴ磔⛩㿥뤘兓'单幂䍉䕟呓䵉呁⡅偅ⱓ䕍乁儬剔剟䱏ⱌ㐫〬착_x0018_＀＀_x0018_＀＀_x0008_＀＀_x0001_＀＀_x0001_＀＀蔟凫Ẹ㿩뤙兓%呓幉䍉䕟呓䵉呁⡅偅ⱓ䕍乁䄬乎⬬〲㐱〬착_x0018_＀＀_x0018_＀＀_x0008_＀＀_x0001_＀＀_x0001_＀＀率橾璼䀇뤘兓)䑔䌭幁䍉䕟呓䵉呁⡅偅ⱓ䕍乁儬剔剟䱏ⱌㄫ〬착_x0018_＀＀_x0018_＀＀_x0008_＀＀_x0001_＀＀_x0001_＀＀堑됹盈㿾뤘兓(㌸㘰䥞彃卅䥔䅍䕔䔨卐䴬䅅ⱎ呑归佒䱌⬬ⰱ⤰_x0018_＀＀_x0018_＀＀_x0008_＀＀_x0001_＀＀_x0001_＀＀蔟凫庸䀬뤘兓'呓幉䍉䕟呓䵉呁⡅偅ⱓ䕍乁儬剔剟䱏ⱌ㈫〬착_x0018_＀＀_x0018_＀＀_x0008_＀＀_x0001_＀＀_x0001_＀＀꟰䯆褷㿥뤘兓'单幂䍉䕟呓䵉呁⡅偅ⱓ䕍乁儬剔剟䱏ⱌㄫ〬착_x0018_＀＀_x0018_＀＀_x0008_＀＀_x0001_＀＀_x0001_＀＀롑蔞㿧뤖兓_x0015_单幂彐啃剒久奃∨卉≏착_x0014_＀＀_x0018_＀＀_x0004_＀＀_x0001_＀＀_x0008_＀＀单D뤜兓(䙒䥞彃卅䥔䅍䕔丨呅䥟䍎䴬䅅ⱎ乁ⱎ㈫㄰ⰳ⤰_x0018_＀＀_x0018_＀＀_x0008_＀＀_x0001_＀＀_x0001_＀＀ꇋ뙅_xFFFF_ｳ䂑뤙兓%单幂䍉䕟呓䵉呁⡅偅ⱓ䕍乁䄬乎⬬〲㌱〬착_x0018_＀＀_x0018_＀＀_x0008_＀＀_x0001_＀＀_x0001_＀＀إ閁譃䀈뤖兓_x0014_乐幃彐佃彍䡓当問⡔⤰_x0018_＀＀_x0018_＀＀_x0008_＀＀_x0001_＀＀_x0001_＀＀긕荺䂀뤛兓+䡆幎䍉䕟呓䵉呁⡅䕎彔义ⱃ䕍乁儬剔剟䱏ⱌ㠫〬착_x0018_＀＀_x0018_＀＀_x0008_＀＀_x0001_＀＀_x0001_＀＀㌳㌳䌳䁎뤛兓,㌸㘰䥞彃卅䥔䅍䕔丨呅䥟䍎䴬䅅ⱎ呑归佒䱌⬬ⰷ⤰_x0018_＀＀_x0018_＀＀_x0008_＀＀_x0001_＀＀_x0001_＀＀豀碵꼝쐕뤙兓)午䅂䜭幂䍉䕟呓䵉呁⡅偅ⱓ䕍乁䄬乎⬬〲㌱〬착_x0018_＀＀_x0018_＀＀_x0008_＀＀_x0001_＀＀_x0001_＀＀㌳㌳㌳㿯뤛兓+䡆幎䍉䕟呓䵉呁⡅䕎彔义ⱃ䕍乁儬剔剟䱏ⱌ㔫〬착_x0018_＀＀_x0018_＀＀_x0008_＀＀_x0001_＀＀_x0001_＀＀㌳㌳茳䁈뤛兓,㌸㘰䥞彃卅䥔䅍䕔丨呅䥟䍎䴬䅅ⱎ呑归佒䱌⬬ⰴ⤰_x0018_＀＀_x0018_＀＀_x0008_＀＀_x0001_＀＀_x0001_＀＀豀碵꼝쐕뤙兓%䡆幎䍉䕟呓䵉呁⡅偅ⱓ䕍乁䄬乎⬬〲㔱〬착_x0018_＀＀_x0018_＀＀_x0008_＀＀_x0001_＀＀_x0001_＀＀橿璼ᢓ㿰뤝兓*偞䕟䍘彈䅒䕔唨䑓唬䑓㐬㈱㘲〮㘴㈱㘲㔸ⰲⰬ⤰_x0018_＀＀_x0018_＀＀_x0008_＀＀_x0001_＀＀_x0001_＀＀＀＀＀＀＀＀㿰뤜兓)乐幃䍉䕟呓䵉呁⡅䕎彔义ⱃ䕍乁䄬乎⬬〲㐱〬착_x0018_＀＀_x0018_＀＀_x0008_＀＀_x0001_＀＀_x0001_＀＀糮㔿䜞䂬뤙兓*䅓ⵎ卅䥞彃卅䥔䅍䕔䔨卐䴬䅅ⱎ呑归佒䱌⬬ⰷ⤰_x0018_＀＀_x0018_＀＀_x0008_＀＀_x0001_＀＀_x0001_＀＀豀碵꼝쐕뤚兓+䡆幎䍉䕟呓䵉呁⡅䕎彔义ⱃ䕍乁儬剔剟䱏ⱌ㈫〬착_x0018_＀＀_x0018_＀＀_x0008_＀＀_x0001_＀＀_x0001_＀＀ᑻ䞮⫡䁇뤚兓,㌸㘰䥞彃卅䥔䅍䕔丨呅䥟䍎䴬䅅ⱎ呑归佒䱌⬬ⰱ⤰_x0018_＀＀_x0018_＀＀_x0008_＀＀_x0001_＀＀_x0001_＀＀＀＀＀＀뷠䄆뤜兓_x0016_单幂䍉䵟䅅彎偅当呌⡇⤰_x0018_＀＀_x0018_＀＀_x0008_＀＀_x0001_＀＀_x0001_＀＀꟰䯆䤷䀥뤘兓*䅓ⵎ卅䥞彃卅䥔䅍䕔䔨卐䴬䅅ⱎ呑归佒䱌⬬ⰴ⤰_x0018_＀＀_x0018_＀＀_x0008_＀＀_x0001_＀＀_x0001_＀＀쒜뀠桲㿁뤜兓)䡆幎䍉䕟呓䵉呁⡅䕎彔义ⱃ䕍乁䄬乎⬬〲㌱〬착_x0018_＀＀_x0018_＀＀_x0008_＀＀_x0001_＀＀_x0001_＀＀㽽帵䁧뤖兓_x0014_䉂幔彐佃彍䡓当問⡔⤰_x0018_＀＀_x0018_＀＀_x0008_＀＀_x0001_＀＀_x0001_＀＀Й๖_xDF2D_䂅뤜兓*㌸㘰䥞彃卅䥔䅍䕔丨呅䥟䍎䴬䅅ⱎ乁ⱎ㈫㄰ⰳ⤰_x0018_＀＀_x0018_＀＀_x0008_＀＀_x0001_＀＀_x0001_＀＀＀＀＀＀툠䄥뤛兓-䑔䌭幁䍉䕟呓䵉呁⡅䕎彔义ⱃ䕍乁儬剔剟䱏ⱌ㘫〬착_x0018_＀＀_x0018_＀＀_x0008_＀＀_x0001_＀＀_x0001_＀＀ẹ훑䂟뤙兓%乐幃䍉䕟呓䵉呁⡅偅ⱓ䕍乁䄬乎⬬〲㐱〬착_x0018_＀＀_x0018_＀＀_x0008_＀＀_x0001_＀＀_x0001_＀＀⬂ᚇ仙䀛뤙兓$䙒䥞彃卅䥔䅍䕔䔨卐䴬䅅ⱎ乁ⱎ㈫㄰ⰵ⤰_x0018_＀＀_x0018_＀＀_x0008_＀＀_x0001_＀＀_x0001_＀＀ꧼ틱才㿬뤘兓*䅓ⵎ卅䥞彃卅䥔䅍䕔䔨卐䴬䅅ⱎ呑归佒䱌⬬ⰱ⤰_x0018_＀＀_x0018_＀＀_x0008_＀＀_x0001_＀＀_x0001_＀＀빷᪟_xDD2F_㿄뤖兓_x0015_呓幉彐啃剒久奃∨卉≏착_x0014_＀＀_x0018_＀＀_x0004_＀＀_x0001_＀＀_x0008_＀＀单D뤖兓_x001D_䉂幔彐剐䍉⡅ㄴ㈲⸶㐰ㄶ㈲㠶㈵착_x0018_＀＀_x0018_＀＀_x0008_＀＀_x0001_＀＀_x0001_＀＀㌳㌳猳䀻뤖兓_x0015_䡆幎彐啃剒久奃∨卉≏착_x0014_＀＀_x0018_＀＀_x0004_＀＀_x0001_＀＀_x0008_＀＀单D뤖兓_x0013_䙒偞䍟䵏卟午佟呕〨착_x0018_＀＀_x0018_＀＀_x0008_＀＀_x0001_＀＀_x0001_＀＀赐溗ᖒ䂖뤚兓-䑔䌭幁䍉䕟呓䵉呁⡅䕎彔义ⱃ䕍乁儬剔剟䱏ⱌ㌫〬착_x0018_＀＀_x0018_＀＀_x0008_＀＀_x0001_＀＀_x0001_＀＀蔟凫릸䂜뤜兓)䉂幔䍉䕟呓䵉呁⡅䕎彔义ⱃ䕍乁䄬乎⬬〲㐱〬착_x0018_＀＀_x0018_＀＀_x0008_＀＀_x0001_＀＀_x0001_＀＀슏⣵韜䂡뤛兓+乐幃䍉䕟呓䵉呁⡅䕎彔义ⱃ䕍乁儬剔剟䱏ⱌ㜫〬착_x0018_＀＀_x0018_＀＀_x0008_＀＀_x0001_＀＀_x0001_＀＀๖눭좝䂌뤛兓+䉂幔䍉䕟呓䵉呁⡅䕎彔义ⱃ䕍乁儬剔剟䱏ⱌ㜫〬착_x0018_＀＀_x0018_＀＀_x0008_＀＀_x0001_＀＀_x0001_＀＀＀＀＀＀蠀䂂뤜兓_x0015_䙒䥞彃䕍乁䕟卐䱟䝔〨착_x0018_＀＀_x0018_＀＀_x0008_＀＀_x0001_＀＀_x0001_＀＀㌳㌳㌳䀚뤚兓+乐幃䍉䕟呓䵉呁⡅䕎彔义ⱃ䕍乁儬剔剟䱏ⱌ㐫〬착_x0018_＀＀_x0018_＀＀_x0008_＀＀_x0001_＀＀_x0001_＀＀눭盛䂋뤚兓+䉂幔䍉䕟呓䵉呁⡅䕎彔义ⱃ䕍乁儬剔剟䱏ⱌ㐫〬착_x0018_＀＀_x0018_＀＀_x0008_＀＀_x0001_＀＀_x0001_＀＀_xDB23_绹㩪䂁뤖兓_x001B_㌸㘰偞䑟噉当䑐〨ⰬⰬ䐢噉≓착_x0018_＀＀_x0018_＀＀_x0008_＀＀_x0001_＀＀_x0001_＀＀＀＀＀＀＀＀䀘뤜兓+䑔䌭幁䍉䕟呓䵉呁⡅䕎彔义ⱃ䕍乁䄬乎⬬〲㌱〬착_x0018_＀＀_x0018_＀＀_x0008_＀＀_x0001_＀＀_x0001_＀＀슐⣵⛼䂼뤗兓＀Ｏ䡆幎䝒彆佃彍䡓当問彔偅当䥄⡌位ⱎⰰⰬⰬ丬䅏䑕呉착_x0018_＀＀_x0018_＀＀_x0008_＀＀_x0001_＀＀_x0001_＀＀䦺Ȍଫ䁯뤘兓&amp;䙒䥞彃卅䥔䅍䕔䔨卐䴬䅅ⱎ呑归佒䱌⬬ⰷ⤰_x0018_＀＀_x0018_＀＀_x0008_＀＀_x0001_＀＀_x0001_＀＀尩슏⣵㿌뤙兓'䑔䌭幁䍉䕟呓䵉呁⡅偅ⱓ䕍乁䄬乎⬬〲㌱〬착_x0018_＀＀_x0018_＀＀_x0008_＀＀_x0001_＀＀_x0001_＀＀凬Ẹ殅䀟뤗兓0㌸㘰剞䙇䍟䵏卟午佟呕䕟卐䑟䱉䴨乏〬ⰬⰬⰬ低啁䥄⥔_x0018_＀＀_x0018_＀＀_x0008_＀＀_x0001_＀＀_x0001_＀＀蔟凫굸䃋뤚兓+乐幃䍉䕟呓䵉呁⡅䕎彔义ⱃ䕍乁儬剔剟䱏ⱌㄫ〬착_x0018_＀＀_x0018_＀＀_x0008_＀＀_x0001_＀＀_x0001_＀＀긕湺䂊뤚兓+䉂幔䍉䕟呓䵉呁⡅䕎彔义ⱃ䕍乁儬剔剟䱏ⱌㄫ〬착_x0018_＀＀_x0018_＀＀_x0008_＀＀_x0001_＀＀_x0001_＀＀脆䎕䁼뤛兓+单幂䍉䕟呓䵉呁⡅䕎彔义ⱃ䕍乁儬剔剟䱏ⱌ㜫〬착_x0018_＀＀_x0018_＀＀_x0008_＀＀_x0001_＀＀_x0001_＀＀娝㭤鯟䂗뤖兓_x001D_呓幉彐剐䍉⡅ㄴ㈲⸶㐰ㄶ㈲㠶㈵착_x0018_＀＀_x0018_＀＀_x0008_＀＀_x0001_＀＀_x0001_＀＀凬Ẹ⮅䀺뤖兓_x001D_䡆幎彐剐䍉⡅ㄴ㈲⸶㐰ㄶ㈲㠶㈵착_x0018_＀＀_x0018_＀＀_x0008_＀＀_x0001_＀＀_x0001_＀＀롒蔞凫䀢뤘兓&amp;䙒䥞彃卅䥔䅍䕔䔨卐䴬䅅ⱎ呑归佒䱌⬬ⰴ⤰_x0018_＀＀_x0018_＀＀_x0008_＀＀_x0001_＀＀_x0001_＀＀竡긔㿊뤖兓_x001E_午䅂䜭幂彐䥄卖偟⡄ⰰⰬ∬䥄卖⤢_x0018_＀＀_x0018_＀＀_x0008_＀＀_x0001_＀＀_x0001_＀＀댑獵㾾뤚兓+单幂䍉䕟呓䵉呁⡅䕎彔义ⱃ䕍乁儬剔剟䱏ⱌ㐫〬착_x0018_＀＀_x0018_＀＀_x0008_＀＀_x0001_＀＀_x0001_＀＀竡긔毇䂖뤛兓＀Ｏ午䅂䜭幂䍉䕟呓䵉呁⡅䕎彔义ⱃ䕍乁儬剔剟䱏ⱌ㠫〬착_x0018_＀＀_x0018_＀＀_x0008_＀＀_x0001_＀＀_x0001_＀＀豀碵꼝쐕뤘兓&amp;䙒䥞彃卅䥔䅍䕔䔨卐䴬䅅ⱎ呑归佒䱌⬬ⰱ⤰_x0018_＀＀_x0018_＀＀_x0008_＀＀_x0001_＀＀_x0001_＀＀⣶轜㿈뤜兓-午䅂䜭幂䍉䕟呓䵉呁⡅䕎彔义ⱃ䕍乁䄬乎⬬〲㐱〬착_x0018_＀＀_x0018_＀＀_x0008_＀＀_x0001_＀＀_x0001_＀＀슏⣵戼䃔뤙兓%䉂幔䍉䕟呓䵉呁⡅偅ⱓ䕍乁䄬乎⬬〲㔱〬착_x0018_＀＀_x0018_＀＀_x0008_＀＀_x0001_＀＀_x0001_＀＀司ꗣ쒛䀊뤘兓'䡆幎䍉䕟呓䵉呁⡅偅ⱓ䕍乁儬剔剟䱏ⱌ㘫〬착_x0018_＀＀_x0018_＀＀_x0008_＀＀_x0001_＀＀_x0001_＀＀ꧻ틱㿍뤝兓_x001F_偞䕟䍘彈䅒䕔䨨奐唬䑓㐬ㄱ㈸Ⱜ〬착_x0018_＀＀_x0018_＀＀_x0008_＀＀_x0001_＀＀_x0001_＀＀⣭詒勫㾊뤖兓_x0015_乐幃彐啃剒久奃∨卉≏착_x0014_＀＀_x0018_＀＀_x0004_＀＀_x0001_＀＀_x0008_＀＀单D뤚兓+单幂䍉䕟呓䵉呁⡅䕎彔义ⱃ䕍乁儬剔剟䱏ⱌㄫ〬착_x0018_＀＀_x0018_＀＀_x0008_＀＀_x0001_＀＀_x0001_＀＀ꇋ뙅豳䂕뤖兓_x001A_䉂幔彐䥄卖偟⡄ⰰⰬ∬䥄卖⤢_x0018_＀＀_x0018_＀＀_x0008_＀＀_x0001_＀＀_x0001_＀＀㵱휊炣㿍뤛兓＀Ｏ午䅂䜭幂䍉䕟呓䵉呁⡅䕎彔义ⱃ䕍乁儬剔剟䱏ⱌ㔫〬착_x0018_＀＀_x0018_＀＀_x0008_＀＀_x0001_＀＀_x0001_＀＀豀碵꼝쐕뤘兓'䡆幎䍉䕟呓䵉呁⡅偅ⱓ䕍乁儬剔剟䱏ⱌ㌫〬착_x0018_＀＀_x0018_＀＀_x0008_＀＀_x0001_＀＀_x0001_＀＀컙号ꗣ㿋뤗兓＀Ｏ乐幃䝒彆佃彍䡓当問彔偅当䥄⡌位ⱎⰰⰬⰬ丬䅏䑕呉착_x0018_＀＀_x0018_＀＀_x0008_＀＀_x0001_＀＀_x0001_＀＀＀＀＀＀蠀䂀뤛兓*䙒䥞彃卅䥔䅍䕔丨呅䥟䍎䴬䅅ⱎ呑归佒䱌⬬ⰶ⤰_x0018_＀＀_x0018_＀＀_x0008_＀＀_x0001_＀＀_x0001_＀＀㕀멞쁉䁱뤘兓'䉂幔䍉䕟呓䵉呁⡅偅ⱓ䕍乁儬剔剟䱏ⱌ㜫〬착_x0018_＀＀_x0018_＀＀_x0008_＀＀_x0001_＀＀_x0001_＀＀_xD917_㿩뤜兓,䅓ⵎ卅䥞彃卅䥔䅍䕔丨呅䥟䍎䴬䅅ⱎ乁ⱎ㈫㄰ⰳ⤰_x0018_＀＀_x0018_＀＀_x0008_＀＀_x0001_＀＀_x0001_＀＀_xD917_毓䂸뤚兓＀Ｏ午䅂䜭幂䍉䕟呓䵉呁⡅䕎彔义ⱃ䕍乁儬剔剟䱏ⱌ㈫〬착_x0018_＀＀_x0018_＀＀_x0008_＀＀_x0001_＀＀_x0001_＀＀豀碵꼝쐕뤚兓*䙒䥞彃卅䥔䅍䕔丨呅䥟䍎䴬䅅ⱎ呑归佒䱌⬬ⰳ⤰_x0018_＀＀_x0018_＀＀_x0008_＀＀_x0001_＀＀_x0001_＀＀䷒Ṣ䁲뤘兓+午䅂䜭幂䍉䕟呓䵉呁⡅偅ⱓ䕍乁儬剔剟䱏ⱌ㜫〬착_x0018_＀＀_x0018_＀＀_x0008_＀＀_x0001_＀＀_x0001_＀＀豀碵꼝쐕뤖兓_x001E_㌸㘰偞偟䥒䕃㐨㈱㘲〮㘴㈱㘲㔸⤲_x0018_＀＀_x0018_＀＀_x0008_＀＀_x0001_＀＀_x0001_＀＀＀＀＀＀䁵뤖兓_x001F_䑔䌭幁彐剐䍉⡅ㄴ㈲⸶㐰ㄶ㈲㠶㈵착_x0018_＀＀_x0018_＀＀_x0008_＀＀_x0001_＀＀_x0001_＀＀ꏗ㵰ᜊ䁔뤘兓'䉂幔䍉䕟呓䵉呁⡅偅ⱓ䕍乁儬剔剟䱏ⱌ㐫〬착_x0018_＀＀_x0018_＀＀_x0008_＀＀_x0001_＀＀_x0001_＀＀ᑻ䞮竡㿨뤛兓+呓幉䍉䕟呓䵉呁⡅䕎彔义ⱃ䕍乁儬剔剟䱏ⱌ㠫〬착_x0018_＀＀_x0018_＀＀_x0008_＀＀_x0001_＀＀_x0001_＀＀⃅犰퍨䁺뤛兓.䅓ⵎ卅䥞彃卅䥔䅍䕔丨呅䥟䍎䴬䅅ⱎ呑归佒䱌⬬ⰷ⤰_x0018_＀＀_x0018_＀＀_x0008_＀＀_x0001_＀＀_x0001_＀＀豀碵꼝쐕뤜兓)呓幉䍉䕟呓䵉呁⡅䕎彔义ⱃ䕍乁䄬乎⬬〲㔱〬착_x0018_＀＀_x0018_＀＀_x0008_＀＀_x0001_＀＀_x0001_＀＀Ẹࡑ䂚뤘兓+午䅂䜭幂䍉䕟呓䵉呁⡅偅ⱓ䕍乁儬剔剟䱏ⱌ㐫〬착_x0018_＀＀_x0018_＀＀_x0008_＀＀_x0001_＀＀_x0001_＀＀豀碵꼝쐕뤘兓'䉂幔䍉䕟呓䵉呁⡅偅ⱓ䕍乁儬剔剟䱏ⱌㄫ〬착_x0018_＀＀_x0018_＀＀_x0008_＀＀_x0001_＀＀_x0001_＀＀쒜뀠桲㿥뤘兓'乐幃䍉䕟呓䵉呁⡅偅ⱓ䕍乁儬剔剟䱏ⱌ㜫〬착_x0018_＀＀_x0018_＀＀_x0008_＀＀_x0001_＀＀_x0001_＀＀譄ꧻ㿻뤖兓_x001D_䅓ⵎ卅偞䑟噉当䑐〨ⰬⰬ䐢噉≓착_x0018_＀＀_x0018_＀＀_x0008_＀＀_x0001_＀＀_x0001_＀＀垓ᣧ붐㾾뤜兓)单幂䍉䕟呓䵉呁⡅䕎彔义ⱃ䕍乁䄬乎⬬〲㔱〬착_x0018_＀＀_x0018_＀＀_x0008_＀＀_x0001_＀＀_x0001_＀＀绺뱪_xFFFF_￴䂷뤛兓+呓幉䍉䕟呓䵉呁⡅䕎彔义ⱃ䕍乁儬剔剟䱏ⱌ㔫〬착_x0018_＀＀_x0018_＀＀_x0008_＀＀_x0001_＀＀_x0001_＀＀탦_xDB22_勹䁶뤛兓.䅓ⵎ卅䥞彃卅䥔䅍䕔丨呅䥟䍎䴬䅅ⱎ呑归佒䱌⬬ⰴ⤰_x0018_＀＀_x0018_＀＀_x0008_＀＀_x0001_＀＀_x0001_＀＀鞍ቮ䂕뤝兓_x001F_偞䕟䍘彈䅒䕔䔨剕唬䑓㐬ㄱ㈸Ⱜ〬착_x0018_＀＀_x0018_＀＀_x0008_＀＀_x0001_＀＀_x0001_＀＀_xDD2F_ؤ閁㿴뤘兓+午䅂䜭幂䍉䕟呓䵉呁⡅偅ⱓ䕍乁儬剔剟䱏ⱌㄫ〬착_x0018_＀＀_x0018_＀＀_x0008_＀＀_x0001_＀＀_x0001_＀＀豀碵꼝쐕뤘兓'乐幃䍉䕟呓䵉呁⡅偅ⱓ䕍乁儬剔剟䱏ⱌ㐫〬착_x0018_＀＀_x0018_＀＀_x0008_＀＀_x0001_＀＀_x0001_＀＀ొ⬂ᚇ㿻뤖兓_x001A_单幂彐䥄卖偟⡄ⰰⰬ∬䥄卖⤢_x0018_＀＀_x0018_＀＀_x0008_＀＀_x0001_＀＀_x0001_＀＀⣶轜㿈뤚兓+呓幉䍉䕟呓䵉呁⡅䕎彔义ⱃ䕍乁儬剔剟䱏ⱌ㈫〬착_x0018_＀＀_x0018_＀＀_x0008_＀＀_x0001_＀＀_x0001_＀＀馚香랙䁶뤙兓)䑔䌭幁䍉䕟呓䵉呁⡅偅ⱓ䕍乁儬剔剟䱏ⱌ㠫〬착_x0018_＀＀_x0018_＀＀_x0008_＀＀_x0001_＀＀_x0001_＀＀⣶轜䀁뤚兓.䅓ⵎ卅䥞彃卅䥔䅍䕔丨呅䥟䍎䴬䅅ⱎ呑归佒䱌⬬ⰱ⤰_x0018_＀＀_x0018_＀＀_x0008_＀＀_x0001_＀＀_x0001_＀＀鞍ቮ_x0003_䂖뤙兓&amp;㌸㘰䥞彃卅䥔䅍䕔䔨卐䴬䅅ⱎ乁ⱎ㈫㄰ⰳ⤰_x0018_＀＀_x0018_＀＀_x0008_＀＀_x0001_＀＀_x0001_＀＀磕⛩࠱䁉뤙兓(㌸㘰䥞彃卅䥔䅍䕔䔨卐䴬䅅ⱎ呑归佒䱌⬬ⰸ⤰_x0018_＀＀_x0018_＀＀_x0008_＀＀_x0001_＀＀_x0001_＀＀豀碵꼝쐕뤙兓'单幂䍉䕟呓䵉呁⡅偅ⱓ䕍乁儬剔剟䱏ⱌ㠫〬착_x0018_＀＀_x0018_＀＀_x0008_＀＀_x0001_＀＀_x0001_＀＀䞮竡긔㿫뤘兓'乐幃䍉䕟呓䵉呁⡅偅ⱓ䕍乁儬剔剟䱏ⱌㄫ〬착_x0018_＀＀_x0018_＀＀_x0008_＀＀_x0001_＀＀_x0001_＀＀휊炣਽㿹뤙兓(䅓ⵎ卅䥞彃卅䥔䅍䕔䔨卐䴬䅅ⱎ乁ⱎ㈫㄰ⰳ⤰_x0018_＀＀_x0018_＀＀_x0008_＀＀_x0001_＀＀_x0001_＀＀_xDF3C_赏溗㿢뤘兓)䑔䌭幁䍉䕟呓䵉呁⡅偅ⱓ䕍乁儬剔剟䱏ⱌ㔫〬착_x0018_＀＀_x0018_＀＀_x0008_＀＀_x0001_＀＀_x0001_＀＀䆉⋐䀀뤘兓(㌸㘰䥞彃卅䥔䅍䕔䔨卐䴬䅅ⱎ呑归佒䱌⬬ⰵ⤰_x0018_＀＀_x0018_＀＀_x0008_＀＀_x0001_＀＀_x0001_＀＀豀碵꼝쐕뤘兓'呓幉䍉䕟呓䵉呁⡅偅ⱓ䕍乁儬剔剟䱏ⱌ㘫〬착_x0018_＀＀_x0018_＀＀_x0008_＀＀_x0001_＀＀_x0001_＀＀퓽㿦뤘兓'单幂䍉䕟呓䵉呁⡅偅ⱓ䕍乁儬剔剟䱏ⱌ㔫〬착_x0018_＀＀_x0018_＀＀_x0008_＀＀_x0001_＀＀_x0001_＀＀᪠_xDD2F_ؤ㿩뤖兓_x0014_单幂彐佃彍䡓当問⡔⤰_x0018_＀＀_x0018_＀＀_x0008_＀＀_x0001_＀＀_x0001_＀＀⼛ⓝ 䂝뤙兓%呓幉䍉䕟呓䵉呁⡅偅ⱓ䕍乁䄬乎⬬〲㔱〬착_x0018_＀＀_x0018_＀＀_x0008_＀＀_x0001_＀＀_x0001_＀＀롒蔞凫䀊뤘兓)䑔䌭幁䍉䕟呓䵉呁⡅偅ⱓ䕍乁儬剔剟䱏ⱌ㈫〬착_x0018_＀＀_x0018_＀＀_x0008_＀＀_x0001_＀＀_x0001_＀＀ꧻ틱㿿뤗兓3午䅂䜭幂䝒彆佃彍䡓当問彔偅当䥄⡌位ⱎⰰⰬⰬ丬䅏䑕呉착_x0018_＀＀_x0018_＀＀_x0008_＀＀_x0001_＀＀_x0001_＀＀＀＀＀＀ퟀ䃑뤘兓(㌸㘰䥞彃卅䥔䅍䕔䔨卐䴬䅅ⱎ呑归佒䱌⬬ⰲ⤰_x0018_＀＀_x0018_＀＀_x0008_＀＀_x0001_＀＀_x0001_＀＀豀碵꼝쐕뤘兓'呓幉䍉䕟呓䵉呁⡅偅ⱓ䕍乁儬剔剟䱏ⱌ㌫〬착_x0018_＀＀_x0018_＀＀_x0008_＀＀_x0001_＀＀_x0001_＀＀쫁䖡㿥뤘兓'单幂䍉䕟呓䵉呁⡅偅ⱓ䕍乁儬剔剟䱏ⱌ㈫〬착_x0018_＀＀_x0018_＀＀_x0008_＀＀_x0001_＀＀_x0001_＀＀炤਽ꏗ㿨뤖兓_x001A_䡆幎彐䥄卖偟⡄ⰰⰬ∬䥄卖⤢_x0018_＀＀_x0018_＀＀_x0008_＀＀_x0001_＀＀_x0001_＀＀馚香香㾩뤜兓(䙒䥞彃卅䥔䅍䕔丨呅䥟䍎䴬䅅ⱎ乁ⱎ㈫㄰ⰴ⤰_x0018_＀＀_x0018_＀＀_x0008_＀＀_x0001_＀＀_x0001_＀＀ꗣ쒛⤠䂒뤙兓%单幂䍉䕟呓䵉呁⡅偅ⱓ䕍乁䄬乎⬬〲㐱〬착_x0018_＀＀_x0018_＀＀_x0008_＀＀_x0001_＀＀_x0001_＀＀ⓝ脆䎕䀊뤜兓_x0016_䡆幎䍉䵟䅅彎偅当呌⡇⤰_x0018_＀＀_x0018_＀＀_x0008_＀＀_x0001_＀＀_x0001_＀＀＀＀＀＀＀＀䀞뤜兓,㌸㘰䥞彃卅䥔䅍䕔丨呅䥟䍎䴬䅅ⱎ呑归佒䱌⬬ⰸ⤰_x0018_＀＀_x0018_＀＀_x0008_＀＀_x0001_＀＀_x0001_＀＀豀碵꼝쐕뤙兓)午䅂䜭幂䍉䕟呓䵉呁⡅偅ⱓ䕍乁䄬乎⬬〲㐱〬착_x0018_＀＀_x0018_＀＀_x0008_＀＀_x0001_＀＀_x0001_＀＀컙号ꗣ㿱뤖兓 䅓ⵎ卅偞偟䥒䕃㐨㈱㘲〮㘴㈱㘲㔸⤲_x0018_＀＀_x0018_＀＀_x0008_＀＀_x0001_＀＀_x0001_＀＀赐溗茒䀖뤗兓＀Ｏ呓幉䝒彆佃彍䡓当問彔偅当䥄⡌位ⱎⰰⰬⰬ丬䅏䑕呉착_x0018_＀＀_x0018_＀＀_x0008_＀＀_x0001_＀＀_x0001_＀＀桳큼䂀뤛兓+䡆幎䍉䕟呓䵉呁⡅䕎彔义ⱃ䕍乁儬剔剟䱏ⱌ㘫〬착_x0018_＀＀_x0018_＀＀_x0008_＀＀_x0001_＀＀_x0001_＀＀＀＀＀＀က䁋뤛兓,㌸㘰䥞彃卅䥔䅍䕔丨呅䥟䍎䴬䅅ⱎ呑归佒䱌⬬ⰵ⤰_x0018_＀＀_x0018_＀＀_x0008_＀＀_x0001_＀＀_x0001_＀＀豀碵꼝쐕뤜兓)乐幃䍉䕟呓䵉呁⡅䕎彔义ⱃ䕍乁䄬乎⬬〲㔱〬착_x0018_＀＀_x0018_＀＀_x0008_＀＀_x0001_＀＀_x0001_＀＀틲才侐䂭뤙兓*䅓ⵎ卅䥞彃卅䥔䅍䕔䔨卐䴬䅅ⱎ呑归佒䱌⬬ⰸ⤰_x0018_＀＀_x0018_＀＀_x0008_＀＀_x0001_＀＀_x0001_＀＀豀碵꼝쐕뤗兓1䑔䌭幁䝒彆佃彍䡓当問彔偅当䥄⡌位ⱎⰰⰬⰬ丬䅏䑕呉착_x0018_＀＀_x0018_＀＀_x0008_＀＀_x0001_＀＀_x0001_＀＀쳍쳌퓌䂌뤚兓+䡆幎䍉䕟呓䵉呁⡅䕎彔义ⱃ䕍乁儬剔剟䱏ⱌ㌫〬착_x0018_＀＀_x0018_＀＀_x0008_＀＀_x0001_＀＀_x0001_＀＀퓾䄦䁉뤚兓,㌸㘰䥞彃卅䥔䅍䕔丨呅䥟䍎䴬䅅ⱎ呑归佒䱌⬬ⰲ⤰_x0018_＀＀_x0018_＀＀_x0008_＀＀_x0001_＀＀_x0001_＀＀豀碵꼝쐕뤙兓%䡆幎䍉䕟呓䵉呁⡅偅ⱓ䕍乁䄬乎⬬〲㌱〬착_x0018_＀＀_x0018_＀＀_x0008_＀＀_x0001_＀＀_x0001_＀＀쫁䖡㿩뤜兓_x0019_䅓ⵎ卅䥞彃䕍乁䕟卐䱟䝔〨착_x0018_＀＀_x0018_＀＀_x0008_＀＀_x0001_＀＀_x0001_＀＀꟰䯆褷쀌뤘兓*䅓ⵎ卅䥞彃卅䥔䅍䕔䔨卐䴬䅅ⱎ呑归佒䱌⬬ⰵ⤰_x0018_＀＀_x0018_＀＀_x0008_＀＀_x0001_＀＀_x0001_＀＀豀碵꼝쐕뤜兓)䡆幎䍉䕟呓䵉呁⡅䕎彔义ⱃ䕍乁䄬乎⬬〲㐱〬착_x0018_＀＀_x0018_＀＀_x0008_＀＀_x0001_＀＀_x0001_＀＀욨㝋覉䁪뤜兓*㌸㘰䥞彃卅䥔䅍䕔丨呅䥟䍎䴬䅅ⱎ乁ⱎ㈫㄰ⰴ⤰_x0018_＀＀_x0018_＀＀_x0008_＀＀_x0001_＀＀_x0001_＀＀＀＀＀＀練䄦뤛兓-䑔䌭幁䍉䕟呓䵉呁⡅䕎彔义ⱃ䕍乁儬剔剟䱏ⱌ㜫〬착_x0018_＀＀_x0018_＀＀_x0008_＀＀_x0001_＀＀_x0001_＀＀ቯ삃돊䂟뤙兓%乐幃䍉䕟呓䵉呁⡅偅ⱓ䕍乁䄬乎⬬〲㔱〬착_x0018_＀＀_x0018_＀＀_x0008_＀＀_x0001_＀＀_x0001_＀＀ቯ삃⇊䀝뤗兓.䙒剞䙇䍟䵏卟午佟呕䕟卐䑟䱉䴨乏〬ⰬⰬⰬ低啁䥄⥔_x0018_＀＀_x0018_＀＀_x0008_＀＀_x0001_＀＀_x0001_＀＀＀＀＀＀가䂕뤘兓*䅓ⵎ卅䥞彃卅䥔䅍䕔䔨卐䴬䅅ⱎ呑归佒䱌⬬ⰲ⤰_x0018_＀＀_x0018_＀＀_x0008_＀＀_x0001_＀＀_x0001_＀＀⼛ⓝ脆㿅뤛兓-䑔䌭幁䍉䕟呓䵉呁⡅䕎彔义ⱃ䕍乁儬剔剟䱏ⱌ㐫〬착_x0018_＀＀_x0018_＀＀_x0008_＀＀_x0001_＀＀_x0001_＀＀溘茒獀䂞뤜兓)䉂幔䍉䕟呓䵉呁⡅䕎彔义ⱃ䕍乁䄬乎⬬〲㔱〬착_x0018_＀＀_x0018_＀＀_x0008_＀＀_x0001_＀＀_x0001_＀＀㥘좴ࣶ䂢뤖兓_x0018_䅓ⵎ卅偞䍟剕䕒䍎⡙䤢体⤢_x0014_＀＀_x0018_＀＀_x0004_＀＀_x0001_＀＀_x0008_＀＀啅R뤖兓_x0016_㌸㘰偞䍟剕䕒䍎⡙䤢体⤢_x0014_＀＀_x0018_＀＀_x0004_＀＀_x0001_＀＀_x0008_＀＀偊Y뤝兓_x001F_偞䕟䍘彈䅒䕔䌨䑁唬䑓㐬ㄱ㈸Ⱜ〬착_x0018_＀＀_x0018_＀＀_x0008_＀＀_x0001_＀＀_x0001_＀＀蒃弨䋐㿰뤛兓+乐幃䍉䕟呓䵉呁⡅䕎彔义ⱃ䕍乁儬剔剟䱏ⱌ㠫〬착_x0018_＀＀_x0018_＀＀_x0008_＀＀_x0001_＀＀_x0001_＀＀䎖沋飧䂎뤙兓$䙒䥞彃卅䥔䅍䕔䔨卐䴬䅅ⱎ乁ⱎ㈫㄰ⰳ⤰_x0018_＀＀_x0018_＀＀_x0008_＀＀_x0001_＀＀_x0001_＀＀㕀멞౉㿪뤛兓+䉂幔䍉䕟呓䵉呁⡅䕎彔义ⱃ䕍乁儬剔剟䱏ⱌ㠫〬착_x0018_＀＀_x0018_＀＀_x0008_＀＀_x0001_＀＀_x0001_＀＀Წ摚眻䂃뤚兓-䑔䌭幁䍉䕟呓䵉呁⡅䕎彔义ⱃ䕍乁儬剔剟䱏ⱌㄫ〬착_x0018_＀＀_x0018_＀＀_x0008_＀＀_x0001_＀＀_x0001_＀＀脆䎕残䂛뤛兓+乐幃䍉䕟呓䵉呁⡅䕎彔义ⱃ䕍乁儬剔剟䱏ⱌ㔫〬착_x0018_＀＀_x0018_＀＀_x0008_＀＀_x0001_＀＀_x0001_＀＀橿璼㮓䂋뤛兓+䉂幔䍉䕟呓䵉呁⡅䕎彔义ⱃ䕍乁儬剔剟䱏ⱌ㔫〬착_x0018_＀＀_x0018_＀＀_x0008_＀＀_x0001_＀＀_x0001_＀＀슏⣵籜䂀뤜兓+䑔䌭幁䍉䕟呓䵉呁⡅䕎彔义ⱃ䕍乁䄬乎⬬〲㐱〬착_x0018_＀＀_x0018_＀＀_x0008_＀＀_x0001_＀＀_x0001_＀＀Ȍ蜫끶䂾뤗兓＀Ｏ䉂幔䝒彆佃彍䡓当問彔偅当䥄⡌位ⱎⰰⰬⰬ丬䅏䑕呉착_x0018_＀＀_x0018_＀＀_x0008_＀＀_x0001_＀＀_x0001_＀＀璼ᢓ✄䂆뤖兓_x0014_䙒偞䍟剕䕒䍎⡙䤢体⤢_x0014_＀＀_x0018_＀＀_x0004_＀＀_x0001_＀＀_x0008_＀＀单D뤙兓&amp;䙒䥞彃卅䥔䅍䕔䔨卐䴬䅅ⱎ呑归佒䱌⬬ⰸ⤰_x0018_＀＀_x0018_＀＀_x0008_＀＀_x0001_＀＀_x0001_＀＀뀡桲㿌뤙兓'䑔䌭幁䍉䕟呓䵉呁⡅偅ⱓ䕍乁䄬乎⬬〲㐱〬착_x0018_＀＀_x0018_＀＀_x0008_＀＀_x0001_＀＀_x0001_＀＀司ꗣ쒛䀠뤚兓+乐幃䍉䕟呓䵉呁⡅䕎彔义ⱃ䕍乁儬剔剟䱏ⱌ㈫〬착_x0018_＀＀_x0018_＀＀_x0008_＀＀_x0001_＀＀_x0001_＀＀鞍ቮ䮃䂋뤚兓+䉂幔䍉䕟呓䵉呁⡅䕎彔义ⱃ䕍乁儬剔剟䱏ⱌ㈫〬착_x0018_＀＀_x0018_＀＀_x0008_＀＀_x0001_＀＀_x0001_＀＀뀡桲양䂀뤛兓+单幂䍉䕟呓䵉呁⡅䕎彔义ⱃ䕍乁儬剔剟䱏ⱌ㠫〬착_x0018_＀＀_x0018_＀＀_x0008_＀＀_x0001_＀＀_x0001_＀＀퓾Ω䂘뤖兓_x0019_午䅂䜭幂彐啃剒久奃∨卉≏착_x0014_＀＀_x0018_＀＀_x0004_＀＀_x0001_＀＀_x0008_＀＀䉇P</t>
        </r>
      </text>
    </comment>
    <comment ref="B1" authorId="0" shapeId="0" xr:uid="{00000000-0006-0000-0200-000002000000}">
      <text>
        <r>
          <rPr>
            <b/>
            <sz val="9"/>
            <color indexed="81"/>
            <rFont val="Tahoma"/>
            <family val="2"/>
          </rPr>
          <t>12105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 MacGregor</author>
    <author>rmacgre1</author>
  </authors>
  <commentList>
    <comment ref="O8" authorId="0" shapeId="0" xr:uid="{00000000-0006-0000-0300-000001000000}">
      <text>
        <r>
          <rPr>
            <b/>
            <sz val="9"/>
            <color indexed="81"/>
            <rFont val="Tahoma"/>
            <family val="2"/>
          </rPr>
          <t>Macabacus:</t>
        </r>
        <r>
          <rPr>
            <sz val="9"/>
            <color indexed="81"/>
            <rFont val="Tahoma"/>
            <family val="2"/>
          </rPr>
          <t xml:space="preserve">
Note that if less than 100% of the target is acquired, this would be the grossed-up value.</t>
        </r>
      </text>
    </comment>
    <comment ref="O10" authorId="0" shapeId="0" xr:uid="{00000000-0006-0000-0300-000002000000}">
      <text>
        <r>
          <rPr>
            <b/>
            <sz val="9"/>
            <color indexed="81"/>
            <rFont val="Tahoma"/>
            <family val="2"/>
          </rPr>
          <t>Macabacus:</t>
        </r>
        <r>
          <rPr>
            <sz val="9"/>
            <color indexed="81"/>
            <rFont val="Tahoma"/>
            <family val="2"/>
          </rPr>
          <t xml:space="preserve">
This is the maximum amount of NOLs that can be used to offset pre-tax income (as calculated for tax purposes) in each lookforward period.</t>
        </r>
      </text>
    </comment>
    <comment ref="O14" authorId="0" shapeId="0" xr:uid="{00000000-0006-0000-0300-000003000000}">
      <text>
        <r>
          <rPr>
            <b/>
            <sz val="9"/>
            <color indexed="81"/>
            <rFont val="Tahoma"/>
            <family val="2"/>
          </rPr>
          <t>Macabacus:</t>
        </r>
        <r>
          <rPr>
            <sz val="9"/>
            <color indexed="81"/>
            <rFont val="Tahoma"/>
            <family val="2"/>
          </rPr>
          <t xml:space="preserve">
This is the maximum tax benefit (i.e. savings) that can be realized from NOL usage over the lookforward period.  Modeling out the usage of these NOLs would be complex and involve the calculation of pre-tax income for tax purposes by adjusting pre-tax income for GAAP purposes for things like Sect. 197 intangibles, etc.  As a simplifying assumption, we can just amortize these NOLs straight-line over the lookforward period.</t>
        </r>
      </text>
    </comment>
    <comment ref="J22" authorId="0" shapeId="0" xr:uid="{00000000-0006-0000-0300-000004000000}">
      <text>
        <r>
          <rPr>
            <b/>
            <sz val="9"/>
            <color indexed="81"/>
            <rFont val="Tahoma"/>
            <family val="2"/>
          </rPr>
          <t>Macabacus:</t>
        </r>
        <r>
          <rPr>
            <sz val="9"/>
            <color indexed="81"/>
            <rFont val="Tahoma"/>
            <family val="2"/>
          </rPr>
          <t xml:space="preserve">
Assume that the target's revolving credit facility is repaid in full upon a change of control.</t>
        </r>
      </text>
    </comment>
    <comment ref="E23" authorId="0" shapeId="0" xr:uid="{00000000-0006-0000-0300-000005000000}">
      <text>
        <r>
          <rPr>
            <b/>
            <sz val="9"/>
            <color indexed="81"/>
            <rFont val="Tahoma"/>
            <family val="2"/>
          </rPr>
          <t>Macabacus:</t>
        </r>
        <r>
          <rPr>
            <sz val="9"/>
            <color indexed="81"/>
            <rFont val="Tahoma"/>
            <family val="2"/>
          </rPr>
          <t xml:space="preserve">
For vested options, the Black-Scholes model should be used to reflect time value, but the intrinsic value is used here as proxy.</t>
        </r>
      </text>
    </comment>
    <comment ref="E24" authorId="0" shapeId="0" xr:uid="{00000000-0006-0000-0300-000006000000}">
      <text>
        <r>
          <rPr>
            <b/>
            <sz val="9"/>
            <color indexed="81"/>
            <rFont val="Tahoma"/>
            <family val="2"/>
          </rPr>
          <t>Macabacus:</t>
        </r>
        <r>
          <rPr>
            <sz val="9"/>
            <color indexed="81"/>
            <rFont val="Tahoma"/>
            <family val="2"/>
          </rPr>
          <t xml:space="preserve">
Note that the purchase price does not change whether you liquidate (i.e. cash out) or roll over the target's stock options.</t>
        </r>
      </text>
    </comment>
    <comment ref="O30" authorId="0" shapeId="0" xr:uid="{00000000-0006-0000-0300-000007000000}">
      <text>
        <r>
          <rPr>
            <b/>
            <sz val="9"/>
            <color indexed="81"/>
            <rFont val="Tahoma"/>
            <family val="2"/>
          </rPr>
          <t>Macabacus:</t>
        </r>
        <r>
          <rPr>
            <sz val="9"/>
            <color indexed="81"/>
            <rFont val="Tahoma"/>
            <family val="2"/>
          </rPr>
          <t xml:space="preserve">
For simplicity, assume that the FV of NCI equals the book value. </t>
        </r>
      </text>
    </comment>
    <comment ref="G31" authorId="0" shapeId="0" xr:uid="{00000000-0006-0000-0300-000008000000}">
      <text>
        <r>
          <rPr>
            <b/>
            <sz val="9"/>
            <color indexed="81"/>
            <rFont val="Tahoma"/>
            <family val="2"/>
          </rPr>
          <t>Macabacus:</t>
        </r>
        <r>
          <rPr>
            <sz val="9"/>
            <color indexed="81"/>
            <rFont val="Tahoma"/>
            <family val="2"/>
          </rPr>
          <t xml:space="preserve">
Includes M&amp;A, legal, and other advisory fees.</t>
        </r>
      </text>
    </comment>
    <comment ref="O40" authorId="0" shapeId="0" xr:uid="{00000000-0006-0000-0300-000009000000}">
      <text>
        <r>
          <rPr>
            <b/>
            <sz val="9"/>
            <color indexed="81"/>
            <rFont val="Tahoma"/>
            <family val="2"/>
          </rPr>
          <t>Macabacus:</t>
        </r>
        <r>
          <rPr>
            <sz val="9"/>
            <color indexed="81"/>
            <rFont val="Tahoma"/>
            <family val="2"/>
          </rPr>
          <t xml:space="preserve">
Note that there is no DTL related to bargain purchase gains that we need to adjust for in the calculation of goodwill.</t>
        </r>
      </text>
    </comment>
    <comment ref="E47" authorId="0" shapeId="0" xr:uid="{00000000-0006-0000-0300-00000A000000}">
      <text>
        <r>
          <rPr>
            <b/>
            <sz val="9"/>
            <color indexed="81"/>
            <rFont val="Tahoma"/>
            <family val="2"/>
          </rPr>
          <t>Macabacus:</t>
        </r>
        <r>
          <rPr>
            <sz val="9"/>
            <color indexed="81"/>
            <rFont val="Tahoma"/>
            <family val="2"/>
          </rPr>
          <t xml:space="preserve">
Note that we're dividing by (1+d) rather than multiplying by (1-d).  This is similar to an IPO discount, where the stock is supposed to "pop" 15% when the stock begins trading (which is equivalent to multiplying by (1+d)).</t>
        </r>
      </text>
    </comment>
    <comment ref="B57" authorId="0" shapeId="0" xr:uid="{00000000-0006-0000-0300-00000B000000}">
      <text>
        <r>
          <rPr>
            <b/>
            <sz val="9"/>
            <color indexed="81"/>
            <rFont val="Tahoma"/>
            <family val="2"/>
          </rPr>
          <t>Macabacus:</t>
        </r>
        <r>
          <rPr>
            <sz val="9"/>
            <color indexed="81"/>
            <rFont val="Tahoma"/>
            <family val="2"/>
          </rPr>
          <t xml:space="preserve">
We have made the simplifying assumption that face values of debt and preferred equals their book values.  Had we not made this assumption, you would enter the write-ups/downs to face value here.</t>
        </r>
      </text>
    </comment>
    <comment ref="E57" authorId="0" shapeId="0" xr:uid="{00000000-0006-0000-0300-00000C000000}">
      <text>
        <r>
          <rPr>
            <b/>
            <sz val="9"/>
            <color indexed="81"/>
            <rFont val="Tahoma"/>
            <family val="2"/>
          </rPr>
          <t>Macabacus:</t>
        </r>
        <r>
          <rPr>
            <sz val="9"/>
            <color indexed="81"/>
            <rFont val="Tahoma"/>
            <family val="2"/>
          </rPr>
          <t xml:space="preserve">
Enter 1  for assets, and 0 for liabilities.</t>
        </r>
      </text>
    </comment>
    <comment ref="G57" authorId="0" shapeId="0" xr:uid="{00000000-0006-0000-0300-00000D000000}">
      <text>
        <r>
          <rPr>
            <b/>
            <sz val="9"/>
            <color indexed="81"/>
            <rFont val="Tahoma"/>
            <family val="2"/>
          </rPr>
          <t>Macabacus:</t>
        </r>
        <r>
          <rPr>
            <sz val="9"/>
            <color indexed="81"/>
            <rFont val="Tahoma"/>
            <family val="2"/>
          </rPr>
          <t xml:space="preserve">
Assume equal to book value if not available.  For debt, this is the face value of the debt.</t>
        </r>
      </text>
    </comment>
    <comment ref="H57" authorId="0" shapeId="0" xr:uid="{00000000-0006-0000-0300-00000E000000}">
      <text>
        <r>
          <rPr>
            <b/>
            <sz val="9"/>
            <color indexed="81"/>
            <rFont val="Tahoma"/>
            <family val="2"/>
          </rPr>
          <t>Macabacus:</t>
        </r>
        <r>
          <rPr>
            <sz val="9"/>
            <color indexed="81"/>
            <rFont val="Tahoma"/>
            <family val="2"/>
          </rPr>
          <t xml:space="preserve">
Fair value marks expressed in direction of the mark.</t>
        </r>
      </text>
    </comment>
    <comment ref="I57" authorId="0" shapeId="0" xr:uid="{00000000-0006-0000-0300-00000F000000}">
      <text>
        <r>
          <rPr>
            <b/>
            <sz val="9"/>
            <color indexed="81"/>
            <rFont val="Tahoma"/>
            <family val="2"/>
          </rPr>
          <t>Macacbacus:</t>
        </r>
        <r>
          <rPr>
            <sz val="9"/>
            <color indexed="81"/>
            <rFont val="Tahoma"/>
            <family val="2"/>
          </rPr>
          <t xml:space="preserve">
DTA created from write-down of an asset or write-up of a liability.</t>
        </r>
      </text>
    </comment>
    <comment ref="J57" authorId="0" shapeId="0" xr:uid="{00000000-0006-0000-0300-000010000000}">
      <text>
        <r>
          <rPr>
            <b/>
            <sz val="9"/>
            <color indexed="81"/>
            <rFont val="Tahoma"/>
            <family val="2"/>
          </rPr>
          <t>Macacbacus:</t>
        </r>
        <r>
          <rPr>
            <sz val="9"/>
            <color indexed="81"/>
            <rFont val="Tahoma"/>
            <family val="2"/>
          </rPr>
          <t xml:space="preserve">
DTA created from write-up of an asset or write-down of a liability.</t>
        </r>
      </text>
    </comment>
    <comment ref="H85" authorId="0" shapeId="0" xr:uid="{00000000-0006-0000-0300-000011000000}">
      <text>
        <r>
          <rPr>
            <b/>
            <sz val="9"/>
            <color indexed="81"/>
            <rFont val="Tahoma"/>
            <family val="2"/>
          </rPr>
          <t>Macabacus:</t>
        </r>
        <r>
          <rPr>
            <sz val="9"/>
            <color indexed="81"/>
            <rFont val="Tahoma"/>
            <family val="2"/>
          </rPr>
          <t xml:space="preserve">
The issuance fee on debt instruments is capitalized.</t>
        </r>
      </text>
    </comment>
    <comment ref="I85" authorId="0" shapeId="0" xr:uid="{00000000-0006-0000-0300-000012000000}">
      <text>
        <r>
          <rPr>
            <b/>
            <sz val="9"/>
            <color indexed="81"/>
            <rFont val="Tahoma"/>
            <family val="2"/>
          </rPr>
          <t>Macabacus:</t>
        </r>
        <r>
          <rPr>
            <sz val="9"/>
            <color indexed="81"/>
            <rFont val="Tahoma"/>
            <family val="2"/>
          </rPr>
          <t xml:space="preserve">
The issuance fee on preferred and common stock is netted against proceeds and is reflected as a reduction in APIC.</t>
        </r>
      </text>
    </comment>
    <comment ref="D96" authorId="0" shapeId="0" xr:uid="{00000000-0006-0000-0300-000013000000}">
      <text>
        <r>
          <rPr>
            <b/>
            <sz val="9"/>
            <color indexed="81"/>
            <rFont val="Tahoma"/>
            <family val="2"/>
          </rPr>
          <t>Macabacus:</t>
        </r>
        <r>
          <rPr>
            <sz val="9"/>
            <color indexed="81"/>
            <rFont val="Tahoma"/>
            <family val="2"/>
          </rPr>
          <t xml:space="preserve">
Assume that the face value equals the book value for simplicity.  Otherwise, the model becomes complex well beyond the scope of this illustrative scenario.
When the face value differs from book value (e.g. OID), you need to account for the resulting DTA/DTL when the debt is marked to FV, then amortize that mark and related deferred taxes over time (perhaps through maturity of the debt).  For example, if the debt was booked at a discount to face value, the write-up of debt to face value at close would be amortized over time, gradually reducing the book value of the debt over that period.  That amortization would flow through pro forma earnings.  However, if the debt is converted or repaid at close, the DTA/DTL created in marking the debt to face value would need to be immediately reversed in the Balance Sheet Restructuring column below.</t>
        </r>
      </text>
    </comment>
    <comment ref="G108" authorId="0" shapeId="0" xr:uid="{00000000-0006-0000-0300-000014000000}">
      <text>
        <r>
          <rPr>
            <b/>
            <sz val="9"/>
            <color indexed="81"/>
            <rFont val="Tahoma"/>
            <family val="2"/>
          </rPr>
          <t>Macabacus:</t>
        </r>
        <r>
          <rPr>
            <sz val="9"/>
            <color indexed="81"/>
            <rFont val="Tahoma"/>
            <family val="2"/>
          </rPr>
          <t xml:space="preserve">
Only write off purchase accounting-related intangibles.  For our purposes, we assume that only goodwill falls into this category.</t>
        </r>
      </text>
    </comment>
    <comment ref="M112" authorId="0" shapeId="0" xr:uid="{00000000-0006-0000-0300-000015000000}">
      <text>
        <r>
          <rPr>
            <b/>
            <sz val="9"/>
            <color indexed="81"/>
            <rFont val="Tahoma"/>
            <family val="2"/>
          </rPr>
          <t>Macabacus:</t>
        </r>
        <r>
          <rPr>
            <sz val="9"/>
            <color indexed="81"/>
            <rFont val="Tahoma"/>
            <family val="2"/>
          </rPr>
          <t xml:space="preserve">
Assume income tax receivable from expenses booked at close is immediately recognized as a cash tax refund.</t>
        </r>
      </text>
    </comment>
    <comment ref="N112" authorId="0" shapeId="0" xr:uid="{00000000-0006-0000-0300-000016000000}">
      <text>
        <r>
          <rPr>
            <b/>
            <sz val="9"/>
            <color indexed="81"/>
            <rFont val="Tahoma"/>
            <family val="2"/>
          </rPr>
          <t>Macabacus:</t>
        </r>
        <r>
          <rPr>
            <sz val="9"/>
            <color indexed="81"/>
            <rFont val="Tahoma"/>
            <family val="2"/>
          </rPr>
          <t xml:space="preserve">
Assume income tax receivable from expenses booked at close is immediately recognized as a cash tax refund.</t>
        </r>
      </text>
    </comment>
    <comment ref="G121" authorId="1" shapeId="0" xr:uid="{00000000-0006-0000-0300-000017000000}">
      <text>
        <r>
          <rPr>
            <b/>
            <sz val="8"/>
            <color indexed="81"/>
            <rFont val="Tahoma"/>
            <family val="2"/>
          </rPr>
          <t>Macabacus:</t>
        </r>
        <r>
          <rPr>
            <sz val="8"/>
            <color indexed="81"/>
            <rFont val="Tahoma"/>
            <family val="2"/>
          </rPr>
          <t xml:space="preserve">
Write off existing intangibles</t>
        </r>
      </text>
    </comment>
    <comment ref="H146" authorId="0" shapeId="0" xr:uid="{00000000-0006-0000-0300-000018000000}">
      <text>
        <r>
          <rPr>
            <b/>
            <sz val="9"/>
            <color indexed="81"/>
            <rFont val="Tahoma"/>
            <family val="2"/>
          </rPr>
          <t>Macabacus:</t>
        </r>
        <r>
          <rPr>
            <sz val="9"/>
            <color indexed="81"/>
            <rFont val="Tahoma"/>
            <family val="2"/>
          </rPr>
          <t xml:space="preserve">
This is where any write-up/down to face value would appear had we not made the simplifying assumption that face value equals book value.</t>
        </r>
      </text>
    </comment>
    <comment ref="H147" authorId="0" shapeId="0" xr:uid="{00000000-0006-0000-0300-000019000000}">
      <text>
        <r>
          <rPr>
            <b/>
            <sz val="9"/>
            <color indexed="81"/>
            <rFont val="Tahoma"/>
            <family val="2"/>
          </rPr>
          <t>Macabacus:</t>
        </r>
        <r>
          <rPr>
            <sz val="9"/>
            <color indexed="81"/>
            <rFont val="Tahoma"/>
            <family val="2"/>
          </rPr>
          <t xml:space="preserve">
This is where any write-up/down to face value would appear had we not made the simplifying assumption that face value equals book value.</t>
        </r>
      </text>
    </comment>
    <comment ref="H148" authorId="0" shapeId="0" xr:uid="{00000000-0006-0000-0300-00001A000000}">
      <text>
        <r>
          <rPr>
            <b/>
            <sz val="9"/>
            <color indexed="81"/>
            <rFont val="Tahoma"/>
            <family val="2"/>
          </rPr>
          <t>Macabacus:</t>
        </r>
        <r>
          <rPr>
            <sz val="9"/>
            <color indexed="81"/>
            <rFont val="Tahoma"/>
            <family val="2"/>
          </rPr>
          <t xml:space="preserve">
This is where any write-up/down to face value would appear had we not made the simplifying assumption that face value equals book value.</t>
        </r>
      </text>
    </comment>
    <comment ref="N154" authorId="0" shapeId="0" xr:uid="{00000000-0006-0000-0300-00001B000000}">
      <text>
        <r>
          <rPr>
            <b/>
            <sz val="9"/>
            <color indexed="81"/>
            <rFont val="Tahoma"/>
            <family val="2"/>
          </rPr>
          <t>Macabacus:</t>
        </r>
        <r>
          <rPr>
            <sz val="9"/>
            <color indexed="81"/>
            <rFont val="Tahoma"/>
            <family val="2"/>
          </rPr>
          <t xml:space="preserve">
Reverse any DTA/DTL resulting from marking debt to face value if the debt is converted or repaid at close.</t>
        </r>
      </text>
    </comment>
    <comment ref="H159" authorId="0" shapeId="0" xr:uid="{00000000-0006-0000-0300-00001C000000}">
      <text>
        <r>
          <rPr>
            <b/>
            <sz val="9"/>
            <color indexed="81"/>
            <rFont val="Tahoma"/>
            <family val="2"/>
          </rPr>
          <t>Macabacus:</t>
        </r>
        <r>
          <rPr>
            <sz val="9"/>
            <color indexed="81"/>
            <rFont val="Tahoma"/>
            <family val="2"/>
          </rPr>
          <t xml:space="preserve">
This is where any write-up/down to face value would appear had we not made the simplifying assumption that face value equals book value.</t>
        </r>
      </text>
    </comment>
    <comment ref="P160" authorId="0" shapeId="0" xr:uid="{00000000-0006-0000-0300-00001D000000}">
      <text>
        <r>
          <rPr>
            <b/>
            <sz val="9"/>
            <color indexed="81"/>
            <rFont val="Tahoma"/>
            <family val="2"/>
          </rPr>
          <t>Macabacus:</t>
        </r>
        <r>
          <rPr>
            <sz val="9"/>
            <color indexed="81"/>
            <rFont val="Tahoma"/>
            <family val="2"/>
          </rPr>
          <t xml:space="preserve">
The issuance fee reduces proceeds and the is reflected as a reduction in APIC.</t>
        </r>
      </text>
    </comment>
    <comment ref="P162" authorId="0" shapeId="0" xr:uid="{00000000-0006-0000-0300-00001E000000}">
      <text>
        <r>
          <rPr>
            <b/>
            <sz val="9"/>
            <color indexed="81"/>
            <rFont val="Tahoma"/>
            <family val="2"/>
          </rPr>
          <t>Macabacus:</t>
        </r>
        <r>
          <rPr>
            <sz val="9"/>
            <color indexed="81"/>
            <rFont val="Tahoma"/>
            <family val="2"/>
          </rPr>
          <t xml:space="preserve">
The issuance fee reduces proceeds and the is reflected as a reduction in APIC.</t>
        </r>
      </text>
    </comment>
    <comment ref="Q162" authorId="0" shapeId="0" xr:uid="{00000000-0006-0000-0300-00001F000000}">
      <text>
        <r>
          <rPr>
            <b/>
            <sz val="9"/>
            <color indexed="81"/>
            <rFont val="Tahoma"/>
            <family val="2"/>
          </rPr>
          <t>Macabacus:</t>
        </r>
        <r>
          <rPr>
            <sz val="9"/>
            <color indexed="81"/>
            <rFont val="Tahoma"/>
            <family val="2"/>
          </rPr>
          <t xml:space="preserve">
The issuance fee reduces proceeds and the is reflected as a reduction in APIC.</t>
        </r>
      </text>
    </comment>
    <comment ref="M165" authorId="0" shapeId="0" xr:uid="{00000000-0006-0000-0300-000020000000}">
      <text>
        <r>
          <rPr>
            <b/>
            <sz val="9"/>
            <color indexed="81"/>
            <rFont val="Tahoma"/>
            <family val="2"/>
          </rPr>
          <t>Macabacus:</t>
        </r>
        <r>
          <rPr>
            <sz val="9"/>
            <color indexed="81"/>
            <rFont val="Tahoma"/>
            <family val="2"/>
          </rPr>
          <t xml:space="preserve">
After-tax restructuring charge and transaction costs expensed at close.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Ryan MacGregor</author>
  </authors>
  <commentList>
    <comment ref="B36" authorId="0" shapeId="0" xr:uid="{00000000-0006-0000-0400-000001000000}">
      <text>
        <r>
          <rPr>
            <b/>
            <sz val="9"/>
            <color indexed="81"/>
            <rFont val="Tahoma"/>
            <family val="2"/>
          </rPr>
          <t>Macabacus:</t>
        </r>
        <r>
          <rPr>
            <sz val="9"/>
            <color indexed="81"/>
            <rFont val="Tahoma"/>
            <family val="2"/>
          </rPr>
          <t xml:space="preserve">
OID functionality is beyond the scope of this model and, therefore, not built in.  If you require OID functionality, see our website for how to model OID.</t>
        </r>
      </text>
    </comment>
    <comment ref="B50" authorId="0" shapeId="0" xr:uid="{00000000-0006-0000-0400-000002000000}">
      <text>
        <r>
          <rPr>
            <b/>
            <sz val="9"/>
            <color indexed="81"/>
            <rFont val="Tahoma"/>
            <family val="2"/>
          </rPr>
          <t>Macabacus:</t>
        </r>
        <r>
          <rPr>
            <sz val="9"/>
            <color indexed="81"/>
            <rFont val="Tahoma"/>
            <family val="2"/>
          </rPr>
          <t xml:space="preserve">
Technically, this is not a non-cash expense, but its one-time nature qualifies it for inclusion here.</t>
        </r>
      </text>
    </comment>
    <comment ref="B178" authorId="0" shapeId="0" xr:uid="{00000000-0006-0000-0400-000003000000}">
      <text>
        <r>
          <rPr>
            <b/>
            <sz val="9"/>
            <color indexed="81"/>
            <rFont val="Tahoma"/>
            <family val="2"/>
          </rPr>
          <t>Macabacus:</t>
        </r>
        <r>
          <rPr>
            <sz val="9"/>
            <color indexed="81"/>
            <rFont val="Tahoma"/>
            <family val="2"/>
          </rPr>
          <t xml:space="preserve">
OID functionality is beyond the scope of this model and, therefore, not built in.  If you require OID functionality, see our website for how to model OID.</t>
        </r>
      </text>
    </comment>
    <comment ref="B179" authorId="0" shapeId="0" xr:uid="{00000000-0006-0000-0400-000004000000}">
      <text>
        <r>
          <rPr>
            <b/>
            <sz val="9"/>
            <color indexed="81"/>
            <rFont val="Tahoma"/>
            <family val="2"/>
          </rPr>
          <t>Macabacus:</t>
        </r>
        <r>
          <rPr>
            <sz val="9"/>
            <color indexed="81"/>
            <rFont val="Tahoma"/>
            <family val="2"/>
          </rPr>
          <t xml:space="preserve">
OID functionality is beyond the scope of this model and, therefore, not built in.  If you require OID functionality, see our website for how to model OID.</t>
        </r>
      </text>
    </comment>
    <comment ref="B335" authorId="0" shapeId="0" xr:uid="{00000000-0006-0000-0400-000005000000}">
      <text>
        <r>
          <rPr>
            <b/>
            <sz val="9"/>
            <color indexed="81"/>
            <rFont val="Tahoma"/>
            <family val="2"/>
          </rPr>
          <t>Macabacus:</t>
        </r>
        <r>
          <rPr>
            <sz val="9"/>
            <color indexed="81"/>
            <rFont val="Tahoma"/>
            <family val="2"/>
          </rPr>
          <t xml:space="preserve">
Include only non-PIK instruments here.</t>
        </r>
      </text>
    </comment>
    <comment ref="B472" authorId="0" shapeId="0" xr:uid="{00000000-0006-0000-0400-000006000000}">
      <text>
        <r>
          <rPr>
            <b/>
            <sz val="9"/>
            <color indexed="81"/>
            <rFont val="Tahoma"/>
            <family val="2"/>
          </rPr>
          <t>Macabacus:</t>
        </r>
        <r>
          <rPr>
            <sz val="9"/>
            <color indexed="81"/>
            <rFont val="Tahoma"/>
            <family val="2"/>
          </rPr>
          <t xml:space="preserve">
Expressed as a percentage of total interest/dividends.  PIK normally applies only to subordinated bonds and preferred stock.
With some forms of junior debt and preferred stock, interest and dividend payments may be made "in-kind", meaning that rather than paying interest or dividends with cash, TargetCo may instead pay with additional amounts of debt or preferred stock, as applicable, that increase the face value of these securities.  Payment-in-kind ("PIK") is often structured so that TargetCo has the option to pay either cash or in-kind for the first few years, after which all interest payments and dividends must be paid in cash.  TargetCo will often elect to pay in-kind whenever possible to conserve cash.  Whether such payments are made in-kind or in cash, the interest expense or dividend payments appear in full on the income statement.  Any amounts paid in-kind are added back to net income on the cash flow statement since no cash was actually paid.  We assume here that any years PIK are measured from the date the deal closes.</t>
        </r>
      </text>
    </comment>
    <comment ref="G491" authorId="0" shapeId="0" xr:uid="{00000000-0006-0000-0400-000007000000}">
      <text>
        <r>
          <rPr>
            <b/>
            <sz val="9"/>
            <color indexed="81"/>
            <rFont val="Tahoma"/>
            <family val="2"/>
          </rPr>
          <t>Macabacus:</t>
        </r>
        <r>
          <rPr>
            <sz val="9"/>
            <color indexed="81"/>
            <rFont val="Tahoma"/>
            <family val="2"/>
          </rPr>
          <t xml:space="preserve">
Enter zero for floating rates.</t>
        </r>
      </text>
    </comment>
    <comment ref="H491" authorId="0" shapeId="0" xr:uid="{00000000-0006-0000-0400-000008000000}">
      <text>
        <r>
          <rPr>
            <b/>
            <sz val="9"/>
            <color indexed="81"/>
            <rFont val="Tahoma"/>
            <family val="2"/>
          </rPr>
          <t>Macabacus:</t>
        </r>
        <r>
          <rPr>
            <sz val="9"/>
            <color indexed="81"/>
            <rFont val="Tahoma"/>
            <family val="2"/>
          </rPr>
          <t xml:space="preserve">
Enter zero for fixed rates.</t>
        </r>
      </text>
    </comment>
    <comment ref="B622" authorId="0" shapeId="0" xr:uid="{00000000-0006-0000-0400-000009000000}">
      <text>
        <r>
          <rPr>
            <b/>
            <sz val="9"/>
            <color indexed="81"/>
            <rFont val="Tahoma"/>
            <family val="2"/>
          </rPr>
          <t>Macabacus:</t>
        </r>
        <r>
          <rPr>
            <sz val="9"/>
            <color indexed="81"/>
            <rFont val="Tahoma"/>
            <family val="2"/>
          </rPr>
          <t xml:space="preserve">
Assume same as book for simplicity.</t>
        </r>
      </text>
    </comment>
    <comment ref="B627" authorId="0" shapeId="0" xr:uid="{00000000-0006-0000-0400-00000A000000}">
      <text>
        <r>
          <rPr>
            <b/>
            <sz val="9"/>
            <color indexed="81"/>
            <rFont val="Tahoma"/>
            <family val="2"/>
          </rPr>
          <t>Macabacus:</t>
        </r>
        <r>
          <rPr>
            <sz val="9"/>
            <color indexed="81"/>
            <rFont val="Tahoma"/>
            <family val="2"/>
          </rPr>
          <t xml:space="preserve">
This is a non-cash expense, and is included here only to highlight that it should not be included in the calculation of taxable income.</t>
        </r>
      </text>
    </comment>
    <comment ref="B653" authorId="0" shapeId="0" xr:uid="{00000000-0006-0000-0400-00000B000000}">
      <text>
        <r>
          <rPr>
            <b/>
            <sz val="9"/>
            <color indexed="81"/>
            <rFont val="Tahoma"/>
            <family val="2"/>
          </rPr>
          <t>Macabacus:</t>
        </r>
        <r>
          <rPr>
            <sz val="9"/>
            <color indexed="81"/>
            <rFont val="Tahoma"/>
            <family val="2"/>
          </rPr>
          <t xml:space="preserve">
Section 382(l)(2)(B):  "In any case in which a (i) pre-change loss of a loss corporation for any taxable year is subject to a section 382 limitation, and (ii) a net operating loss of such corporation from such taxable year is not subject to such limitation, taxable income shall be treated as having been offset first by the loss subject to such limitation."
Said another way, NOL subject to limitation under Section 382 are used before NOL not subject to such limitation.
</t>
        </r>
      </text>
    </comment>
    <comment ref="G655" authorId="0" shapeId="0" xr:uid="{00000000-0006-0000-0400-00000C000000}">
      <text>
        <r>
          <rPr>
            <b/>
            <sz val="9"/>
            <color indexed="81"/>
            <rFont val="Tahoma"/>
            <family val="2"/>
          </rPr>
          <t>Macabacus:</t>
        </r>
        <r>
          <rPr>
            <sz val="9"/>
            <color indexed="81"/>
            <rFont val="Tahoma"/>
            <family val="2"/>
          </rPr>
          <t xml:space="preserve">
The treatment of a target's tax attributes (e.g. NOLs) in an acquisition depends on the tax structure of the deal. In taxable acquisitions in which the acquired net assets are stepped-up for tax purposes, the target's NOLs may generally be used immediately by the acquirer to offset the gain on the actual or deemed asset sale. Any remaining NOLs of the target do not survive the transaction and are lost. Therefore, when the target has substantial NOLs, the deal is often structured to achieve a step-up in the acquired net assets. 
For deals in which there is not a step-up for tax purposes, such as a stock acquisition without a Section 338 election, the target's NOLs may be used by the acquirer in future years subject to limitation under Internal Revenue Code (IRC) Section 382, which severely restricts the use of acquired NOLs following a change in ownership.</t>
        </r>
      </text>
    </comment>
    <comment ref="B659" authorId="0" shapeId="0" xr:uid="{00000000-0006-0000-0400-00000D000000}">
      <text>
        <r>
          <rPr>
            <b/>
            <sz val="9"/>
            <color indexed="81"/>
            <rFont val="Tahoma"/>
            <family val="2"/>
          </rPr>
          <t>Macabacus:</t>
        </r>
        <r>
          <rPr>
            <sz val="9"/>
            <color indexed="81"/>
            <rFont val="Tahoma"/>
            <family val="2"/>
          </rPr>
          <t xml:space="preserve">
Section 382(b)(2):  "If the section 382 limitation for any post-change year exceeds the taxable income of the new loss corporation for such year which was offset by pre-change losses, the section 382 limitation for the next post-change year shall be increased by the amount of such excess."
Said another way, the Section 382 annual limitation for a given year may be increased by any unused portion of prior years' Section 382 annual limitations.</t>
        </r>
      </text>
    </comment>
    <comment ref="B667" authorId="0" shapeId="0" xr:uid="{00000000-0006-0000-0400-00000E000000}">
      <text>
        <r>
          <rPr>
            <b/>
            <sz val="9"/>
            <color indexed="81"/>
            <rFont val="Tahoma"/>
            <family val="2"/>
          </rPr>
          <t>Macabacus:</t>
        </r>
        <r>
          <rPr>
            <sz val="9"/>
            <color indexed="81"/>
            <rFont val="Tahoma"/>
            <family val="2"/>
          </rPr>
          <t xml:space="preserve">
Section 382(l)(2)(B):  "In any case in which a (i) pre-change loss of a loss corporation for any taxable year is subject to a section 382 limitation, and (ii) a net operating loss of such corporation from such taxable year is not subject to such limitation, taxable income shall be treated as having been offset first by the loss subject to such limitation."
Said another way, NOL subject to limitation under Section 382 are used before NOL not subject to such limitation.
</t>
        </r>
      </text>
    </comment>
    <comment ref="H759" authorId="0" shapeId="0" xr:uid="{00000000-0006-0000-0400-00000F000000}">
      <text>
        <r>
          <rPr>
            <b/>
            <sz val="8"/>
            <color indexed="81"/>
            <rFont val="Tahoma"/>
            <family val="2"/>
          </rPr>
          <t>Ryan MacGregor:</t>
        </r>
        <r>
          <rPr>
            <sz val="8"/>
            <color indexed="81"/>
            <rFont val="Tahoma"/>
            <family val="2"/>
          </rPr>
          <t xml:space="preserve">
Typically 150% of fully phased-in cost savings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Ryan MacGregor</author>
  </authors>
  <commentList>
    <comment ref="E200" authorId="0" shapeId="0" xr:uid="{00000000-0006-0000-0500-000001000000}">
      <text>
        <r>
          <rPr>
            <b/>
            <sz val="9"/>
            <color indexed="81"/>
            <rFont val="Tahoma"/>
            <family val="2"/>
          </rPr>
          <t>Macabacus:</t>
        </r>
        <r>
          <rPr>
            <sz val="9"/>
            <color indexed="81"/>
            <rFont val="Tahoma"/>
            <family val="2"/>
          </rPr>
          <t xml:space="preserve">
1 = Sales, 2 = COGS</t>
        </r>
      </text>
    </comment>
    <comment ref="F232" authorId="0" shapeId="0" xr:uid="{00000000-0006-0000-0500-000002000000}">
      <text>
        <r>
          <rPr>
            <b/>
            <sz val="9"/>
            <color indexed="81"/>
            <rFont val="Tahoma"/>
            <family val="2"/>
          </rPr>
          <t>Macabacus:</t>
        </r>
        <r>
          <rPr>
            <sz val="9"/>
            <color indexed="81"/>
            <rFont val="Tahoma"/>
            <family val="2"/>
          </rPr>
          <t xml:space="preserve">
Whether you apply the DRD to deferred taxes is a judgement call.  Accountants will generally advise you not to, since companies rarely pay "catch-up" dividends (i.e. they will not likely distribute dividends in the future that were not distributed in the current period).  So, these undistributed dividends would never qualify for the DRD because they are not expected to be distributed in the future.
If you do expect undistributed earnings to be paid out in a future period, then you would apply the DRD to the undistrubted earnings.</t>
        </r>
      </text>
    </comment>
    <comment ref="B261" authorId="0" shapeId="0" xr:uid="{00000000-0006-0000-0500-000003000000}">
      <text>
        <r>
          <rPr>
            <b/>
            <sz val="9"/>
            <color indexed="81"/>
            <rFont val="Tahoma"/>
            <family val="2"/>
          </rPr>
          <t>Macabacus:</t>
        </r>
        <r>
          <rPr>
            <sz val="9"/>
            <color indexed="81"/>
            <rFont val="Tahoma"/>
            <family val="2"/>
          </rPr>
          <t xml:space="preserve">
Include only non-PIK instruments here.</t>
        </r>
      </text>
    </comment>
    <comment ref="B330" authorId="0" shapeId="0" xr:uid="{00000000-0006-0000-0500-000004000000}">
      <text>
        <r>
          <rPr>
            <b/>
            <sz val="9"/>
            <color indexed="81"/>
            <rFont val="Tahoma"/>
            <family val="2"/>
          </rPr>
          <t>Macabacus:</t>
        </r>
        <r>
          <rPr>
            <sz val="9"/>
            <color indexed="81"/>
            <rFont val="Tahoma"/>
            <family val="2"/>
          </rPr>
          <t xml:space="preserve">
Expressed as a percentage of total interest/dividends.  PIK normally applies only to subordinated bonds and preferred stock.
With some forms of junior debt and preferred stock, interest and dividend payments may be made "in-kind", meaning that rather than paying interest or dividends with cash, TargetCo may instead pay with additional amounts of debt or preferred stock, as applicable, that increase the face value of these securities.  Payment-in-kind ("PIK") is often structured so that TargetCo has the option to pay either cash or in-kind for the first few years, after which all interest payments and dividends must be paid in cash.  TargetCo will often elect to pay in-kind whenever possible to conserve cash.  Whether such payments are made in-kind or in cash, the interest expense or dividend payments appear in full on the income statement.  Any amounts paid in-kind are added back to net income on the cash flow statement since no cash was actually paid.  We assume here that any years PIK are measured from the date the deal closes.</t>
        </r>
      </text>
    </comment>
    <comment ref="D341" authorId="0" shapeId="0" xr:uid="{00000000-0006-0000-0500-000005000000}">
      <text>
        <r>
          <rPr>
            <b/>
            <sz val="9"/>
            <color indexed="81"/>
            <rFont val="Tahoma"/>
            <family val="2"/>
          </rPr>
          <t>Macabacus:</t>
        </r>
        <r>
          <rPr>
            <sz val="9"/>
            <color indexed="81"/>
            <rFont val="Tahoma"/>
            <family val="2"/>
          </rPr>
          <t xml:space="preserve">
Enter zero for floating rates.</t>
        </r>
      </text>
    </comment>
    <comment ref="E341" authorId="0" shapeId="0" xr:uid="{00000000-0006-0000-0500-000006000000}">
      <text>
        <r>
          <rPr>
            <b/>
            <sz val="9"/>
            <color indexed="81"/>
            <rFont val="Tahoma"/>
            <family val="2"/>
          </rPr>
          <t>Macabacus:</t>
        </r>
        <r>
          <rPr>
            <sz val="9"/>
            <color indexed="81"/>
            <rFont val="Tahoma"/>
            <family val="2"/>
          </rPr>
          <t xml:space="preserve">
Enter zero for fixed rates.</t>
        </r>
      </text>
    </comment>
    <comment ref="B374" authorId="0" shapeId="0" xr:uid="{00000000-0006-0000-0500-000007000000}">
      <text>
        <r>
          <rPr>
            <b/>
            <sz val="9"/>
            <color indexed="81"/>
            <rFont val="Tahoma"/>
            <family val="2"/>
          </rPr>
          <t>Macabacus:</t>
        </r>
        <r>
          <rPr>
            <sz val="9"/>
            <color indexed="81"/>
            <rFont val="Tahoma"/>
            <family val="2"/>
          </rPr>
          <t xml:space="preserve">
This is set up as a plug.  If assumptions are reasonable, this row should go to zero.</t>
        </r>
      </text>
    </comment>
    <comment ref="F395" authorId="0" shapeId="0" xr:uid="{00000000-0006-0000-0500-000008000000}">
      <text>
        <r>
          <rPr>
            <b/>
            <sz val="9"/>
            <color indexed="81"/>
            <rFont val="Tahoma"/>
            <family val="2"/>
          </rPr>
          <t>Macabacus:</t>
        </r>
        <r>
          <rPr>
            <sz val="9"/>
            <color indexed="81"/>
            <rFont val="Tahoma"/>
            <family val="2"/>
          </rPr>
          <t xml:space="preserve">
Assume same as book depreciation by default for simplicity and to avoid masking purchase accounting adjustments on a pro forma basis.  This might be a valid assumption if the company has no existing DTA/DTL.
In reality tax depreciation might use an accelerated MACRS schedule.</t>
        </r>
      </text>
    </comment>
    <comment ref="B398" authorId="0" shapeId="0" xr:uid="{00000000-0006-0000-0500-000009000000}">
      <text>
        <r>
          <rPr>
            <b/>
            <sz val="9"/>
            <color indexed="81"/>
            <rFont val="Tahoma"/>
            <family val="2"/>
          </rPr>
          <t>Macabacus:</t>
        </r>
        <r>
          <rPr>
            <sz val="9"/>
            <color indexed="81"/>
            <rFont val="Tahoma"/>
            <family val="2"/>
          </rPr>
          <t xml:space="preserve">
Assume same as book depreciation for simplicity and to avoid masking purchase accounting adjustments on a pro forma basis.  This might be a valid assumption if the company has no existing DTA/DTL.
In reality tax depreciation might use an accelerated MACRS schedule.</t>
        </r>
      </text>
    </comment>
    <comment ref="B418" authorId="0" shapeId="0" xr:uid="{00000000-0006-0000-0500-00000A000000}">
      <text>
        <r>
          <rPr>
            <b/>
            <sz val="9"/>
            <color indexed="81"/>
            <rFont val="Tahoma"/>
            <family val="2"/>
          </rPr>
          <t>Macabacus:</t>
        </r>
        <r>
          <rPr>
            <sz val="9"/>
            <color indexed="81"/>
            <rFont val="Tahoma"/>
            <family val="2"/>
          </rPr>
          <t xml:space="preserve">
Assume same as book amortization for simplicity and to avoid masking purchase accounting adjustments on a pro forma basis.  This might be a valid assumption if the company has no existing DTA/DTL.</t>
        </r>
      </text>
    </comment>
    <comment ref="B420" authorId="0" shapeId="0" xr:uid="{00000000-0006-0000-0500-00000B000000}">
      <text>
        <r>
          <rPr>
            <b/>
            <sz val="9"/>
            <color indexed="81"/>
            <rFont val="Tahoma"/>
            <family val="2"/>
          </rPr>
          <t>Macabacus:</t>
        </r>
        <r>
          <rPr>
            <sz val="9"/>
            <color indexed="81"/>
            <rFont val="Tahoma"/>
            <family val="2"/>
          </rPr>
          <t xml:space="preserve">
Assume same as book for simplicity.</t>
        </r>
      </text>
    </comment>
    <comment ref="F442" authorId="0" shapeId="0" xr:uid="{00000000-0006-0000-0500-00000C000000}">
      <text>
        <r>
          <rPr>
            <b/>
            <sz val="9"/>
            <color indexed="81"/>
            <rFont val="Tahoma"/>
            <family val="2"/>
          </rPr>
          <t>Macabacus:</t>
        </r>
        <r>
          <rPr>
            <sz val="9"/>
            <color indexed="81"/>
            <rFont val="Tahoma"/>
            <family val="2"/>
          </rPr>
          <t xml:space="preserve">
This is the maximum amount of NOL that can be used to offset taxable income (as calculated for tax purposes) in each lookforward period.</t>
        </r>
      </text>
    </comment>
    <comment ref="F459" authorId="0" shapeId="0" xr:uid="{00000000-0006-0000-0500-00000D000000}">
      <text>
        <r>
          <rPr>
            <b/>
            <sz val="9"/>
            <color indexed="81"/>
            <rFont val="Tahoma"/>
            <family val="2"/>
          </rPr>
          <t>Macabacus:</t>
        </r>
        <r>
          <rPr>
            <sz val="9"/>
            <color indexed="81"/>
            <rFont val="Tahoma"/>
            <family val="2"/>
          </rPr>
          <t xml:space="preserve">
NOL may be be carried forward up to 20 years.  In practice, NOL may be accumulated over a span of time, such that the average remaining life of the NOL, in aggregate, is less than 20 years.  For simplicity, we assume that all NOL were generated in a single period 5 years ago, such that the remaining life is 20-5=15 years.  Ultimately, this is a diligence item.</t>
        </r>
      </text>
    </comment>
    <comment ref="B536" authorId="0" shapeId="0" xr:uid="{00000000-0006-0000-0500-00000E000000}">
      <text>
        <r>
          <rPr>
            <b/>
            <sz val="9"/>
            <color indexed="81"/>
            <rFont val="Tahoma"/>
            <family val="2"/>
          </rPr>
          <t>Macabacus:</t>
        </r>
        <r>
          <rPr>
            <sz val="9"/>
            <color indexed="81"/>
            <rFont val="Tahoma"/>
            <family val="2"/>
          </rPr>
          <t xml:space="preserve">
Note that we do not tax effect the add-back of preferred dividends.</t>
        </r>
      </text>
    </comment>
    <comment ref="B542" authorId="0" shapeId="0" xr:uid="{00000000-0006-0000-0500-00000F000000}">
      <text>
        <r>
          <rPr>
            <b/>
            <sz val="9"/>
            <color indexed="81"/>
            <rFont val="Tahoma"/>
            <family val="2"/>
          </rPr>
          <t>Macabacus:</t>
        </r>
        <r>
          <rPr>
            <sz val="9"/>
            <color indexed="81"/>
            <rFont val="Tahoma"/>
            <family val="2"/>
          </rPr>
          <t xml:space="preserve">
If the security is anti-dilutive, it is not included in the fully diluted share count.  Conversely, if the security is dilutive, it is included in the fully diluted share count.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Ryan MacGregor</author>
  </authors>
  <commentList>
    <comment ref="E200" authorId="0" shapeId="0" xr:uid="{00000000-0006-0000-0600-000001000000}">
      <text>
        <r>
          <rPr>
            <b/>
            <sz val="9"/>
            <color indexed="81"/>
            <rFont val="Tahoma"/>
            <family val="2"/>
          </rPr>
          <t>Macabacus:</t>
        </r>
        <r>
          <rPr>
            <sz val="9"/>
            <color indexed="81"/>
            <rFont val="Tahoma"/>
            <family val="2"/>
          </rPr>
          <t xml:space="preserve">
1 = Sales, 2 = COGS</t>
        </r>
      </text>
    </comment>
    <comment ref="F232" authorId="0" shapeId="0" xr:uid="{00000000-0006-0000-0600-000002000000}">
      <text>
        <r>
          <rPr>
            <b/>
            <sz val="9"/>
            <color indexed="81"/>
            <rFont val="Tahoma"/>
            <family val="2"/>
          </rPr>
          <t>Macabacus:</t>
        </r>
        <r>
          <rPr>
            <sz val="9"/>
            <color indexed="81"/>
            <rFont val="Tahoma"/>
            <family val="2"/>
          </rPr>
          <t xml:space="preserve">
Whether you apply the DRD to deferred taxes is a judgement call.  Accountants will generally advise you not to, since companies rarely pay "catch-up" dividends (i.e. they will not likely distribute dividends in the future that were not distributed in the current period).  So, these undistributed dividends would never qualify for the DRD because they are not expected to be distributed in the future.
If you do expect undistributed earnings to be paid out in a future period, then you would apply the DRD to the undistrubted earnings.</t>
        </r>
      </text>
    </comment>
    <comment ref="B261" authorId="0" shapeId="0" xr:uid="{00000000-0006-0000-0600-000003000000}">
      <text>
        <r>
          <rPr>
            <b/>
            <sz val="9"/>
            <color indexed="81"/>
            <rFont val="Tahoma"/>
            <family val="2"/>
          </rPr>
          <t>Macabacus:</t>
        </r>
        <r>
          <rPr>
            <sz val="9"/>
            <color indexed="81"/>
            <rFont val="Tahoma"/>
            <family val="2"/>
          </rPr>
          <t xml:space="preserve">
Include only non-PIK instruments here.</t>
        </r>
      </text>
    </comment>
    <comment ref="B330" authorId="0" shapeId="0" xr:uid="{00000000-0006-0000-0600-000004000000}">
      <text>
        <r>
          <rPr>
            <b/>
            <sz val="9"/>
            <color indexed="81"/>
            <rFont val="Tahoma"/>
            <family val="2"/>
          </rPr>
          <t>Macabacus:</t>
        </r>
        <r>
          <rPr>
            <sz val="9"/>
            <color indexed="81"/>
            <rFont val="Tahoma"/>
            <family val="2"/>
          </rPr>
          <t xml:space="preserve">
Expressed as a percentage of total interest/dividends.  PIK normally applies only to subordinated bonds and preferred stock.
With some forms of junior debt and preferred stock, interest and dividend payments may be made "in-kind", meaning that rather than paying interest or dividends with cash, TargetCo may instead pay with additional amounts of debt or preferred stock, as applicable, that increase the face value of these securities.  Payment-in-kind ("PIK") is often structured so that TargetCo has the option to pay either cash or in-kind for the first few years, after which all interest payments and dividends must be paid in cash.  TargetCo will often elect to pay in-kind whenever possible to conserve cash.  Whether such payments are made in-kind or in cash, the interest expense or dividend payments appear in full on the income statement.  Any amounts paid in-kind are added back to net income on the cash flow statement since no cash was actually paid.  We assume here that any years PIK are measured from the date the deal closes.</t>
        </r>
      </text>
    </comment>
    <comment ref="D341" authorId="0" shapeId="0" xr:uid="{00000000-0006-0000-0600-000005000000}">
      <text>
        <r>
          <rPr>
            <b/>
            <sz val="9"/>
            <color indexed="81"/>
            <rFont val="Tahoma"/>
            <family val="2"/>
          </rPr>
          <t>Macabacus:</t>
        </r>
        <r>
          <rPr>
            <sz val="9"/>
            <color indexed="81"/>
            <rFont val="Tahoma"/>
            <family val="2"/>
          </rPr>
          <t xml:space="preserve">
Enter zero for floating rates.</t>
        </r>
      </text>
    </comment>
    <comment ref="E341" authorId="0" shapeId="0" xr:uid="{00000000-0006-0000-0600-000006000000}">
      <text>
        <r>
          <rPr>
            <b/>
            <sz val="9"/>
            <color indexed="81"/>
            <rFont val="Tahoma"/>
            <family val="2"/>
          </rPr>
          <t>Macabacus:</t>
        </r>
        <r>
          <rPr>
            <sz val="9"/>
            <color indexed="81"/>
            <rFont val="Tahoma"/>
            <family val="2"/>
          </rPr>
          <t xml:space="preserve">
Enter zero for fixed rates.</t>
        </r>
      </text>
    </comment>
    <comment ref="B374" authorId="0" shapeId="0" xr:uid="{00000000-0006-0000-0600-000007000000}">
      <text>
        <r>
          <rPr>
            <b/>
            <sz val="9"/>
            <color indexed="81"/>
            <rFont val="Tahoma"/>
            <family val="2"/>
          </rPr>
          <t>Macabacus:</t>
        </r>
        <r>
          <rPr>
            <sz val="9"/>
            <color indexed="81"/>
            <rFont val="Tahoma"/>
            <family val="2"/>
          </rPr>
          <t xml:space="preserve">
This is set up as a plug.  If assumptions are reasonable, this row should go to zero.</t>
        </r>
      </text>
    </comment>
    <comment ref="F395" authorId="0" shapeId="0" xr:uid="{00000000-0006-0000-0600-000008000000}">
      <text>
        <r>
          <rPr>
            <b/>
            <sz val="9"/>
            <color indexed="81"/>
            <rFont val="Tahoma"/>
            <family val="2"/>
          </rPr>
          <t>Macabacus:</t>
        </r>
        <r>
          <rPr>
            <sz val="9"/>
            <color indexed="81"/>
            <rFont val="Tahoma"/>
            <family val="2"/>
          </rPr>
          <t xml:space="preserve">
Assume same as book depreciation by default for simplicity and to avoid masking purchase accounting adjustments on a pro forma basis.  This might be a valid assumption if the company has no existing DTA/DTL.
In reality tax depreciation might use an accelerated MACRS schedule.</t>
        </r>
      </text>
    </comment>
    <comment ref="B398" authorId="0" shapeId="0" xr:uid="{00000000-0006-0000-0600-000009000000}">
      <text>
        <r>
          <rPr>
            <b/>
            <sz val="9"/>
            <color indexed="81"/>
            <rFont val="Tahoma"/>
            <family val="2"/>
          </rPr>
          <t>Macabacus:</t>
        </r>
        <r>
          <rPr>
            <sz val="9"/>
            <color indexed="81"/>
            <rFont val="Tahoma"/>
            <family val="2"/>
          </rPr>
          <t xml:space="preserve">
Assume same as book depreciation for simplicity and to avoid masking purchase accounting adjustments on a pro forma basis.  This might be a valid assumption if the company has no existing DTA/DTL.
In reality tax depreciation might use an accelerated MACRS schedule.</t>
        </r>
      </text>
    </comment>
    <comment ref="B418" authorId="0" shapeId="0" xr:uid="{00000000-0006-0000-0600-00000A000000}">
      <text>
        <r>
          <rPr>
            <b/>
            <sz val="9"/>
            <color indexed="81"/>
            <rFont val="Tahoma"/>
            <family val="2"/>
          </rPr>
          <t>Macabacus:</t>
        </r>
        <r>
          <rPr>
            <sz val="9"/>
            <color indexed="81"/>
            <rFont val="Tahoma"/>
            <family val="2"/>
          </rPr>
          <t xml:space="preserve">
Assume same as book amortization for simplicity and to avoid masking purchase accounting adjustments on a pro forma basis.  This might be a valid assumption if the company has no existing DTA/DTL.</t>
        </r>
      </text>
    </comment>
    <comment ref="B420" authorId="0" shapeId="0" xr:uid="{00000000-0006-0000-0600-00000B000000}">
      <text>
        <r>
          <rPr>
            <b/>
            <sz val="9"/>
            <color indexed="81"/>
            <rFont val="Tahoma"/>
            <family val="2"/>
          </rPr>
          <t>Macabacus:</t>
        </r>
        <r>
          <rPr>
            <sz val="9"/>
            <color indexed="81"/>
            <rFont val="Tahoma"/>
            <family val="2"/>
          </rPr>
          <t xml:space="preserve">
Assume same as book for simplicity.</t>
        </r>
      </text>
    </comment>
    <comment ref="F442" authorId="0" shapeId="0" xr:uid="{00000000-0006-0000-0600-00000C000000}">
      <text>
        <r>
          <rPr>
            <b/>
            <sz val="9"/>
            <color indexed="81"/>
            <rFont val="Tahoma"/>
            <family val="2"/>
          </rPr>
          <t>Macabacus:</t>
        </r>
        <r>
          <rPr>
            <sz val="9"/>
            <color indexed="81"/>
            <rFont val="Tahoma"/>
            <family val="2"/>
          </rPr>
          <t xml:space="preserve">
This is the maximum amount of NOL that can be used to offset taxable income (as calculated for tax purposes) in each lookforward period.</t>
        </r>
      </text>
    </comment>
    <comment ref="F459" authorId="0" shapeId="0" xr:uid="{00000000-0006-0000-0600-00000D000000}">
      <text>
        <r>
          <rPr>
            <b/>
            <sz val="9"/>
            <color indexed="81"/>
            <rFont val="Tahoma"/>
            <family val="2"/>
          </rPr>
          <t>Macabacus:</t>
        </r>
        <r>
          <rPr>
            <sz val="9"/>
            <color indexed="81"/>
            <rFont val="Tahoma"/>
            <family val="2"/>
          </rPr>
          <t xml:space="preserve">
NOL may be be carried forward up to 20 years.  In practice, NOL may be accumulated over a span of time, such that the average remaining life of the NOL, in aggregate, is less than 20 years.  For simplicity, we assume that all NOL were generated in a single period 5 years ago, such that the remaining life is 20-5=15 years.  Ultimately, this is a diligence item.</t>
        </r>
      </text>
    </comment>
    <comment ref="F471" authorId="0" shapeId="0" xr:uid="{00000000-0006-0000-0600-00000E000000}">
      <text>
        <r>
          <rPr>
            <b/>
            <sz val="9"/>
            <color indexed="81"/>
            <rFont val="Tahoma"/>
            <family val="2"/>
          </rPr>
          <t>Macabacus:</t>
        </r>
        <r>
          <rPr>
            <sz val="9"/>
            <color indexed="81"/>
            <rFont val="Tahoma"/>
            <family val="2"/>
          </rPr>
          <t xml:space="preserve">
This is an approximation to ensure the math works for illustrative purposes.  The disclosed DTA attributable to NOL may not exactly equal the NOL times the tax rate.</t>
        </r>
      </text>
    </comment>
    <comment ref="B536" authorId="0" shapeId="0" xr:uid="{00000000-0006-0000-0600-00000F000000}">
      <text>
        <r>
          <rPr>
            <b/>
            <sz val="9"/>
            <color indexed="81"/>
            <rFont val="Tahoma"/>
            <family val="2"/>
          </rPr>
          <t>Macabacus:</t>
        </r>
        <r>
          <rPr>
            <sz val="9"/>
            <color indexed="81"/>
            <rFont val="Tahoma"/>
            <family val="2"/>
          </rPr>
          <t xml:space="preserve">
Note that we do not tax effect the add-back of preferred dividends.</t>
        </r>
      </text>
    </comment>
    <comment ref="B542" authorId="0" shapeId="0" xr:uid="{00000000-0006-0000-0600-000010000000}">
      <text>
        <r>
          <rPr>
            <b/>
            <sz val="9"/>
            <color indexed="81"/>
            <rFont val="Tahoma"/>
            <family val="2"/>
          </rPr>
          <t>Macabacus:</t>
        </r>
        <r>
          <rPr>
            <sz val="9"/>
            <color indexed="81"/>
            <rFont val="Tahoma"/>
            <family val="2"/>
          </rPr>
          <t xml:space="preserve">
If the security is anti-dilutive, it is not included in the fully diluted share count.  Conversely, if the security is dilutive, it is included in the fully diluted share count.</t>
        </r>
      </text>
    </comment>
  </commentList>
</comments>
</file>

<file path=xl/sharedStrings.xml><?xml version="1.0" encoding="utf-8"?>
<sst xmlns="http://schemas.openxmlformats.org/spreadsheetml/2006/main" count="1687" uniqueCount="693">
  <si>
    <t>Transaction balance sheet</t>
  </si>
  <si>
    <t>Scenario</t>
  </si>
  <si>
    <t>Contemplated Scenarios</t>
  </si>
  <si>
    <t>Active</t>
  </si>
  <si>
    <t>Assets</t>
  </si>
  <si>
    <t>Check</t>
  </si>
  <si>
    <t>Noncontrolling interest</t>
  </si>
  <si>
    <t>Total liabilities</t>
  </si>
  <si>
    <t>Other liabilities</t>
  </si>
  <si>
    <t>Total assets</t>
  </si>
  <si>
    <t>Other assets</t>
  </si>
  <si>
    <t>Goodwill</t>
  </si>
  <si>
    <t>Balance Sheet</t>
  </si>
  <si>
    <t>Basic shares outstanding</t>
  </si>
  <si>
    <t>Currency symbol</t>
  </si>
  <si>
    <t>NA</t>
  </si>
  <si>
    <t>Tax rate</t>
  </si>
  <si>
    <t>USD</t>
  </si>
  <si>
    <t>Model currency</t>
  </si>
  <si>
    <t>($ in millions)</t>
  </si>
  <si>
    <t>Basic shares outstanding (mm)</t>
  </si>
  <si>
    <t>Total liabilities &amp; shareholders' equity</t>
  </si>
  <si>
    <t>Incremental</t>
  </si>
  <si>
    <t>Goodwill created</t>
  </si>
  <si>
    <t>( + ) Bargain purchase gain</t>
  </si>
  <si>
    <t>Purchase price</t>
  </si>
  <si>
    <t>Transaction DTL</t>
  </si>
  <si>
    <t>Total uses</t>
  </si>
  <si>
    <t>Uses</t>
  </si>
  <si>
    <t>Total sources</t>
  </si>
  <si>
    <t>Cash</t>
  </si>
  <si>
    <t>Sources</t>
  </si>
  <si>
    <t>( x ) Tax rate</t>
  </si>
  <si>
    <t>( x ) Max. NOL carry-forward period (yrs)</t>
  </si>
  <si>
    <t xml:space="preserve">(A) Max. annual DTA utilization under Section 382 </t>
  </si>
  <si>
    <t>Annual Section 382 NOL deduction limitation</t>
  </si>
  <si>
    <t>( x ) IRS long-term tax-exempt rate</t>
  </si>
  <si>
    <t>Net income</t>
  </si>
  <si>
    <t>Close</t>
  </si>
  <si>
    <t>Noncontrolling interests</t>
  </si>
  <si>
    <t xml:space="preserve">Assets </t>
  </si>
  <si>
    <t>Quarters in each period</t>
  </si>
  <si>
    <t>Realization (%)</t>
  </si>
  <si>
    <t>Cash consideration</t>
  </si>
  <si>
    <t>Cash consideration (%)</t>
  </si>
  <si>
    <t>This sheet contains Factset binary data for use with this workbook's =FDS codes.  Modifying the worksheet's contents may damage the workbook's =FDS functionality.</t>
  </si>
  <si>
    <t>Amortization of intangibles</t>
  </si>
  <si>
    <t>PP&amp;E, gross</t>
  </si>
  <si>
    <t>( – ) Accumulated depreciation</t>
  </si>
  <si>
    <t>PP&amp;E, net</t>
  </si>
  <si>
    <t>Total current assets</t>
  </si>
  <si>
    <t>Cash and equivalents</t>
  </si>
  <si>
    <t>Accounts receivable</t>
  </si>
  <si>
    <t>Inventory</t>
  </si>
  <si>
    <t>Other current assets</t>
  </si>
  <si>
    <t>Unearned compensation</t>
  </si>
  <si>
    <t>Other intangible assets</t>
  </si>
  <si>
    <t>Accounts payable</t>
  </si>
  <si>
    <t>Accrued expenses</t>
  </si>
  <si>
    <t>Income taxes payable</t>
  </si>
  <si>
    <t>Deferred revenue</t>
  </si>
  <si>
    <t>Other current liabilities</t>
  </si>
  <si>
    <t>Current portion of long-term debt</t>
  </si>
  <si>
    <t>Total current liabilities</t>
  </si>
  <si>
    <t>Liabilities &amp; Shareholders' Equity</t>
  </si>
  <si>
    <t>Other long-term liabilities</t>
  </si>
  <si>
    <t>Revolver</t>
  </si>
  <si>
    <t>Total</t>
  </si>
  <si>
    <t>Adjustments</t>
  </si>
  <si>
    <t>Pro Forma</t>
  </si>
  <si>
    <t>Consolidated</t>
  </si>
  <si>
    <t>Fair value adjustments</t>
  </si>
  <si>
    <t>Purchase</t>
  </si>
  <si>
    <t>Acquired</t>
  </si>
  <si>
    <t>Restructuring</t>
  </si>
  <si>
    <t>Accounting</t>
  </si>
  <si>
    <t>Fair Value</t>
  </si>
  <si>
    <t>of Acquired</t>
  </si>
  <si>
    <t>from FV Marks</t>
  </si>
  <si>
    <t>Marks (pre-tax)</t>
  </si>
  <si>
    <t>Fair Value Adjustments</t>
  </si>
  <si>
    <t>Non-cash current assets</t>
  </si>
  <si>
    <t>Non-debt current liabilities</t>
  </si>
  <si>
    <t>Net working capital</t>
  </si>
  <si>
    <t>Deferred tax asset, current</t>
  </si>
  <si>
    <t>Client deposits</t>
  </si>
  <si>
    <t>Net Working Capital</t>
  </si>
  <si>
    <t>Working Capital Drivers</t>
  </si>
  <si>
    <t>Sales</t>
  </si>
  <si>
    <t>COGS</t>
  </si>
  <si>
    <t>Total revenue</t>
  </si>
  <si>
    <t>Gross profit</t>
  </si>
  <si>
    <t>SG&amp;A</t>
  </si>
  <si>
    <t>EBITDA</t>
  </si>
  <si>
    <t>Depreciation</t>
  </si>
  <si>
    <t>Amortization</t>
  </si>
  <si>
    <t>Stock-based comp</t>
  </si>
  <si>
    <t>EBIT</t>
  </si>
  <si>
    <t>EBITA</t>
  </si>
  <si>
    <t>Interest (income) / expense</t>
  </si>
  <si>
    <t>Other (income) / expense</t>
  </si>
  <si>
    <t>Income before taxes</t>
  </si>
  <si>
    <t>Provision for tax</t>
  </si>
  <si>
    <t>One-time charges</t>
  </si>
  <si>
    <t>GAAP net income</t>
  </si>
  <si>
    <t>Cash diluted EPS</t>
  </si>
  <si>
    <t>GAAP diluted EPS</t>
  </si>
  <si>
    <t>Capital expenditures</t>
  </si>
  <si>
    <t>Sales growth</t>
  </si>
  <si>
    <t>COGS / sales</t>
  </si>
  <si>
    <t>SG&amp;A / sales</t>
  </si>
  <si>
    <t>Depreciation / sales</t>
  </si>
  <si>
    <t>Amortization / sales</t>
  </si>
  <si>
    <t>Stock-based comp / sales</t>
  </si>
  <si>
    <t>Capex / sales</t>
  </si>
  <si>
    <t>Gross margin</t>
  </si>
  <si>
    <t>EBITDA margin</t>
  </si>
  <si>
    <t>EBIT margin</t>
  </si>
  <si>
    <t>EBITA margin</t>
  </si>
  <si>
    <t>Cash net margin</t>
  </si>
  <si>
    <t>GAAP net margin</t>
  </si>
  <si>
    <t>Selector</t>
  </si>
  <si>
    <t>Fully diluted shares outstanding (FDSO)</t>
  </si>
  <si>
    <t>Basic shares outstanding (BSO)</t>
  </si>
  <si>
    <t>Common stock, par value</t>
  </si>
  <si>
    <t>Treasury stock</t>
  </si>
  <si>
    <t>Accum. &amp; other comp. income / (loss)</t>
  </si>
  <si>
    <t>Retained earnings</t>
  </si>
  <si>
    <t>Operating Activities</t>
  </si>
  <si>
    <t>Amortization of capitalized financing costs</t>
  </si>
  <si>
    <t>Stock-based compensation</t>
  </si>
  <si>
    <t>Income statement adjustments</t>
  </si>
  <si>
    <t>(Increase) / decrease in working capital</t>
  </si>
  <si>
    <t>Balance sheet adjustments</t>
  </si>
  <si>
    <t>Cash flow from operating activities</t>
  </si>
  <si>
    <t>Investing Activities</t>
  </si>
  <si>
    <t>Proceeds from the sale of assets</t>
  </si>
  <si>
    <t>Cash flow from investing activities</t>
  </si>
  <si>
    <t>Financing Activities</t>
  </si>
  <si>
    <t>Cash flow from financing activities</t>
  </si>
  <si>
    <t>Change in cash</t>
  </si>
  <si>
    <t>GAAP net income available to common</t>
  </si>
  <si>
    <t>GAAP to cash reconciliation</t>
  </si>
  <si>
    <t>GAAP earnings growth</t>
  </si>
  <si>
    <t>Cash earnings growth</t>
  </si>
  <si>
    <t>Revenue synergies</t>
  </si>
  <si>
    <t>COGS savings</t>
  </si>
  <si>
    <t>SG&amp;A savings</t>
  </si>
  <si>
    <t>Cash net income available to common</t>
  </si>
  <si>
    <t>Accretion / Dilution</t>
  </si>
  <si>
    <t>Pro forma GAAP EPS</t>
  </si>
  <si>
    <t>Pro forma cash EPS</t>
  </si>
  <si>
    <t>Accretion / (dilution) ($)</t>
  </si>
  <si>
    <t>Accretion / (dilution) (%)</t>
  </si>
  <si>
    <t>Purchase accounting-related intangibles</t>
  </si>
  <si>
    <t>Restructuring Costs</t>
  </si>
  <si>
    <t>COGS Savings</t>
  </si>
  <si>
    <t>SG&amp;A Savings</t>
  </si>
  <si>
    <t>Useful life (yrs)</t>
  </si>
  <si>
    <t>PP&amp;E depreciation period (yrs)</t>
  </si>
  <si>
    <t>PP&amp;E write-up / (down) – beginning</t>
  </si>
  <si>
    <t>PP&amp;E write-up / (down) – ending</t>
  </si>
  <si>
    <t>(B) Realizable tax benefit under Section 382</t>
  </si>
  <si>
    <t>(C) Target's existing DTA attributable to NOLs</t>
  </si>
  <si>
    <t>PP&amp;E</t>
  </si>
  <si>
    <t>Identifiable intangibles</t>
  </si>
  <si>
    <t>[Asset 3]</t>
  </si>
  <si>
    <t>[Liability 1]</t>
  </si>
  <si>
    <t>[Liability 2]</t>
  </si>
  <si>
    <t>[Liability 3]</t>
  </si>
  <si>
    <t>Write off DTL related to purch. accnt. intangibles</t>
  </si>
  <si>
    <t>Transaction DTA</t>
  </si>
  <si>
    <t>Write down DTA attributable to NOL (Section 382)</t>
  </si>
  <si>
    <t>Purchase Price Allocation</t>
  </si>
  <si>
    <t>Equity purchase price</t>
  </si>
  <si>
    <t>( – ) Book value</t>
  </si>
  <si>
    <t>Excess purchase price to allocate</t>
  </si>
  <si>
    <t>Write off existing goodwill</t>
  </si>
  <si>
    <t>( – ) Book value adjustments</t>
  </si>
  <si>
    <t>Excess purchase price after allocation</t>
  </si>
  <si>
    <t>Write Off Purch.</t>
  </si>
  <si>
    <t>Accnt. Intang.</t>
  </si>
  <si>
    <t>Options</t>
  </si>
  <si>
    <t>Number of</t>
  </si>
  <si>
    <t>Average</t>
  </si>
  <si>
    <t>Treasury</t>
  </si>
  <si>
    <t>Strike</t>
  </si>
  <si>
    <t>Shares</t>
  </si>
  <si>
    <t>Tranche 1</t>
  </si>
  <si>
    <t>Tranche 2</t>
  </si>
  <si>
    <t>Tranche 3</t>
  </si>
  <si>
    <t>Tranche 4</t>
  </si>
  <si>
    <t>Tranche 5</t>
  </si>
  <si>
    <t>Tranche 6</t>
  </si>
  <si>
    <t>Tranche 7</t>
  </si>
  <si>
    <t>Tranche 8</t>
  </si>
  <si>
    <t>Tranche 9</t>
  </si>
  <si>
    <t>Tranche 10</t>
  </si>
  <si>
    <t>Valuation</t>
  </si>
  <si>
    <t>Offer premium to market</t>
  </si>
  <si>
    <t>Offer price per share</t>
  </si>
  <si>
    <t>( – ) Cash &amp; cash equivalents</t>
  </si>
  <si>
    <t>Sources &amp; Uses</t>
  </si>
  <si>
    <t>Section 382 Limitation</t>
  </si>
  <si>
    <t>Write off purch. accounting-related intangibles</t>
  </si>
  <si>
    <t>Revenue Synergies</t>
  </si>
  <si>
    <t>Revenue synergies – adjusted for stub period</t>
  </si>
  <si>
    <t>COGS savings – adjusted for stub period</t>
  </si>
  <si>
    <t>SG&amp;A savings – adjusted for stub period</t>
  </si>
  <si>
    <t>Fractional years per period</t>
  </si>
  <si>
    <t>Year</t>
  </si>
  <si>
    <t>Identifiable intangibles amortization period (yrs)</t>
  </si>
  <si>
    <t>Identifiable intangibles amortization methodology (1 = SYD, 2 = SL)</t>
  </si>
  <si>
    <t>Scheduled identifiable intangibles amortization – adjusted for stub period</t>
  </si>
  <si>
    <t>Scheduled identifiable intangibles amortization – selected</t>
  </si>
  <si>
    <t>Scheduled identifiable intangibles amortization – SL</t>
  </si>
  <si>
    <t>Scheduled identifiable intangibles amortization – SYD</t>
  </si>
  <si>
    <t>Scheduled PP&amp;E depreciation – SYD</t>
  </si>
  <si>
    <t>PP&amp;E depreciation methodology (1 = SYD, 2 = SL)</t>
  </si>
  <si>
    <t>Scheduled PP&amp;E depreciation – SL</t>
  </si>
  <si>
    <t>Scheduled PP&amp;E depreciation – selected</t>
  </si>
  <si>
    <t>Scheduled PP&amp;E depreciation – adjusted for stub period</t>
  </si>
  <si>
    <t>Annual COGS savings – unadjusted for stub period</t>
  </si>
  <si>
    <t>COGS savings (%)</t>
  </si>
  <si>
    <t>SG&amp;A savings (%)</t>
  </si>
  <si>
    <t>Annual SG&amp;A savings – unadjusted for stub period</t>
  </si>
  <si>
    <t>COGS savings realization − first 12 months after close</t>
  </si>
  <si>
    <t>COGS savings realization − second 12 months after close</t>
  </si>
  <si>
    <t>SG&amp;A savings realization − first 12 months after close</t>
  </si>
  <si>
    <t>SG&amp;A savings realization − second 12 months after close</t>
  </si>
  <si>
    <t>Revenue synergies realization − first 12 months after close</t>
  </si>
  <si>
    <t>Revenue synergies realization − second 12 months after close</t>
  </si>
  <si>
    <t>Restructuring costs – adjusted for stub period</t>
  </si>
  <si>
    <t>Restructuring costs – unadjusted for stub period</t>
  </si>
  <si>
    <t>Restructuring costs not incurred at close</t>
  </si>
  <si>
    <t>Total restructuring costs</t>
  </si>
  <si>
    <t>( x ) Restructuring costs not incurred at close (%)</t>
  </si>
  <si>
    <t>Revenue Synergies, Cost Savings, and Restructuring Costs</t>
  </si>
  <si>
    <t>Restructuring charges</t>
  </si>
  <si>
    <t>( x ) Restructuring charge realized at close</t>
  </si>
  <si>
    <t>Total restructuring charge (pre-tax)</t>
  </si>
  <si>
    <t>Restructuring charge at close (pre-tax)</t>
  </si>
  <si>
    <t>Restructuring Charge at Close</t>
  </si>
  <si>
    <t>Fully diluted shares outstanding (mm)</t>
  </si>
  <si>
    <t>( + ) Depreciation of fixed asset write-ups</t>
  </si>
  <si>
    <t>Common dividend per share</t>
  </si>
  <si>
    <t>Common dividend</t>
  </si>
  <si>
    <t>Cash dividend</t>
  </si>
  <si>
    <t>Price</t>
  </si>
  <si>
    <t>Cash Schedule</t>
  </si>
  <si>
    <t>Total cash available</t>
  </si>
  <si>
    <t>Financing fees</t>
  </si>
  <si>
    <t>Advisory fees</t>
  </si>
  <si>
    <t>Offer</t>
  </si>
  <si>
    <t>Pro forma FDSO</t>
  </si>
  <si>
    <t>Pro Forma FDSO at Close</t>
  </si>
  <si>
    <t>Exchange ratio</t>
  </si>
  <si>
    <t>Method</t>
  </si>
  <si>
    <t>In-the-money</t>
  </si>
  <si>
    <t>Liquidation</t>
  </si>
  <si>
    <t>Proceeds in</t>
  </si>
  <si>
    <t>New Avg.</t>
  </si>
  <si>
    <t>Replacement</t>
  </si>
  <si>
    <t>Rollover</t>
  </si>
  <si>
    <t>Stock Options</t>
  </si>
  <si>
    <t>Options Outstanding</t>
  </si>
  <si>
    <t>Options Exercisable</t>
  </si>
  <si>
    <t>Convertible Securities</t>
  </si>
  <si>
    <t>Face</t>
  </si>
  <si>
    <t>Value</t>
  </si>
  <si>
    <t>Conversion</t>
  </si>
  <si>
    <t>Convertible</t>
  </si>
  <si>
    <t>Total Treasury Method shares</t>
  </si>
  <si>
    <t>( + ) In-the-money Treasury Method option shares</t>
  </si>
  <si>
    <t>Intrinsic</t>
  </si>
  <si>
    <t>Stock consideration</t>
  </si>
  <si>
    <t>Prepayment</t>
  </si>
  <si>
    <t>Penalty (%)</t>
  </si>
  <si>
    <t>Penalty ($mm)</t>
  </si>
  <si>
    <t>Prepayment penalties</t>
  </si>
  <si>
    <t>Fee</t>
  </si>
  <si>
    <t>Restructuring costs realization – at close</t>
  </si>
  <si>
    <t>Restructuring costs realization – first 12 months after close</t>
  </si>
  <si>
    <t>Restructuring costs realization – second 12 months after close</t>
  </si>
  <si>
    <t>Restructuring Charges</t>
  </si>
  <si>
    <t>(D) Total DTA subject to Section 382 (min. of C and B)</t>
  </si>
  <si>
    <t>Senior credit facility 1</t>
  </si>
  <si>
    <t>Senior credit facility 2</t>
  </si>
  <si>
    <t>Subordinated note 1</t>
  </si>
  <si>
    <t>Subordinated note 2</t>
  </si>
  <si>
    <t>Convertible bond 1</t>
  </si>
  <si>
    <t>Convertible bond 2</t>
  </si>
  <si>
    <t>Senior credit facility 3</t>
  </si>
  <si>
    <t>Subordinated note 3</t>
  </si>
  <si>
    <t>Convertible bond 3</t>
  </si>
  <si>
    <t>Preferred stock 1</t>
  </si>
  <si>
    <t>Preferred stock 2</t>
  </si>
  <si>
    <t>Preferred stock 3</t>
  </si>
  <si>
    <t>Total debt</t>
  </si>
  <si>
    <t>Shares Outstanding</t>
  </si>
  <si>
    <t>Total cash used</t>
  </si>
  <si>
    <t>( + ) New sources of cash</t>
  </si>
  <si>
    <t>( – ) Minimum pro forma cash balance</t>
  </si>
  <si>
    <t>Net</t>
  </si>
  <si>
    <t>Proceeds</t>
  </si>
  <si>
    <t>Issuance</t>
  </si>
  <si>
    <t>Model Checks</t>
  </si>
  <si>
    <t>Sources equal uses of funds</t>
  </si>
  <si>
    <t>Transaction balance sheet balances</t>
  </si>
  <si>
    <t>Convertible?</t>
  </si>
  <si>
    <t>General Assumptions</t>
  </si>
  <si>
    <t>Transaction &amp;</t>
  </si>
  <si>
    <t>Charges at Close</t>
  </si>
  <si>
    <t>Transaction costs expensed at close</t>
  </si>
  <si>
    <t>Capitalized debt financing costs</t>
  </si>
  <si>
    <t>Fee (%)</t>
  </si>
  <si>
    <t>Restructuring charge at close</t>
  </si>
  <si>
    <t>New debt issued</t>
  </si>
  <si>
    <t>Standalone</t>
  </si>
  <si>
    <t>Acquisition financing</t>
  </si>
  <si>
    <t>Common stock issuance</t>
  </si>
  <si>
    <t>Purchase price &amp; consideration</t>
  </si>
  <si>
    <t>Synergies</t>
  </si>
  <si>
    <t>SCENARIO SELECTOR</t>
  </si>
  <si>
    <t>Annual revenue syergies</t>
  </si>
  <si>
    <t>Annual revenue synergies – unadjusted for stub period</t>
  </si>
  <si>
    <t>Realized revenue synergies – unadjusted for stub period</t>
  </si>
  <si>
    <t>Gross</t>
  </si>
  <si>
    <t>Converted</t>
  </si>
  <si>
    <t>Convert at</t>
  </si>
  <si>
    <t>Close if ITM?</t>
  </si>
  <si>
    <t>Convert convertible bonds at close if ITM?</t>
  </si>
  <si>
    <t>Convert convertible preferreds at close if ITM?</t>
  </si>
  <si>
    <t>Paid-in Capital</t>
  </si>
  <si>
    <t>Additional</t>
  </si>
  <si>
    <t>Repayment</t>
  </si>
  <si>
    <t>Repay</t>
  </si>
  <si>
    <t>Security?</t>
  </si>
  <si>
    <t>Post-Repayment</t>
  </si>
  <si>
    <t>Converted?</t>
  </si>
  <si>
    <t>Post-Conversion</t>
  </si>
  <si>
    <t>Enterprise value</t>
  </si>
  <si>
    <t>Is Security</t>
  </si>
  <si>
    <t>Equity value</t>
  </si>
  <si>
    <t>Purchase Price</t>
  </si>
  <si>
    <t>Market</t>
  </si>
  <si>
    <t>In-the-Money</t>
  </si>
  <si>
    <t>at Offer Price?</t>
  </si>
  <si>
    <t>Share price</t>
  </si>
  <si>
    <t>Stock options</t>
  </si>
  <si>
    <t>Convertible securities</t>
  </si>
  <si>
    <t>Fully diluted shares outstanding</t>
  </si>
  <si>
    <t>( x ) Share price</t>
  </si>
  <si>
    <t>( + ) Non-convertible debt &amp; preferred stock</t>
  </si>
  <si>
    <t>( + ) Convertible debt &amp; preferred stock</t>
  </si>
  <si>
    <t>( + ) Noncontrolling interests</t>
  </si>
  <si>
    <t>( + ) Capital leases</t>
  </si>
  <si>
    <t>( – ) Equity investments</t>
  </si>
  <si>
    <t>Coupon</t>
  </si>
  <si>
    <t>Convertible preferred dividends added back to net income if converted</t>
  </si>
  <si>
    <t>Preferred</t>
  </si>
  <si>
    <t>Multiples Analysis</t>
  </si>
  <si>
    <t>Premiums to Market</t>
  </si>
  <si>
    <t>Convertible bond coupon added back to net income if converted (after tax)</t>
  </si>
  <si>
    <t>Valuation Multiples</t>
  </si>
  <si>
    <t>Revenue Synergies &amp; Cost Savings Realization</t>
  </si>
  <si>
    <t>Tax Assumptions</t>
  </si>
  <si>
    <t>IRS long-term tax-exempt rate</t>
  </si>
  <si>
    <t>Miscellaneous</t>
  </si>
  <si>
    <t>Minimum pro forma cash balance</t>
  </si>
  <si>
    <t>Third Party Financing</t>
  </si>
  <si>
    <t>Common stock</t>
  </si>
  <si>
    <t>Total third party financing</t>
  </si>
  <si>
    <t>Capitalized</t>
  </si>
  <si>
    <t>Netted Against</t>
  </si>
  <si>
    <t>Issuance Fees</t>
  </si>
  <si>
    <t>Third party financing</t>
  </si>
  <si>
    <t>Common equity issuance discount</t>
  </si>
  <si>
    <t>Common equity issuance fee</t>
  </si>
  <si>
    <t>Preferred equity issuance fee</t>
  </si>
  <si>
    <t>Debt issuance fee</t>
  </si>
  <si>
    <t>Total annual amortization</t>
  </si>
  <si>
    <t>Expense</t>
  </si>
  <si>
    <t>Period</t>
  </si>
  <si>
    <t>Annual</t>
  </si>
  <si>
    <t>Amortization of Capitalized Debt Financing Costs</t>
  </si>
  <si>
    <t>Common</t>
  </si>
  <si>
    <t>Working Capital Drivers &amp; Ratios</t>
  </si>
  <si>
    <t>Inventory days</t>
  </si>
  <si>
    <t>Accounts payable days</t>
  </si>
  <si>
    <t>Accounts receivable days</t>
  </si>
  <si>
    <t>Inventory turnover</t>
  </si>
  <si>
    <t>Purchases</t>
  </si>
  <si>
    <t>Cash needed before revolver pay-down</t>
  </si>
  <si>
    <t>Beginning balance</t>
  </si>
  <si>
    <t>( + ) Revolver draw-down</t>
  </si>
  <si>
    <t>( – ) Revolver pay-down</t>
  </si>
  <si>
    <t>Ending balance</t>
  </si>
  <si>
    <t>Average interest?</t>
  </si>
  <si>
    <t>( – ) Mandatory repayment</t>
  </si>
  <si>
    <t>( – ) Optional repayment</t>
  </si>
  <si>
    <t>( – ) Scheduled maturity</t>
  </si>
  <si>
    <t>( + ) PIK accretion</t>
  </si>
  <si>
    <t>( – ) Retirement</t>
  </si>
  <si>
    <t>( – ) Minimum cash balance</t>
  </si>
  <si>
    <t>Beginning cash balance</t>
  </si>
  <si>
    <t>Excess cash / (cash deficit)</t>
  </si>
  <si>
    <t>( + ) Cash flow available for debt service</t>
  </si>
  <si>
    <t>( – ) Scheduled debt repayment</t>
  </si>
  <si>
    <t>Cash available for sweep / (revolver draw-down)</t>
  </si>
  <si>
    <t>Total cash available for debt service</t>
  </si>
  <si>
    <t>Sweep</t>
  </si>
  <si>
    <t>Total optional debt repayment</t>
  </si>
  <si>
    <t>Debt Schedule</t>
  </si>
  <si>
    <t>Optional debt repayment</t>
  </si>
  <si>
    <t>Interest Rates</t>
  </si>
  <si>
    <t>Revolver – interest</t>
  </si>
  <si>
    <t>Revolver – undrawn commitment fee</t>
  </si>
  <si>
    <t>LIBOR</t>
  </si>
  <si>
    <t>Undrawn revolver balance</t>
  </si>
  <si>
    <t>Undrawn commitment fee</t>
  </si>
  <si>
    <t>Depreciation Schedule</t>
  </si>
  <si>
    <t>Amortization Schedule</t>
  </si>
  <si>
    <t>Tax Schedule</t>
  </si>
  <si>
    <t>Working Capital</t>
  </si>
  <si>
    <t>Debt Triggers</t>
  </si>
  <si>
    <t>Spread to</t>
  </si>
  <si>
    <t>Senior</t>
  </si>
  <si>
    <t>Debt?</t>
  </si>
  <si>
    <t>Net income attributable to noncontrolling interests</t>
  </si>
  <si>
    <t>Pro forma balance sheet balances</t>
  </si>
  <si>
    <t>Amortization of OID</t>
  </si>
  <si>
    <t>Loss on unamortized OID at repayment</t>
  </si>
  <si>
    <t>Income Statement</t>
  </si>
  <si>
    <t>Cash Flow Statement</t>
  </si>
  <si>
    <t>Equity income in affiliates</t>
  </si>
  <si>
    <t>Equity investments</t>
  </si>
  <si>
    <t>Key Performance Metrics &amp; Drivers</t>
  </si>
  <si>
    <t>( – ) Cash dividends received from equity investments</t>
  </si>
  <si>
    <t>Undistributed earnings</t>
  </si>
  <si>
    <t>Dividends Received Deduction (DRD)</t>
  </si>
  <si>
    <t>Income tax expense</t>
  </si>
  <si>
    <t>Current taxes payable</t>
  </si>
  <si>
    <t>Additional paid-in capital (APIC)</t>
  </si>
  <si>
    <t>Equity Investments</t>
  </si>
  <si>
    <t>Capitalized Fee</t>
  </si>
  <si>
    <t>Amortization (yrs)</t>
  </si>
  <si>
    <t>Deal Structure</t>
  </si>
  <si>
    <t>Stock purchase (0=asset, 1=stock)?</t>
  </si>
  <si>
    <t>Section 338 election?</t>
  </si>
  <si>
    <t>Carryover tax basis?</t>
  </si>
  <si>
    <t>Goodwill amortization period (yrs)</t>
  </si>
  <si>
    <t>Goodwill – beginning</t>
  </si>
  <si>
    <t>Goodwill – ending</t>
  </si>
  <si>
    <t>Identifiable intangibles – beginning</t>
  </si>
  <si>
    <t>Identifiable intangibles  – ending</t>
  </si>
  <si>
    <t>( – ) Amortization</t>
  </si>
  <si>
    <t>( + ) Amortization of identifiable intangibles</t>
  </si>
  <si>
    <t>Deferred tax expense</t>
  </si>
  <si>
    <t>BoP DTL – PP&amp;E</t>
  </si>
  <si>
    <t>EoP DTL – PP&amp;E</t>
  </si>
  <si>
    <t>( + ) DTL build / (reversal)</t>
  </si>
  <si>
    <t>EoP DTL – identifiable intangibles</t>
  </si>
  <si>
    <t>BoP DTA – goodwill</t>
  </si>
  <si>
    <t>( + ) DTA build</t>
  </si>
  <si>
    <t>DTL from write-up of fixed assets</t>
  </si>
  <si>
    <t>DTL from write-up of identifiable intangibles</t>
  </si>
  <si>
    <t>DTA from goodwill created</t>
  </si>
  <si>
    <t>Tax Adjustment</t>
  </si>
  <si>
    <t>Tax benefit from DRD</t>
  </si>
  <si>
    <t>Pro Forma Depreciation &amp; Amortization</t>
  </si>
  <si>
    <t>Depreciation period for fixed asset write-ups (yrs) – book</t>
  </si>
  <si>
    <t>Depreciation period for fixed asset write-ups (yrs) – tax</t>
  </si>
  <si>
    <t>Amortization period for identifiable intangible write-ups (yrs) – book</t>
  </si>
  <si>
    <t>Amortization period for identifiable intangible write-ups (yrs) – tax</t>
  </si>
  <si>
    <t>Amortization period for goodwill created in deal (yrs) – tax</t>
  </si>
  <si>
    <t>Pro forma revenue</t>
  </si>
  <si>
    <t>Pro forma COGS</t>
  </si>
  <si>
    <t>Pro forma SG&amp;A</t>
  </si>
  <si>
    <t>Revenue</t>
  </si>
  <si>
    <t>Tax depreciation of capex</t>
  </si>
  <si>
    <t>( + ) Book depreciation of existing fixed assets</t>
  </si>
  <si>
    <t>( – ) Tax depreciation</t>
  </si>
  <si>
    <t>( – ) Tax amortization of intangible assets</t>
  </si>
  <si>
    <t>( – ) Tax amortization of tax-deductible goodwill</t>
  </si>
  <si>
    <t>( – ) Stock-based compensation</t>
  </si>
  <si>
    <t>( + ) Distributed equity income in affiliates</t>
  </si>
  <si>
    <t>( + ) Interest income / (expense)</t>
  </si>
  <si>
    <t>( + ) Other income / (expense)</t>
  </si>
  <si>
    <t>Federal tax rate</t>
  </si>
  <si>
    <t>State and local tax rate</t>
  </si>
  <si>
    <t>Blended tax rate</t>
  </si>
  <si>
    <t>Debt</t>
  </si>
  <si>
    <t>Instrument?</t>
  </si>
  <si>
    <t>Cash available</t>
  </si>
  <si>
    <t>Cash needed</t>
  </si>
  <si>
    <t>Asset?</t>
  </si>
  <si>
    <t>Balance</t>
  </si>
  <si>
    <t>Sheet</t>
  </si>
  <si>
    <t>Asset / Liability</t>
  </si>
  <si>
    <t>DTL from write-up/down of assets/liabilities</t>
  </si>
  <si>
    <t>Transaction DTA / DTL</t>
  </si>
  <si>
    <t>Transaction Closing Calculations</t>
  </si>
  <si>
    <t>DTA from write-down/up of assets/liabilities</t>
  </si>
  <si>
    <t>Optional revolver pay-down?</t>
  </si>
  <si>
    <t>Pre-Conversion</t>
  </si>
  <si>
    <t>FV at Close</t>
  </si>
  <si>
    <t>BV at Close</t>
  </si>
  <si>
    <t>FV Mark</t>
  </si>
  <si>
    <t>DTA Created</t>
  </si>
  <si>
    <t>DTL Created</t>
  </si>
  <si>
    <t>Cash used does not exceed cash available</t>
  </si>
  <si>
    <t>Total book depreciation expense</t>
  </si>
  <si>
    <t>Midpoint convention</t>
  </si>
  <si>
    <t>Book tax expense</t>
  </si>
  <si>
    <t>( + ) Deferred tax expense / (benefit)</t>
  </si>
  <si>
    <t>NOL – beginning balance</t>
  </si>
  <si>
    <t>( + ) NOL created</t>
  </si>
  <si>
    <t>( – ) NOL used</t>
  </si>
  <si>
    <t>( – ) NOL expired</t>
  </si>
  <si>
    <t>DTA attributable to NOL – beginning balance</t>
  </si>
  <si>
    <t>DTA attributable to NOL – ending balance</t>
  </si>
  <si>
    <t>Increase / (decrease) in DTA attributable to NOL</t>
  </si>
  <si>
    <t>BoP DTL – identifiable intangibles</t>
  </si>
  <si>
    <t>Net deferred tax liability / (asset)</t>
  </si>
  <si>
    <t>Increase / (decrease) in net DTL</t>
  </si>
  <si>
    <t>Net DTL – beginning balance</t>
  </si>
  <si>
    <t>Net DTL– ending balance</t>
  </si>
  <si>
    <t>NOL – ending balance</t>
  </si>
  <si>
    <t>( – ) Loss on unamortized OID at repayment</t>
  </si>
  <si>
    <t>( – ) Amortization of capitalized financing costs</t>
  </si>
  <si>
    <t>( – ) Restructuring charges</t>
  </si>
  <si>
    <t>Pro forma book depreciation expense</t>
  </si>
  <si>
    <t>Pro forma tax depreciation expense</t>
  </si>
  <si>
    <t>Book Depreciation</t>
  </si>
  <si>
    <t>Tax Depreciation</t>
  </si>
  <si>
    <t>( – ) Book depreciation</t>
  </si>
  <si>
    <t>Pro forma book amortization expense</t>
  </si>
  <si>
    <t>Book Amortization</t>
  </si>
  <si>
    <t>Tax Amortization</t>
  </si>
  <si>
    <t>Pro forma tax amortization expense</t>
  </si>
  <si>
    <t>( – ) Amortization (straight-line)</t>
  </si>
  <si>
    <t>( + ) Amortization of identifiable intangibles and goodwill</t>
  </si>
  <si>
    <t>Remaining NOL life (yrs)</t>
  </si>
  <si>
    <t>Cash Taxes &amp; Net DTL</t>
  </si>
  <si>
    <t>Illustrative Individual DTA / DTL from Purchase Accounting (DOES NOT FLOW THRU MODEL)</t>
  </si>
  <si>
    <t>Alternative Minimum Tax (AMT)</t>
  </si>
  <si>
    <t>Maximum taxable income offset</t>
  </si>
  <si>
    <t>Effective AMT tax rate</t>
  </si>
  <si>
    <t>State and local taxable income</t>
  </si>
  <si>
    <t>Federal taxable income</t>
  </si>
  <si>
    <t>( – ) State and local cash taxes</t>
  </si>
  <si>
    <t>Federal cash taxes</t>
  </si>
  <si>
    <t>( + ) State and local cash taxes</t>
  </si>
  <si>
    <t>Total cash taxes payable</t>
  </si>
  <si>
    <t>Alternative minimum tax (before credits)</t>
  </si>
  <si>
    <t>Tax payable before AMT credit used</t>
  </si>
  <si>
    <t>( – ) AMT tax credit used</t>
  </si>
  <si>
    <t>Effective federal cash tax rate</t>
  </si>
  <si>
    <t>AMT tax credit carryforward</t>
  </si>
  <si>
    <t>AMT tax credit – beginning balance</t>
  </si>
  <si>
    <t>AMT tax credit – ending balance</t>
  </si>
  <si>
    <t>( + ) AMT tax credit generated</t>
  </si>
  <si>
    <t>Federal tax at statutory rate (post-NOL)</t>
  </si>
  <si>
    <t>Total taxable income</t>
  </si>
  <si>
    <t>Corporate AMT tax rate</t>
  </si>
  <si>
    <t>*** SOME OR ALL OF THIS SECTION MAY NOT APPLY OUTSIDE THE UNITED STATES ***</t>
  </si>
  <si>
    <t>Basic EPS</t>
  </si>
  <si>
    <t>Is conversion dilutive?</t>
  </si>
  <si>
    <t>Conversion price</t>
  </si>
  <si>
    <t>Convertible shares</t>
  </si>
  <si>
    <t>Face value</t>
  </si>
  <si>
    <t>EPS if converted</t>
  </si>
  <si>
    <t>Fixed Rate /</t>
  </si>
  <si>
    <t>Interest Expense / Preferred Dividends</t>
  </si>
  <si>
    <t>Total interest expense</t>
  </si>
  <si>
    <t>Total preferred dividends</t>
  </si>
  <si>
    <t>Interest &amp; Dividends Paid-in-Kind (PIK)</t>
  </si>
  <si>
    <t>Current share price</t>
  </si>
  <si>
    <t>Fully Diluted Shares Outstanding</t>
  </si>
  <si>
    <t>Scheduled Debt Amortization (%)</t>
  </si>
  <si>
    <t>Convertible preferred dividends</t>
  </si>
  <si>
    <t>Straight preferred dividends</t>
  </si>
  <si>
    <t>Preferred dividends</t>
  </si>
  <si>
    <t>Senior interest expense</t>
  </si>
  <si>
    <t>Cash interest expense</t>
  </si>
  <si>
    <t>Interest Expense</t>
  </si>
  <si>
    <t>Fixed charges (total interest &amp; preferred dividends)</t>
  </si>
  <si>
    <t>EBITDA / senior interest expense</t>
  </si>
  <si>
    <t>EBITDA / cash interest expense</t>
  </si>
  <si>
    <t>EBITDA / total interest expense</t>
  </si>
  <si>
    <t>EBITDA / fixed charges</t>
  </si>
  <si>
    <t>(EBITDA – capex) / senior interest expense</t>
  </si>
  <si>
    <t>EBITDA – capex</t>
  </si>
  <si>
    <t>(EBITDA – capex) / total interest expense</t>
  </si>
  <si>
    <t>(EBITDA – capex) / cash interest expense</t>
  </si>
  <si>
    <t>(EBITDA – capex) / fixed charges</t>
  </si>
  <si>
    <t>Leverage</t>
  </si>
  <si>
    <t>Senior debt / total capitalization</t>
  </si>
  <si>
    <t>Net debt / total capitalization</t>
  </si>
  <si>
    <t>Senior debt / EBITDA</t>
  </si>
  <si>
    <t>Total debt / EBITDA</t>
  </si>
  <si>
    <t>Net debt / EBITDA</t>
  </si>
  <si>
    <t>Net debt + preferred / EBITDA</t>
  </si>
  <si>
    <t>EBITDA – capex – Δ WC</t>
  </si>
  <si>
    <t>(EBITDA – capex – Δ WC) / senior interest expense</t>
  </si>
  <si>
    <t>(EBITDA – capex – Δ WC) / cash interest expense</t>
  </si>
  <si>
    <t>(EBITDA – capex – Δ WC) / total interest expense</t>
  </si>
  <si>
    <t>(EBITDA – capex – Δ WC) / fixed charges</t>
  </si>
  <si>
    <t>Net debt</t>
  </si>
  <si>
    <t>Senior debt</t>
  </si>
  <si>
    <t>Preferred stock</t>
  </si>
  <si>
    <t>Total capitalization</t>
  </si>
  <si>
    <t>ROIC</t>
  </si>
  <si>
    <t>ROE</t>
  </si>
  <si>
    <t>ROA</t>
  </si>
  <si>
    <t>Coverage</t>
  </si>
  <si>
    <t>Capitalization</t>
  </si>
  <si>
    <t>( + ) Tax depreciation of existing fixed assets</t>
  </si>
  <si>
    <t>Book depreciation of capex</t>
  </si>
  <si>
    <t>Total tax depreciation expense</t>
  </si>
  <si>
    <t>Acquirer name</t>
  </si>
  <si>
    <t>Target name</t>
  </si>
  <si>
    <t>BuyerCo</t>
  </si>
  <si>
    <t>TargetCo</t>
  </si>
  <si>
    <t>New Net DTL</t>
  </si>
  <si>
    <t>Excess purch. price allocated to identifiable intangibles (%)</t>
  </si>
  <si>
    <t>Pro forma revolver not overdrawn</t>
  </si>
  <si>
    <t>Stub Periods</t>
  </si>
  <si>
    <t>Fiscal Years Ending December 31,</t>
  </si>
  <si>
    <t>MRY</t>
  </si>
  <si>
    <t>x</t>
  </si>
  <si>
    <t>Stub</t>
  </si>
  <si>
    <t>Modified Accelerated Cost Recovery System (MACRS)</t>
  </si>
  <si>
    <t>Property Class</t>
  </si>
  <si>
    <t>Source:  IRS Publication 946, Table A-1.</t>
  </si>
  <si>
    <t>MACRS depreciation of capex</t>
  </si>
  <si>
    <t>MACRS Depreciation</t>
  </si>
  <si>
    <t>Property class (yrs)</t>
  </si>
  <si>
    <t>Book Depreciation (straight-line)</t>
  </si>
  <si>
    <t>Use MACRS depreciation of capex?</t>
  </si>
  <si>
    <t>Bank revolver commitment</t>
  </si>
  <si>
    <t>Cash dividends from equity investments</t>
  </si>
  <si>
    <t>`</t>
  </si>
  <si>
    <t>DISCLAIMER</t>
  </si>
  <si>
    <t>LIMITATION OF LIABILITY OF MACABACUS</t>
  </si>
  <si>
    <t>feedback@macabacus.com</t>
  </si>
  <si>
    <t>Summary Credit Metrics</t>
  </si>
  <si>
    <t>(Increase) / decrease in other assets</t>
  </si>
  <si>
    <t>Increase / (decrease) in other liabilities</t>
  </si>
  <si>
    <t>Acquired NOL Subject to Section 382</t>
  </si>
  <si>
    <t>DTA attributable to NOL</t>
  </si>
  <si>
    <t>Annual Sec. 382 NOL deduction limit</t>
  </si>
  <si>
    <t>Acquired NOL subject to Sec. 382</t>
  </si>
  <si>
    <t>Unused limitation carryforward</t>
  </si>
  <si>
    <t>( + ) Carryforward created</t>
  </si>
  <si>
    <t>( – ) Carryforward used</t>
  </si>
  <si>
    <t>Unencumbered NOL</t>
  </si>
  <si>
    <t>Total annual NOL limitation</t>
  </si>
  <si>
    <t>Net DTL – ending balance</t>
  </si>
  <si>
    <t>Transaction close date</t>
  </si>
  <si>
    <t>( + ) FV of noncontrolling interests</t>
  </si>
  <si>
    <t>Strictly Confidential</t>
  </si>
  <si>
    <t>Table of Contents</t>
  </si>
  <si>
    <t>© 2023 Macabacus, LLC</t>
  </si>
  <si>
    <t>This model represents a hypothetical DCF of a hypothetical company. Any similarity between the financial metrics of this company and actual companies</t>
  </si>
  <si>
    <t>is purely coincidental. Macabacus does not provide investment, accounting or tax advice. Additionally, tax and accounting rules used in the model are</t>
  </si>
  <si>
    <t>illustrative and may not reflect current tax or accounting rules and standards.</t>
  </si>
  <si>
    <t>Except as otherwise expressly stated, including but not limited to in a license or other agreement governing the use of specific content, all content in this</t>
  </si>
  <si>
    <t>model is provided "as is," and Macabacus makes no representations or warranties, express or implied, including but not limited to warranties</t>
  </si>
  <si>
    <t xml:space="preserve">of merchantability, fitness for a particular purpose, title or non-infringement of proprietary rights. Without limiting the foregoing, Macabacus </t>
  </si>
  <si>
    <t>makes no representation or warranty that content in this model is free from error or suitable for any purpose; nor that the use of such</t>
  </si>
  <si>
    <t xml:space="preserve">content will not infringe any third-party copyrights, trademarks or other intellectual property rights. You understand and agree that you </t>
  </si>
  <si>
    <t xml:space="preserve">download or otherwise obtain content through Macabacus' websites at your own discretion and risk, and that Macabacus will have no </t>
  </si>
  <si>
    <t>liability or responsibility for any damage to your computer system or data that results from the download or use of such content. Some</t>
  </si>
  <si>
    <t>jurisdictions may not allow the exclusion of implied warranties, so some of the above limitations may not apply to you.</t>
  </si>
  <si>
    <t>Except as otherwise expressly stated, including but not limited to in a license or other agreement governing the use of specific content, in no event will Macabacus</t>
  </si>
  <si>
    <t>be liabile to you or any other party for any direct, indirect, special, consequential or exemplary damages, regardless of the basis or nature of the claim, resulting</t>
  </si>
  <si>
    <t>from any use of this model, or the contents thereof, including without limitation any lost profits, business interruption, loss of data or otherwise, even if Macabacus</t>
  </si>
  <si>
    <t>was expressly advised of the possibility of such damages. Some jurisdictions may not allow the exclcusion or limitation of liability for certain incidental or</t>
  </si>
  <si>
    <t>consequential damages, so some of the above limitations may not apply to you.</t>
  </si>
  <si>
    <t>This Excel model is for educational purposes only and should not be used for any other reason. All content is Copyright material of CFI Education Inc.</t>
  </si>
  <si>
    <t>All rights reserved.  The contents of this publication, including but not limited to all written material, content layout, images, formulas, and code, are protected</t>
  </si>
  <si>
    <t>under international copyright and trademark laws.  No part of this publication may be modified, manipulated, reproduced, distributed, or transmitted in any</t>
  </si>
  <si>
    <t xml:space="preserve">form by any means, including photocopying, recording, or other electronic or mechanical methods, without prior written permission of the publisher, </t>
  </si>
  <si>
    <t>except in the case of certain noncommercial uses permitted by copyright law.</t>
  </si>
  <si>
    <t>https://www.macabacus.com/</t>
  </si>
  <si>
    <t xml:space="preserve"> </t>
  </si>
  <si>
    <t>Macabacus M&amp;A Model</t>
  </si>
  <si>
    <t>Inputs</t>
  </si>
  <si>
    <t>Acquirer</t>
  </si>
  <si>
    <t>Target</t>
  </si>
  <si>
    <t>MACRS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</si>
</sst>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7" formatCode="&quot;$&quot;#,##0.00_);\(&quot;$&quot;#,##0.00\)"/>
    <numFmt numFmtId="42" formatCode="_(&quot;$&quot;* #,##0_);_(&quot;$&quot;* \(#,##0\);_(&quot;$&quot;* &quot;-&quot;_);_(@_)"/>
    <numFmt numFmtId="41" formatCode="_(* #,##0_);_(* \(#,##0\);_(* &quot;-&quot;_);_(@_)"/>
    <numFmt numFmtId="164" formatCode="_([$$]#,##0_)_%;\([$$]#,##0\)_%;_(&quot;–&quot;_)_%;@_)_%"/>
    <numFmt numFmtId="165" formatCode="_(0.0%_);\(0.0%\);_(&quot;–&quot;_)_%;@_(_%"/>
    <numFmt numFmtId="166" formatCode="_(#,##0_)_%;_(\(#,##0\)_%;_(&quot;–&quot;_)_%;@_(_%"/>
    <numFmt numFmtId="167" formatCode="0_)_%;_(\(0\)_%;0_)_%;@_(_%"/>
    <numFmt numFmtId="168" formatCode="_(0.00%_);\(0.00%\);_(&quot;–&quot;_)_%;@_(_%"/>
    <numFmt numFmtId="169" formatCode="_(&quot;$&quot;#,##0_)_%;_(\(&quot;$&quot;#,##0\)_%;_(&quot;–&quot;_)_%;@_(_%"/>
    <numFmt numFmtId="170" formatCode="_(#,##0.0_)_%;_(\(#,##0.0\)_%;_(&quot;–&quot;_)_%;@_(_%"/>
    <numFmt numFmtId="171" formatCode="_(#,##0.00_)_%;_(\(#,##0.00\)_%;_(&quot;–&quot;_)_%;@_(_%"/>
    <numFmt numFmtId="172" formatCode="_(0.00&quot;%&quot;_);\(0.00&quot;%&quot;\);_(&quot;–&quot;_)_%;@_)_%"/>
    <numFmt numFmtId="173" formatCode="m/d/yy;@"/>
    <numFmt numFmtId="174" formatCode="_([$$]#,##0.0_)_%;\([$$]#,##0.0\)_%;_(&quot;–&quot;_)_%;@_)_%"/>
    <numFmt numFmtId="175" formatCode="_(#,##0_)_%;_(\(#,##0\)_%;\ _(&quot;–&quot;_)_%;\ @_(_%"/>
    <numFmt numFmtId="176" formatCode="_(&quot;$&quot;#,##0.00_)_%;_(\(&quot;$&quot;#,##0.00\)_%;_(&quot;–&quot;_)_%;@_(_%"/>
    <numFmt numFmtId="177" formatCode="_(#,##0.000_)_%;_(\(#,##0.000\)_%;_(&quot;–&quot;_)_%;@_(_%"/>
    <numFmt numFmtId="178" formatCode="_(#,##0.0000_)_%;_(\(#,##0.0000\)_%;_(&quot;–&quot;_)_%;@_(_%"/>
    <numFmt numFmtId="179" formatCode="&quot;Yes&quot;_)_%;;&quot;No&quot;_)_%"/>
    <numFmt numFmtId="180" formatCode="m/d/yy_)_%;@_)_%"/>
    <numFmt numFmtId="181" formatCode="_([$$]#,##0.00_)_%;\([$$]#,##0.00\)_%;_(&quot;–&quot;_)_%;@_)_%"/>
    <numFmt numFmtId="182" formatCode="0.0%_);\(0.0%\);0.0%_);@_)"/>
    <numFmt numFmtId="183" formatCode="_(0.000%_);\(0.000%\);_(&quot;–&quot;_)_%;@_(_%"/>
    <numFmt numFmtId="184" formatCode="mm/dd/yy;@"/>
    <numFmt numFmtId="185" formatCode="_(&quot;$&quot;#,##0_)_%;\(&quot;$&quot;#,##0\)_%;\ _(&quot;–&quot;_)_%;\ @_(_%"/>
    <numFmt numFmtId="186" formatCode="#,##0.0[$¢]_);\(#,##0.0[$¢]\);#,##0.0[$¢]_);@_)"/>
    <numFmt numFmtId="187" formatCode="0.0_)_%;_(\(0.0\)_%;0.0_)_%;@_(_%"/>
    <numFmt numFmtId="188" formatCode="_(0.0000&quot;%&quot;_);\(0.0000&quot;%&quot;\);_(&quot;–&quot;_)_%;@_)_%"/>
    <numFmt numFmtId="189" formatCode="_(0%_);\(0%\);_(&quot;–&quot;_)_%;@_(_%"/>
    <numFmt numFmtId="190" formatCode="yyyy"/>
    <numFmt numFmtId="191" formatCode="#,##0.0_);\(#,##0.0\)"/>
    <numFmt numFmtId="192" formatCode="#,##0.0_);\(#,##0.0\);#,##0.0_);@_)"/>
    <numFmt numFmtId="193" formatCode="0.0%"/>
    <numFmt numFmtId="194" formatCode="_(&quot;$&quot;#,##0.0_)_%;_(\(&quot;$&quot;#,##0.0\)_%;_(&quot;–&quot;_)_%;@_(_%"/>
    <numFmt numFmtId="195" formatCode="&quot;$&quot;#,##0.0_);\(&quot;$&quot;#,##0.0\);&quot;$&quot;#,##0.0_);@_)"/>
    <numFmt numFmtId="196" formatCode="&quot;$&quot;#,##0.00_);\(&quot;$&quot;#,##0.00\);&quot;$&quot;#,##0.00_);@_)"/>
    <numFmt numFmtId="197" formatCode="_(0.0000\x_)_)_';_(\(0.0000\x\)_'_';_(&quot;–&quot;_)_%;@_(_%"/>
    <numFmt numFmtId="198" formatCode="_(&quot;$&quot;#,##0.0_)_%;\(&quot;$&quot;#,##0.0\)_%;\ _(&quot;–&quot;_)_%;\ @_(_%"/>
    <numFmt numFmtId="199" formatCode="_(#,##0.0_)_%;_(\(#,##0.0\)_%;\ _(&quot;–&quot;_)_%;\ @_(_%"/>
    <numFmt numFmtId="200" formatCode="_(0.0\x_)_)_';_(\(0.0\x\)_'_';_(&quot;–&quot;_)_%;@_(_%"/>
    <numFmt numFmtId="201" formatCode="_(0.00\x_)_)_';_(\(0.00\x\)_'_';_(&quot;–&quot;_)_%;@_(_%"/>
    <numFmt numFmtId="202" formatCode="&quot;Yes&quot;_)_%;&quot;ERROR&quot;_)_%;&quot;No&quot;_)_%;&quot;ERROR&quot;_)_%"/>
    <numFmt numFmtId="203" formatCode="_(#,##0_)_%;\(#,##0\)_%;_(&quot;–&quot;_)_%;_(@_)_%"/>
  </numFmts>
  <fonts count="108">
    <font>
      <sz val="10"/>
      <color indexed="16"/>
      <name val="Credit Suisse Type Roman"/>
      <family val="2"/>
    </font>
    <font>
      <sz val="10"/>
      <color theme="1"/>
      <name val="Open Sans"/>
      <family val="2"/>
    </font>
    <font>
      <sz val="10"/>
      <color indexed="16"/>
      <name val="Credit Suisse Type Roman"/>
      <family val="2"/>
    </font>
    <font>
      <b/>
      <sz val="8"/>
      <color indexed="81"/>
      <name val="Tahoma"/>
      <family val="2"/>
    </font>
    <font>
      <sz val="8"/>
      <color indexed="81"/>
      <name val="Tahoma"/>
      <family val="2"/>
    </font>
    <font>
      <sz val="10"/>
      <name val="Arial"/>
      <family val="2"/>
    </font>
    <font>
      <b/>
      <sz val="9"/>
      <color indexed="81"/>
      <name val="Tahoma"/>
      <family val="2"/>
    </font>
    <font>
      <sz val="9"/>
      <color indexed="81"/>
      <name val="Tahoma"/>
      <family val="2"/>
    </font>
    <font>
      <sz val="11"/>
      <name val="￥i￠￢￠?o"/>
      <family val="3"/>
      <charset val="255"/>
    </font>
    <font>
      <sz val="12"/>
      <name val="ⓒoUAAA¨u"/>
      <family val="1"/>
      <charset val="255"/>
    </font>
    <font>
      <sz val="12"/>
      <name val="¹ÙÅÁÃ¼"/>
      <family val="1"/>
      <charset val="129"/>
    </font>
    <font>
      <sz val="12"/>
      <name val="¹UAAA¼"/>
      <family val="3"/>
      <charset val="129"/>
    </font>
    <font>
      <sz val="12"/>
      <name val="¹UAAA¼"/>
      <family val="1"/>
      <charset val="255"/>
    </font>
    <font>
      <sz val="12"/>
      <name val="System"/>
      <family val="3"/>
      <charset val="129"/>
    </font>
    <font>
      <sz val="10"/>
      <name val="±¼¸²Ã¼"/>
      <family val="3"/>
      <charset val="129"/>
    </font>
    <font>
      <sz val="10"/>
      <color indexed="16"/>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0"/>
      <color theme="0"/>
      <name val="Open Sans"/>
      <family val="2"/>
    </font>
    <font>
      <sz val="11"/>
      <color theme="1"/>
      <name val="Calibri"/>
      <family val="2"/>
      <scheme val="minor"/>
    </font>
    <font>
      <sz val="11"/>
      <color theme="1"/>
      <name val="Open Sans"/>
      <family val="2"/>
    </font>
    <font>
      <sz val="11"/>
      <color rgb="FFC32838"/>
      <name val="Calibri"/>
      <family val="2"/>
      <scheme val="minor"/>
    </font>
    <font>
      <b/>
      <sz val="20"/>
      <color rgb="FF264E58"/>
      <name val="Open Sans"/>
      <family val="2"/>
    </font>
    <font>
      <b/>
      <sz val="14"/>
      <color rgb="FF264E58"/>
      <name val="Open Sans"/>
      <family val="2"/>
    </font>
    <font>
      <u/>
      <sz val="10"/>
      <color theme="10"/>
      <name val="Arial"/>
      <family val="2"/>
    </font>
    <font>
      <u/>
      <sz val="12"/>
      <color rgb="FF3271D2"/>
      <name val="Open Sans"/>
      <family val="2"/>
    </font>
    <font>
      <b/>
      <sz val="11"/>
      <color rgb="FFFA621C"/>
      <name val="Open Sans"/>
      <family val="2"/>
    </font>
    <font>
      <sz val="11"/>
      <color rgb="FFFA621C"/>
      <name val="Open Sans"/>
      <family val="2"/>
    </font>
    <font>
      <b/>
      <sz val="12"/>
      <color theme="0"/>
      <name val="Open Sans"/>
      <family val="2"/>
    </font>
    <font>
      <sz val="12"/>
      <color rgb="FFC32838"/>
      <name val="Calibri"/>
      <family val="2"/>
      <scheme val="minor"/>
    </font>
    <font>
      <sz val="12"/>
      <color rgb="FFFA621C"/>
      <name val="Calibri"/>
      <family val="2"/>
      <scheme val="minor"/>
    </font>
    <font>
      <sz val="12"/>
      <color theme="0"/>
      <name val="Open Sans"/>
      <family val="2"/>
    </font>
    <font>
      <sz val="11"/>
      <color theme="0"/>
      <name val="Open Sans"/>
      <family val="2"/>
    </font>
    <font>
      <u/>
      <sz val="11"/>
      <color theme="0"/>
      <name val="Open Sans"/>
      <family val="2"/>
    </font>
    <font>
      <sz val="10"/>
      <color indexed="16"/>
      <name val="Open Sans"/>
      <family val="2"/>
    </font>
    <font>
      <b/>
      <sz val="14"/>
      <color indexed="53"/>
      <name val="Open Sans"/>
      <family val="2"/>
    </font>
    <font>
      <b/>
      <sz val="14"/>
      <color rgb="FF3271D2"/>
      <name val="Open Sans"/>
      <family val="2"/>
    </font>
    <font>
      <b/>
      <sz val="10"/>
      <color rgb="FF003868"/>
      <name val="Open Sans"/>
      <family val="2"/>
    </font>
    <font>
      <b/>
      <u val="singleAccounting"/>
      <sz val="10"/>
      <color rgb="FF003868"/>
      <name val="Open Sans"/>
      <family val="2"/>
    </font>
    <font>
      <sz val="10"/>
      <color rgb="FF003868"/>
      <name val="Open Sans"/>
      <family val="2"/>
    </font>
    <font>
      <b/>
      <sz val="10"/>
      <color rgb="FF3271D2"/>
      <name val="Open Sans"/>
      <family val="2"/>
    </font>
    <font>
      <b/>
      <sz val="10"/>
      <color indexed="53"/>
      <name val="Open Sans"/>
      <family val="2"/>
    </font>
    <font>
      <sz val="10"/>
      <color indexed="53"/>
      <name val="Open Sans"/>
      <family val="2"/>
    </font>
    <font>
      <i/>
      <u/>
      <sz val="10"/>
      <color indexed="16"/>
      <name val="Open Sans"/>
      <family val="2"/>
    </font>
    <font>
      <sz val="10"/>
      <color indexed="60"/>
      <name val="Open Sans"/>
      <family val="2"/>
    </font>
    <font>
      <i/>
      <sz val="10"/>
      <color rgb="FFC00000"/>
      <name val="Open Sans"/>
      <family val="2"/>
    </font>
    <font>
      <i/>
      <sz val="10"/>
      <color indexed="16"/>
      <name val="Open Sans"/>
      <family val="2"/>
    </font>
    <font>
      <i/>
      <sz val="10"/>
      <color rgb="FF3271D2"/>
      <name val="Open Sans"/>
      <family val="2"/>
    </font>
    <font>
      <i/>
      <sz val="10"/>
      <color rgb="FF000000"/>
      <name val="Open Sans"/>
      <family val="2"/>
    </font>
    <font>
      <sz val="10"/>
      <color rgb="FFC00000"/>
      <name val="Open Sans"/>
      <family val="2"/>
    </font>
    <font>
      <sz val="10"/>
      <color rgb="FF000000"/>
      <name val="Open Sans"/>
      <family val="2"/>
    </font>
    <font>
      <sz val="10"/>
      <color indexed="9"/>
      <name val="Open Sans"/>
      <family val="2"/>
    </font>
    <font>
      <sz val="10"/>
      <color rgb="FF3271D2"/>
      <name val="Open Sans"/>
      <family val="2"/>
    </font>
    <font>
      <sz val="10"/>
      <color rgb="FF0000FF"/>
      <name val="Open Sans"/>
      <family val="2"/>
    </font>
    <font>
      <sz val="10"/>
      <color rgb="FF008000"/>
      <name val="Open Sans"/>
      <family val="2"/>
    </font>
    <font>
      <b/>
      <sz val="10"/>
      <name val="Open Sans"/>
      <family val="2"/>
    </font>
    <font>
      <sz val="10"/>
      <color indexed="21"/>
      <name val="Open Sans"/>
      <family val="2"/>
    </font>
    <font>
      <sz val="10"/>
      <name val="Open Sans"/>
      <family val="2"/>
    </font>
    <font>
      <i/>
      <sz val="10"/>
      <color rgb="FF008000"/>
      <name val="Open Sans"/>
      <family val="2"/>
    </font>
    <font>
      <b/>
      <sz val="16"/>
      <color indexed="16"/>
      <name val="Open Sans"/>
      <family val="2"/>
    </font>
    <font>
      <b/>
      <sz val="13"/>
      <color indexed="16"/>
      <name val="Open Sans"/>
      <family val="2"/>
    </font>
    <font>
      <b/>
      <sz val="12"/>
      <color indexed="16"/>
      <name val="Open Sans"/>
      <family val="2"/>
    </font>
    <font>
      <b/>
      <sz val="14"/>
      <color indexed="16"/>
      <name val="Open Sans"/>
      <family val="2"/>
    </font>
    <font>
      <sz val="8"/>
      <color indexed="16"/>
      <name val="Open Sans"/>
      <family val="2"/>
    </font>
    <font>
      <b/>
      <sz val="10"/>
      <color indexed="16"/>
      <name val="Open Sans"/>
      <family val="2"/>
    </font>
    <font>
      <b/>
      <i/>
      <u/>
      <sz val="10"/>
      <name val="Open Sans"/>
      <family val="2"/>
    </font>
    <font>
      <b/>
      <sz val="10"/>
      <color rgb="FF000000"/>
      <name val="Open Sans"/>
      <family val="2"/>
    </font>
    <font>
      <sz val="10"/>
      <color rgb="FF6AA94E"/>
      <name val="Open Sans"/>
      <family val="2"/>
    </font>
    <font>
      <b/>
      <i/>
      <sz val="10"/>
      <color indexed="16"/>
      <name val="Open Sans"/>
      <family val="2"/>
    </font>
    <font>
      <sz val="10"/>
      <color rgb="FF1F497D"/>
      <name val="Open Sans"/>
      <family val="2"/>
    </font>
    <font>
      <b/>
      <sz val="10"/>
      <color rgb="FF1F497D"/>
      <name val="Open Sans"/>
      <family val="2"/>
    </font>
    <font>
      <b/>
      <u val="singleAccounting"/>
      <sz val="10"/>
      <color rgb="FF1F497D"/>
      <name val="Open Sans"/>
      <family val="2"/>
    </font>
    <font>
      <b/>
      <sz val="10"/>
      <color rgb="FF008000"/>
      <name val="Open Sans"/>
      <family val="2"/>
    </font>
    <font>
      <b/>
      <sz val="15"/>
      <color indexed="16"/>
      <name val="Open Sans"/>
      <family val="2"/>
    </font>
    <font>
      <b/>
      <sz val="10"/>
      <color indexed="8"/>
      <name val="Open Sans"/>
      <family val="2"/>
    </font>
    <font>
      <b/>
      <sz val="9"/>
      <color indexed="8"/>
      <name val="Open Sans"/>
      <family val="2"/>
    </font>
    <font>
      <b/>
      <u/>
      <sz val="10"/>
      <color indexed="16"/>
      <name val="Open Sans"/>
      <family val="2"/>
    </font>
    <font>
      <u/>
      <sz val="10"/>
      <color indexed="16"/>
      <name val="Open Sans"/>
      <family val="2"/>
    </font>
    <font>
      <b/>
      <sz val="10"/>
      <color indexed="9"/>
      <name val="Open Sans"/>
      <family val="2"/>
    </font>
    <font>
      <sz val="12"/>
      <color indexed="16"/>
      <name val="Open Sans"/>
      <family val="2"/>
    </font>
    <font>
      <sz val="12"/>
      <color indexed="9"/>
      <name val="Open Sans"/>
      <family val="2"/>
    </font>
    <font>
      <b/>
      <i/>
      <sz val="8"/>
      <color indexed="16"/>
      <name val="Open Sans"/>
      <family val="2"/>
    </font>
    <font>
      <b/>
      <sz val="14"/>
      <color rgb="FFFFFFFF"/>
      <name val="Open Sans"/>
      <family val="2"/>
    </font>
    <font>
      <sz val="7"/>
      <color indexed="16"/>
      <name val="Open Sans"/>
      <family val="2"/>
    </font>
    <font>
      <sz val="8"/>
      <color rgb="FF000000"/>
      <name val="Open Sans"/>
      <family val="2"/>
    </font>
    <font>
      <i/>
      <u/>
      <sz val="10"/>
      <name val="Open Sans"/>
      <family val="2"/>
    </font>
    <font>
      <i/>
      <sz val="10"/>
      <name val="Open Sans"/>
      <family val="2"/>
    </font>
    <font>
      <i/>
      <sz val="12"/>
      <color rgb="FFC00000"/>
      <name val="Open Sans"/>
      <family val="2"/>
    </font>
    <font>
      <u/>
      <sz val="10"/>
      <name val="Open Sans"/>
      <family val="2"/>
    </font>
    <font>
      <i/>
      <sz val="10"/>
      <color rgb="FFC23841"/>
      <name val="Open Sans"/>
      <family val="2"/>
    </font>
    <font>
      <b/>
      <i/>
      <sz val="10"/>
      <color rgb="FFC00000"/>
      <name val="Open Sans"/>
      <family val="2"/>
    </font>
    <font>
      <i/>
      <sz val="10"/>
      <color rgb="FF0000FF"/>
      <name val="Open Sans"/>
      <family val="2"/>
    </font>
    <font>
      <b/>
      <sz val="10"/>
      <color rgb="FFC00000"/>
      <name val="Open Sans"/>
      <family val="2"/>
    </font>
    <font>
      <b/>
      <sz val="10"/>
      <color rgb="FFFFFFFF"/>
      <name val="Open Sans"/>
      <family val="2"/>
    </font>
    <font>
      <sz val="10"/>
      <color rgb="FFFFFFFF"/>
      <name val="Open Sans"/>
      <family val="2"/>
    </font>
    <font>
      <b/>
      <sz val="10"/>
      <color rgb="FF003769"/>
      <name val="Open Sans"/>
      <family val="2"/>
    </font>
    <font>
      <b/>
      <u val="singleAccounting"/>
      <sz val="10"/>
      <color rgb="FF003769"/>
      <name val="Open Sans"/>
      <family val="2"/>
    </font>
    <font>
      <b/>
      <sz val="10"/>
      <color indexed="60"/>
      <name val="Open Sans"/>
      <family val="2"/>
    </font>
    <font>
      <i/>
      <u/>
      <sz val="10"/>
      <color rgb="FF000000"/>
      <name val="Open Sans"/>
      <family val="2"/>
    </font>
    <font>
      <i/>
      <sz val="8"/>
      <color indexed="60"/>
      <name val="Open Sans"/>
      <family val="2"/>
    </font>
    <font>
      <b/>
      <sz val="12"/>
      <name val="Open Sans"/>
      <family val="2"/>
    </font>
    <font>
      <b/>
      <u/>
      <sz val="10"/>
      <name val="Open Sans"/>
      <family val="2"/>
    </font>
    <font>
      <sz val="10"/>
      <color rgb="FF003769"/>
      <name val="Open Sans"/>
      <family val="2"/>
    </font>
  </fonts>
  <fills count="21">
    <fill>
      <patternFill patternType="none"/>
    </fill>
    <fill>
      <patternFill patternType="gray125"/>
    </fill>
    <fill>
      <patternFill patternType="solid">
        <fgColor indexed="59"/>
        <bgColor indexed="64"/>
      </patternFill>
    </fill>
    <fill>
      <patternFill patternType="solid">
        <fgColor rgb="FFE2F5FB"/>
        <bgColor indexed="64"/>
      </patternFill>
    </fill>
    <fill>
      <patternFill patternType="solid">
        <fgColor rgb="FF0000FF"/>
        <bgColor indexed="64"/>
      </patternFill>
    </fill>
    <fill>
      <patternFill patternType="solid">
        <fgColor rgb="FFECEBE5"/>
        <bgColor indexed="64"/>
      </patternFill>
    </fill>
    <fill>
      <patternFill patternType="solid">
        <fgColor rgb="FF7896AF"/>
        <bgColor indexed="64"/>
      </patternFill>
    </fill>
    <fill>
      <patternFill patternType="solid">
        <fgColor rgb="FFDCE6EB"/>
        <bgColor indexed="64"/>
      </patternFill>
    </fill>
    <fill>
      <patternFill patternType="solid">
        <fgColor rgb="FFFFF5D2"/>
        <bgColor indexed="64"/>
      </patternFill>
    </fill>
    <fill>
      <patternFill patternType="solid">
        <fgColor rgb="FFEBEBE6"/>
        <bgColor indexed="64"/>
      </patternFill>
    </fill>
    <fill>
      <patternFill patternType="solid">
        <fgColor rgb="FFE1F0DC"/>
        <bgColor indexed="64"/>
      </patternFill>
    </fill>
    <fill>
      <patternFill patternType="solid">
        <fgColor rgb="FF69AA4B"/>
        <bgColor indexed="64"/>
      </patternFill>
    </fill>
    <fill>
      <patternFill patternType="solid">
        <fgColor rgb="FFE1E1DC"/>
        <bgColor indexed="64"/>
      </patternFill>
    </fill>
    <fill>
      <patternFill patternType="solid">
        <fgColor rgb="FF91877D"/>
        <bgColor indexed="64"/>
      </patternFill>
    </fill>
    <fill>
      <patternFill patternType="solid">
        <fgColor rgb="FFC0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264E58"/>
        <bgColor indexed="64"/>
      </patternFill>
    </fill>
  </fills>
  <borders count="51">
    <border>
      <left/>
      <right/>
      <top/>
      <bottom/>
      <diagonal/>
    </border>
    <border>
      <left/>
      <right/>
      <top/>
      <bottom style="medium">
        <color indexed="64"/>
      </bottom>
      <diagonal/>
    </border>
    <border>
      <left/>
      <right/>
      <top/>
      <bottom style="medium">
        <color indexed="16"/>
      </bottom>
      <diagonal/>
    </border>
    <border>
      <left style="thin">
        <color indexed="53"/>
      </left>
      <right style="thin">
        <color indexed="53"/>
      </right>
      <top/>
      <bottom/>
      <diagonal/>
    </border>
    <border>
      <left/>
      <right/>
      <top style="hair">
        <color indexed="64"/>
      </top>
      <bottom/>
      <diagonal/>
    </border>
    <border>
      <left/>
      <right/>
      <top style="thin">
        <color indexed="64"/>
      </top>
      <bottom/>
      <diagonal/>
    </border>
    <border>
      <left/>
      <right/>
      <top/>
      <bottom style="medium">
        <color indexed="10"/>
      </bottom>
      <diagonal/>
    </border>
    <border>
      <left/>
      <right style="dotted">
        <color indexed="64"/>
      </right>
      <top style="thin">
        <color indexed="64"/>
      </top>
      <bottom/>
      <diagonal/>
    </border>
    <border>
      <left/>
      <right style="dotted">
        <color indexed="64"/>
      </right>
      <top/>
      <bottom/>
      <diagonal/>
    </border>
    <border>
      <left/>
      <right style="dotted">
        <color indexed="64"/>
      </right>
      <top style="hair">
        <color indexed="64"/>
      </top>
      <bottom/>
      <diagonal/>
    </border>
    <border>
      <left/>
      <right/>
      <top/>
      <bottom style="thin">
        <color indexed="23"/>
      </bottom>
      <diagonal/>
    </border>
    <border>
      <left/>
      <right/>
      <top/>
      <bottom style="medium">
        <color rgb="FF255B89"/>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thin">
        <color indexed="53"/>
      </left>
      <right style="thin">
        <color indexed="53"/>
      </right>
      <top/>
      <bottom style="medium">
        <color rgb="FF255B89"/>
      </bottom>
      <diagonal/>
    </border>
    <border>
      <left/>
      <right/>
      <top style="thin">
        <color rgb="FF000000"/>
      </top>
      <bottom/>
      <diagonal/>
    </border>
    <border>
      <left/>
      <right/>
      <top style="hair">
        <color auto="1"/>
      </top>
      <bottom/>
      <diagonal/>
    </border>
    <border>
      <left/>
      <right/>
      <top/>
      <bottom style="medium">
        <color rgb="FF000000"/>
      </bottom>
      <diagonal/>
    </border>
    <border>
      <left/>
      <right/>
      <top style="hair">
        <color rgb="FF000000"/>
      </top>
      <bottom style="thin">
        <color rgb="FF000000"/>
      </bottom>
      <diagonal/>
    </border>
    <border>
      <left/>
      <right/>
      <top style="thick">
        <color theme="0"/>
      </top>
      <bottom/>
      <diagonal/>
    </border>
    <border>
      <left/>
      <right/>
      <top style="hair">
        <color rgb="FF000000"/>
      </top>
      <bottom/>
      <diagonal/>
    </border>
    <border>
      <left/>
      <right/>
      <top/>
      <bottom style="thick">
        <color theme="4"/>
      </bottom>
      <diagonal/>
    </border>
    <border>
      <left/>
      <right/>
      <top/>
      <bottom style="medium">
        <color theme="4" tint="-0.24994659260841701"/>
      </bottom>
      <diagonal/>
    </border>
    <border>
      <left/>
      <right/>
      <top/>
      <bottom style="thin">
        <color rgb="FF255B89"/>
      </bottom>
      <diagonal/>
    </border>
    <border>
      <left/>
      <right/>
      <top style="medium">
        <color auto="1"/>
      </top>
      <bottom style="thin">
        <color auto="1"/>
      </bottom>
      <diagonal/>
    </border>
    <border>
      <left/>
      <right/>
      <top style="thin">
        <color auto="1"/>
      </top>
      <bottom/>
      <diagonal/>
    </border>
    <border>
      <left/>
      <right/>
      <top/>
      <bottom style="thin">
        <color rgb="FF000000"/>
      </bottom>
      <diagonal/>
    </border>
    <border>
      <left style="dotted">
        <color indexed="64"/>
      </left>
      <right/>
      <top/>
      <bottom/>
      <diagonal/>
    </border>
    <border>
      <left style="thin">
        <color rgb="FFB4C3D2"/>
      </left>
      <right/>
      <top style="thin">
        <color rgb="FFB4C3D2"/>
      </top>
      <bottom style="thin">
        <color rgb="FFB4C3D2"/>
      </bottom>
      <diagonal/>
    </border>
    <border>
      <left/>
      <right/>
      <top style="thin">
        <color rgb="FFB4C3D2"/>
      </top>
      <bottom style="thin">
        <color rgb="FFB4C3D2"/>
      </bottom>
      <diagonal/>
    </border>
    <border>
      <left/>
      <right style="thin">
        <color rgb="FFB4C3D2"/>
      </right>
      <top style="thin">
        <color rgb="FFB4C3D2"/>
      </top>
      <bottom style="thin">
        <color rgb="FFB4C3D2"/>
      </bottom>
      <diagonal/>
    </border>
    <border>
      <left/>
      <right/>
      <top/>
      <bottom style="medium">
        <color rgb="FF235A8C"/>
      </bottom>
      <diagonal/>
    </border>
    <border>
      <left style="thin">
        <color rgb="FFC3DCB9"/>
      </left>
      <right/>
      <top style="thin">
        <color rgb="FFC3DCB9"/>
      </top>
      <bottom style="thin">
        <color rgb="FFC3DCB9"/>
      </bottom>
      <diagonal/>
    </border>
    <border>
      <left/>
      <right style="thin">
        <color rgb="FFC3DCB9"/>
      </right>
      <top style="thin">
        <color rgb="FFC3DCB9"/>
      </top>
      <bottom style="thin">
        <color rgb="FFC3DCB9"/>
      </bottom>
      <diagonal/>
    </border>
    <border>
      <left/>
      <right/>
      <top style="thin">
        <color rgb="FFC3DCB9"/>
      </top>
      <bottom style="thin">
        <color rgb="FFC3DCB9"/>
      </bottom>
      <diagonal/>
    </border>
    <border>
      <left style="thin">
        <color rgb="FFC8C3BE"/>
      </left>
      <right/>
      <top style="thin">
        <color rgb="FFC8C3BE"/>
      </top>
      <bottom style="thin">
        <color rgb="FFC8C3BE"/>
      </bottom>
      <diagonal/>
    </border>
    <border>
      <left/>
      <right/>
      <top style="thin">
        <color rgb="FFC8C3BE"/>
      </top>
      <bottom style="thin">
        <color rgb="FFC8C3BE"/>
      </bottom>
      <diagonal/>
    </border>
    <border>
      <left/>
      <right style="thin">
        <color rgb="FFC8C3BE"/>
      </right>
      <top style="thin">
        <color rgb="FFC8C3BE"/>
      </top>
      <bottom style="thin">
        <color rgb="FFC8C3BE"/>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ck">
        <color rgb="FF132E57"/>
      </left>
      <right/>
      <top style="thick">
        <color rgb="FF132E57"/>
      </top>
      <bottom/>
      <diagonal/>
    </border>
    <border>
      <left/>
      <right/>
      <top style="thick">
        <color rgb="FF132E57"/>
      </top>
      <bottom/>
      <diagonal/>
    </border>
    <border>
      <left/>
      <right style="thick">
        <color rgb="FF132E57"/>
      </right>
      <top style="thick">
        <color rgb="FF132E57"/>
      </top>
      <bottom/>
      <diagonal/>
    </border>
    <border>
      <left style="thick">
        <color rgb="FF132E57"/>
      </left>
      <right/>
      <top/>
      <bottom/>
      <diagonal/>
    </border>
    <border>
      <left/>
      <right style="thick">
        <color rgb="FF132E57"/>
      </right>
      <top/>
      <bottom/>
      <diagonal/>
    </border>
    <border>
      <left/>
      <right/>
      <top/>
      <bottom style="thin">
        <color indexed="64"/>
      </bottom>
      <diagonal/>
    </border>
    <border>
      <left style="thick">
        <color rgb="FF132E57"/>
      </left>
      <right/>
      <top/>
      <bottom style="thick">
        <color rgb="FF132E57"/>
      </bottom>
      <diagonal/>
    </border>
    <border>
      <left/>
      <right/>
      <top/>
      <bottom style="thick">
        <color rgb="FF132E57"/>
      </bottom>
      <diagonal/>
    </border>
    <border>
      <left/>
      <right style="thick">
        <color rgb="FF132E57"/>
      </right>
      <top/>
      <bottom style="thick">
        <color rgb="FF132E57"/>
      </bottom>
      <diagonal/>
    </border>
  </borders>
  <cellStyleXfs count="31">
    <xf numFmtId="0" fontId="0" fillId="0" borderId="0"/>
    <xf numFmtId="0" fontId="9" fillId="0" borderId="0" applyFont="0" applyFill="0" applyBorder="0" applyAlignment="0" applyProtection="0"/>
    <xf numFmtId="0" fontId="8"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5" fillId="0" borderId="0"/>
    <xf numFmtId="0" fontId="11" fillId="0" borderId="0"/>
    <xf numFmtId="0" fontId="13" fillId="0" borderId="0"/>
    <xf numFmtId="0" fontId="13" fillId="0" borderId="0"/>
    <xf numFmtId="0" fontId="10" fillId="0" borderId="0"/>
    <xf numFmtId="0" fontId="12" fillId="0" borderId="0"/>
    <xf numFmtId="0" fontId="10" fillId="0" borderId="0"/>
    <xf numFmtId="0" fontId="11" fillId="0" borderId="0"/>
    <xf numFmtId="0" fontId="10" fillId="0" borderId="0"/>
    <xf numFmtId="0" fontId="11" fillId="0" borderId="0"/>
    <xf numFmtId="0" fontId="14" fillId="0" borderId="0"/>
    <xf numFmtId="0" fontId="16" fillId="0" borderId="22" applyNumberFormat="0" applyFill="0" applyAlignment="0" applyProtection="0"/>
    <xf numFmtId="41" fontId="2" fillId="0" borderId="0" applyFont="0" applyFill="0" applyBorder="0" applyAlignment="0" applyProtection="0"/>
    <xf numFmtId="42" fontId="2" fillId="0" borderId="0" applyFont="0" applyFill="0" applyBorder="0" applyAlignment="0" applyProtection="0"/>
    <xf numFmtId="0" fontId="17" fillId="15" borderId="0" applyNumberFormat="0" applyBorder="0" applyAlignment="0" applyProtection="0"/>
    <xf numFmtId="0" fontId="18" fillId="16" borderId="0" applyNumberFormat="0" applyBorder="0" applyAlignment="0" applyProtection="0"/>
    <xf numFmtId="0" fontId="19" fillId="17" borderId="0" applyNumberFormat="0" applyBorder="0" applyAlignment="0" applyProtection="0"/>
    <xf numFmtId="0" fontId="20" fillId="18" borderId="39" applyNumberFormat="0" applyAlignment="0" applyProtection="0"/>
    <xf numFmtId="0" fontId="21" fillId="0" borderId="40" applyNumberFormat="0" applyFill="0" applyAlignment="0" applyProtection="0"/>
    <xf numFmtId="0" fontId="22" fillId="19" borderId="41" applyNumberFormat="0" applyAlignment="0" applyProtection="0"/>
    <xf numFmtId="0" fontId="24" fillId="0" borderId="0"/>
    <xf numFmtId="0" fontId="5" fillId="0" borderId="0"/>
    <xf numFmtId="0" fontId="29" fillId="0" borderId="0" applyNumberFormat="0" applyFill="0" applyBorder="0" applyAlignment="0" applyProtection="0"/>
    <xf numFmtId="0" fontId="29" fillId="0" borderId="0" applyNumberFormat="0" applyFill="0" applyBorder="0" applyAlignment="0" applyProtection="0"/>
  </cellStyleXfs>
  <cellXfs count="549">
    <xf numFmtId="0" fontId="0" fillId="0" borderId="0" xfId="0"/>
    <xf numFmtId="0" fontId="15" fillId="0" borderId="0" xfId="0" applyFont="1" applyAlignment="1">
      <alignment vertical="center"/>
    </xf>
    <xf numFmtId="0" fontId="15" fillId="0" borderId="0" xfId="0" applyFont="1"/>
    <xf numFmtId="0" fontId="0" fillId="0" borderId="0" xfId="0" applyAlignment="1">
      <alignment vertical="center"/>
    </xf>
    <xf numFmtId="0" fontId="25" fillId="0" borderId="0" xfId="27" applyFont="1"/>
    <xf numFmtId="0" fontId="24" fillId="0" borderId="0" xfId="27"/>
    <xf numFmtId="0" fontId="25" fillId="20" borderId="42" xfId="27" applyFont="1" applyFill="1" applyBorder="1"/>
    <xf numFmtId="0" fontId="25" fillId="20" borderId="43" xfId="27" applyFont="1" applyFill="1" applyBorder="1"/>
    <xf numFmtId="0" fontId="25" fillId="20" borderId="44" xfId="27" applyFont="1" applyFill="1" applyBorder="1"/>
    <xf numFmtId="0" fontId="25" fillId="20" borderId="45" xfId="27" applyFont="1" applyFill="1" applyBorder="1"/>
    <xf numFmtId="0" fontId="25" fillId="20" borderId="0" xfId="27" applyFont="1" applyFill="1"/>
    <xf numFmtId="0" fontId="25" fillId="20" borderId="46" xfId="27" applyFont="1" applyFill="1" applyBorder="1"/>
    <xf numFmtId="0" fontId="26" fillId="0" borderId="0" xfId="27" applyFont="1"/>
    <xf numFmtId="0" fontId="25" fillId="0" borderId="45" xfId="27" applyFont="1" applyBorder="1"/>
    <xf numFmtId="0" fontId="25" fillId="0" borderId="46" xfId="27" applyFont="1" applyBorder="1"/>
    <xf numFmtId="0" fontId="27" fillId="0" borderId="0" xfId="27" applyFont="1" applyProtection="1">
      <protection locked="0"/>
    </xf>
    <xf numFmtId="0" fontId="28" fillId="0" borderId="0" xfId="27" applyFont="1" applyAlignment="1">
      <alignment horizontal="right"/>
    </xf>
    <xf numFmtId="0" fontId="25" fillId="0" borderId="0" xfId="27" applyFont="1" applyProtection="1">
      <protection locked="0"/>
    </xf>
    <xf numFmtId="0" fontId="5" fillId="0" borderId="0" xfId="28"/>
    <xf numFmtId="0" fontId="28" fillId="0" borderId="47" xfId="27" applyFont="1" applyBorder="1" applyProtection="1">
      <protection locked="0"/>
    </xf>
    <xf numFmtId="0" fontId="1" fillId="0" borderId="0" xfId="27" applyFont="1"/>
    <xf numFmtId="203" fontId="30" fillId="0" borderId="0" xfId="29" applyNumberFormat="1" applyFont="1" applyFill="1" applyBorder="1" applyProtection="1">
      <protection locked="0"/>
    </xf>
    <xf numFmtId="0" fontId="31" fillId="0" borderId="0" xfId="27" applyFont="1"/>
    <xf numFmtId="0" fontId="32" fillId="0" borderId="0" xfId="27" applyFont="1"/>
    <xf numFmtId="0" fontId="33" fillId="20" borderId="0" xfId="27" applyFont="1" applyFill="1"/>
    <xf numFmtId="0" fontId="1" fillId="20" borderId="0" xfId="27" applyFont="1" applyFill="1"/>
    <xf numFmtId="0" fontId="34" fillId="0" borderId="0" xfId="27" applyFont="1"/>
    <xf numFmtId="0" fontId="35" fillId="0" borderId="0" xfId="27" applyFont="1"/>
    <xf numFmtId="0" fontId="36" fillId="20" borderId="0" xfId="27" applyFont="1" applyFill="1"/>
    <xf numFmtId="0" fontId="37" fillId="20" borderId="0" xfId="27" applyFont="1" applyFill="1"/>
    <xf numFmtId="203" fontId="37" fillId="20" borderId="0" xfId="27" applyNumberFormat="1" applyFont="1" applyFill="1"/>
    <xf numFmtId="0" fontId="23" fillId="20" borderId="0" xfId="27" applyFont="1" applyFill="1"/>
    <xf numFmtId="203" fontId="38" fillId="20" borderId="0" xfId="29" applyNumberFormat="1" applyFont="1" applyFill="1"/>
    <xf numFmtId="0" fontId="25" fillId="0" borderId="48" xfId="27" applyFont="1" applyBorder="1"/>
    <xf numFmtId="0" fontId="25" fillId="0" borderId="49" xfId="27" applyFont="1" applyBorder="1"/>
    <xf numFmtId="0" fontId="25" fillId="0" borderId="50" xfId="27" applyFont="1" applyBorder="1"/>
    <xf numFmtId="0" fontId="39" fillId="0" borderId="0" xfId="0" applyFont="1" applyAlignment="1">
      <alignment vertical="center"/>
    </xf>
    <xf numFmtId="0" fontId="40" fillId="4" borderId="12" xfId="0" applyFont="1" applyFill="1" applyBorder="1" applyAlignment="1">
      <alignment vertical="center"/>
    </xf>
    <xf numFmtId="0" fontId="40" fillId="4" borderId="13" xfId="0" applyFont="1" applyFill="1" applyBorder="1" applyAlignment="1">
      <alignment vertical="center"/>
    </xf>
    <xf numFmtId="0" fontId="41" fillId="3" borderId="14" xfId="0" applyFont="1" applyFill="1" applyBorder="1" applyAlignment="1">
      <alignment horizontal="center" vertical="center"/>
    </xf>
    <xf numFmtId="0" fontId="42" fillId="0" borderId="0" xfId="0" applyFont="1" applyAlignment="1">
      <alignment vertical="center"/>
    </xf>
    <xf numFmtId="0" fontId="42" fillId="0" borderId="3" xfId="0" applyFont="1" applyBorder="1" applyAlignment="1">
      <alignment horizontal="center" vertical="center"/>
    </xf>
    <xf numFmtId="0" fontId="42" fillId="0" borderId="0" xfId="0" applyFont="1" applyAlignment="1">
      <alignment horizontal="center" vertical="center"/>
    </xf>
    <xf numFmtId="0" fontId="43" fillId="0" borderId="0" xfId="0" applyFont="1" applyAlignment="1">
      <alignment horizontal="centerContinuous" vertical="center"/>
    </xf>
    <xf numFmtId="0" fontId="42" fillId="0" borderId="0" xfId="0" applyFont="1" applyAlignment="1">
      <alignment horizontal="centerContinuous" vertical="center"/>
    </xf>
    <xf numFmtId="0" fontId="44" fillId="0" borderId="0" xfId="0" applyFont="1" applyAlignment="1">
      <alignment horizontal="centerContinuous" vertical="center"/>
    </xf>
    <xf numFmtId="0" fontId="42" fillId="0" borderId="11" xfId="0" applyFont="1" applyBorder="1" applyAlignment="1">
      <alignment vertical="center"/>
    </xf>
    <xf numFmtId="0" fontId="42" fillId="0" borderId="15" xfId="0" applyFont="1" applyBorder="1" applyAlignment="1">
      <alignment horizontal="center" vertical="center"/>
    </xf>
    <xf numFmtId="0" fontId="42" fillId="0" borderId="11" xfId="0" applyFont="1" applyBorder="1" applyAlignment="1">
      <alignment horizontal="center" vertical="center"/>
    </xf>
    <xf numFmtId="0" fontId="45" fillId="0" borderId="11" xfId="0" applyFont="1" applyBorder="1" applyAlignment="1">
      <alignment horizontal="center" vertical="center"/>
    </xf>
    <xf numFmtId="0" fontId="46" fillId="0" borderId="0" xfId="0" applyFont="1" applyAlignment="1">
      <alignment vertical="center"/>
    </xf>
    <xf numFmtId="0" fontId="46" fillId="0" borderId="0" xfId="0" applyFont="1" applyAlignment="1">
      <alignment horizontal="centerContinuous" vertical="center"/>
    </xf>
    <xf numFmtId="0" fontId="47" fillId="0" borderId="0" xfId="0" applyFont="1" applyAlignment="1">
      <alignment horizontal="centerContinuous" vertical="center"/>
    </xf>
    <xf numFmtId="0" fontId="48" fillId="0" borderId="0" xfId="0" applyFont="1" applyAlignment="1">
      <alignment vertical="center"/>
    </xf>
    <xf numFmtId="166" fontId="49" fillId="9" borderId="0" xfId="0" applyNumberFormat="1" applyFont="1" applyFill="1" applyAlignment="1">
      <alignment horizontal="right" vertical="center"/>
    </xf>
    <xf numFmtId="0" fontId="49" fillId="3" borderId="0" xfId="0" applyFont="1" applyFill="1" applyAlignment="1">
      <alignment horizontal="center"/>
    </xf>
    <xf numFmtId="0" fontId="39" fillId="3" borderId="0" xfId="0" applyFont="1" applyFill="1" applyAlignment="1">
      <alignment horizontal="center"/>
    </xf>
    <xf numFmtId="0" fontId="39" fillId="0" borderId="0" xfId="0" applyFont="1" applyAlignment="1">
      <alignment horizontal="left" vertical="center"/>
    </xf>
    <xf numFmtId="165" fontId="50" fillId="9" borderId="0" xfId="0" applyNumberFormat="1" applyFont="1" applyFill="1" applyAlignment="1">
      <alignment horizontal="right" vertical="center"/>
    </xf>
    <xf numFmtId="0" fontId="51" fillId="0" borderId="0" xfId="0" applyFont="1" applyAlignment="1">
      <alignment vertical="center"/>
    </xf>
    <xf numFmtId="165" fontId="52" fillId="2" borderId="0" xfId="0" applyNumberFormat="1" applyFont="1" applyFill="1" applyAlignment="1">
      <alignment horizontal="right" vertical="center"/>
    </xf>
    <xf numFmtId="165" fontId="53" fillId="2" borderId="0" xfId="0" applyNumberFormat="1" applyFont="1" applyFill="1" applyAlignment="1">
      <alignment horizontal="right" vertical="center"/>
    </xf>
    <xf numFmtId="165" fontId="54" fillId="9" borderId="0" xfId="0" applyNumberFormat="1" applyFont="1" applyFill="1" applyAlignment="1">
      <alignment horizontal="right" vertical="center"/>
    </xf>
    <xf numFmtId="165" fontId="55" fillId="2" borderId="0" xfId="0" applyNumberFormat="1" applyFont="1" applyFill="1" applyAlignment="1">
      <alignment horizontal="right" vertical="center"/>
    </xf>
    <xf numFmtId="165" fontId="56" fillId="2" borderId="0" xfId="0" applyNumberFormat="1" applyFont="1" applyFill="1" applyAlignment="1">
      <alignment horizontal="right" vertical="center"/>
    </xf>
    <xf numFmtId="0" fontId="48" fillId="0" borderId="0" xfId="0" applyFont="1" applyAlignment="1">
      <alignment horizontal="left" vertical="center"/>
    </xf>
    <xf numFmtId="194" fontId="54" fillId="9" borderId="0" xfId="0" applyNumberFormat="1" applyFont="1" applyFill="1" applyAlignment="1">
      <alignment horizontal="right" vertical="center"/>
    </xf>
    <xf numFmtId="194" fontId="57" fillId="2" borderId="0" xfId="0" applyNumberFormat="1" applyFont="1" applyFill="1" applyAlignment="1">
      <alignment horizontal="right" vertical="center"/>
    </xf>
    <xf numFmtId="0" fontId="57" fillId="0" borderId="0" xfId="0" applyFont="1" applyAlignment="1">
      <alignment vertical="center"/>
    </xf>
    <xf numFmtId="0" fontId="58" fillId="0" borderId="0" xfId="0" applyFont="1" applyAlignment="1">
      <alignment vertical="center"/>
    </xf>
    <xf numFmtId="0" fontId="57" fillId="0" borderId="0" xfId="0" applyFont="1" applyAlignment="1">
      <alignment horizontal="left" vertical="center"/>
    </xf>
    <xf numFmtId="0" fontId="58" fillId="0" borderId="0" xfId="0" applyFont="1" applyAlignment="1">
      <alignment horizontal="left" vertical="center"/>
    </xf>
    <xf numFmtId="179" fontId="54" fillId="9" borderId="0" xfId="0" applyNumberFormat="1" applyFont="1" applyFill="1" applyAlignment="1">
      <alignment horizontal="right" vertical="center"/>
    </xf>
    <xf numFmtId="179" fontId="57" fillId="3" borderId="0" xfId="0" applyNumberFormat="1" applyFont="1" applyFill="1" applyAlignment="1">
      <alignment horizontal="right" vertical="center"/>
    </xf>
    <xf numFmtId="179" fontId="56" fillId="3" borderId="0" xfId="0" applyNumberFormat="1" applyFont="1" applyFill="1" applyAlignment="1">
      <alignment horizontal="right" vertical="center"/>
    </xf>
    <xf numFmtId="0" fontId="59" fillId="0" borderId="0" xfId="0" applyFont="1" applyAlignment="1">
      <alignment horizontal="left" vertical="center"/>
    </xf>
    <xf numFmtId="0" fontId="55" fillId="0" borderId="0" xfId="0" applyFont="1" applyAlignment="1">
      <alignment horizontal="left" vertical="center"/>
    </xf>
    <xf numFmtId="0" fontId="39" fillId="0" borderId="2" xfId="0" applyFont="1" applyBorder="1" applyAlignment="1">
      <alignment vertical="center"/>
    </xf>
    <xf numFmtId="0" fontId="60" fillId="7" borderId="29" xfId="0" applyFont="1" applyFill="1" applyBorder="1" applyAlignment="1">
      <alignment horizontal="left" vertical="center"/>
    </xf>
    <xf numFmtId="0" fontId="60" fillId="7" borderId="30" xfId="0" applyFont="1" applyFill="1" applyBorder="1" applyAlignment="1">
      <alignment horizontal="left" vertical="center" indent="1"/>
    </xf>
    <xf numFmtId="0" fontId="46" fillId="7" borderId="30" xfId="0" applyFont="1" applyFill="1" applyBorder="1" applyAlignment="1">
      <alignment horizontal="left" vertical="center"/>
    </xf>
    <xf numFmtId="0" fontId="46" fillId="7" borderId="31" xfId="0" applyFont="1" applyFill="1" applyBorder="1" applyAlignment="1">
      <alignment horizontal="left" vertical="center"/>
    </xf>
    <xf numFmtId="0" fontId="39" fillId="0" borderId="0" xfId="0" applyFont="1"/>
    <xf numFmtId="0" fontId="61" fillId="0" borderId="0" xfId="0" applyFont="1" applyAlignment="1">
      <alignment horizontal="right" vertical="center"/>
    </xf>
    <xf numFmtId="170" fontId="57" fillId="0" borderId="0" xfId="0" applyNumberFormat="1" applyFont="1" applyAlignment="1">
      <alignment horizontal="right" vertical="center"/>
    </xf>
    <xf numFmtId="0" fontId="39" fillId="0" borderId="0" xfId="0" applyFont="1" applyAlignment="1">
      <alignment horizontal="left" vertical="center" indent="1"/>
    </xf>
    <xf numFmtId="165" fontId="52" fillId="0" borderId="0" xfId="0" applyNumberFormat="1" applyFont="1" applyAlignment="1">
      <alignment vertical="center"/>
    </xf>
    <xf numFmtId="181" fontId="57" fillId="0" borderId="0" xfId="0" applyNumberFormat="1" applyFont="1" applyAlignment="1">
      <alignment horizontal="right" vertical="center"/>
    </xf>
    <xf numFmtId="0" fontId="62" fillId="0" borderId="0" xfId="0" applyFont="1" applyAlignment="1">
      <alignment vertical="center"/>
    </xf>
    <xf numFmtId="180" fontId="57" fillId="0" borderId="0" xfId="0" applyNumberFormat="1" applyFont="1" applyAlignment="1">
      <alignment horizontal="right" vertical="center"/>
    </xf>
    <xf numFmtId="170" fontId="55" fillId="0" borderId="0" xfId="0" applyNumberFormat="1" applyFont="1" applyAlignment="1">
      <alignment horizontal="right" vertical="center"/>
    </xf>
    <xf numFmtId="194" fontId="57" fillId="0" borderId="0" xfId="0" applyNumberFormat="1" applyFont="1" applyAlignment="1">
      <alignment vertical="center"/>
    </xf>
    <xf numFmtId="179" fontId="57" fillId="0" borderId="0" xfId="0" applyNumberFormat="1" applyFont="1" applyAlignment="1">
      <alignment horizontal="right" vertical="center"/>
    </xf>
    <xf numFmtId="179" fontId="55" fillId="0" borderId="0" xfId="0" applyNumberFormat="1" applyFont="1" applyAlignment="1">
      <alignment horizontal="right" vertical="center"/>
    </xf>
    <xf numFmtId="165" fontId="63" fillId="0" borderId="0" xfId="0" applyNumberFormat="1" applyFont="1" applyAlignment="1">
      <alignment horizontal="right" vertical="center"/>
    </xf>
    <xf numFmtId="168" fontId="52" fillId="0" borderId="0" xfId="0" applyNumberFormat="1" applyFont="1" applyAlignment="1">
      <alignment horizontal="right" vertical="center"/>
    </xf>
    <xf numFmtId="168" fontId="52" fillId="0" borderId="0" xfId="0" applyNumberFormat="1" applyFont="1" applyAlignment="1">
      <alignment vertical="center"/>
    </xf>
    <xf numFmtId="202" fontId="57" fillId="0" borderId="0" xfId="0" applyNumberFormat="1" applyFont="1" applyAlignment="1">
      <alignment horizontal="right" vertical="center"/>
    </xf>
    <xf numFmtId="170" fontId="57" fillId="0" borderId="0" xfId="0" applyNumberFormat="1" applyFont="1" applyAlignment="1">
      <alignment vertical="center"/>
    </xf>
    <xf numFmtId="0" fontId="64" fillId="0" borderId="0" xfId="0" applyFont="1" applyAlignment="1">
      <alignment vertical="center"/>
    </xf>
    <xf numFmtId="0" fontId="65" fillId="0" borderId="0" xfId="0" applyFont="1" applyAlignment="1">
      <alignment vertical="center"/>
    </xf>
    <xf numFmtId="0" fontId="66" fillId="0" borderId="0" xfId="0" applyFont="1" applyAlignment="1">
      <alignment vertical="center"/>
    </xf>
    <xf numFmtId="185" fontId="66" fillId="0" borderId="0" xfId="0" applyNumberFormat="1" applyFont="1" applyAlignment="1">
      <alignment vertical="center"/>
    </xf>
    <xf numFmtId="0" fontId="67" fillId="0" borderId="25" xfId="0" applyFont="1" applyBorder="1" applyAlignment="1">
      <alignment vertical="center"/>
    </xf>
    <xf numFmtId="0" fontId="65" fillId="0" borderId="25" xfId="0" applyFont="1" applyBorder="1" applyAlignment="1">
      <alignment vertical="center"/>
    </xf>
    <xf numFmtId="0" fontId="66" fillId="0" borderId="25" xfId="0" applyFont="1" applyBorder="1" applyAlignment="1">
      <alignment vertical="center"/>
    </xf>
    <xf numFmtId="185" fontId="66" fillId="0" borderId="25" xfId="0" applyNumberFormat="1" applyFont="1" applyBorder="1" applyAlignment="1">
      <alignment vertical="center"/>
    </xf>
    <xf numFmtId="0" fontId="68" fillId="0" borderId="0" xfId="0" applyFont="1" applyAlignment="1">
      <alignment vertical="center"/>
    </xf>
    <xf numFmtId="0" fontId="69" fillId="12" borderId="36" xfId="0" applyFont="1" applyFill="1" applyBorder="1" applyAlignment="1">
      <alignment horizontal="left" vertical="center"/>
    </xf>
    <xf numFmtId="0" fontId="69" fillId="12" borderId="37" xfId="0" applyFont="1" applyFill="1" applyBorder="1" applyAlignment="1">
      <alignment horizontal="left" vertical="center"/>
    </xf>
    <xf numFmtId="167" fontId="69" fillId="12" borderId="38" xfId="0" applyNumberFormat="1" applyFont="1" applyFill="1" applyBorder="1" applyAlignment="1">
      <alignment horizontal="right" vertical="center"/>
    </xf>
    <xf numFmtId="181" fontId="59" fillId="0" borderId="0" xfId="0" applyNumberFormat="1" applyFont="1" applyAlignment="1">
      <alignment horizontal="right" vertical="center"/>
    </xf>
    <xf numFmtId="0" fontId="70" fillId="0" borderId="0" xfId="0" applyFont="1" applyAlignment="1">
      <alignment vertical="center"/>
    </xf>
    <xf numFmtId="194" fontId="55" fillId="0" borderId="0" xfId="0" applyNumberFormat="1" applyFont="1" applyAlignment="1">
      <alignment horizontal="right" vertical="center"/>
    </xf>
    <xf numFmtId="194" fontId="55" fillId="0" borderId="0" xfId="0" applyNumberFormat="1" applyFont="1" applyAlignment="1">
      <alignment vertical="center"/>
    </xf>
    <xf numFmtId="168" fontId="63" fillId="0" borderId="0" xfId="0" applyNumberFormat="1" applyFont="1" applyAlignment="1">
      <alignment vertical="center"/>
    </xf>
    <xf numFmtId="0" fontId="62" fillId="0" borderId="17" xfId="0" applyFont="1" applyBorder="1" applyAlignment="1">
      <alignment vertical="center"/>
    </xf>
    <xf numFmtId="176" fontId="62" fillId="0" borderId="17" xfId="0" applyNumberFormat="1" applyFont="1" applyBorder="1" applyAlignment="1">
      <alignment vertical="center"/>
    </xf>
    <xf numFmtId="170" fontId="55" fillId="0" borderId="0" xfId="0" applyNumberFormat="1" applyFont="1" applyAlignment="1">
      <alignment vertical="center"/>
    </xf>
    <xf numFmtId="0" fontId="62" fillId="0" borderId="4" xfId="0" applyFont="1" applyBorder="1" applyAlignment="1">
      <alignment vertical="center"/>
    </xf>
    <xf numFmtId="194" fontId="55" fillId="0" borderId="4" xfId="0" applyNumberFormat="1" applyFont="1" applyBorder="1" applyAlignment="1">
      <alignment vertical="center"/>
    </xf>
    <xf numFmtId="171" fontId="59" fillId="0" borderId="0" xfId="0" applyNumberFormat="1" applyFont="1" applyAlignment="1">
      <alignment horizontal="right" vertical="center"/>
    </xf>
    <xf numFmtId="165" fontId="63" fillId="0" borderId="0" xfId="0" applyNumberFormat="1" applyFont="1" applyAlignment="1">
      <alignment vertical="center"/>
    </xf>
    <xf numFmtId="0" fontId="39" fillId="0" borderId="17" xfId="0" applyFont="1" applyBorder="1" applyAlignment="1">
      <alignment vertical="center"/>
    </xf>
    <xf numFmtId="197" fontId="39" fillId="0" borderId="17" xfId="0" applyNumberFormat="1" applyFont="1" applyBorder="1" applyAlignment="1">
      <alignment vertical="center"/>
    </xf>
    <xf numFmtId="7" fontId="39" fillId="0" borderId="0" xfId="0" applyNumberFormat="1" applyFont="1" applyAlignment="1">
      <alignment vertical="center"/>
    </xf>
    <xf numFmtId="170" fontId="59" fillId="0" borderId="0" xfId="0" applyNumberFormat="1" applyFont="1" applyAlignment="1">
      <alignment vertical="center"/>
    </xf>
    <xf numFmtId="179" fontId="59" fillId="0" borderId="0" xfId="0" applyNumberFormat="1" applyFont="1" applyAlignment="1">
      <alignment horizontal="right" vertical="center"/>
    </xf>
    <xf numFmtId="0" fontId="62" fillId="0" borderId="21" xfId="0" applyFont="1" applyBorder="1" applyAlignment="1">
      <alignment vertical="center"/>
    </xf>
    <xf numFmtId="194" fontId="55" fillId="0" borderId="21" xfId="0" applyNumberFormat="1" applyFont="1" applyBorder="1" applyAlignment="1">
      <alignment vertical="center"/>
    </xf>
    <xf numFmtId="0" fontId="60" fillId="9" borderId="16" xfId="0" applyFont="1" applyFill="1" applyBorder="1" applyAlignment="1">
      <alignment vertical="center"/>
    </xf>
    <xf numFmtId="0" fontId="62" fillId="9" borderId="16" xfId="0" applyFont="1" applyFill="1" applyBorder="1" applyAlignment="1">
      <alignment vertical="center"/>
    </xf>
    <xf numFmtId="194" fontId="71" fillId="9" borderId="16" xfId="0" applyNumberFormat="1" applyFont="1" applyFill="1" applyBorder="1" applyAlignment="1">
      <alignment vertical="center"/>
    </xf>
    <xf numFmtId="0" fontId="71" fillId="0" borderId="0" xfId="0" applyFont="1" applyAlignment="1">
      <alignment horizontal="center" vertical="center"/>
    </xf>
    <xf numFmtId="177" fontId="55" fillId="0" borderId="0" xfId="0" applyNumberFormat="1" applyFont="1" applyAlignment="1">
      <alignment vertical="center"/>
    </xf>
    <xf numFmtId="194" fontId="59" fillId="0" borderId="0" xfId="0" applyNumberFormat="1" applyFont="1" applyAlignment="1">
      <alignment vertical="center"/>
    </xf>
    <xf numFmtId="177" fontId="62" fillId="0" borderId="0" xfId="0" applyNumberFormat="1" applyFont="1" applyAlignment="1">
      <alignment vertical="center"/>
    </xf>
    <xf numFmtId="172" fontId="55" fillId="0" borderId="0" xfId="0" applyNumberFormat="1" applyFont="1" applyAlignment="1">
      <alignment horizontal="right" vertical="center"/>
    </xf>
    <xf numFmtId="177" fontId="39" fillId="0" borderId="0" xfId="0" applyNumberFormat="1" applyFont="1" applyAlignment="1">
      <alignment horizontal="right" vertical="center"/>
    </xf>
    <xf numFmtId="0" fontId="62" fillId="0" borderId="0" xfId="0" applyFont="1" applyAlignment="1">
      <alignment horizontal="left" vertical="center" indent="1"/>
    </xf>
    <xf numFmtId="177" fontId="62" fillId="0" borderId="17" xfId="0" applyNumberFormat="1" applyFont="1" applyBorder="1" applyAlignment="1">
      <alignment vertical="center"/>
    </xf>
    <xf numFmtId="170" fontId="62" fillId="0" borderId="0" xfId="0" applyNumberFormat="1" applyFont="1" applyAlignment="1">
      <alignment vertical="center"/>
    </xf>
    <xf numFmtId="176" fontId="62" fillId="0" borderId="0" xfId="0" applyNumberFormat="1" applyFont="1" applyAlignment="1">
      <alignment vertical="center"/>
    </xf>
    <xf numFmtId="0" fontId="62" fillId="0" borderId="17" xfId="0" applyFont="1" applyBorder="1" applyAlignment="1">
      <alignment horizontal="left" vertical="center"/>
    </xf>
    <xf numFmtId="170" fontId="55" fillId="0" borderId="17" xfId="0" applyNumberFormat="1" applyFont="1" applyBorder="1" applyAlignment="1">
      <alignment vertical="center"/>
    </xf>
    <xf numFmtId="0" fontId="60" fillId="9" borderId="17" xfId="0" applyFont="1" applyFill="1" applyBorder="1" applyAlignment="1">
      <alignment vertical="center"/>
    </xf>
    <xf numFmtId="194" fontId="60" fillId="9" borderId="17" xfId="0" applyNumberFormat="1" applyFont="1" applyFill="1" applyBorder="1" applyAlignment="1">
      <alignment vertical="center"/>
    </xf>
    <xf numFmtId="0" fontId="62" fillId="0" borderId="0" xfId="0" applyFont="1" applyAlignment="1">
      <alignment horizontal="left" vertical="center"/>
    </xf>
    <xf numFmtId="194" fontId="62" fillId="0" borderId="4" xfId="0" applyNumberFormat="1" applyFont="1" applyBorder="1" applyAlignment="1">
      <alignment vertical="center"/>
    </xf>
    <xf numFmtId="0" fontId="60" fillId="9" borderId="5" xfId="0" applyFont="1" applyFill="1" applyBorder="1" applyAlignment="1">
      <alignment vertical="center"/>
    </xf>
    <xf numFmtId="170" fontId="60" fillId="9" borderId="5" xfId="0" applyNumberFormat="1" applyFont="1" applyFill="1" applyBorder="1" applyAlignment="1">
      <alignment vertical="center"/>
    </xf>
    <xf numFmtId="170" fontId="72" fillId="0" borderId="0" xfId="0" applyNumberFormat="1" applyFont="1" applyAlignment="1">
      <alignment vertical="center"/>
    </xf>
    <xf numFmtId="0" fontId="51" fillId="0" borderId="0" xfId="0" applyFont="1" applyAlignment="1">
      <alignment horizontal="left" vertical="center"/>
    </xf>
    <xf numFmtId="0" fontId="73" fillId="0" borderId="0" xfId="0" applyFont="1" applyAlignment="1">
      <alignment vertical="center"/>
    </xf>
    <xf numFmtId="187" fontId="51" fillId="0" borderId="0" xfId="0" applyNumberFormat="1" applyFont="1" applyAlignment="1">
      <alignment horizontal="right" vertical="center"/>
    </xf>
    <xf numFmtId="0" fontId="60" fillId="0" borderId="5" xfId="0" applyFont="1" applyBorder="1" applyAlignment="1">
      <alignment horizontal="left" vertical="center"/>
    </xf>
    <xf numFmtId="0" fontId="60" fillId="0" borderId="5" xfId="0" applyFont="1" applyBorder="1" applyAlignment="1">
      <alignment vertical="center"/>
    </xf>
    <xf numFmtId="194" fontId="71" fillId="0" borderId="5" xfId="0" applyNumberFormat="1" applyFont="1" applyBorder="1" applyAlignment="1">
      <alignment vertical="center"/>
    </xf>
    <xf numFmtId="170" fontId="55" fillId="0" borderId="4" xfId="0" applyNumberFormat="1" applyFont="1" applyBorder="1" applyAlignment="1">
      <alignment vertical="center"/>
    </xf>
    <xf numFmtId="0" fontId="74" fillId="0" borderId="23" xfId="18" applyNumberFormat="1" applyFont="1" applyFill="1" applyBorder="1" applyAlignment="1">
      <alignment horizontal="center" vertical="center"/>
    </xf>
    <xf numFmtId="200" fontId="75" fillId="0" borderId="23" xfId="18" applyNumberFormat="1" applyFont="1" applyFill="1" applyBorder="1" applyAlignment="1">
      <alignment horizontal="right" vertical="center"/>
    </xf>
    <xf numFmtId="201" fontId="59" fillId="0" borderId="0" xfId="0" applyNumberFormat="1" applyFont="1" applyAlignment="1">
      <alignment vertical="center"/>
    </xf>
    <xf numFmtId="170" fontId="55" fillId="0" borderId="21" xfId="0" applyNumberFormat="1" applyFont="1" applyBorder="1" applyAlignment="1">
      <alignment vertical="center"/>
    </xf>
    <xf numFmtId="170" fontId="39" fillId="0" borderId="0" xfId="0" applyNumberFormat="1" applyFont="1" applyAlignment="1">
      <alignment vertical="center"/>
    </xf>
    <xf numFmtId="0" fontId="60" fillId="0" borderId="16" xfId="0" applyFont="1" applyBorder="1" applyAlignment="1">
      <alignment vertical="center"/>
    </xf>
    <xf numFmtId="0" fontId="62" fillId="0" borderId="16" xfId="0" applyFont="1" applyBorder="1" applyAlignment="1">
      <alignment vertical="center"/>
    </xf>
    <xf numFmtId="194" fontId="71" fillId="0" borderId="16" xfId="0" applyNumberFormat="1" applyFont="1" applyBorder="1" applyAlignment="1">
      <alignment vertical="center"/>
    </xf>
    <xf numFmtId="0" fontId="60" fillId="5" borderId="16" xfId="0" applyFont="1" applyFill="1" applyBorder="1" applyAlignment="1">
      <alignment vertical="center"/>
    </xf>
    <xf numFmtId="0" fontId="62" fillId="5" borderId="16" xfId="0" applyFont="1" applyFill="1" applyBorder="1" applyAlignment="1">
      <alignment vertical="center"/>
    </xf>
    <xf numFmtId="194" fontId="71" fillId="5" borderId="16" xfId="0" applyNumberFormat="1" applyFont="1" applyFill="1" applyBorder="1" applyAlignment="1">
      <alignment vertical="center"/>
    </xf>
    <xf numFmtId="0" fontId="55" fillId="0" borderId="0" xfId="0" applyFont="1" applyAlignment="1">
      <alignment vertical="center"/>
    </xf>
    <xf numFmtId="177" fontId="39" fillId="0" borderId="0" xfId="0" applyNumberFormat="1" applyFont="1" applyAlignment="1">
      <alignment vertical="center"/>
    </xf>
    <xf numFmtId="194" fontId="39" fillId="0" borderId="17" xfId="0" applyNumberFormat="1" applyFont="1" applyBorder="1" applyAlignment="1">
      <alignment vertical="center"/>
    </xf>
    <xf numFmtId="177" fontId="59" fillId="0" borderId="0" xfId="0" applyNumberFormat="1" applyFont="1" applyAlignment="1">
      <alignment vertical="center"/>
    </xf>
    <xf numFmtId="177" fontId="57" fillId="0" borderId="0" xfId="0" applyNumberFormat="1" applyFont="1" applyAlignment="1">
      <alignment vertical="center"/>
    </xf>
    <xf numFmtId="170" fontId="50" fillId="0" borderId="0" xfId="0" applyNumberFormat="1" applyFont="1" applyAlignment="1">
      <alignment horizontal="right" vertical="center"/>
    </xf>
    <xf numFmtId="177" fontId="39" fillId="0" borderId="17" xfId="0" applyNumberFormat="1" applyFont="1" applyBorder="1" applyAlignment="1">
      <alignment vertical="center"/>
    </xf>
    <xf numFmtId="165" fontId="53" fillId="0" borderId="0" xfId="0" applyNumberFormat="1" applyFont="1" applyAlignment="1">
      <alignment horizontal="right" vertical="center"/>
    </xf>
    <xf numFmtId="0" fontId="69" fillId="12" borderId="38" xfId="0" applyFont="1" applyFill="1" applyBorder="1" applyAlignment="1">
      <alignment horizontal="left" vertical="center"/>
    </xf>
    <xf numFmtId="165" fontId="52" fillId="0" borderId="0" xfId="0" applyNumberFormat="1" applyFont="1" applyAlignment="1">
      <alignment horizontal="right" vertical="center"/>
    </xf>
    <xf numFmtId="0" fontId="75" fillId="0" borderId="23" xfId="18" applyNumberFormat="1" applyFont="1" applyFill="1" applyBorder="1" applyAlignment="1">
      <alignment horizontal="left" vertical="center"/>
    </xf>
    <xf numFmtId="0" fontId="75" fillId="0" borderId="23" xfId="18" applyNumberFormat="1" applyFont="1" applyFill="1" applyBorder="1" applyAlignment="1">
      <alignment horizontal="center" vertical="center"/>
    </xf>
    <xf numFmtId="179" fontId="58" fillId="0" borderId="0" xfId="0" applyNumberFormat="1" applyFont="1" applyAlignment="1">
      <alignment horizontal="right" vertical="center" indent="1"/>
    </xf>
    <xf numFmtId="179" fontId="57" fillId="0" borderId="0" xfId="0" applyNumberFormat="1" applyFont="1" applyAlignment="1">
      <alignment horizontal="right" vertical="center" indent="1"/>
    </xf>
    <xf numFmtId="170" fontId="54" fillId="0" borderId="0" xfId="0" applyNumberFormat="1" applyFont="1" applyAlignment="1">
      <alignment vertical="center"/>
    </xf>
    <xf numFmtId="0" fontId="76" fillId="0" borderId="0" xfId="18" applyNumberFormat="1" applyFont="1" applyFill="1" applyBorder="1" applyAlignment="1">
      <alignment horizontal="centerContinuous" vertical="center"/>
    </xf>
    <xf numFmtId="0" fontId="74" fillId="0" borderId="0" xfId="18" applyNumberFormat="1" applyFont="1" applyFill="1" applyBorder="1" applyAlignment="1">
      <alignment horizontal="center" vertical="center"/>
    </xf>
    <xf numFmtId="0" fontId="75" fillId="0" borderId="0" xfId="18" applyNumberFormat="1" applyFont="1" applyFill="1" applyBorder="1" applyAlignment="1">
      <alignment horizontal="center" vertical="center"/>
    </xf>
    <xf numFmtId="0" fontId="59" fillId="0" borderId="0" xfId="0" applyFont="1" applyAlignment="1">
      <alignment vertical="center"/>
    </xf>
    <xf numFmtId="176" fontId="59" fillId="0" borderId="0" xfId="0" applyNumberFormat="1" applyFont="1" applyAlignment="1">
      <alignment vertical="center"/>
    </xf>
    <xf numFmtId="176" fontId="55" fillId="0" borderId="0" xfId="0" applyNumberFormat="1" applyFont="1" applyAlignment="1">
      <alignment vertical="center"/>
    </xf>
    <xf numFmtId="171" fontId="59" fillId="0" borderId="0" xfId="0" applyNumberFormat="1" applyFont="1" applyAlignment="1">
      <alignment vertical="center"/>
    </xf>
    <xf numFmtId="171" fontId="55" fillId="0" borderId="0" xfId="0" applyNumberFormat="1" applyFont="1" applyAlignment="1">
      <alignment vertical="center"/>
    </xf>
    <xf numFmtId="0" fontId="69" fillId="0" borderId="0" xfId="0" applyFont="1" applyAlignment="1">
      <alignment vertical="center"/>
    </xf>
    <xf numFmtId="0" fontId="60" fillId="0" borderId="0" xfId="0" applyFont="1" applyAlignment="1">
      <alignment horizontal="center" vertical="center"/>
    </xf>
    <xf numFmtId="196" fontId="77" fillId="0" borderId="11" xfId="0" applyNumberFormat="1" applyFont="1" applyBorder="1" applyAlignment="1">
      <alignment horizontal="center" vertical="center"/>
    </xf>
    <xf numFmtId="194" fontId="59" fillId="0" borderId="0" xfId="0" applyNumberFormat="1" applyFont="1" applyAlignment="1">
      <alignment horizontal="right" vertical="center"/>
    </xf>
    <xf numFmtId="168" fontId="63" fillId="0" borderId="0" xfId="0" applyNumberFormat="1" applyFont="1" applyAlignment="1">
      <alignment horizontal="right" vertical="center"/>
    </xf>
    <xf numFmtId="194" fontId="39" fillId="0" borderId="0" xfId="0" applyNumberFormat="1" applyFont="1" applyAlignment="1">
      <alignment horizontal="right" vertical="center"/>
    </xf>
    <xf numFmtId="170" fontId="39" fillId="0" borderId="0" xfId="0" applyNumberFormat="1" applyFont="1" applyAlignment="1">
      <alignment horizontal="right" vertical="center"/>
    </xf>
    <xf numFmtId="170" fontId="59" fillId="0" borderId="0" xfId="0" applyNumberFormat="1" applyFont="1" applyAlignment="1">
      <alignment horizontal="right" vertical="center"/>
    </xf>
    <xf numFmtId="194" fontId="39" fillId="0" borderId="17" xfId="0" applyNumberFormat="1" applyFont="1" applyBorder="1" applyAlignment="1">
      <alignment horizontal="right" vertical="center"/>
    </xf>
    <xf numFmtId="0" fontId="39" fillId="0" borderId="17" xfId="0" applyFont="1" applyBorder="1" applyAlignment="1">
      <alignment horizontal="right" vertical="center"/>
    </xf>
    <xf numFmtId="0" fontId="76" fillId="0" borderId="0" xfId="18" applyNumberFormat="1" applyFont="1" applyFill="1" applyBorder="1" applyAlignment="1">
      <alignment horizontal="centerContinuous"/>
    </xf>
    <xf numFmtId="0" fontId="75" fillId="0" borderId="0" xfId="18" applyNumberFormat="1" applyFont="1" applyFill="1" applyBorder="1" applyAlignment="1">
      <alignment horizontal="centerContinuous"/>
    </xf>
    <xf numFmtId="0" fontId="69" fillId="0" borderId="0" xfId="0" applyFont="1" applyAlignment="1">
      <alignment horizontal="centerContinuous"/>
    </xf>
    <xf numFmtId="194" fontId="55" fillId="9" borderId="0" xfId="0" applyNumberFormat="1" applyFont="1" applyFill="1" applyAlignment="1">
      <alignment vertical="center"/>
    </xf>
    <xf numFmtId="179" fontId="59" fillId="0" borderId="0" xfId="0" applyNumberFormat="1" applyFont="1" applyAlignment="1">
      <alignment horizontal="right" vertical="center" indent="1"/>
    </xf>
    <xf numFmtId="179" fontId="55" fillId="0" borderId="0" xfId="0" applyNumberFormat="1" applyFont="1" applyAlignment="1">
      <alignment horizontal="right" vertical="center" indent="1"/>
    </xf>
    <xf numFmtId="0" fontId="39" fillId="0" borderId="18" xfId="0" applyFont="1" applyBorder="1" applyAlignment="1">
      <alignment vertical="center"/>
    </xf>
    <xf numFmtId="186" fontId="39" fillId="0" borderId="18" xfId="0" applyNumberFormat="1" applyFont="1" applyBorder="1" applyAlignment="1">
      <alignment horizontal="right" vertical="center"/>
    </xf>
    <xf numFmtId="186" fontId="39" fillId="0" borderId="0" xfId="0" applyNumberFormat="1" applyFont="1" applyAlignment="1">
      <alignment horizontal="right" vertical="center"/>
    </xf>
    <xf numFmtId="0" fontId="78" fillId="0" borderId="0" xfId="0" applyFont="1" applyAlignment="1">
      <alignment vertical="center"/>
    </xf>
    <xf numFmtId="0" fontId="79" fillId="0" borderId="0" xfId="0" applyFont="1" applyAlignment="1">
      <alignment horizontal="center" vertical="center"/>
    </xf>
    <xf numFmtId="0" fontId="79" fillId="0" borderId="24" xfId="0" applyFont="1" applyBorder="1" applyAlignment="1">
      <alignment horizontal="centerContinuous" vertical="center"/>
    </xf>
    <xf numFmtId="0" fontId="79" fillId="0" borderId="0" xfId="0" applyFont="1" applyAlignment="1">
      <alignment horizontal="centerContinuous" vertical="center"/>
    </xf>
    <xf numFmtId="0" fontId="80" fillId="0" borderId="0" xfId="0" applyFont="1" applyAlignment="1">
      <alignment horizontal="center" vertical="center"/>
    </xf>
    <xf numFmtId="0" fontId="68" fillId="0" borderId="6" xfId="0" applyFont="1" applyBorder="1" applyAlignment="1">
      <alignment horizontal="left" vertical="center"/>
    </xf>
    <xf numFmtId="0" fontId="79" fillId="0" borderId="6" xfId="0" applyFont="1" applyBorder="1" applyAlignment="1">
      <alignment horizontal="center" vertical="center"/>
    </xf>
    <xf numFmtId="173" fontId="79" fillId="0" borderId="6" xfId="0" applyNumberFormat="1" applyFont="1" applyBorder="1" applyAlignment="1">
      <alignment horizontal="center" vertical="center"/>
    </xf>
    <xf numFmtId="0" fontId="79" fillId="0" borderId="6" xfId="0" applyFont="1" applyBorder="1" applyAlignment="1">
      <alignment horizontal="centerContinuous" vertical="center"/>
    </xf>
    <xf numFmtId="0" fontId="81" fillId="0" borderId="0" xfId="0" applyFont="1" applyAlignment="1">
      <alignment vertical="center"/>
    </xf>
    <xf numFmtId="194" fontId="59" fillId="0" borderId="8" xfId="0" applyNumberFormat="1" applyFont="1" applyBorder="1" applyAlignment="1">
      <alignment vertical="center"/>
    </xf>
    <xf numFmtId="174" fontId="59" fillId="0" borderId="0" xfId="0" applyNumberFormat="1" applyFont="1" applyAlignment="1">
      <alignment vertical="center"/>
    </xf>
    <xf numFmtId="174" fontId="54" fillId="9" borderId="0" xfId="0" applyNumberFormat="1" applyFont="1" applyFill="1" applyAlignment="1">
      <alignment vertical="center"/>
    </xf>
    <xf numFmtId="185" fontId="54" fillId="9" borderId="0" xfId="0" applyNumberFormat="1" applyFont="1" applyFill="1" applyAlignment="1">
      <alignment horizontal="right" vertical="center"/>
    </xf>
    <xf numFmtId="0" fontId="54" fillId="9" borderId="0" xfId="0" applyFont="1" applyFill="1" applyAlignment="1">
      <alignment vertical="center"/>
    </xf>
    <xf numFmtId="174" fontId="62" fillId="0" borderId="0" xfId="0" applyNumberFormat="1" applyFont="1" applyAlignment="1">
      <alignment vertical="center"/>
    </xf>
    <xf numFmtId="174" fontId="54" fillId="9" borderId="0" xfId="0" applyNumberFormat="1" applyFont="1" applyFill="1" applyAlignment="1">
      <alignment horizontal="right" vertical="center"/>
    </xf>
    <xf numFmtId="198" fontId="62" fillId="0" borderId="8" xfId="0" applyNumberFormat="1" applyFont="1" applyBorder="1" applyAlignment="1">
      <alignment horizontal="right" vertical="center"/>
    </xf>
    <xf numFmtId="198" fontId="62" fillId="0" borderId="0" xfId="0" applyNumberFormat="1" applyFont="1" applyAlignment="1">
      <alignment vertical="center"/>
    </xf>
    <xf numFmtId="174" fontId="39" fillId="0" borderId="0" xfId="0" applyNumberFormat="1" applyFont="1" applyAlignment="1">
      <alignment vertical="center"/>
    </xf>
    <xf numFmtId="170" fontId="59" fillId="0" borderId="8" xfId="0" applyNumberFormat="1" applyFont="1" applyBorder="1" applyAlignment="1">
      <alignment vertical="center"/>
    </xf>
    <xf numFmtId="170" fontId="54" fillId="9" borderId="0" xfId="0" applyNumberFormat="1" applyFont="1" applyFill="1" applyAlignment="1">
      <alignment horizontal="right" vertical="center"/>
    </xf>
    <xf numFmtId="170" fontId="62" fillId="0" borderId="8" xfId="0" applyNumberFormat="1" applyFont="1" applyBorder="1" applyAlignment="1">
      <alignment horizontal="right" vertical="center"/>
    </xf>
    <xf numFmtId="170" fontId="54" fillId="9" borderId="0" xfId="0" applyNumberFormat="1" applyFont="1" applyFill="1" applyAlignment="1">
      <alignment vertical="center"/>
    </xf>
    <xf numFmtId="0" fontId="39" fillId="0" borderId="17" xfId="0" applyFont="1" applyBorder="1" applyAlignment="1">
      <alignment horizontal="left" vertical="center"/>
    </xf>
    <xf numFmtId="0" fontId="39" fillId="0" borderId="17" xfId="0" applyFont="1" applyBorder="1" applyAlignment="1">
      <alignment horizontal="left" vertical="center" indent="1"/>
    </xf>
    <xf numFmtId="170" fontId="39" fillId="0" borderId="9" xfId="0" applyNumberFormat="1" applyFont="1" applyBorder="1" applyAlignment="1">
      <alignment horizontal="right" vertical="center"/>
    </xf>
    <xf numFmtId="170" fontId="39" fillId="0" borderId="4" xfId="0" applyNumberFormat="1" applyFont="1" applyBorder="1" applyAlignment="1">
      <alignment horizontal="right" vertical="center"/>
    </xf>
    <xf numFmtId="170" fontId="62" fillId="9" borderId="4" xfId="0" applyNumberFormat="1" applyFont="1" applyFill="1" applyBorder="1" applyAlignment="1">
      <alignment horizontal="right" vertical="center"/>
    </xf>
    <xf numFmtId="170" fontId="62" fillId="0" borderId="4" xfId="0" applyNumberFormat="1" applyFont="1" applyBorder="1" applyAlignment="1">
      <alignment horizontal="right" vertical="center"/>
    </xf>
    <xf numFmtId="170" fontId="62" fillId="0" borderId="9" xfId="0" applyNumberFormat="1" applyFont="1" applyBorder="1" applyAlignment="1">
      <alignment horizontal="right" vertical="center"/>
    </xf>
    <xf numFmtId="199" fontId="59" fillId="0" borderId="0" xfId="0" applyNumberFormat="1" applyFont="1" applyAlignment="1">
      <alignment horizontal="right" vertical="center"/>
    </xf>
    <xf numFmtId="170" fontId="62" fillId="9" borderId="0" xfId="0" applyNumberFormat="1" applyFont="1" applyFill="1" applyAlignment="1">
      <alignment vertical="center"/>
    </xf>
    <xf numFmtId="170" fontId="62" fillId="0" borderId="0" xfId="0" applyNumberFormat="1" applyFont="1" applyAlignment="1">
      <alignment horizontal="right" vertical="center"/>
    </xf>
    <xf numFmtId="175" fontId="62" fillId="9" borderId="0" xfId="0" applyNumberFormat="1" applyFont="1" applyFill="1" applyAlignment="1">
      <alignment vertical="center"/>
    </xf>
    <xf numFmtId="175" fontId="62" fillId="9" borderId="0" xfId="0" applyNumberFormat="1" applyFont="1" applyFill="1" applyAlignment="1">
      <alignment horizontal="right" vertical="center"/>
    </xf>
    <xf numFmtId="0" fontId="39" fillId="0" borderId="4" xfId="0" applyFont="1" applyBorder="1" applyAlignment="1">
      <alignment horizontal="left" vertical="center"/>
    </xf>
    <xf numFmtId="0" fontId="39" fillId="0" borderId="4" xfId="0" applyFont="1" applyBorder="1" applyAlignment="1">
      <alignment vertical="center"/>
    </xf>
    <xf numFmtId="199" fontId="54" fillId="9" borderId="0" xfId="0" applyNumberFormat="1" applyFont="1" applyFill="1" applyAlignment="1">
      <alignment horizontal="right" vertical="center"/>
    </xf>
    <xf numFmtId="175" fontId="54" fillId="9" borderId="0" xfId="0" applyNumberFormat="1" applyFont="1" applyFill="1" applyAlignment="1">
      <alignment horizontal="right" vertical="center"/>
    </xf>
    <xf numFmtId="170" fontId="57" fillId="0" borderId="8" xfId="0" applyNumberFormat="1" applyFont="1" applyBorder="1" applyAlignment="1">
      <alignment vertical="center"/>
    </xf>
    <xf numFmtId="0" fontId="69" fillId="0" borderId="5" xfId="0" applyFont="1" applyBorder="1" applyAlignment="1">
      <alignment horizontal="left" vertical="center"/>
    </xf>
    <xf numFmtId="0" fontId="69" fillId="0" borderId="5" xfId="0" applyFont="1" applyBorder="1" applyAlignment="1">
      <alignment vertical="center"/>
    </xf>
    <xf numFmtId="174" fontId="69" fillId="0" borderId="7" xfId="0" applyNumberFormat="1" applyFont="1" applyBorder="1" applyAlignment="1">
      <alignment horizontal="right" vertical="center"/>
    </xf>
    <xf numFmtId="174" fontId="69" fillId="0" borderId="5" xfId="0" applyNumberFormat="1" applyFont="1" applyBorder="1" applyAlignment="1">
      <alignment horizontal="right" vertical="center"/>
    </xf>
    <xf numFmtId="174" fontId="60" fillId="9" borderId="5" xfId="0" applyNumberFormat="1" applyFont="1" applyFill="1" applyBorder="1" applyAlignment="1">
      <alignment horizontal="right" vertical="center"/>
    </xf>
    <xf numFmtId="174" fontId="60" fillId="0" borderId="5" xfId="0" applyNumberFormat="1" applyFont="1" applyBorder="1" applyAlignment="1">
      <alignment horizontal="right" vertical="center"/>
    </xf>
    <xf numFmtId="174" fontId="60" fillId="0" borderId="7" xfId="0" applyNumberFormat="1" applyFont="1" applyBorder="1" applyAlignment="1">
      <alignment horizontal="right" vertical="center"/>
    </xf>
    <xf numFmtId="0" fontId="60" fillId="0" borderId="0" xfId="0" applyFont="1" applyAlignment="1">
      <alignment vertical="center"/>
    </xf>
    <xf numFmtId="198" fontId="59" fillId="0" borderId="0" xfId="0" applyNumberFormat="1" applyFont="1" applyAlignment="1">
      <alignment horizontal="right" vertical="center"/>
    </xf>
    <xf numFmtId="0" fontId="59" fillId="0" borderId="0" xfId="0" applyFont="1" applyAlignment="1">
      <alignment horizontal="left" vertical="center" indent="1"/>
    </xf>
    <xf numFmtId="199" fontId="57" fillId="9" borderId="0" xfId="0" applyNumberFormat="1" applyFont="1" applyFill="1" applyAlignment="1">
      <alignment horizontal="right" vertical="center"/>
    </xf>
    <xf numFmtId="170" fontId="62" fillId="9" borderId="0" xfId="0" applyNumberFormat="1" applyFont="1" applyFill="1" applyAlignment="1">
      <alignment horizontal="right" vertical="center"/>
    </xf>
    <xf numFmtId="170" fontId="57" fillId="9" borderId="0" xfId="0" applyNumberFormat="1" applyFont="1" applyFill="1" applyAlignment="1">
      <alignment vertical="center"/>
    </xf>
    <xf numFmtId="170" fontId="57" fillId="9" borderId="0" xfId="0" applyNumberFormat="1" applyFont="1" applyFill="1" applyAlignment="1">
      <alignment horizontal="right" vertical="center"/>
    </xf>
    <xf numFmtId="0" fontId="82" fillId="0" borderId="0" xfId="0" applyFont="1" applyAlignment="1">
      <alignment vertical="center"/>
    </xf>
    <xf numFmtId="177" fontId="59" fillId="0" borderId="8" xfId="0" applyNumberFormat="1" applyFont="1" applyBorder="1" applyAlignment="1">
      <alignment horizontal="right" vertical="center"/>
    </xf>
    <xf numFmtId="0" fontId="62" fillId="9" borderId="0" xfId="0" applyFont="1" applyFill="1" applyAlignment="1">
      <alignment vertical="center"/>
    </xf>
    <xf numFmtId="177" fontId="62" fillId="9" borderId="0" xfId="0" applyNumberFormat="1" applyFont="1" applyFill="1" applyAlignment="1">
      <alignment horizontal="right" vertical="center"/>
    </xf>
    <xf numFmtId="177" fontId="62" fillId="0" borderId="8" xfId="0" applyNumberFormat="1" applyFont="1" applyBorder="1" applyAlignment="1">
      <alignment horizontal="right" vertical="center"/>
    </xf>
    <xf numFmtId="0" fontId="39" fillId="0" borderId="1" xfId="0" applyFont="1" applyBorder="1" applyAlignment="1">
      <alignment vertical="center"/>
    </xf>
    <xf numFmtId="0" fontId="50" fillId="0" borderId="0" xfId="0" applyFont="1" applyAlignment="1">
      <alignment vertical="center"/>
    </xf>
    <xf numFmtId="177" fontId="50" fillId="0" borderId="0" xfId="0" applyNumberFormat="1" applyFont="1" applyAlignment="1">
      <alignment horizontal="right" vertical="center"/>
    </xf>
    <xf numFmtId="167" fontId="83" fillId="0" borderId="0" xfId="0" applyNumberFormat="1" applyFont="1" applyAlignment="1">
      <alignment horizontal="right" vertical="center"/>
    </xf>
    <xf numFmtId="0" fontId="84" fillId="0" borderId="0" xfId="0" applyFont="1" applyAlignment="1">
      <alignment vertical="center"/>
    </xf>
    <xf numFmtId="167" fontId="85" fillId="0" borderId="0" xfId="0" applyNumberFormat="1" applyFont="1" applyAlignment="1">
      <alignment horizontal="right" vertical="center"/>
    </xf>
    <xf numFmtId="178" fontId="50" fillId="0" borderId="0" xfId="0" applyNumberFormat="1" applyFont="1" applyAlignment="1">
      <alignment horizontal="right" vertical="center"/>
    </xf>
    <xf numFmtId="178" fontId="51" fillId="0" borderId="0" xfId="0" applyNumberFormat="1" applyFont="1" applyAlignment="1">
      <alignment horizontal="right" vertical="center"/>
    </xf>
    <xf numFmtId="178" fontId="86" fillId="0" borderId="0" xfId="0" applyNumberFormat="1" applyFont="1" applyAlignment="1">
      <alignment horizontal="right" vertical="center"/>
    </xf>
    <xf numFmtId="0" fontId="39" fillId="0" borderId="20" xfId="0" applyFont="1" applyBorder="1" applyAlignment="1">
      <alignment horizontal="center" vertical="center"/>
    </xf>
    <xf numFmtId="0" fontId="87" fillId="13" borderId="20" xfId="0" applyFont="1" applyFill="1" applyBorder="1" applyAlignment="1">
      <alignment vertical="center"/>
    </xf>
    <xf numFmtId="0" fontId="66" fillId="13" borderId="20" xfId="0" applyFont="1" applyFill="1" applyBorder="1" applyAlignment="1">
      <alignment vertical="center"/>
    </xf>
    <xf numFmtId="0" fontId="39" fillId="13" borderId="20" xfId="0" applyFont="1" applyFill="1" applyBorder="1" applyAlignment="1">
      <alignment vertical="center"/>
    </xf>
    <xf numFmtId="0" fontId="88" fillId="0" borderId="0" xfId="0" applyFont="1" applyAlignment="1">
      <alignment vertical="center"/>
    </xf>
    <xf numFmtId="0" fontId="42" fillId="0" borderId="0" xfId="0" applyFont="1" applyAlignment="1">
      <alignment horizontal="left" vertical="center"/>
    </xf>
    <xf numFmtId="49" fontId="43" fillId="0" borderId="0" xfId="0" applyNumberFormat="1" applyFont="1" applyAlignment="1">
      <alignment horizontal="centerContinuous" vertical="center"/>
    </xf>
    <xf numFmtId="0" fontId="89" fillId="0" borderId="11" xfId="0" applyFont="1" applyBorder="1" applyAlignment="1">
      <alignment horizontal="left" vertical="center"/>
    </xf>
    <xf numFmtId="0" fontId="42" fillId="0" borderId="11" xfId="0" applyFont="1" applyBorder="1" applyAlignment="1">
      <alignment horizontal="left" vertical="center"/>
    </xf>
    <xf numFmtId="184" fontId="42" fillId="0" borderId="11" xfId="0" applyNumberFormat="1" applyFont="1" applyBorder="1" applyAlignment="1">
      <alignment horizontal="center" vertical="center"/>
    </xf>
    <xf numFmtId="173" fontId="42" fillId="0" borderId="11" xfId="0" applyNumberFormat="1" applyFont="1" applyBorder="1" applyAlignment="1">
      <alignment horizontal="center" vertical="center"/>
    </xf>
    <xf numFmtId="190" fontId="42" fillId="0" borderId="11" xfId="0" applyNumberFormat="1" applyFont="1" applyBorder="1" applyAlignment="1">
      <alignment horizontal="center" vertical="center"/>
    </xf>
    <xf numFmtId="170" fontId="61" fillId="0" borderId="0" xfId="0" applyNumberFormat="1" applyFont="1" applyAlignment="1">
      <alignment horizontal="right" vertical="center"/>
    </xf>
    <xf numFmtId="170" fontId="61" fillId="0" borderId="4" xfId="0" applyNumberFormat="1" applyFont="1" applyBorder="1" applyAlignment="1">
      <alignment horizontal="right" vertical="center"/>
    </xf>
    <xf numFmtId="0" fontId="69" fillId="0" borderId="4" xfId="0" applyFont="1" applyBorder="1" applyAlignment="1">
      <alignment vertical="center"/>
    </xf>
    <xf numFmtId="170" fontId="69" fillId="0" borderId="4" xfId="0" applyNumberFormat="1" applyFont="1" applyBorder="1" applyAlignment="1">
      <alignment vertical="center"/>
    </xf>
    <xf numFmtId="170" fontId="54" fillId="0" borderId="0" xfId="0" applyNumberFormat="1" applyFont="1" applyAlignment="1">
      <alignment horizontal="right" vertical="center"/>
    </xf>
    <xf numFmtId="170" fontId="69" fillId="0" borderId="0" xfId="0" applyNumberFormat="1" applyFont="1" applyAlignment="1">
      <alignment vertical="center"/>
    </xf>
    <xf numFmtId="192" fontId="90" fillId="0" borderId="0" xfId="0" applyNumberFormat="1" applyFont="1" applyAlignment="1">
      <alignment vertical="center"/>
    </xf>
    <xf numFmtId="192" fontId="62" fillId="0" borderId="0" xfId="0" applyNumberFormat="1" applyFont="1" applyAlignment="1">
      <alignment horizontal="left" vertical="center" indent="1"/>
    </xf>
    <xf numFmtId="192" fontId="62" fillId="0" borderId="0" xfId="0" applyNumberFormat="1" applyFont="1" applyAlignment="1">
      <alignment vertical="center"/>
    </xf>
    <xf numFmtId="0" fontId="69" fillId="0" borderId="16" xfId="0" applyFont="1" applyBorder="1" applyAlignment="1">
      <alignment vertical="center"/>
    </xf>
    <xf numFmtId="194" fontId="69" fillId="0" borderId="16" xfId="0" applyNumberFormat="1" applyFont="1" applyBorder="1" applyAlignment="1">
      <alignment vertical="center"/>
    </xf>
    <xf numFmtId="194" fontId="54" fillId="0" borderId="0" xfId="0" applyNumberFormat="1" applyFont="1" applyAlignment="1">
      <alignment horizontal="right" vertical="center"/>
    </xf>
    <xf numFmtId="176" fontId="54" fillId="0" borderId="0" xfId="0" applyNumberFormat="1" applyFont="1" applyAlignment="1">
      <alignment vertical="center"/>
    </xf>
    <xf numFmtId="167" fontId="69" fillId="12" borderId="37" xfId="0" applyNumberFormat="1" applyFont="1" applyFill="1" applyBorder="1" applyAlignment="1">
      <alignment horizontal="right" vertical="center"/>
    </xf>
    <xf numFmtId="171" fontId="39" fillId="0" borderId="0" xfId="0" applyNumberFormat="1" applyFont="1" applyAlignment="1">
      <alignment vertical="center"/>
    </xf>
    <xf numFmtId="0" fontId="69" fillId="9" borderId="0" xfId="0" applyFont="1" applyFill="1" applyAlignment="1">
      <alignment vertical="center"/>
    </xf>
    <xf numFmtId="176" fontId="69" fillId="9" borderId="0" xfId="0" applyNumberFormat="1" applyFont="1" applyFill="1" applyAlignment="1">
      <alignment vertical="center"/>
    </xf>
    <xf numFmtId="0" fontId="73" fillId="9" borderId="0" xfId="0" applyFont="1" applyFill="1" applyAlignment="1">
      <alignment vertical="center"/>
    </xf>
    <xf numFmtId="165" fontId="73" fillId="9" borderId="0" xfId="0" applyNumberFormat="1" applyFont="1" applyFill="1" applyAlignment="1">
      <alignment horizontal="right" vertical="center"/>
    </xf>
    <xf numFmtId="0" fontId="91" fillId="0" borderId="0" xfId="0" applyFont="1" applyAlignment="1">
      <alignment vertical="center"/>
    </xf>
    <xf numFmtId="165" fontId="51" fillId="0" borderId="0" xfId="0" applyNumberFormat="1" applyFont="1" applyAlignment="1">
      <alignment horizontal="right" vertical="center"/>
    </xf>
    <xf numFmtId="165" fontId="50" fillId="0" borderId="0" xfId="0" applyNumberFormat="1" applyFont="1" applyAlignment="1">
      <alignment vertical="center"/>
    </xf>
    <xf numFmtId="174" fontId="59" fillId="0" borderId="0" xfId="0" applyNumberFormat="1" applyFont="1" applyAlignment="1">
      <alignment horizontal="right" vertical="center"/>
    </xf>
    <xf numFmtId="174" fontId="55" fillId="0" borderId="0" xfId="0" applyNumberFormat="1" applyFont="1" applyAlignment="1">
      <alignment horizontal="right" vertical="center"/>
    </xf>
    <xf numFmtId="0" fontId="39" fillId="0" borderId="0" xfId="0" applyFont="1" applyAlignment="1">
      <alignment horizontal="right" vertical="center"/>
    </xf>
    <xf numFmtId="0" fontId="46" fillId="0" borderId="0" xfId="0" applyFont="1" applyAlignment="1">
      <alignment horizontal="left" vertical="center"/>
    </xf>
    <xf numFmtId="184" fontId="46" fillId="0" borderId="0" xfId="0" applyNumberFormat="1" applyFont="1" applyAlignment="1">
      <alignment horizontal="center" vertical="center"/>
    </xf>
    <xf numFmtId="166" fontId="39" fillId="0" borderId="4" xfId="0" applyNumberFormat="1" applyFont="1" applyBorder="1" applyAlignment="1">
      <alignment horizontal="left" vertical="center"/>
    </xf>
    <xf numFmtId="0" fontId="69" fillId="0" borderId="0" xfId="0" applyFont="1" applyAlignment="1">
      <alignment horizontal="left" vertical="center"/>
    </xf>
    <xf numFmtId="164" fontId="69" fillId="0" borderId="0" xfId="0" applyNumberFormat="1" applyFont="1" applyAlignment="1">
      <alignment horizontal="right" vertical="center"/>
    </xf>
    <xf numFmtId="0" fontId="50" fillId="0" borderId="0" xfId="0" applyFont="1" applyAlignment="1">
      <alignment horizontal="left" vertical="center"/>
    </xf>
    <xf numFmtId="0" fontId="92" fillId="0" borderId="0" xfId="0" applyFont="1" applyAlignment="1">
      <alignment vertical="center"/>
    </xf>
    <xf numFmtId="177" fontId="72" fillId="0" borderId="0" xfId="0" applyNumberFormat="1" applyFont="1" applyAlignment="1">
      <alignment vertical="center"/>
    </xf>
    <xf numFmtId="0" fontId="46" fillId="0" borderId="0" xfId="0" applyFont="1" applyAlignment="1">
      <alignment horizontal="center" vertical="center"/>
    </xf>
    <xf numFmtId="184" fontId="39" fillId="0" borderId="0" xfId="0" applyNumberFormat="1" applyFont="1" applyAlignment="1">
      <alignment horizontal="left" vertical="center"/>
    </xf>
    <xf numFmtId="194" fontId="62" fillId="0" borderId="0" xfId="0" applyNumberFormat="1" applyFont="1" applyAlignment="1">
      <alignment vertical="center"/>
    </xf>
    <xf numFmtId="170" fontId="58" fillId="0" borderId="0" xfId="0" applyNumberFormat="1" applyFont="1" applyAlignment="1">
      <alignment vertical="center"/>
    </xf>
    <xf numFmtId="170" fontId="57" fillId="8" borderId="0" xfId="0" applyNumberFormat="1" applyFont="1" applyFill="1" applyAlignment="1">
      <alignment vertical="center"/>
    </xf>
    <xf numFmtId="170" fontId="62" fillId="0" borderId="4" xfId="0" applyNumberFormat="1" applyFont="1" applyBorder="1" applyAlignment="1">
      <alignment vertical="center"/>
    </xf>
    <xf numFmtId="0" fontId="62" fillId="0" borderId="19" xfId="0" applyFont="1" applyBorder="1" applyAlignment="1">
      <alignment vertical="center"/>
    </xf>
    <xf numFmtId="170" fontId="62" fillId="0" borderId="19" xfId="0" applyNumberFormat="1" applyFont="1" applyBorder="1" applyAlignment="1">
      <alignment vertical="center"/>
    </xf>
    <xf numFmtId="194" fontId="79" fillId="0" borderId="16" xfId="0" applyNumberFormat="1" applyFont="1" applyBorder="1" applyAlignment="1">
      <alignment vertical="center"/>
    </xf>
    <xf numFmtId="169" fontId="39" fillId="0" borderId="0" xfId="0" applyNumberFormat="1" applyFont="1" applyAlignment="1">
      <alignment vertical="center"/>
    </xf>
    <xf numFmtId="0" fontId="46" fillId="0" borderId="18" xfId="0" applyFont="1" applyBorder="1" applyAlignment="1">
      <alignment vertical="center"/>
    </xf>
    <xf numFmtId="0" fontId="39" fillId="0" borderId="18" xfId="0" applyFont="1" applyBorder="1" applyAlignment="1">
      <alignment horizontal="left" vertical="center"/>
    </xf>
    <xf numFmtId="49" fontId="42" fillId="0" borderId="0" xfId="0" applyNumberFormat="1" applyFont="1" applyAlignment="1">
      <alignment horizontal="centerContinuous" vertical="center"/>
    </xf>
    <xf numFmtId="174" fontId="54" fillId="0" borderId="0" xfId="0" applyNumberFormat="1" applyFont="1" applyAlignment="1">
      <alignment vertical="center"/>
    </xf>
    <xf numFmtId="170" fontId="62" fillId="0" borderId="17" xfId="0" applyNumberFormat="1" applyFont="1" applyBorder="1" applyAlignment="1">
      <alignment vertical="center"/>
    </xf>
    <xf numFmtId="194" fontId="39" fillId="0" borderId="0" xfId="0" applyNumberFormat="1" applyFont="1" applyAlignment="1">
      <alignment vertical="center"/>
    </xf>
    <xf numFmtId="0" fontId="55" fillId="0" borderId="0" xfId="0" applyFont="1" applyAlignment="1">
      <alignment horizontal="center" vertical="center"/>
    </xf>
    <xf numFmtId="168" fontId="50" fillId="0" borderId="0" xfId="0" applyNumberFormat="1" applyFont="1" applyAlignment="1">
      <alignment horizontal="right" vertical="center"/>
    </xf>
    <xf numFmtId="0" fontId="93" fillId="0" borderId="0" xfId="0" applyFont="1" applyAlignment="1">
      <alignment horizontal="center" vertical="center"/>
    </xf>
    <xf numFmtId="0" fontId="59" fillId="0" borderId="0" xfId="0" applyFont="1" applyAlignment="1">
      <alignment horizontal="center" vertical="center"/>
    </xf>
    <xf numFmtId="0" fontId="51" fillId="0" borderId="0" xfId="0" applyFont="1" applyAlignment="1">
      <alignment horizontal="right" vertical="center"/>
    </xf>
    <xf numFmtId="168" fontId="53" fillId="0" borderId="0" xfId="0" applyNumberFormat="1" applyFont="1" applyAlignment="1">
      <alignment horizontal="right" vertical="center"/>
    </xf>
    <xf numFmtId="0" fontId="62" fillId="0" borderId="18" xfId="0" applyFont="1" applyBorder="1" applyAlignment="1">
      <alignment vertical="center"/>
    </xf>
    <xf numFmtId="165" fontId="94" fillId="0" borderId="18" xfId="0" applyNumberFormat="1" applyFont="1" applyBorder="1" applyAlignment="1">
      <alignment vertical="center"/>
    </xf>
    <xf numFmtId="166" fontId="39" fillId="0" borderId="0" xfId="0" applyNumberFormat="1" applyFont="1" applyAlignment="1">
      <alignment vertical="center"/>
    </xf>
    <xf numFmtId="194" fontId="54" fillId="0" borderId="0" xfId="0" applyNumberFormat="1" applyFont="1" applyAlignment="1">
      <alignment vertical="center"/>
    </xf>
    <xf numFmtId="194" fontId="62" fillId="0" borderId="17" xfId="0" applyNumberFormat="1" applyFont="1" applyBorder="1" applyAlignment="1">
      <alignment vertical="center"/>
    </xf>
    <xf numFmtId="0" fontId="55" fillId="0" borderId="0" xfId="0" applyFont="1" applyAlignment="1">
      <alignment horizontal="left" vertical="center" indent="1"/>
    </xf>
    <xf numFmtId="0" fontId="90" fillId="0" borderId="0" xfId="0" applyFont="1" applyAlignment="1">
      <alignment vertical="center"/>
    </xf>
    <xf numFmtId="165" fontId="53" fillId="0" borderId="0" xfId="0" applyNumberFormat="1" applyFont="1" applyAlignment="1">
      <alignment vertical="center"/>
    </xf>
    <xf numFmtId="194" fontId="59" fillId="0" borderId="17" xfId="0" applyNumberFormat="1" applyFont="1" applyBorder="1" applyAlignment="1">
      <alignment vertical="center"/>
    </xf>
    <xf numFmtId="166" fontId="55" fillId="0" borderId="0" xfId="0" applyNumberFormat="1" applyFont="1" applyAlignment="1">
      <alignment horizontal="right" vertical="center" indent="1"/>
    </xf>
    <xf numFmtId="165" fontId="52" fillId="8" borderId="0" xfId="0" applyNumberFormat="1" applyFont="1" applyFill="1" applyAlignment="1">
      <alignment vertical="center"/>
    </xf>
    <xf numFmtId="0" fontId="95" fillId="0" borderId="27" xfId="0" applyFont="1" applyBorder="1" applyAlignment="1">
      <alignment horizontal="left" vertical="center"/>
    </xf>
    <xf numFmtId="0" fontId="46" fillId="0" borderId="27" xfId="0" applyFont="1" applyBorder="1" applyAlignment="1">
      <alignment vertical="center"/>
    </xf>
    <xf numFmtId="0" fontId="39" fillId="0" borderId="27" xfId="0" applyFont="1" applyBorder="1" applyAlignment="1">
      <alignment vertical="center"/>
    </xf>
    <xf numFmtId="0" fontId="77" fillId="0" borderId="27" xfId="0" applyFont="1" applyBorder="1" applyAlignment="1">
      <alignment vertical="center"/>
    </xf>
    <xf numFmtId="166" fontId="39" fillId="0" borderId="27" xfId="0" applyNumberFormat="1" applyFont="1" applyBorder="1" applyAlignment="1">
      <alignment vertical="center"/>
    </xf>
    <xf numFmtId="0" fontId="39" fillId="0" borderId="27" xfId="0" applyFont="1" applyBorder="1" applyAlignment="1">
      <alignment horizontal="left" vertical="center"/>
    </xf>
    <xf numFmtId="0" fontId="77" fillId="0" borderId="0" xfId="0" applyFont="1" applyAlignment="1">
      <alignment vertical="center"/>
    </xf>
    <xf numFmtId="168" fontId="96" fillId="0" borderId="0" xfId="0" applyNumberFormat="1" applyFont="1" applyAlignment="1">
      <alignment vertical="center"/>
    </xf>
    <xf numFmtId="168" fontId="50" fillId="0" borderId="0" xfId="0" applyNumberFormat="1" applyFont="1" applyAlignment="1">
      <alignment vertical="center"/>
    </xf>
    <xf numFmtId="168" fontId="51" fillId="0" borderId="0" xfId="0" applyNumberFormat="1" applyFont="1" applyAlignment="1">
      <alignment vertical="center"/>
    </xf>
    <xf numFmtId="0" fontId="75" fillId="0" borderId="0" xfId="0" applyFont="1" applyAlignment="1">
      <alignment horizontal="center" vertical="center"/>
    </xf>
    <xf numFmtId="0" fontId="75" fillId="0" borderId="23" xfId="0" applyFont="1" applyBorder="1" applyAlignment="1">
      <alignment horizontal="center" vertical="center"/>
    </xf>
    <xf numFmtId="202" fontId="59" fillId="0" borderId="0" xfId="0" applyNumberFormat="1" applyFont="1" applyAlignment="1">
      <alignment horizontal="right" vertical="center"/>
    </xf>
    <xf numFmtId="168" fontId="52" fillId="8" borderId="0" xfId="0" applyNumberFormat="1" applyFont="1" applyFill="1" applyAlignment="1">
      <alignment horizontal="right" vertical="center"/>
    </xf>
    <xf numFmtId="202" fontId="57" fillId="8" borderId="0" xfId="0" applyNumberFormat="1" applyFont="1" applyFill="1" applyAlignment="1">
      <alignment horizontal="right" vertical="center"/>
    </xf>
    <xf numFmtId="176" fontId="57" fillId="8" borderId="0" xfId="0" applyNumberFormat="1" applyFont="1" applyFill="1" applyAlignment="1">
      <alignment vertical="center"/>
    </xf>
    <xf numFmtId="165" fontId="52" fillId="8" borderId="0" xfId="0" applyNumberFormat="1" applyFont="1" applyFill="1" applyAlignment="1">
      <alignment horizontal="right" vertical="center"/>
    </xf>
    <xf numFmtId="166" fontId="39" fillId="0" borderId="18" xfId="0" applyNumberFormat="1" applyFont="1" applyBorder="1" applyAlignment="1">
      <alignment vertical="center"/>
    </xf>
    <xf numFmtId="184" fontId="69" fillId="0" borderId="0" xfId="0" applyNumberFormat="1" applyFont="1" applyAlignment="1">
      <alignment horizontal="left" vertical="center"/>
    </xf>
    <xf numFmtId="166" fontId="58" fillId="0" borderId="0" xfId="0" applyNumberFormat="1" applyFont="1" applyAlignment="1">
      <alignment horizontal="right" vertical="center"/>
    </xf>
    <xf numFmtId="166" fontId="57" fillId="0" borderId="0" xfId="0" applyNumberFormat="1" applyFont="1" applyAlignment="1">
      <alignment horizontal="right" vertical="center"/>
    </xf>
    <xf numFmtId="166" fontId="55" fillId="0" borderId="0" xfId="0" applyNumberFormat="1" applyFont="1" applyAlignment="1">
      <alignment horizontal="right" vertical="center"/>
    </xf>
    <xf numFmtId="188" fontId="39" fillId="0" borderId="0" xfId="0" applyNumberFormat="1" applyFont="1" applyAlignment="1">
      <alignment horizontal="left" vertical="center"/>
    </xf>
    <xf numFmtId="166" fontId="56" fillId="0" borderId="0" xfId="0" applyNumberFormat="1" applyFont="1" applyAlignment="1">
      <alignment horizontal="right" vertical="center"/>
    </xf>
    <xf numFmtId="164" fontId="61" fillId="0" borderId="0" xfId="0" applyNumberFormat="1" applyFont="1" applyAlignment="1">
      <alignment horizontal="right" vertical="center"/>
    </xf>
    <xf numFmtId="167" fontId="39" fillId="0" borderId="0" xfId="0" applyNumberFormat="1" applyFont="1" applyAlignment="1">
      <alignment horizontal="right" vertical="center"/>
    </xf>
    <xf numFmtId="167" fontId="69" fillId="0" borderId="0" xfId="0" applyNumberFormat="1" applyFont="1" applyAlignment="1">
      <alignment horizontal="right" vertical="center"/>
    </xf>
    <xf numFmtId="166" fontId="57" fillId="8" borderId="0" xfId="0" applyNumberFormat="1" applyFont="1" applyFill="1" applyAlignment="1">
      <alignment horizontal="right" vertical="center"/>
    </xf>
    <xf numFmtId="170" fontId="56" fillId="0" borderId="0" xfId="0" applyNumberFormat="1" applyFont="1" applyAlignment="1">
      <alignment horizontal="right" vertical="center"/>
    </xf>
    <xf numFmtId="174" fontId="39" fillId="0" borderId="0" xfId="0" applyNumberFormat="1" applyFont="1" applyAlignment="1">
      <alignment horizontal="right" vertical="center"/>
    </xf>
    <xf numFmtId="164" fontId="39" fillId="0" borderId="0" xfId="0" applyNumberFormat="1" applyFont="1" applyAlignment="1">
      <alignment horizontal="right" vertical="center"/>
    </xf>
    <xf numFmtId="0" fontId="60" fillId="0" borderId="4" xfId="0" applyFont="1" applyBorder="1" applyAlignment="1">
      <alignment vertical="center"/>
    </xf>
    <xf numFmtId="194" fontId="59" fillId="0" borderId="4" xfId="0" applyNumberFormat="1" applyFont="1" applyBorder="1" applyAlignment="1">
      <alignment vertical="center"/>
    </xf>
    <xf numFmtId="0" fontId="97" fillId="0" borderId="0" xfId="0" applyFont="1" applyAlignment="1">
      <alignment vertical="center"/>
    </xf>
    <xf numFmtId="174" fontId="69" fillId="0" borderId="0" xfId="0" applyNumberFormat="1" applyFont="1" applyAlignment="1">
      <alignment horizontal="left" vertical="center"/>
    </xf>
    <xf numFmtId="167" fontId="39" fillId="0" borderId="0" xfId="0" applyNumberFormat="1" applyFont="1" applyAlignment="1">
      <alignment horizontal="left" vertical="center"/>
    </xf>
    <xf numFmtId="0" fontId="98" fillId="14" borderId="0" xfId="0" applyFont="1" applyFill="1" applyAlignment="1">
      <alignment horizontal="centerContinuous" vertical="center"/>
    </xf>
    <xf numFmtId="184" fontId="98" fillId="14" borderId="0" xfId="0" applyNumberFormat="1" applyFont="1" applyFill="1" applyAlignment="1">
      <alignment horizontal="centerContinuous" vertical="center"/>
    </xf>
    <xf numFmtId="184" fontId="99" fillId="14" borderId="0" xfId="0" applyNumberFormat="1" applyFont="1" applyFill="1" applyAlignment="1">
      <alignment horizontal="centerContinuous" vertical="center"/>
    </xf>
    <xf numFmtId="0" fontId="99" fillId="14" borderId="0" xfId="0" applyFont="1" applyFill="1" applyAlignment="1">
      <alignment horizontal="centerContinuous" vertical="center"/>
    </xf>
    <xf numFmtId="165" fontId="50" fillId="0" borderId="0" xfId="0" applyNumberFormat="1" applyFont="1" applyAlignment="1">
      <alignment horizontal="right" vertical="center"/>
    </xf>
    <xf numFmtId="184" fontId="71" fillId="0" borderId="0" xfId="0" applyNumberFormat="1" applyFont="1" applyAlignment="1">
      <alignment horizontal="center" vertical="center"/>
    </xf>
    <xf numFmtId="194" fontId="62" fillId="0" borderId="0" xfId="0" applyNumberFormat="1" applyFont="1" applyAlignment="1">
      <alignment horizontal="right" vertical="center"/>
    </xf>
    <xf numFmtId="0" fontId="55" fillId="0" borderId="17" xfId="0" applyFont="1" applyBorder="1" applyAlignment="1">
      <alignment vertical="center"/>
    </xf>
    <xf numFmtId="194" fontId="55" fillId="0" borderId="17" xfId="0" applyNumberFormat="1" applyFont="1" applyBorder="1" applyAlignment="1">
      <alignment vertical="center"/>
    </xf>
    <xf numFmtId="0" fontId="60" fillId="0" borderId="26" xfId="0" applyFont="1" applyBorder="1" applyAlignment="1">
      <alignment vertical="center"/>
    </xf>
    <xf numFmtId="0" fontId="71" fillId="0" borderId="26" xfId="0" applyFont="1" applyBorder="1" applyAlignment="1">
      <alignment vertical="center"/>
    </xf>
    <xf numFmtId="170" fontId="71" fillId="0" borderId="26" xfId="0" applyNumberFormat="1" applyFont="1" applyBorder="1" applyAlignment="1">
      <alignment vertical="center"/>
    </xf>
    <xf numFmtId="166" fontId="60" fillId="0" borderId="5" xfId="0" applyNumberFormat="1" applyFont="1" applyBorder="1" applyAlignment="1">
      <alignment vertical="center"/>
    </xf>
    <xf numFmtId="194" fontId="77" fillId="0" borderId="26" xfId="0" applyNumberFormat="1" applyFont="1" applyBorder="1" applyAlignment="1">
      <alignment vertical="center"/>
    </xf>
    <xf numFmtId="194" fontId="60" fillId="0" borderId="26" xfId="0" applyNumberFormat="1" applyFont="1" applyBorder="1" applyAlignment="1">
      <alignment vertical="center"/>
    </xf>
    <xf numFmtId="194" fontId="57" fillId="0" borderId="4" xfId="0" applyNumberFormat="1" applyFont="1" applyBorder="1" applyAlignment="1">
      <alignment vertical="center"/>
    </xf>
    <xf numFmtId="189" fontId="63" fillId="0" borderId="0" xfId="0" applyNumberFormat="1" applyFont="1" applyAlignment="1">
      <alignment horizontal="right" vertical="center"/>
    </xf>
    <xf numFmtId="182" fontId="51" fillId="0" borderId="0" xfId="0" applyNumberFormat="1" applyFont="1" applyAlignment="1">
      <alignment vertical="center"/>
    </xf>
    <xf numFmtId="188" fontId="39" fillId="0" borderId="4" xfId="0" applyNumberFormat="1" applyFont="1" applyBorder="1" applyAlignment="1">
      <alignment horizontal="left" vertical="center"/>
    </xf>
    <xf numFmtId="174" fontId="39" fillId="0" borderId="4" xfId="0" applyNumberFormat="1" applyFont="1" applyBorder="1" applyAlignment="1">
      <alignment horizontal="right" vertical="center"/>
    </xf>
    <xf numFmtId="188" fontId="69" fillId="0" borderId="5" xfId="0" applyNumberFormat="1" applyFont="1" applyBorder="1" applyAlignment="1">
      <alignment horizontal="left" vertical="center"/>
    </xf>
    <xf numFmtId="174" fontId="97" fillId="0" borderId="5" xfId="0" applyNumberFormat="1" applyFont="1" applyBorder="1" applyAlignment="1">
      <alignment horizontal="right" vertical="center"/>
    </xf>
    <xf numFmtId="174" fontId="71" fillId="0" borderId="5" xfId="0" applyNumberFormat="1" applyFont="1" applyBorder="1" applyAlignment="1">
      <alignment horizontal="right" vertical="center"/>
    </xf>
    <xf numFmtId="174" fontId="61" fillId="0" borderId="0" xfId="0" applyNumberFormat="1" applyFont="1" applyAlignment="1">
      <alignment horizontal="right" vertical="center"/>
    </xf>
    <xf numFmtId="174" fontId="54" fillId="0" borderId="0" xfId="0" applyNumberFormat="1" applyFont="1" applyAlignment="1">
      <alignment horizontal="right" vertical="center"/>
    </xf>
    <xf numFmtId="168" fontId="56" fillId="0" borderId="0" xfId="0" applyNumberFormat="1" applyFont="1" applyAlignment="1">
      <alignment horizontal="right" vertical="center"/>
    </xf>
    <xf numFmtId="189" fontId="51" fillId="0" borderId="0" xfId="0" applyNumberFormat="1" applyFont="1" applyAlignment="1">
      <alignment horizontal="right" vertical="center"/>
    </xf>
    <xf numFmtId="0" fontId="60" fillId="0" borderId="0" xfId="0" applyFont="1" applyAlignment="1">
      <alignment horizontal="left" vertical="center" indent="1"/>
    </xf>
    <xf numFmtId="165" fontId="39" fillId="0" borderId="0" xfId="0" applyNumberFormat="1" applyFont="1" applyAlignment="1">
      <alignment vertical="center"/>
    </xf>
    <xf numFmtId="49" fontId="42" fillId="0" borderId="0" xfId="0" applyNumberFormat="1" applyFont="1" applyAlignment="1">
      <alignment horizontal="center" vertical="center"/>
    </xf>
    <xf numFmtId="200" fontId="39" fillId="0" borderId="0" xfId="0" applyNumberFormat="1" applyFont="1" applyAlignment="1">
      <alignment horizontal="right" vertical="center"/>
    </xf>
    <xf numFmtId="168" fontId="51" fillId="0" borderId="0" xfId="0" applyNumberFormat="1" applyFont="1" applyAlignment="1">
      <alignment horizontal="right" vertical="center"/>
    </xf>
    <xf numFmtId="201" fontId="39" fillId="0" borderId="0" xfId="0" applyNumberFormat="1" applyFont="1" applyAlignment="1">
      <alignment horizontal="right" vertical="center"/>
    </xf>
    <xf numFmtId="178" fontId="52" fillId="0" borderId="0" xfId="0" applyNumberFormat="1" applyFont="1" applyAlignment="1">
      <alignment horizontal="right" vertical="center"/>
    </xf>
    <xf numFmtId="0" fontId="87" fillId="11" borderId="20" xfId="0" applyFont="1" applyFill="1" applyBorder="1" applyAlignment="1">
      <alignment vertical="center"/>
    </xf>
    <xf numFmtId="0" fontId="66" fillId="11" borderId="20" xfId="0" applyFont="1" applyFill="1" applyBorder="1" applyAlignment="1">
      <alignment vertical="center"/>
    </xf>
    <xf numFmtId="0" fontId="39" fillId="11" borderId="20" xfId="0" applyFont="1" applyFill="1" applyBorder="1" applyAlignment="1">
      <alignment vertical="center"/>
    </xf>
    <xf numFmtId="0" fontId="100" fillId="0" borderId="0" xfId="0" applyFont="1" applyAlignment="1">
      <alignment horizontal="center" vertical="center"/>
    </xf>
    <xf numFmtId="49" fontId="101" fillId="0" borderId="0" xfId="0" applyNumberFormat="1" applyFont="1" applyAlignment="1">
      <alignment horizontal="centerContinuous" vertical="center"/>
    </xf>
    <xf numFmtId="0" fontId="39" fillId="0" borderId="28" xfId="0" applyFont="1" applyBorder="1" applyAlignment="1">
      <alignment vertical="center"/>
    </xf>
    <xf numFmtId="0" fontId="89" fillId="0" borderId="32" xfId="0" applyFont="1" applyBorder="1" applyAlignment="1">
      <alignment horizontal="left" vertical="center"/>
    </xf>
    <xf numFmtId="0" fontId="42" fillId="0" borderId="32" xfId="0" applyFont="1" applyBorder="1" applyAlignment="1">
      <alignment horizontal="left" vertical="center"/>
    </xf>
    <xf numFmtId="184" fontId="42" fillId="0" borderId="32" xfId="0" applyNumberFormat="1" applyFont="1" applyBorder="1" applyAlignment="1">
      <alignment horizontal="center" vertical="center"/>
    </xf>
    <xf numFmtId="190" fontId="45" fillId="0" borderId="32" xfId="0" applyNumberFormat="1" applyFont="1" applyBorder="1" applyAlignment="1">
      <alignment horizontal="center" vertical="center"/>
    </xf>
    <xf numFmtId="190" fontId="100" fillId="0" borderId="32" xfId="0" applyNumberFormat="1" applyFont="1" applyBorder="1" applyAlignment="1">
      <alignment horizontal="center" vertical="center"/>
    </xf>
    <xf numFmtId="173" fontId="100" fillId="0" borderId="32" xfId="0" applyNumberFormat="1" applyFont="1" applyBorder="1" applyAlignment="1">
      <alignment horizontal="center" vertical="center"/>
    </xf>
    <xf numFmtId="195" fontId="60" fillId="0" borderId="0" xfId="0" applyNumberFormat="1" applyFont="1" applyAlignment="1">
      <alignment vertical="center"/>
    </xf>
    <xf numFmtId="194" fontId="45" fillId="8" borderId="0" xfId="0" applyNumberFormat="1" applyFont="1" applyFill="1" applyAlignment="1">
      <alignment vertical="center"/>
    </xf>
    <xf numFmtId="194" fontId="71" fillId="0" borderId="0" xfId="0" applyNumberFormat="1" applyFont="1" applyAlignment="1">
      <alignment vertical="center"/>
    </xf>
    <xf numFmtId="194" fontId="97" fillId="0" borderId="0" xfId="0" applyNumberFormat="1" applyFont="1" applyAlignment="1">
      <alignment vertical="center"/>
    </xf>
    <xf numFmtId="0" fontId="60" fillId="0" borderId="17" xfId="0" applyFont="1" applyBorder="1" applyAlignment="1">
      <alignment vertical="center"/>
    </xf>
    <xf numFmtId="170" fontId="71" fillId="0" borderId="17" xfId="0" applyNumberFormat="1" applyFont="1" applyBorder="1" applyAlignment="1">
      <alignment vertical="center"/>
    </xf>
    <xf numFmtId="171" fontId="71" fillId="0" borderId="17" xfId="0" applyNumberFormat="1" applyFont="1" applyBorder="1" applyAlignment="1">
      <alignment vertical="center"/>
    </xf>
    <xf numFmtId="170" fontId="71" fillId="0" borderId="0" xfId="0" applyNumberFormat="1" applyFont="1" applyAlignment="1">
      <alignment vertical="center"/>
    </xf>
    <xf numFmtId="170" fontId="57" fillId="8" borderId="4" xfId="0" applyNumberFormat="1" applyFont="1" applyFill="1" applyBorder="1" applyAlignment="1">
      <alignment horizontal="right" vertical="center"/>
    </xf>
    <xf numFmtId="170" fontId="55" fillId="0" borderId="4" xfId="0" applyNumberFormat="1" applyFont="1" applyBorder="1" applyAlignment="1">
      <alignment horizontal="right" vertical="center"/>
    </xf>
    <xf numFmtId="170" fontId="55" fillId="0" borderId="17" xfId="0" applyNumberFormat="1" applyFont="1" applyBorder="1" applyAlignment="1">
      <alignment horizontal="right" vertical="center"/>
    </xf>
    <xf numFmtId="166" fontId="60" fillId="0" borderId="4" xfId="0" applyNumberFormat="1" applyFont="1" applyBorder="1" applyAlignment="1">
      <alignment vertical="center"/>
    </xf>
    <xf numFmtId="170" fontId="71" fillId="0" borderId="4" xfId="0" applyNumberFormat="1" applyFont="1" applyBorder="1" applyAlignment="1">
      <alignment vertical="center"/>
    </xf>
    <xf numFmtId="176" fontId="71" fillId="0" borderId="0" xfId="0" applyNumberFormat="1" applyFont="1" applyAlignment="1">
      <alignment vertical="center"/>
    </xf>
    <xf numFmtId="195" fontId="62" fillId="0" borderId="0" xfId="0" applyNumberFormat="1" applyFont="1" applyAlignment="1">
      <alignment vertical="center"/>
    </xf>
    <xf numFmtId="194" fontId="57" fillId="8" borderId="0" xfId="0" applyNumberFormat="1" applyFont="1" applyFill="1" applyAlignment="1">
      <alignment vertical="center"/>
    </xf>
    <xf numFmtId="0" fontId="60" fillId="10" borderId="33" xfId="0" applyFont="1" applyFill="1" applyBorder="1" applyAlignment="1">
      <alignment horizontal="left" vertical="center"/>
    </xf>
    <xf numFmtId="0" fontId="60" fillId="10" borderId="35" xfId="0" applyFont="1" applyFill="1" applyBorder="1" applyAlignment="1">
      <alignment horizontal="left" vertical="center" indent="1"/>
    </xf>
    <xf numFmtId="0" fontId="46" fillId="10" borderId="35" xfId="0" applyFont="1" applyFill="1" applyBorder="1" applyAlignment="1">
      <alignment horizontal="left" vertical="center"/>
    </xf>
    <xf numFmtId="0" fontId="46" fillId="10" borderId="34" xfId="0" applyFont="1" applyFill="1" applyBorder="1" applyAlignment="1">
      <alignment horizontal="left" vertical="center"/>
    </xf>
    <xf numFmtId="0" fontId="46" fillId="10" borderId="33" xfId="0" applyFont="1" applyFill="1" applyBorder="1" applyAlignment="1">
      <alignment horizontal="left" vertical="center"/>
    </xf>
    <xf numFmtId="0" fontId="62" fillId="0" borderId="28" xfId="0" applyFont="1" applyBorder="1" applyAlignment="1">
      <alignment vertical="center"/>
    </xf>
    <xf numFmtId="0" fontId="91" fillId="0" borderId="28" xfId="0" applyFont="1" applyBorder="1" applyAlignment="1">
      <alignment vertical="center"/>
    </xf>
    <xf numFmtId="165" fontId="96" fillId="0" borderId="0" xfId="0" applyNumberFormat="1" applyFont="1" applyAlignment="1">
      <alignment horizontal="right" vertical="center"/>
    </xf>
    <xf numFmtId="165" fontId="96" fillId="8" borderId="0" xfId="0" applyNumberFormat="1" applyFont="1" applyFill="1" applyAlignment="1">
      <alignment horizontal="right" vertical="center"/>
    </xf>
    <xf numFmtId="165" fontId="91" fillId="0" borderId="0" xfId="0" applyNumberFormat="1" applyFont="1" applyAlignment="1">
      <alignment horizontal="right" vertical="center"/>
    </xf>
    <xf numFmtId="174" fontId="57" fillId="8" borderId="0" xfId="0" applyNumberFormat="1" applyFont="1" applyFill="1" applyAlignment="1">
      <alignment horizontal="right" vertical="center"/>
    </xf>
    <xf numFmtId="170" fontId="57" fillId="8" borderId="0" xfId="0" applyNumberFormat="1" applyFont="1" applyFill="1" applyAlignment="1">
      <alignment horizontal="right" vertical="center"/>
    </xf>
    <xf numFmtId="170" fontId="39" fillId="0" borderId="17" xfId="0" applyNumberFormat="1" applyFont="1" applyBorder="1" applyAlignment="1">
      <alignment horizontal="right" vertical="center"/>
    </xf>
    <xf numFmtId="0" fontId="39" fillId="0" borderId="10" xfId="0" applyFont="1" applyBorder="1" applyAlignment="1">
      <alignment vertical="center"/>
    </xf>
    <xf numFmtId="170" fontId="61" fillId="0" borderId="10" xfId="0" applyNumberFormat="1" applyFont="1" applyBorder="1" applyAlignment="1">
      <alignment horizontal="right" vertical="center"/>
    </xf>
    <xf numFmtId="170" fontId="62" fillId="0" borderId="10" xfId="0" applyNumberFormat="1" applyFont="1" applyBorder="1" applyAlignment="1">
      <alignment vertical="center"/>
    </xf>
    <xf numFmtId="174" fontId="69" fillId="0" borderId="0" xfId="0" applyNumberFormat="1" applyFont="1" applyAlignment="1">
      <alignment horizontal="right" vertical="center"/>
    </xf>
    <xf numFmtId="0" fontId="92" fillId="0" borderId="28" xfId="0" applyFont="1" applyBorder="1" applyAlignment="1">
      <alignment vertical="center"/>
    </xf>
    <xf numFmtId="166" fontId="46" fillId="0" borderId="0" xfId="0" applyNumberFormat="1" applyFont="1" applyAlignment="1">
      <alignment vertical="center"/>
    </xf>
    <xf numFmtId="0" fontId="57" fillId="8" borderId="0" xfId="0" applyFont="1" applyFill="1" applyAlignment="1">
      <alignment horizontal="center" vertical="center"/>
    </xf>
    <xf numFmtId="0" fontId="58" fillId="0" borderId="0" xfId="0" applyFont="1" applyAlignment="1">
      <alignment horizontal="center" vertical="center"/>
    </xf>
    <xf numFmtId="179" fontId="57" fillId="8" borderId="0" xfId="0" applyNumberFormat="1" applyFont="1" applyFill="1" applyAlignment="1">
      <alignment horizontal="right" vertical="center"/>
    </xf>
    <xf numFmtId="194" fontId="54" fillId="0" borderId="17" xfId="0" applyNumberFormat="1" applyFont="1" applyBorder="1" applyAlignment="1">
      <alignment vertical="center"/>
    </xf>
    <xf numFmtId="0" fontId="55" fillId="0" borderId="28" xfId="0" applyFont="1" applyBorder="1" applyAlignment="1">
      <alignment vertical="center"/>
    </xf>
    <xf numFmtId="168" fontId="52" fillId="8" borderId="0" xfId="0" applyNumberFormat="1" applyFont="1" applyFill="1" applyAlignment="1">
      <alignment vertical="center"/>
    </xf>
    <xf numFmtId="165" fontId="96" fillId="0" borderId="0" xfId="0" applyNumberFormat="1" applyFont="1" applyAlignment="1">
      <alignment vertical="center"/>
    </xf>
    <xf numFmtId="0" fontId="100" fillId="0" borderId="0" xfId="18" applyNumberFormat="1" applyFont="1" applyFill="1" applyBorder="1" applyAlignment="1">
      <alignment horizontal="center" vertical="center"/>
    </xf>
    <xf numFmtId="0" fontId="75" fillId="0" borderId="32" xfId="0" applyFont="1" applyBorder="1" applyAlignment="1">
      <alignment horizontal="center" vertical="center"/>
    </xf>
    <xf numFmtId="0" fontId="100" fillId="0" borderId="32" xfId="0" applyFont="1" applyBorder="1" applyAlignment="1">
      <alignment horizontal="center" vertical="center"/>
    </xf>
    <xf numFmtId="0" fontId="100" fillId="0" borderId="32" xfId="18" applyNumberFormat="1" applyFont="1" applyFill="1" applyBorder="1" applyAlignment="1">
      <alignment horizontal="center" vertical="center"/>
    </xf>
    <xf numFmtId="0" fontId="57" fillId="8" borderId="0" xfId="0" applyFont="1" applyFill="1" applyAlignment="1">
      <alignment horizontal="left" vertical="center"/>
    </xf>
    <xf numFmtId="0" fontId="46" fillId="8" borderId="0" xfId="0" applyFont="1" applyFill="1" applyAlignment="1">
      <alignment vertical="center"/>
    </xf>
    <xf numFmtId="190" fontId="55" fillId="0" borderId="0" xfId="0" applyNumberFormat="1" applyFont="1" applyAlignment="1">
      <alignment horizontal="left" vertical="center"/>
    </xf>
    <xf numFmtId="0" fontId="62" fillId="0" borderId="26" xfId="0" applyFont="1" applyBorder="1" applyAlignment="1">
      <alignment vertical="center"/>
    </xf>
    <xf numFmtId="194" fontId="55" fillId="0" borderId="26" xfId="0" applyNumberFormat="1" applyFont="1" applyBorder="1" applyAlignment="1">
      <alignment vertical="center"/>
    </xf>
    <xf numFmtId="194" fontId="55" fillId="0" borderId="5" xfId="0" applyNumberFormat="1" applyFont="1" applyBorder="1" applyAlignment="1">
      <alignment vertical="center"/>
    </xf>
    <xf numFmtId="0" fontId="71" fillId="0" borderId="0" xfId="0" applyFont="1" applyAlignment="1">
      <alignment vertical="center"/>
    </xf>
    <xf numFmtId="0" fontId="55" fillId="0" borderId="4" xfId="0" applyFont="1" applyBorder="1" applyAlignment="1">
      <alignment vertical="center"/>
    </xf>
    <xf numFmtId="170" fontId="58" fillId="8" borderId="0" xfId="0" applyNumberFormat="1" applyFont="1" applyFill="1" applyAlignment="1">
      <alignment vertical="center"/>
    </xf>
    <xf numFmtId="0" fontId="97" fillId="14" borderId="0" xfId="0" applyFont="1" applyFill="1" applyAlignment="1">
      <alignment horizontal="centerContinuous" vertical="center"/>
    </xf>
    <xf numFmtId="184" fontId="97" fillId="14" borderId="0" xfId="0" applyNumberFormat="1" applyFont="1" applyFill="1" applyAlignment="1">
      <alignment horizontal="centerContinuous" vertical="center"/>
    </xf>
    <xf numFmtId="184" fontId="54" fillId="14" borderId="0" xfId="0" applyNumberFormat="1" applyFont="1" applyFill="1" applyAlignment="1">
      <alignment horizontal="centerContinuous" vertical="center"/>
    </xf>
    <xf numFmtId="0" fontId="54" fillId="14" borderId="0" xfId="0" applyFont="1" applyFill="1" applyAlignment="1">
      <alignment horizontal="centerContinuous" vertical="center"/>
    </xf>
    <xf numFmtId="0" fontId="39" fillId="0" borderId="0" xfId="0" applyFont="1" applyAlignment="1">
      <alignment horizontal="centerContinuous" vertical="center"/>
    </xf>
    <xf numFmtId="184" fontId="46" fillId="14" borderId="0" xfId="0" applyNumberFormat="1" applyFont="1" applyFill="1" applyAlignment="1">
      <alignment horizontal="centerContinuous" vertical="center"/>
    </xf>
    <xf numFmtId="0" fontId="69" fillId="0" borderId="28" xfId="0" applyFont="1" applyBorder="1" applyAlignment="1">
      <alignment vertical="center"/>
    </xf>
    <xf numFmtId="194" fontId="97" fillId="0" borderId="5" xfId="0" applyNumberFormat="1" applyFont="1" applyBorder="1" applyAlignment="1">
      <alignment vertical="center"/>
    </xf>
    <xf numFmtId="171" fontId="57" fillId="8" borderId="0" xfId="0" applyNumberFormat="1" applyFont="1" applyFill="1" applyAlignment="1">
      <alignment vertical="center"/>
    </xf>
    <xf numFmtId="171" fontId="54" fillId="0" borderId="0" xfId="0" applyNumberFormat="1" applyFont="1" applyAlignment="1">
      <alignment vertical="center"/>
    </xf>
    <xf numFmtId="194" fontId="57" fillId="8" borderId="17" xfId="0" applyNumberFormat="1" applyFont="1" applyFill="1" applyBorder="1" applyAlignment="1">
      <alignment vertical="center"/>
    </xf>
    <xf numFmtId="0" fontId="101" fillId="0" borderId="0" xfId="18" applyNumberFormat="1" applyFont="1" applyFill="1" applyBorder="1" applyAlignment="1">
      <alignment horizontal="centerContinuous" vertical="center"/>
    </xf>
    <xf numFmtId="0" fontId="100" fillId="0" borderId="0" xfId="18" applyNumberFormat="1" applyFont="1" applyFill="1" applyBorder="1" applyAlignment="1">
      <alignment horizontal="centerContinuous" vertical="center"/>
    </xf>
    <xf numFmtId="172" fontId="49" fillId="0" borderId="0" xfId="0" applyNumberFormat="1" applyFont="1" applyAlignment="1">
      <alignment horizontal="right" vertical="center"/>
    </xf>
    <xf numFmtId="172" fontId="39" fillId="0" borderId="0" xfId="0" applyNumberFormat="1" applyFont="1" applyAlignment="1">
      <alignment horizontal="left" vertical="center"/>
    </xf>
    <xf numFmtId="0" fontId="74" fillId="0" borderId="32" xfId="18" applyNumberFormat="1" applyFont="1" applyFill="1" applyBorder="1" applyAlignment="1">
      <alignment horizontal="center" vertical="center"/>
    </xf>
    <xf numFmtId="172" fontId="102" fillId="0" borderId="0" xfId="0" applyNumberFormat="1" applyFont="1" applyAlignment="1">
      <alignment horizontal="right" vertical="center"/>
    </xf>
    <xf numFmtId="177" fontId="57" fillId="8" borderId="0" xfId="0" applyNumberFormat="1" applyFont="1" applyFill="1" applyAlignment="1">
      <alignment vertical="center"/>
    </xf>
    <xf numFmtId="0" fontId="103" fillId="0" borderId="0" xfId="0" applyFont="1" applyAlignment="1">
      <alignment vertical="center"/>
    </xf>
    <xf numFmtId="176" fontId="55" fillId="0" borderId="0" xfId="0" applyNumberFormat="1" applyFont="1" applyAlignment="1">
      <alignment horizontal="right" vertical="center"/>
    </xf>
    <xf numFmtId="177" fontId="69" fillId="0" borderId="5" xfId="0" applyNumberFormat="1" applyFont="1" applyBorder="1" applyAlignment="1">
      <alignment vertical="center"/>
    </xf>
    <xf numFmtId="174" fontId="61" fillId="0" borderId="2" xfId="0" applyNumberFormat="1" applyFont="1" applyBorder="1" applyAlignment="1">
      <alignment horizontal="right" vertical="center"/>
    </xf>
    <xf numFmtId="174" fontId="49" fillId="0" borderId="2" xfId="0" applyNumberFormat="1" applyFont="1" applyBorder="1" applyAlignment="1">
      <alignment horizontal="right" vertical="center"/>
    </xf>
    <xf numFmtId="174" fontId="39" fillId="0" borderId="2" xfId="0" applyNumberFormat="1" applyFont="1" applyBorder="1" applyAlignment="1">
      <alignment horizontal="right" vertical="center"/>
    </xf>
    <xf numFmtId="201" fontId="54" fillId="0" borderId="0" xfId="0" applyNumberFormat="1" applyFont="1" applyAlignment="1">
      <alignment horizontal="right" vertical="center"/>
    </xf>
    <xf numFmtId="191" fontId="39" fillId="0" borderId="0" xfId="0" applyNumberFormat="1" applyFont="1" applyAlignment="1">
      <alignment vertical="center"/>
    </xf>
    <xf numFmtId="0" fontId="87" fillId="6" borderId="20" xfId="0" applyFont="1" applyFill="1" applyBorder="1" applyAlignment="1">
      <alignment vertical="center"/>
    </xf>
    <xf numFmtId="0" fontId="66" fillId="6" borderId="20" xfId="0" applyFont="1" applyFill="1" applyBorder="1" applyAlignment="1">
      <alignment vertical="center"/>
    </xf>
    <xf numFmtId="0" fontId="39" fillId="6" borderId="20" xfId="0" applyFont="1" applyFill="1" applyBorder="1" applyAlignment="1">
      <alignment vertical="center"/>
    </xf>
    <xf numFmtId="0" fontId="46" fillId="7" borderId="29" xfId="0" applyFont="1" applyFill="1" applyBorder="1" applyAlignment="1">
      <alignment horizontal="left" vertical="center"/>
    </xf>
    <xf numFmtId="0" fontId="104" fillId="0" borderId="0" xfId="0" applyFont="1" applyAlignment="1">
      <alignment horizontal="left" vertical="center" indent="1"/>
    </xf>
    <xf numFmtId="0" fontId="104" fillId="0" borderId="0" xfId="0" applyFont="1" applyAlignment="1">
      <alignment horizontal="left" vertical="center"/>
    </xf>
    <xf numFmtId="170" fontId="104" fillId="0" borderId="0" xfId="0" applyNumberFormat="1" applyFont="1" applyAlignment="1">
      <alignment horizontal="right" vertical="center"/>
    </xf>
    <xf numFmtId="0" fontId="51" fillId="0" borderId="28" xfId="0" applyFont="1" applyBorder="1" applyAlignment="1">
      <alignment vertical="center"/>
    </xf>
    <xf numFmtId="0" fontId="100" fillId="0" borderId="23" xfId="0" applyFont="1" applyBorder="1" applyAlignment="1">
      <alignment horizontal="center" vertical="center"/>
    </xf>
    <xf numFmtId="0" fontId="100" fillId="0" borderId="23" xfId="18" applyNumberFormat="1" applyFont="1" applyFill="1" applyBorder="1" applyAlignment="1">
      <alignment horizontal="center" vertical="center"/>
    </xf>
    <xf numFmtId="0" fontId="49" fillId="0" borderId="0" xfId="0" applyFont="1" applyAlignment="1">
      <alignment vertical="center"/>
    </xf>
    <xf numFmtId="172" fontId="55" fillId="0" borderId="0" xfId="0" applyNumberFormat="1" applyFont="1" applyAlignment="1">
      <alignment horizontal="left" vertical="center"/>
    </xf>
    <xf numFmtId="0" fontId="69" fillId="0" borderId="26" xfId="0" applyFont="1" applyBorder="1" applyAlignment="1">
      <alignment vertical="center"/>
    </xf>
    <xf numFmtId="177" fontId="69" fillId="0" borderId="26" xfId="0" applyNumberFormat="1" applyFont="1" applyBorder="1" applyAlignment="1">
      <alignment vertical="center"/>
    </xf>
    <xf numFmtId="183" fontId="39" fillId="0" borderId="0" xfId="0" applyNumberFormat="1" applyFont="1" applyAlignment="1">
      <alignment horizontal="right"/>
    </xf>
    <xf numFmtId="0" fontId="39" fillId="0" borderId="28" xfId="0" applyFont="1" applyBorder="1"/>
    <xf numFmtId="193" fontId="45" fillId="0" borderId="32" xfId="0" applyNumberFormat="1" applyFont="1" applyBorder="1" applyAlignment="1">
      <alignment horizontal="center" vertical="center"/>
    </xf>
    <xf numFmtId="193" fontId="100" fillId="0" borderId="32" xfId="0" applyNumberFormat="1" applyFont="1" applyBorder="1" applyAlignment="1">
      <alignment horizontal="center" vertical="center"/>
    </xf>
    <xf numFmtId="176" fontId="39" fillId="0" borderId="0" xfId="0" applyNumberFormat="1" applyFont="1" applyAlignment="1">
      <alignment vertical="center"/>
    </xf>
    <xf numFmtId="201" fontId="39" fillId="0" borderId="0" xfId="0" applyNumberFormat="1" applyFont="1" applyAlignment="1">
      <alignment vertical="center"/>
    </xf>
    <xf numFmtId="0" fontId="105" fillId="0" borderId="0" xfId="0" applyFont="1" applyAlignment="1">
      <alignment vertical="center"/>
    </xf>
    <xf numFmtId="0" fontId="106" fillId="0" borderId="0" xfId="0" applyFont="1" applyAlignment="1">
      <alignment vertical="center"/>
    </xf>
    <xf numFmtId="0" fontId="107" fillId="0" borderId="0" xfId="0" applyFont="1" applyAlignment="1">
      <alignment vertical="center"/>
    </xf>
    <xf numFmtId="0" fontId="100" fillId="0" borderId="32" xfId="0" applyFont="1" applyBorder="1" applyAlignment="1">
      <alignment horizontal="left" vertical="center"/>
    </xf>
    <xf numFmtId="0" fontId="45" fillId="0" borderId="32" xfId="0" applyFont="1" applyBorder="1" applyAlignment="1">
      <alignment horizontal="center" vertical="center"/>
    </xf>
    <xf numFmtId="168" fontId="96" fillId="9" borderId="0" xfId="0" applyNumberFormat="1" applyFont="1" applyFill="1" applyAlignment="1">
      <alignment horizontal="right" vertical="center"/>
    </xf>
    <xf numFmtId="168" fontId="51" fillId="0" borderId="17" xfId="0" applyNumberFormat="1" applyFont="1" applyBorder="1" applyAlignment="1">
      <alignment vertical="center"/>
    </xf>
  </cellXfs>
  <cellStyles count="31">
    <cellStyle name="A¨­￠￢￠O [0]_C¡IAo_AoAUAy¡ÆeC¡I " xfId="1" xr:uid="{00000000-0005-0000-0000-000000000000}"/>
    <cellStyle name="A¨­￠￢￠O_AoAUAy¡ÆeC¡I " xfId="2" xr:uid="{00000000-0005-0000-0000-000001000000}"/>
    <cellStyle name="ÅëÈ­ [0]_INQUIRY ¿µ¾÷ÃßÁø " xfId="3" xr:uid="{00000000-0005-0000-0000-000002000000}"/>
    <cellStyle name="AeE­ [0]_INQUIRY ¿μ¾÷AßAø " xfId="4" xr:uid="{00000000-0005-0000-0000-000003000000}"/>
    <cellStyle name="ÅëÈ­_INQUIRY ¿µ¾÷ÃßÁø " xfId="5" xr:uid="{00000000-0005-0000-0000-000004000000}"/>
    <cellStyle name="AeE­_INQUIRY ¿μ¾÷AßAø " xfId="6" xr:uid="{00000000-0005-0000-0000-000005000000}"/>
    <cellStyle name="Amount_EQU_RIGH.XLS_Equity market_Preferred Securities " xfId="7" xr:uid="{00000000-0005-0000-0000-000006000000}"/>
    <cellStyle name="Bad" xfId="22" builtinId="27" hidden="1"/>
    <cellStyle name="C￥AØ_¿μ¾÷CoE² " xfId="8" xr:uid="{00000000-0005-0000-0000-000008000000}"/>
    <cellStyle name="Ç¥ÁØ_»ç¾÷ºÎº° ÃÑ°è " xfId="9" xr:uid="{00000000-0005-0000-0000-000009000000}"/>
    <cellStyle name="C￥AØ_≫c¾÷ºIº° AN°e " xfId="10" xr:uid="{00000000-0005-0000-0000-00000A000000}"/>
    <cellStyle name="Ç¥ÁØ_0N-HANDLING " xfId="11" xr:uid="{00000000-0005-0000-0000-00000B000000}"/>
    <cellStyle name="C￥AØ_¾ÆA§AU¾÷" xfId="12" xr:uid="{00000000-0005-0000-0000-00000C000000}"/>
    <cellStyle name="Ç¥ÁØ_5-1±¤°í " xfId="13" xr:uid="{00000000-0005-0000-0000-00000D000000}"/>
    <cellStyle name="C￥AØ_Ay°eC￥(2¿u) " xfId="14" xr:uid="{00000000-0005-0000-0000-00000E000000}"/>
    <cellStyle name="Ç¥ÁØ_Áý°èÇ¥(2¿ù) " xfId="15" xr:uid="{00000000-0005-0000-0000-00000F000000}"/>
    <cellStyle name="C￥AØ_CoAo¹yAI °A¾×¿ⓒ½A " xfId="16" xr:uid="{00000000-0005-0000-0000-000010000000}"/>
    <cellStyle name="Ç¥ÁØ_Sheet1_¿µ¾÷ÇöÈ² " xfId="17" xr:uid="{00000000-0005-0000-0000-000011000000}"/>
    <cellStyle name="Check Cell" xfId="26" builtinId="23" hidden="1"/>
    <cellStyle name="Comma [0]" xfId="19" builtinId="6" hidden="1"/>
    <cellStyle name="Currency [0]" xfId="20" builtinId="7" hidden="1"/>
    <cellStyle name="Good" xfId="21" builtinId="26" hidden="1"/>
    <cellStyle name="Heading 1" xfId="18" builtinId="16"/>
    <cellStyle name="Hyperlink 2" xfId="29" xr:uid="{D3DAADBF-576B-4F49-951D-2896B450C454}"/>
    <cellStyle name="Hyperlink 2 2" xfId="30" xr:uid="{5D33F23A-E1EA-41FD-AF5D-C23007DC9250}"/>
    <cellStyle name="Input" xfId="24" builtinId="20" hidden="1"/>
    <cellStyle name="Linked Cell" xfId="25" builtinId="24" hidden="1"/>
    <cellStyle name="Neutral" xfId="23" builtinId="28" hidden="1"/>
    <cellStyle name="Normal" xfId="0" builtinId="0" customBuiltin="1"/>
    <cellStyle name="Normal 2" xfId="28" xr:uid="{9C045D31-E786-4240-93D9-89AC3F953C5B}"/>
    <cellStyle name="Normal 2 2 2" xfId="27" xr:uid="{05C5B0AD-DECF-4FEE-A56E-1D64029BB1BE}"/>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3868"/>
      <rgbColor rgb="000000FF"/>
      <rgbColor rgb="00255B89"/>
      <rgbColor rgb="00BE92C5"/>
      <rgbColor rgb="00F49C3E"/>
      <rgbColor rgb="00A7E0F4"/>
      <rgbColor rgb="007898B3"/>
      <rgbColor rgb="00A6CB95"/>
      <rgbColor rgb="00000000"/>
      <rgbColor rgb="0092499E"/>
      <rgbColor rgb="00C8C1BC"/>
      <rgbColor rgb="006CCBED"/>
      <rgbColor rgb="00FFD251"/>
      <rgbColor rgb="006AA94E"/>
      <rgbColor rgb="00E1EEDC"/>
      <rgbColor rgb="00FDEBD8"/>
      <rgbColor rgb="00255B89"/>
      <rgbColor rgb="0091867E"/>
      <rgbColor rgb="009D0E2D"/>
      <rgbColor rgb="006CCBED"/>
      <rgbColor rgb="0092499E"/>
      <rgbColor rgb="00C8C1BC"/>
      <rgbColor rgb="006AA94E"/>
      <rgbColor rgb="00F49C3E"/>
      <rgbColor rgb="007898B3"/>
      <rgbColor rgb="00DE7572"/>
      <rgbColor rgb="00A7E0F4"/>
      <rgbColor rgb="00BE92C5"/>
      <rgbColor rgb="00F8C48B"/>
      <rgbColor rgb="00A6CB95"/>
      <rgbColor rgb="00FFDD7D"/>
      <rgbColor rgb="00FFC726"/>
      <rgbColor rgb="00F8C48B"/>
      <rgbColor rgb="00C3DDB8"/>
      <rgbColor rgb="00D3B6D8"/>
      <rgbColor rgb="00C4EAF8"/>
      <rgbColor rgb="00FBD7B2"/>
      <rgbColor rgb="00B2C2D1"/>
      <rgbColor rgb="00FFE9A8"/>
      <rgbColor rgb="00EBB7B6"/>
      <rgbColor rgb="00F6B065"/>
      <rgbColor rgb="0088BA71"/>
      <rgbColor rgb="0089D5F1"/>
      <rgbColor rgb="00DDE4E9"/>
      <rgbColor rgb="00C23841"/>
      <rgbColor rgb="00FFFFFF"/>
      <rgbColor rgb="00FFC726"/>
      <rgbColor rgb="00F5DBDA"/>
      <rgbColor rgb="00E3DFDB"/>
      <rgbColor rgb="00A86DB1"/>
      <rgbColor rgb="00F5F1EF"/>
      <rgbColor rgb="00E2F5FB"/>
      <rgbColor rgb="009D0E2D"/>
      <rgbColor rgb="00FFDD7D"/>
      <rgbColor rgb="00AAA19A"/>
      <rgbColor rgb="0091867E"/>
    </indexedColors>
    <mruColors>
      <color rgb="FF69AA4B"/>
      <color rgb="FF91877D"/>
      <color rgb="FF235A8C"/>
      <color rgb="FF375F91"/>
      <color rgb="FF003769"/>
      <color rgb="FFEBEBE6"/>
      <color rgb="FFC8C3BE"/>
      <color rgb="FFE1E1DC"/>
      <color rgb="FFE6E1DC"/>
      <color rgb="FFFFF5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macabacu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macabacus.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macabacus.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macabacus.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macabacus.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macabacus.com"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macabacus.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14288</xdr:colOff>
      <xdr:row>2</xdr:row>
      <xdr:rowOff>200026</xdr:rowOff>
    </xdr:from>
    <xdr:to>
      <xdr:col>3</xdr:col>
      <xdr:colOff>471093</xdr:colOff>
      <xdr:row>6</xdr:row>
      <xdr:rowOff>52388</xdr:rowOff>
    </xdr:to>
    <xdr:pic>
      <xdr:nvPicPr>
        <xdr:cNvPr id="2" name="Picture 1">
          <a:hlinkClick xmlns:r="http://schemas.openxmlformats.org/officeDocument/2006/relationships" r:id="rId1"/>
          <a:extLst>
            <a:ext uri="{FF2B5EF4-FFF2-40B4-BE49-F238E27FC236}">
              <a16:creationId xmlns:a16="http://schemas.microsoft.com/office/drawing/2014/main" id="{09187CB1-C5C7-4624-A3FC-6C701D2407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3898" y="695326"/>
          <a:ext cx="3112375" cy="8429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183776</xdr:colOff>
      <xdr:row>0</xdr:row>
      <xdr:rowOff>26893</xdr:rowOff>
    </xdr:from>
    <xdr:to>
      <xdr:col>3</xdr:col>
      <xdr:colOff>598367</xdr:colOff>
      <xdr:row>0</xdr:row>
      <xdr:rowOff>572864</xdr:rowOff>
    </xdr:to>
    <xdr:pic>
      <xdr:nvPicPr>
        <xdr:cNvPr id="2" name="Picture 1">
          <a:hlinkClick xmlns:r="http://schemas.openxmlformats.org/officeDocument/2006/relationships" r:id="rId1"/>
          <a:extLst>
            <a:ext uri="{FF2B5EF4-FFF2-40B4-BE49-F238E27FC236}">
              <a16:creationId xmlns:a16="http://schemas.microsoft.com/office/drawing/2014/main" id="{D88812ED-5EF9-47A2-B361-1EBDD92CBDA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466" y="26893"/>
          <a:ext cx="2022411" cy="545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183776</xdr:colOff>
      <xdr:row>0</xdr:row>
      <xdr:rowOff>26893</xdr:rowOff>
    </xdr:from>
    <xdr:to>
      <xdr:col>3</xdr:col>
      <xdr:colOff>186887</xdr:colOff>
      <xdr:row>0</xdr:row>
      <xdr:rowOff>572864</xdr:rowOff>
    </xdr:to>
    <xdr:pic>
      <xdr:nvPicPr>
        <xdr:cNvPr id="2" name="Picture 1">
          <a:hlinkClick xmlns:r="http://schemas.openxmlformats.org/officeDocument/2006/relationships" r:id="rId1"/>
          <a:extLst>
            <a:ext uri="{FF2B5EF4-FFF2-40B4-BE49-F238E27FC236}">
              <a16:creationId xmlns:a16="http://schemas.microsoft.com/office/drawing/2014/main" id="{ABE8E685-671E-4D03-A2DA-23B5DC43C0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466" y="26893"/>
          <a:ext cx="2022411" cy="545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183776</xdr:colOff>
      <xdr:row>0</xdr:row>
      <xdr:rowOff>26893</xdr:rowOff>
    </xdr:from>
    <xdr:to>
      <xdr:col>3</xdr:col>
      <xdr:colOff>598367</xdr:colOff>
      <xdr:row>0</xdr:row>
      <xdr:rowOff>572864</xdr:rowOff>
    </xdr:to>
    <xdr:pic>
      <xdr:nvPicPr>
        <xdr:cNvPr id="2" name="Picture 1">
          <a:hlinkClick xmlns:r="http://schemas.openxmlformats.org/officeDocument/2006/relationships" r:id="rId1"/>
          <a:extLst>
            <a:ext uri="{FF2B5EF4-FFF2-40B4-BE49-F238E27FC236}">
              <a16:creationId xmlns:a16="http://schemas.microsoft.com/office/drawing/2014/main" id="{B77EA62E-4D6B-49E8-BCE9-5DEE8DABCA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466" y="26893"/>
          <a:ext cx="2022411" cy="545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183776</xdr:colOff>
      <xdr:row>0</xdr:row>
      <xdr:rowOff>26893</xdr:rowOff>
    </xdr:from>
    <xdr:to>
      <xdr:col>3</xdr:col>
      <xdr:colOff>598367</xdr:colOff>
      <xdr:row>0</xdr:row>
      <xdr:rowOff>572864</xdr:rowOff>
    </xdr:to>
    <xdr:pic>
      <xdr:nvPicPr>
        <xdr:cNvPr id="2" name="Picture 1">
          <a:hlinkClick xmlns:r="http://schemas.openxmlformats.org/officeDocument/2006/relationships" r:id="rId1"/>
          <a:extLst>
            <a:ext uri="{FF2B5EF4-FFF2-40B4-BE49-F238E27FC236}">
              <a16:creationId xmlns:a16="http://schemas.microsoft.com/office/drawing/2014/main" id="{5145F663-7EB8-4251-9DD0-7A61FC3B819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466" y="26893"/>
          <a:ext cx="2022411" cy="545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183776</xdr:colOff>
      <xdr:row>0</xdr:row>
      <xdr:rowOff>26893</xdr:rowOff>
    </xdr:from>
    <xdr:to>
      <xdr:col>3</xdr:col>
      <xdr:colOff>598367</xdr:colOff>
      <xdr:row>0</xdr:row>
      <xdr:rowOff>572864</xdr:rowOff>
    </xdr:to>
    <xdr:pic>
      <xdr:nvPicPr>
        <xdr:cNvPr id="2" name="Picture 1">
          <a:hlinkClick xmlns:r="http://schemas.openxmlformats.org/officeDocument/2006/relationships" r:id="rId1"/>
          <a:extLst>
            <a:ext uri="{FF2B5EF4-FFF2-40B4-BE49-F238E27FC236}">
              <a16:creationId xmlns:a16="http://schemas.microsoft.com/office/drawing/2014/main" id="{DC167B85-6E27-4887-8F6E-CA0B5150B1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466" y="26893"/>
          <a:ext cx="2022411" cy="545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183776</xdr:colOff>
      <xdr:row>0</xdr:row>
      <xdr:rowOff>26893</xdr:rowOff>
    </xdr:from>
    <xdr:to>
      <xdr:col>3</xdr:col>
      <xdr:colOff>598367</xdr:colOff>
      <xdr:row>0</xdr:row>
      <xdr:rowOff>572864</xdr:rowOff>
    </xdr:to>
    <xdr:pic>
      <xdr:nvPicPr>
        <xdr:cNvPr id="2" name="Picture 1">
          <a:hlinkClick xmlns:r="http://schemas.openxmlformats.org/officeDocument/2006/relationships" r:id="rId1"/>
          <a:extLst>
            <a:ext uri="{FF2B5EF4-FFF2-40B4-BE49-F238E27FC236}">
              <a16:creationId xmlns:a16="http://schemas.microsoft.com/office/drawing/2014/main" id="{C37F87BB-A3A3-4DC9-850F-8503D22DCC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466" y="26893"/>
          <a:ext cx="2022411" cy="5459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Shared%20drives\Non%20Course%20Content\Macabacus%20Learning%20Resources\Complete%20Models%20-%20Complete\lbo-model-short-form.xlsx" TargetMode="External"/><Relationship Id="rId1" Type="http://schemas.openxmlformats.org/officeDocument/2006/relationships/externalLinkPath" Target="lbo-model-short-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LBO"/>
    </sheetNames>
    <sheetDataSet>
      <sheetData sheetId="0"/>
      <sheetData sheetId="1">
        <row r="13">
          <cell r="K13">
            <v>45291</v>
          </cell>
        </row>
        <row r="18">
          <cell r="K18">
            <v>4</v>
          </cell>
        </row>
        <row r="24">
          <cell r="K24">
            <v>0.35</v>
          </cell>
        </row>
        <row r="25">
          <cell r="K25">
            <v>0</v>
          </cell>
        </row>
        <row r="31">
          <cell r="K31" t="str">
            <v/>
          </cell>
        </row>
        <row r="39">
          <cell r="F39">
            <v>6</v>
          </cell>
        </row>
        <row r="42">
          <cell r="P42">
            <v>418.01942547835932</v>
          </cell>
        </row>
        <row r="827">
          <cell r="O827">
            <v>1</v>
          </cell>
        </row>
        <row r="828">
          <cell r="O828">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feedback@macabacus.com" TargetMode="External"/><Relationship Id="rId1" Type="http://schemas.openxmlformats.org/officeDocument/2006/relationships/hyperlink" Target="https://www.macabacus.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14302-D6EB-4679-B43C-AB987392308F}">
  <sheetPr>
    <pageSetUpPr fitToPage="1"/>
  </sheetPr>
  <dimension ref="A1:O55"/>
  <sheetViews>
    <sheetView showGridLines="0" tabSelected="1" zoomScale="75" zoomScaleNormal="75" zoomScaleSheetLayoutView="70" workbookViewId="0"/>
  </sheetViews>
  <sheetFormatPr defaultRowHeight="14.4"/>
  <cols>
    <col min="1" max="1" width="4.94140625" style="5" customWidth="1"/>
    <col min="2" max="2" width="5.109375" style="5" customWidth="1"/>
    <col min="3" max="3" width="38.71875" style="5" customWidth="1"/>
    <col min="4" max="11" width="11.27734375" style="5" customWidth="1"/>
    <col min="12" max="12" width="38.71875" style="5" customWidth="1"/>
    <col min="13" max="13" width="5.109375" style="5" customWidth="1"/>
    <col min="14" max="16384" width="8.88671875" style="5"/>
  </cols>
  <sheetData>
    <row r="1" spans="1:15" ht="19.5" customHeight="1" thickBot="1">
      <c r="A1" s="4"/>
      <c r="B1" s="4"/>
      <c r="C1" s="4"/>
      <c r="D1" s="4"/>
      <c r="E1" s="4"/>
      <c r="F1" s="4"/>
      <c r="G1" s="4"/>
      <c r="H1" s="4"/>
      <c r="I1" s="4"/>
      <c r="J1" s="4"/>
      <c r="K1" s="4"/>
      <c r="L1" s="4"/>
      <c r="M1" s="4"/>
    </row>
    <row r="2" spans="1:15" ht="19.5" customHeight="1" thickTop="1">
      <c r="A2" s="4"/>
      <c r="B2" s="6"/>
      <c r="C2" s="7"/>
      <c r="D2" s="7"/>
      <c r="E2" s="7"/>
      <c r="F2" s="7"/>
      <c r="G2" s="7"/>
      <c r="H2" s="7"/>
      <c r="I2" s="7"/>
      <c r="J2" s="7"/>
      <c r="K2" s="7"/>
      <c r="L2" s="7"/>
      <c r="M2" s="8"/>
    </row>
    <row r="3" spans="1:15" ht="19.5" customHeight="1">
      <c r="A3" s="4"/>
      <c r="B3" s="9"/>
      <c r="C3" s="10"/>
      <c r="D3" s="10"/>
      <c r="E3" s="10"/>
      <c r="F3" s="10"/>
      <c r="G3" s="10"/>
      <c r="H3" s="10"/>
      <c r="I3" s="10"/>
      <c r="J3" s="10"/>
      <c r="K3" s="10"/>
      <c r="L3" s="10"/>
      <c r="M3" s="11"/>
      <c r="O3" s="12"/>
    </row>
    <row r="4" spans="1:15" ht="19.5" customHeight="1">
      <c r="A4" s="4"/>
      <c r="B4" s="9"/>
      <c r="C4" s="10"/>
      <c r="D4" s="10"/>
      <c r="E4" s="10"/>
      <c r="F4" s="10"/>
      <c r="G4" s="10"/>
      <c r="H4" s="10"/>
      <c r="I4" s="10"/>
      <c r="J4" s="10"/>
      <c r="K4" s="10"/>
      <c r="L4" s="10"/>
      <c r="M4" s="11"/>
      <c r="O4" s="12"/>
    </row>
    <row r="5" spans="1:15" ht="19.5" customHeight="1">
      <c r="A5" s="4"/>
      <c r="B5" s="9"/>
      <c r="C5" s="10"/>
      <c r="D5" s="10"/>
      <c r="E5" s="10"/>
      <c r="F5" s="10"/>
      <c r="G5" s="10"/>
      <c r="H5" s="10"/>
      <c r="I5" s="10"/>
      <c r="J5" s="10"/>
      <c r="K5" s="10"/>
      <c r="L5" s="10"/>
      <c r="M5" s="11"/>
    </row>
    <row r="6" spans="1:15" ht="19.5" customHeight="1">
      <c r="A6" s="4"/>
      <c r="B6" s="9"/>
      <c r="C6" s="10"/>
      <c r="D6" s="10"/>
      <c r="E6" s="10"/>
      <c r="F6" s="10"/>
      <c r="G6" s="10"/>
      <c r="H6" s="10"/>
      <c r="I6" s="10"/>
      <c r="J6" s="10"/>
      <c r="K6" s="10"/>
      <c r="L6" s="10"/>
      <c r="M6" s="11"/>
    </row>
    <row r="7" spans="1:15" ht="19.5" customHeight="1">
      <c r="A7" s="4"/>
      <c r="B7" s="9"/>
      <c r="C7" s="10"/>
      <c r="D7" s="10"/>
      <c r="E7" s="10"/>
      <c r="F7" s="10"/>
      <c r="G7" s="10"/>
      <c r="H7" s="10"/>
      <c r="I7" s="10"/>
      <c r="J7" s="10"/>
      <c r="K7" s="10"/>
      <c r="L7" s="10"/>
      <c r="M7" s="11"/>
    </row>
    <row r="8" spans="1:15" ht="19.5" customHeight="1">
      <c r="A8" s="4"/>
      <c r="B8" s="9"/>
      <c r="C8" s="10"/>
      <c r="D8" s="10"/>
      <c r="E8" s="10"/>
      <c r="F8" s="10"/>
      <c r="G8" s="10"/>
      <c r="H8" s="10"/>
      <c r="I8" s="10"/>
      <c r="J8" s="10"/>
      <c r="K8" s="10"/>
      <c r="L8" s="10"/>
      <c r="M8" s="11"/>
    </row>
    <row r="9" spans="1:15" ht="19.5" customHeight="1">
      <c r="A9" s="4"/>
      <c r="B9" s="9"/>
      <c r="C9" s="10"/>
      <c r="D9" s="10"/>
      <c r="E9" s="10"/>
      <c r="F9" s="10"/>
      <c r="G9" s="10"/>
      <c r="H9" s="10"/>
      <c r="I9" s="10"/>
      <c r="J9" s="10"/>
      <c r="K9" s="10"/>
      <c r="L9" s="10"/>
      <c r="M9" s="11"/>
    </row>
    <row r="10" spans="1:15" ht="19.5" customHeight="1">
      <c r="A10" s="4"/>
      <c r="B10" s="13"/>
      <c r="C10" s="4"/>
      <c r="D10" s="4"/>
      <c r="E10" s="4"/>
      <c r="F10" s="4"/>
      <c r="G10" s="4"/>
      <c r="H10" s="4"/>
      <c r="I10" s="4"/>
      <c r="J10" s="4"/>
      <c r="K10" s="4"/>
      <c r="L10" s="4"/>
      <c r="M10" s="14"/>
    </row>
    <row r="11" spans="1:15" ht="28.5" customHeight="1">
      <c r="A11" s="4"/>
      <c r="B11" s="13"/>
      <c r="C11" s="15" t="s">
        <v>688</v>
      </c>
      <c r="D11" s="4"/>
      <c r="E11" s="4"/>
      <c r="F11" s="4"/>
      <c r="G11" s="4"/>
      <c r="H11" s="4"/>
      <c r="I11" s="4"/>
      <c r="J11" s="4"/>
      <c r="K11" s="4"/>
      <c r="L11" s="16" t="s">
        <v>662</v>
      </c>
      <c r="M11" s="14"/>
    </row>
    <row r="12" spans="1:15" ht="19.5" customHeight="1">
      <c r="A12" s="4"/>
      <c r="B12" s="13"/>
      <c r="C12" s="17"/>
      <c r="D12" s="4"/>
      <c r="E12" s="4"/>
      <c r="F12" s="4"/>
      <c r="G12" s="4"/>
      <c r="H12" s="4"/>
      <c r="I12" s="4"/>
      <c r="J12" s="4"/>
      <c r="K12" s="18"/>
      <c r="L12" s="18"/>
      <c r="M12" s="14"/>
    </row>
    <row r="13" spans="1:15" ht="19.5" customHeight="1">
      <c r="A13" s="4"/>
      <c r="B13" s="13"/>
      <c r="C13" s="19" t="s">
        <v>663</v>
      </c>
      <c r="D13" s="20"/>
      <c r="E13" s="20"/>
      <c r="F13" s="20"/>
      <c r="G13" s="20"/>
      <c r="H13" s="20"/>
      <c r="I13" s="20"/>
      <c r="J13" s="20"/>
      <c r="K13" s="18"/>
      <c r="L13" s="18"/>
      <c r="M13" s="14"/>
    </row>
    <row r="14" spans="1:15" ht="19.5" customHeight="1">
      <c r="A14" s="4"/>
      <c r="B14" s="13"/>
      <c r="C14" s="4"/>
      <c r="D14" s="20"/>
      <c r="E14" s="20"/>
      <c r="F14" s="20"/>
      <c r="G14" s="20"/>
      <c r="H14" s="20"/>
      <c r="I14" s="20"/>
      <c r="J14" s="20"/>
      <c r="K14" s="20"/>
      <c r="L14" s="20"/>
      <c r="M14" s="14"/>
    </row>
    <row r="15" spans="1:15" ht="19.5" customHeight="1">
      <c r="A15" s="4"/>
      <c r="B15" s="13"/>
      <c r="C15" s="21" t="s">
        <v>689</v>
      </c>
      <c r="D15" s="20"/>
      <c r="E15" s="20"/>
      <c r="F15" s="20"/>
      <c r="G15" s="20"/>
      <c r="H15" s="20"/>
      <c r="I15" s="20"/>
      <c r="J15" s="20"/>
      <c r="K15" s="20"/>
      <c r="L15" s="20"/>
      <c r="M15" s="14"/>
    </row>
    <row r="16" spans="1:15" ht="19.5" customHeight="1">
      <c r="A16" s="4"/>
      <c r="B16" s="13"/>
      <c r="C16" s="21" t="s">
        <v>38</v>
      </c>
      <c r="D16" s="20"/>
      <c r="E16" s="20"/>
      <c r="F16" s="20"/>
      <c r="G16" s="20"/>
      <c r="H16" s="20"/>
      <c r="I16" s="20"/>
      <c r="J16" s="20"/>
      <c r="K16" s="20"/>
      <c r="L16" s="20"/>
      <c r="M16" s="14"/>
    </row>
    <row r="17" spans="1:15" ht="19.5" customHeight="1">
      <c r="A17" s="4"/>
      <c r="B17" s="13"/>
      <c r="C17" s="21" t="s">
        <v>69</v>
      </c>
      <c r="D17"/>
      <c r="E17" s="20"/>
      <c r="F17" s="20"/>
      <c r="G17" s="20"/>
      <c r="H17" s="20"/>
      <c r="I17" s="20"/>
      <c r="J17" s="20"/>
      <c r="K17" s="20"/>
      <c r="L17" s="20"/>
      <c r="M17" s="14"/>
    </row>
    <row r="18" spans="1:15" ht="19.5" customHeight="1">
      <c r="A18" s="4"/>
      <c r="B18" s="13"/>
      <c r="C18" s="21" t="s">
        <v>690</v>
      </c>
      <c r="D18"/>
      <c r="E18" s="20"/>
      <c r="F18" s="20"/>
      <c r="G18" s="20"/>
      <c r="H18" s="20"/>
      <c r="I18" s="20"/>
      <c r="J18" s="20"/>
      <c r="K18" s="20"/>
      <c r="L18" s="20"/>
      <c r="M18" s="14"/>
    </row>
    <row r="19" spans="1:15" ht="19.5" customHeight="1">
      <c r="A19" s="4"/>
      <c r="B19" s="13"/>
      <c r="C19" s="21" t="s">
        <v>691</v>
      </c>
      <c r="D19"/>
      <c r="E19" s="20"/>
      <c r="F19" s="20"/>
      <c r="G19" s="20"/>
      <c r="H19" s="20"/>
      <c r="I19" s="20"/>
      <c r="J19" s="20"/>
      <c r="K19" s="20"/>
      <c r="L19" s="20"/>
      <c r="M19" s="14"/>
    </row>
    <row r="20" spans="1:15" ht="19.5" customHeight="1">
      <c r="A20" s="4"/>
      <c r="B20" s="13"/>
      <c r="C20" s="21" t="s">
        <v>692</v>
      </c>
      <c r="D20"/>
      <c r="E20" s="20"/>
      <c r="F20" s="20"/>
      <c r="G20" s="20"/>
      <c r="H20" s="20"/>
      <c r="I20" s="20"/>
      <c r="J20" s="20"/>
      <c r="K20" s="20"/>
      <c r="L20" s="20"/>
      <c r="M20" s="14"/>
    </row>
    <row r="21" spans="1:15" ht="19.5" customHeight="1">
      <c r="A21" s="4"/>
      <c r="B21" s="13"/>
      <c r="C21" s="22"/>
      <c r="D21" s="23"/>
      <c r="E21" s="20"/>
      <c r="F21" s="20"/>
      <c r="G21" s="20"/>
      <c r="H21" s="20"/>
      <c r="I21" s="20"/>
      <c r="J21" s="20"/>
      <c r="K21" s="20"/>
      <c r="L21" s="20"/>
      <c r="M21" s="14"/>
    </row>
    <row r="22" spans="1:15" ht="19.5" customHeight="1">
      <c r="A22" s="4"/>
      <c r="B22" s="13"/>
      <c r="C22" s="24" t="s">
        <v>664</v>
      </c>
      <c r="D22" s="25"/>
      <c r="E22" s="25"/>
      <c r="F22" s="25"/>
      <c r="G22" s="25"/>
      <c r="H22" s="25"/>
      <c r="I22" s="25"/>
      <c r="J22" s="25"/>
      <c r="K22" s="25"/>
      <c r="L22" s="25"/>
      <c r="M22" s="14"/>
      <c r="O22" s="26"/>
    </row>
    <row r="23" spans="1:15" ht="19.5" customHeight="1">
      <c r="A23" s="4"/>
      <c r="B23" s="13"/>
      <c r="C23" s="24"/>
      <c r="D23" s="25"/>
      <c r="E23" s="25"/>
      <c r="F23" s="25"/>
      <c r="G23" s="25"/>
      <c r="H23" s="25"/>
      <c r="I23" s="25"/>
      <c r="J23" s="25"/>
      <c r="K23" s="25"/>
      <c r="L23" s="25"/>
      <c r="M23" s="14"/>
      <c r="O23" s="27"/>
    </row>
    <row r="24" spans="1:15" ht="19.5" customHeight="1">
      <c r="A24" s="4"/>
      <c r="B24" s="13"/>
      <c r="C24" s="24" t="s">
        <v>644</v>
      </c>
      <c r="D24" s="25"/>
      <c r="E24" s="25"/>
      <c r="F24" s="25"/>
      <c r="G24" s="25"/>
      <c r="H24" s="25"/>
      <c r="I24" s="25"/>
      <c r="J24" s="25"/>
      <c r="K24" s="25"/>
      <c r="L24" s="25"/>
      <c r="M24" s="14"/>
      <c r="O24" s="26"/>
    </row>
    <row r="25" spans="1:15" ht="19.5" customHeight="1">
      <c r="A25" s="4"/>
      <c r="B25" s="13"/>
      <c r="C25" s="28" t="s">
        <v>665</v>
      </c>
      <c r="D25" s="25"/>
      <c r="E25" s="25"/>
      <c r="F25" s="25"/>
      <c r="G25" s="25"/>
      <c r="H25" s="25"/>
      <c r="I25" s="25"/>
      <c r="J25" s="25"/>
      <c r="K25" s="25"/>
      <c r="L25" s="25"/>
      <c r="M25" s="14"/>
    </row>
    <row r="26" spans="1:15" ht="19.5" customHeight="1">
      <c r="A26" s="4"/>
      <c r="B26" s="13"/>
      <c r="C26" s="28" t="s">
        <v>666</v>
      </c>
      <c r="D26" s="25"/>
      <c r="E26" s="25"/>
      <c r="F26" s="25"/>
      <c r="G26" s="25"/>
      <c r="H26" s="25"/>
      <c r="I26" s="25"/>
      <c r="J26" s="25"/>
      <c r="K26" s="25"/>
      <c r="L26" s="25"/>
      <c r="M26" s="14"/>
    </row>
    <row r="27" spans="1:15" ht="19.5" customHeight="1">
      <c r="A27" s="4"/>
      <c r="B27" s="13"/>
      <c r="C27" s="28" t="s">
        <v>667</v>
      </c>
      <c r="D27" s="25"/>
      <c r="E27" s="25"/>
      <c r="F27" s="25"/>
      <c r="G27" s="25"/>
      <c r="H27" s="25"/>
      <c r="I27" s="25"/>
      <c r="J27" s="25"/>
      <c r="K27" s="25"/>
      <c r="L27" s="25"/>
      <c r="M27" s="14"/>
    </row>
    <row r="28" spans="1:15" ht="19.5" customHeight="1">
      <c r="A28" s="4"/>
      <c r="B28" s="13"/>
      <c r="C28" s="28"/>
      <c r="D28" s="25"/>
      <c r="E28" s="25"/>
      <c r="F28" s="25"/>
      <c r="G28" s="25"/>
      <c r="H28" s="25"/>
      <c r="I28" s="25"/>
      <c r="J28" s="25"/>
      <c r="K28" s="25"/>
      <c r="L28" s="25"/>
      <c r="M28" s="14"/>
    </row>
    <row r="29" spans="1:15" ht="19.5" customHeight="1">
      <c r="A29" s="4"/>
      <c r="B29" s="13"/>
      <c r="C29" s="24" t="s">
        <v>644</v>
      </c>
      <c r="D29" s="25"/>
      <c r="E29" s="25"/>
      <c r="F29" s="25"/>
      <c r="G29" s="25"/>
      <c r="H29" s="25"/>
      <c r="I29" s="25"/>
      <c r="J29" s="25"/>
      <c r="K29" s="25"/>
      <c r="L29" s="25"/>
      <c r="M29" s="14"/>
    </row>
    <row r="30" spans="1:15" ht="19.5" customHeight="1">
      <c r="A30" s="4"/>
      <c r="B30" s="13"/>
      <c r="C30" s="29" t="s">
        <v>668</v>
      </c>
      <c r="D30" s="25"/>
      <c r="E30" s="25"/>
      <c r="F30" s="25"/>
      <c r="G30" s="25"/>
      <c r="H30" s="25"/>
      <c r="I30" s="25"/>
      <c r="J30" s="25"/>
      <c r="K30" s="25"/>
      <c r="L30" s="25"/>
      <c r="M30" s="14"/>
    </row>
    <row r="31" spans="1:15" ht="19.5" customHeight="1">
      <c r="A31" s="4"/>
      <c r="B31" s="13"/>
      <c r="C31" s="29" t="s">
        <v>669</v>
      </c>
      <c r="D31" s="25"/>
      <c r="E31" s="25"/>
      <c r="F31" s="25"/>
      <c r="G31" s="25"/>
      <c r="H31" s="25"/>
      <c r="I31" s="25"/>
      <c r="J31" s="25"/>
      <c r="K31" s="25"/>
      <c r="L31" s="25"/>
      <c r="M31" s="14"/>
    </row>
    <row r="32" spans="1:15" ht="19.5" customHeight="1">
      <c r="A32" s="4"/>
      <c r="B32" s="13"/>
      <c r="C32" s="29" t="s">
        <v>670</v>
      </c>
      <c r="D32" s="25"/>
      <c r="E32" s="25"/>
      <c r="F32" s="25"/>
      <c r="G32" s="25"/>
      <c r="H32" s="25"/>
      <c r="I32" s="25"/>
      <c r="J32" s="25"/>
      <c r="K32" s="25"/>
      <c r="L32" s="25"/>
      <c r="M32" s="14"/>
    </row>
    <row r="33" spans="1:15" ht="19.5" customHeight="1">
      <c r="A33" s="4"/>
      <c r="B33" s="13"/>
      <c r="C33" s="29" t="s">
        <v>671</v>
      </c>
      <c r="D33" s="25"/>
      <c r="E33" s="25"/>
      <c r="F33" s="25"/>
      <c r="G33" s="25"/>
      <c r="H33" s="25"/>
      <c r="I33" s="25"/>
      <c r="J33" s="25"/>
      <c r="K33" s="25"/>
      <c r="L33" s="25"/>
      <c r="M33" s="14"/>
    </row>
    <row r="34" spans="1:15" ht="19.5" customHeight="1">
      <c r="A34" s="4"/>
      <c r="B34" s="13"/>
      <c r="C34" s="29" t="s">
        <v>672</v>
      </c>
      <c r="D34" s="25"/>
      <c r="E34" s="25"/>
      <c r="F34" s="25"/>
      <c r="G34" s="25"/>
      <c r="H34" s="25"/>
      <c r="I34" s="25"/>
      <c r="J34" s="25"/>
      <c r="K34" s="25"/>
      <c r="L34" s="25"/>
      <c r="M34" s="14"/>
    </row>
    <row r="35" spans="1:15" ht="19.5" customHeight="1">
      <c r="A35" s="4"/>
      <c r="B35" s="13"/>
      <c r="C35" s="29" t="s">
        <v>673</v>
      </c>
      <c r="D35" s="25"/>
      <c r="E35" s="25"/>
      <c r="F35" s="25"/>
      <c r="G35" s="25"/>
      <c r="H35" s="25"/>
      <c r="I35" s="25"/>
      <c r="J35" s="25"/>
      <c r="K35" s="25"/>
      <c r="L35" s="25"/>
      <c r="M35" s="14"/>
    </row>
    <row r="36" spans="1:15" ht="19.5" customHeight="1">
      <c r="A36" s="4"/>
      <c r="B36" s="13"/>
      <c r="C36" s="29" t="s">
        <v>674</v>
      </c>
      <c r="D36" s="25"/>
      <c r="E36" s="25"/>
      <c r="F36" s="25"/>
      <c r="G36" s="25"/>
      <c r="H36" s="25"/>
      <c r="I36" s="25"/>
      <c r="J36" s="25"/>
      <c r="K36" s="25"/>
      <c r="L36" s="25"/>
      <c r="M36" s="14"/>
    </row>
    <row r="37" spans="1:15" ht="19.5" customHeight="1">
      <c r="A37" s="4"/>
      <c r="B37" s="13"/>
      <c r="C37" s="29" t="s">
        <v>675</v>
      </c>
      <c r="D37" s="25"/>
      <c r="E37" s="25"/>
      <c r="F37" s="25"/>
      <c r="G37" s="25"/>
      <c r="H37" s="25"/>
      <c r="I37" s="25"/>
      <c r="J37" s="25"/>
      <c r="K37" s="25"/>
      <c r="L37" s="25"/>
      <c r="M37" s="14"/>
    </row>
    <row r="38" spans="1:15" ht="19.5" customHeight="1">
      <c r="A38" s="4"/>
      <c r="B38" s="13"/>
      <c r="C38" s="29"/>
      <c r="D38" s="25"/>
      <c r="E38" s="25"/>
      <c r="F38" s="25"/>
      <c r="G38" s="25"/>
      <c r="H38" s="25"/>
      <c r="I38" s="25"/>
      <c r="J38" s="25"/>
      <c r="K38" s="25"/>
      <c r="L38" s="25"/>
      <c r="M38" s="14"/>
    </row>
    <row r="39" spans="1:15" ht="19.5" customHeight="1">
      <c r="A39" s="4"/>
      <c r="B39" s="13"/>
      <c r="C39" s="24" t="s">
        <v>645</v>
      </c>
      <c r="D39" s="25"/>
      <c r="E39" s="25"/>
      <c r="F39" s="25"/>
      <c r="G39" s="25"/>
      <c r="H39" s="25"/>
      <c r="I39" s="25"/>
      <c r="J39" s="25"/>
      <c r="K39" s="25"/>
      <c r="L39" s="25"/>
      <c r="M39" s="14"/>
    </row>
    <row r="40" spans="1:15" ht="19.5" customHeight="1">
      <c r="A40" s="4"/>
      <c r="B40" s="13"/>
      <c r="C40" s="29" t="s">
        <v>676</v>
      </c>
      <c r="D40" s="25"/>
      <c r="E40" s="25"/>
      <c r="F40" s="25"/>
      <c r="G40" s="25"/>
      <c r="H40" s="25"/>
      <c r="I40" s="25"/>
      <c r="J40" s="25"/>
      <c r="K40" s="25"/>
      <c r="L40" s="25"/>
      <c r="M40" s="14"/>
    </row>
    <row r="41" spans="1:15" ht="19.5" customHeight="1">
      <c r="A41" s="4"/>
      <c r="B41" s="13"/>
      <c r="C41" s="29" t="s">
        <v>677</v>
      </c>
      <c r="D41" s="25"/>
      <c r="E41" s="25"/>
      <c r="F41" s="25"/>
      <c r="G41" s="25"/>
      <c r="H41" s="25"/>
      <c r="I41" s="25"/>
      <c r="J41" s="25"/>
      <c r="K41" s="25"/>
      <c r="L41" s="25"/>
      <c r="M41" s="14"/>
    </row>
    <row r="42" spans="1:15" ht="19.5" customHeight="1">
      <c r="A42" s="4"/>
      <c r="B42" s="13"/>
      <c r="C42" s="29" t="s">
        <v>678</v>
      </c>
      <c r="D42" s="25"/>
      <c r="E42" s="25"/>
      <c r="F42" s="25"/>
      <c r="G42" s="25"/>
      <c r="H42" s="25"/>
      <c r="I42" s="25"/>
      <c r="J42" s="25"/>
      <c r="K42" s="25"/>
      <c r="L42" s="25"/>
      <c r="M42" s="14"/>
    </row>
    <row r="43" spans="1:15" ht="19.5" customHeight="1">
      <c r="A43" s="4"/>
      <c r="B43" s="13"/>
      <c r="C43" s="29" t="s">
        <v>679</v>
      </c>
      <c r="D43" s="25"/>
      <c r="E43" s="25"/>
      <c r="F43" s="25"/>
      <c r="G43" s="25"/>
      <c r="H43" s="25"/>
      <c r="I43" s="25"/>
      <c r="J43" s="25"/>
      <c r="K43" s="25"/>
      <c r="L43" s="25"/>
      <c r="M43" s="14"/>
    </row>
    <row r="44" spans="1:15" ht="19.5" customHeight="1">
      <c r="A44" s="4"/>
      <c r="B44" s="13"/>
      <c r="C44" s="29" t="s">
        <v>680</v>
      </c>
      <c r="D44" s="25"/>
      <c r="E44" s="25"/>
      <c r="F44" s="25"/>
      <c r="G44" s="25"/>
      <c r="H44" s="25"/>
      <c r="I44" s="25"/>
      <c r="J44" s="25"/>
      <c r="K44" s="25"/>
      <c r="L44" s="25"/>
      <c r="M44" s="14"/>
    </row>
    <row r="45" spans="1:15" ht="19.5" customHeight="1">
      <c r="A45" s="4"/>
      <c r="B45" s="13"/>
      <c r="C45" s="29"/>
      <c r="D45" s="25"/>
      <c r="E45" s="25"/>
      <c r="F45" s="25"/>
      <c r="G45" s="25"/>
      <c r="H45" s="25"/>
      <c r="I45" s="25"/>
      <c r="J45" s="25"/>
      <c r="K45" s="25"/>
      <c r="L45" s="25"/>
      <c r="M45" s="14"/>
    </row>
    <row r="46" spans="1:15" ht="19.5" customHeight="1">
      <c r="A46" s="4"/>
      <c r="B46" s="13"/>
      <c r="C46" s="30" t="s">
        <v>681</v>
      </c>
      <c r="D46" s="31"/>
      <c r="E46" s="31"/>
      <c r="F46" s="31"/>
      <c r="G46" s="31"/>
      <c r="H46" s="31"/>
      <c r="I46" s="31"/>
      <c r="J46" s="31"/>
      <c r="K46" s="31"/>
      <c r="L46" s="31"/>
      <c r="M46" s="14"/>
      <c r="O46" s="26"/>
    </row>
    <row r="47" spans="1:15" ht="19.5" customHeight="1">
      <c r="A47" s="4"/>
      <c r="B47" s="13"/>
      <c r="C47" s="30" t="s">
        <v>682</v>
      </c>
      <c r="D47" s="31"/>
      <c r="E47" s="31"/>
      <c r="F47" s="31"/>
      <c r="G47" s="31"/>
      <c r="H47" s="31"/>
      <c r="I47" s="31"/>
      <c r="J47" s="31"/>
      <c r="K47" s="31"/>
      <c r="L47" s="31"/>
      <c r="M47" s="14"/>
      <c r="O47" s="26"/>
    </row>
    <row r="48" spans="1:15" ht="19.5" customHeight="1">
      <c r="A48" s="4"/>
      <c r="B48" s="13"/>
      <c r="C48" s="30" t="s">
        <v>683</v>
      </c>
      <c r="D48" s="31"/>
      <c r="E48" s="31"/>
      <c r="F48" s="31"/>
      <c r="G48" s="31"/>
      <c r="H48" s="31"/>
      <c r="I48" s="31"/>
      <c r="J48" s="31"/>
      <c r="K48" s="31"/>
      <c r="L48" s="31"/>
      <c r="M48" s="14"/>
      <c r="O48" s="26"/>
    </row>
    <row r="49" spans="1:15" ht="19.5" customHeight="1">
      <c r="A49" s="4"/>
      <c r="B49" s="13"/>
      <c r="C49" s="30" t="s">
        <v>684</v>
      </c>
      <c r="D49" s="31"/>
      <c r="E49" s="31"/>
      <c r="F49" s="31"/>
      <c r="G49" s="31"/>
      <c r="H49" s="31"/>
      <c r="I49" s="31"/>
      <c r="J49" s="31"/>
      <c r="K49" s="31"/>
      <c r="L49" s="31"/>
      <c r="M49" s="14"/>
      <c r="O49" s="26"/>
    </row>
    <row r="50" spans="1:15" ht="19.5" customHeight="1">
      <c r="A50" s="4"/>
      <c r="B50" s="13"/>
      <c r="C50" s="30" t="s">
        <v>685</v>
      </c>
      <c r="D50" s="31"/>
      <c r="E50" s="31"/>
      <c r="F50" s="31"/>
      <c r="G50" s="31"/>
      <c r="H50" s="31"/>
      <c r="I50" s="31"/>
      <c r="J50" s="31"/>
      <c r="K50" s="31"/>
      <c r="L50" s="31"/>
      <c r="M50" s="14"/>
      <c r="O50" s="26"/>
    </row>
    <row r="51" spans="1:15" ht="19.5" customHeight="1">
      <c r="A51" s="4"/>
      <c r="B51" s="13"/>
      <c r="C51" s="30"/>
      <c r="D51" s="31"/>
      <c r="E51" s="31"/>
      <c r="F51" s="31"/>
      <c r="G51" s="31"/>
      <c r="H51" s="31"/>
      <c r="I51" s="31"/>
      <c r="J51" s="31"/>
      <c r="K51" s="31"/>
      <c r="L51" s="31"/>
      <c r="M51" s="14"/>
    </row>
    <row r="52" spans="1:15" ht="19.5" customHeight="1">
      <c r="A52" s="4"/>
      <c r="B52" s="13"/>
      <c r="C52" s="32" t="s">
        <v>686</v>
      </c>
      <c r="D52" s="31"/>
      <c r="E52" s="31"/>
      <c r="F52" s="31"/>
      <c r="G52" s="31"/>
      <c r="H52" s="31"/>
      <c r="I52" s="31"/>
      <c r="J52" s="31"/>
      <c r="K52" s="31"/>
      <c r="L52" s="31"/>
      <c r="M52" s="14"/>
    </row>
    <row r="53" spans="1:15" ht="19.5" customHeight="1">
      <c r="A53" s="4"/>
      <c r="B53" s="13"/>
      <c r="C53" s="32" t="s">
        <v>646</v>
      </c>
      <c r="D53" s="31"/>
      <c r="E53" s="31"/>
      <c r="F53" s="31"/>
      <c r="G53" s="31"/>
      <c r="H53" s="31"/>
      <c r="I53" s="31"/>
      <c r="J53" s="31"/>
      <c r="K53" s="31"/>
      <c r="L53" s="31"/>
      <c r="M53" s="14"/>
    </row>
    <row r="54" spans="1:15" ht="19.5" customHeight="1" thickBot="1">
      <c r="A54" s="4"/>
      <c r="B54" s="33"/>
      <c r="C54" s="34"/>
      <c r="D54" s="34"/>
      <c r="E54" s="34"/>
      <c r="F54" s="34"/>
      <c r="G54" s="34"/>
      <c r="H54" s="34"/>
      <c r="I54" s="34"/>
      <c r="J54" s="34"/>
      <c r="K54" s="34"/>
      <c r="L54" s="34"/>
      <c r="M54" s="35" t="s">
        <v>687</v>
      </c>
    </row>
    <row r="55" spans="1:15" ht="19.5" customHeight="1" thickTop="1">
      <c r="A55" s="4"/>
      <c r="B55" s="4"/>
      <c r="C55" s="4"/>
      <c r="D55" s="4"/>
      <c r="E55" s="4"/>
      <c r="F55" s="4"/>
      <c r="G55" s="4"/>
      <c r="H55" s="4"/>
      <c r="I55" s="4"/>
      <c r="J55" s="4"/>
      <c r="K55" s="4"/>
      <c r="L55" s="4"/>
      <c r="M55" s="4"/>
    </row>
  </sheetData>
  <hyperlinks>
    <hyperlink ref="C15" location="Inputs!A1" tooltip="Inputs" display="Inputs" xr:uid="{727EC886-8D0D-4C07-A5C7-DC83FAF3753F}"/>
    <hyperlink ref="C52" r:id="rId1" xr:uid="{89775B79-09A2-4B4B-9150-EE372D4C05E7}"/>
    <hyperlink ref="C53" r:id="rId2" xr:uid="{985C82CB-2653-40DE-9287-85A12E9B14E4}"/>
    <hyperlink ref="C16:C19" location="LBO!A1" tooltip="LBO" display="LBO" xr:uid="{D30935AA-B22D-4438-972E-74295D16FFA4}"/>
    <hyperlink ref="C16" location="Close!A1" tooltip="Close" display="Close" xr:uid="{E2998945-56B9-4C31-BE24-FFC86659B73A}"/>
    <hyperlink ref="C17" location="'Pro Forma'!A1" tooltip="Pro Forma" display="Pro Forma" xr:uid="{F04ADADB-5D26-4057-99FE-93FFEF840B06}"/>
    <hyperlink ref="C20" location="MACRS!A1" tooltip="MACRS" display="MACRS" xr:uid="{175BDE22-3E7D-47C0-B91C-32C7A53788B8}"/>
    <hyperlink ref="C18" location="Acquirer!A1" tooltip="Acquirer" display="Acquirer" xr:uid="{A6E22310-B0CB-4985-8F00-FE14D922E391}"/>
    <hyperlink ref="C19" location="Target!A1" tooltip="Target" display="Target" xr:uid="{065D7D01-A8E1-41AE-9C08-5C0C8C7C4FDF}"/>
  </hyperlinks>
  <printOptions horizontalCentered="1"/>
  <pageMargins left="0.7" right="0.7" top="0.75" bottom="0.75" header="0.3" footer="0.3"/>
  <pageSetup scale="46" orientation="landscape" horizontalDpi="300" verticalDpi="300"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rgb="FF91877D"/>
    <pageSetUpPr fitToPage="1"/>
  </sheetPr>
  <dimension ref="B1:Q68"/>
  <sheetViews>
    <sheetView showGridLines="0" zoomScale="80" zoomScaleNormal="80" zoomScaleSheetLayoutView="85" workbookViewId="0"/>
  </sheetViews>
  <sheetFormatPr defaultColWidth="9.1640625" defaultRowHeight="13.5" customHeight="1"/>
  <cols>
    <col min="1" max="1" width="2.71875" style="82" customWidth="1"/>
    <col min="2" max="5" width="11.71875" style="82" customWidth="1"/>
    <col min="6" max="6" width="10.71875" style="82" customWidth="1"/>
    <col min="7" max="7" width="11.71875" style="82" customWidth="1"/>
    <col min="8" max="8" width="0.83203125" style="82" customWidth="1"/>
    <col min="9" max="17" width="11.71875" style="82" customWidth="1"/>
    <col min="18" max="18" width="6.71875" style="82" customWidth="1"/>
    <col min="19" max="23" width="9.1640625" style="82"/>
    <col min="24" max="24" width="2.71875" style="82" customWidth="1"/>
    <col min="25" max="25" width="6.71875" style="82" customWidth="1"/>
    <col min="26" max="16384" width="9.1640625" style="82"/>
  </cols>
  <sheetData>
    <row r="1" spans="2:17" s="2" customFormat="1" ht="50.1" customHeight="1">
      <c r="B1" s="10"/>
      <c r="C1" s="10"/>
      <c r="D1" s="10"/>
      <c r="E1" s="10"/>
      <c r="F1" s="10"/>
      <c r="G1" s="10"/>
      <c r="H1" s="10"/>
      <c r="I1" s="10"/>
      <c r="J1" s="10"/>
      <c r="K1" s="10"/>
      <c r="L1" s="10"/>
      <c r="M1" s="10"/>
      <c r="N1" s="10"/>
      <c r="O1" s="10"/>
      <c r="P1" s="10"/>
      <c r="Q1" s="10"/>
    </row>
    <row r="2" spans="2:17" s="36" customFormat="1" ht="13.5" customHeight="1" thickBot="1"/>
    <row r="3" spans="2:17" s="36" customFormat="1" ht="18" customHeight="1" thickBot="1">
      <c r="B3" s="37" t="s">
        <v>323</v>
      </c>
      <c r="C3" s="38"/>
      <c r="D3" s="38"/>
      <c r="E3" s="38"/>
      <c r="F3" s="38"/>
      <c r="G3" s="39">
        <v>9</v>
      </c>
    </row>
    <row r="4" spans="2:17" s="36" customFormat="1" ht="13.5" customHeight="1"/>
    <row r="5" spans="2:17" s="36" customFormat="1" ht="13.5" customHeight="1"/>
    <row r="6" spans="2:17" s="36" customFormat="1" ht="13.5" customHeight="1">
      <c r="B6" s="40"/>
      <c r="C6" s="40"/>
      <c r="D6" s="40"/>
      <c r="E6" s="40"/>
      <c r="F6" s="40"/>
      <c r="G6" s="41" t="s">
        <v>3</v>
      </c>
      <c r="H6" s="42"/>
      <c r="I6" s="43" t="s">
        <v>2</v>
      </c>
      <c r="J6" s="44"/>
      <c r="K6" s="45"/>
      <c r="L6" s="44"/>
      <c r="M6" s="44"/>
      <c r="N6" s="45"/>
      <c r="O6" s="44"/>
      <c r="P6" s="44"/>
      <c r="Q6" s="45"/>
    </row>
    <row r="7" spans="2:17" s="36" customFormat="1" ht="13.5" customHeight="1" thickBot="1">
      <c r="B7" s="46"/>
      <c r="C7" s="46"/>
      <c r="D7" s="46"/>
      <c r="E7" s="46"/>
      <c r="F7" s="46"/>
      <c r="G7" s="47" t="s">
        <v>1</v>
      </c>
      <c r="H7" s="48"/>
      <c r="I7" s="49">
        <v>1</v>
      </c>
      <c r="J7" s="48">
        <f t="shared" ref="J7:Q7" si="0">I7+1</f>
        <v>2</v>
      </c>
      <c r="K7" s="48">
        <f t="shared" si="0"/>
        <v>3</v>
      </c>
      <c r="L7" s="48">
        <f t="shared" si="0"/>
        <v>4</v>
      </c>
      <c r="M7" s="48">
        <f t="shared" si="0"/>
        <v>5</v>
      </c>
      <c r="N7" s="48">
        <f t="shared" si="0"/>
        <v>6</v>
      </c>
      <c r="O7" s="48">
        <f t="shared" si="0"/>
        <v>7</v>
      </c>
      <c r="P7" s="48">
        <f t="shared" si="0"/>
        <v>8</v>
      </c>
      <c r="Q7" s="48">
        <f t="shared" si="0"/>
        <v>9</v>
      </c>
    </row>
    <row r="8" spans="2:17" s="36" customFormat="1" ht="5.0999999999999996" customHeight="1">
      <c r="B8" s="50"/>
      <c r="C8" s="50"/>
      <c r="D8" s="50"/>
      <c r="E8" s="50"/>
      <c r="F8" s="50"/>
      <c r="I8" s="51"/>
      <c r="J8" s="51"/>
      <c r="K8" s="52"/>
      <c r="L8" s="51"/>
      <c r="M8" s="51"/>
      <c r="N8" s="52"/>
      <c r="O8" s="51"/>
      <c r="P8" s="51"/>
      <c r="Q8" s="52"/>
    </row>
    <row r="9" spans="2:17" s="36" customFormat="1" ht="13.5" customHeight="1">
      <c r="B9" s="53" t="s">
        <v>321</v>
      </c>
      <c r="C9" s="53"/>
      <c r="D9" s="53"/>
      <c r="E9" s="53"/>
      <c r="F9" s="53"/>
      <c r="G9" s="54"/>
      <c r="I9" s="55"/>
      <c r="J9" s="56"/>
      <c r="K9" s="56"/>
      <c r="L9" s="55"/>
      <c r="M9" s="56"/>
      <c r="N9" s="56"/>
      <c r="O9" s="55"/>
      <c r="P9" s="56"/>
      <c r="Q9" s="56"/>
    </row>
    <row r="10" spans="2:17" s="36" customFormat="1" ht="13.5" customHeight="1">
      <c r="B10" s="57" t="s">
        <v>199</v>
      </c>
      <c r="C10" s="57"/>
      <c r="D10" s="57"/>
      <c r="E10" s="57"/>
      <c r="F10" s="57"/>
      <c r="G10" s="58">
        <f ca="1">OFFSET(H10,0,case)</f>
        <v>0.25</v>
      </c>
      <c r="H10" s="59"/>
      <c r="I10" s="60">
        <v>0.2</v>
      </c>
      <c r="J10" s="60">
        <v>0.25</v>
      </c>
      <c r="K10" s="60">
        <v>0.3</v>
      </c>
      <c r="L10" s="61">
        <f>$J10</f>
        <v>0.25</v>
      </c>
      <c r="M10" s="61">
        <f t="shared" ref="M10:Q10" si="1">$J10</f>
        <v>0.25</v>
      </c>
      <c r="N10" s="61">
        <f t="shared" si="1"/>
        <v>0.25</v>
      </c>
      <c r="O10" s="61">
        <f t="shared" si="1"/>
        <v>0.25</v>
      </c>
      <c r="P10" s="61">
        <f t="shared" si="1"/>
        <v>0.25</v>
      </c>
      <c r="Q10" s="61">
        <f t="shared" si="1"/>
        <v>0.25</v>
      </c>
    </row>
    <row r="11" spans="2:17" s="36" customFormat="1" ht="13.5" customHeight="1">
      <c r="B11" s="57" t="s">
        <v>44</v>
      </c>
      <c r="C11" s="57"/>
      <c r="D11" s="57"/>
      <c r="E11" s="57"/>
      <c r="F11" s="57"/>
      <c r="G11" s="58">
        <f ca="1">OFFSET(H11,0,case)</f>
        <v>0.5</v>
      </c>
      <c r="H11" s="59"/>
      <c r="I11" s="61">
        <f>$M11</f>
        <v>0.5</v>
      </c>
      <c r="J11" s="61">
        <f t="shared" ref="J11:K11" si="2">$M11</f>
        <v>0.5</v>
      </c>
      <c r="K11" s="61">
        <f t="shared" si="2"/>
        <v>0.5</v>
      </c>
      <c r="L11" s="60">
        <v>0</v>
      </c>
      <c r="M11" s="60">
        <v>0.5</v>
      </c>
      <c r="N11" s="60">
        <v>1</v>
      </c>
      <c r="O11" s="61">
        <f t="shared" ref="O11:Q11" si="3">$M11</f>
        <v>0.5</v>
      </c>
      <c r="P11" s="61">
        <f t="shared" si="3"/>
        <v>0.5</v>
      </c>
      <c r="Q11" s="61">
        <f t="shared" si="3"/>
        <v>0.5</v>
      </c>
    </row>
    <row r="12" spans="2:17" s="36" customFormat="1" ht="13.5" customHeight="1">
      <c r="B12" s="57"/>
      <c r="C12" s="57"/>
      <c r="D12" s="57"/>
      <c r="E12" s="57"/>
      <c r="F12" s="57"/>
      <c r="G12" s="62"/>
      <c r="I12" s="63"/>
      <c r="J12" s="63"/>
      <c r="K12" s="63"/>
      <c r="L12" s="64"/>
      <c r="M12" s="64"/>
      <c r="N12" s="64"/>
      <c r="O12" s="63"/>
      <c r="P12" s="63"/>
      <c r="Q12" s="63"/>
    </row>
    <row r="13" spans="2:17" s="36" customFormat="1" ht="13.5" customHeight="1">
      <c r="B13" s="65" t="s">
        <v>322</v>
      </c>
      <c r="C13" s="65"/>
      <c r="D13" s="65"/>
      <c r="E13" s="65"/>
      <c r="F13" s="65"/>
      <c r="G13" s="62"/>
      <c r="I13" s="63"/>
      <c r="J13" s="63"/>
      <c r="K13" s="63"/>
      <c r="L13" s="64"/>
      <c r="M13" s="64"/>
      <c r="N13" s="64"/>
      <c r="O13" s="63"/>
      <c r="P13" s="63"/>
      <c r="Q13" s="63"/>
    </row>
    <row r="14" spans="2:17" s="36" customFormat="1" ht="13.5" customHeight="1">
      <c r="B14" s="57" t="s">
        <v>324</v>
      </c>
      <c r="C14" s="57"/>
      <c r="D14" s="57"/>
      <c r="E14" s="57"/>
      <c r="F14" s="57"/>
      <c r="G14" s="66">
        <f ca="1">OFFSET(H14,0,case)</f>
        <v>10</v>
      </c>
      <c r="I14" s="67">
        <v>10</v>
      </c>
      <c r="J14" s="67">
        <v>10</v>
      </c>
      <c r="K14" s="67">
        <v>10</v>
      </c>
      <c r="L14" s="67">
        <v>10</v>
      </c>
      <c r="M14" s="67">
        <v>10</v>
      </c>
      <c r="N14" s="67">
        <v>10</v>
      </c>
      <c r="O14" s="67">
        <v>10</v>
      </c>
      <c r="P14" s="67">
        <v>10</v>
      </c>
      <c r="Q14" s="67">
        <v>10</v>
      </c>
    </row>
    <row r="15" spans="2:17" s="36" customFormat="1" ht="13.5" customHeight="1">
      <c r="B15" s="57" t="s">
        <v>146</v>
      </c>
      <c r="C15" s="57"/>
      <c r="D15" s="57"/>
      <c r="E15" s="57"/>
      <c r="F15" s="57"/>
      <c r="G15" s="58">
        <f ca="1">OFFSET(H15,0,case)</f>
        <v>0.05</v>
      </c>
      <c r="I15" s="60">
        <v>0.05</v>
      </c>
      <c r="J15" s="60">
        <v>0.05</v>
      </c>
      <c r="K15" s="60">
        <v>0.05</v>
      </c>
      <c r="L15" s="60">
        <v>0.05</v>
      </c>
      <c r="M15" s="60">
        <v>0.05</v>
      </c>
      <c r="N15" s="60">
        <v>0.05</v>
      </c>
      <c r="O15" s="60">
        <v>0.05</v>
      </c>
      <c r="P15" s="60">
        <v>0.05</v>
      </c>
      <c r="Q15" s="60">
        <v>0.05</v>
      </c>
    </row>
    <row r="16" spans="2:17" s="36" customFormat="1" ht="13.5" customHeight="1">
      <c r="B16" s="57" t="s">
        <v>147</v>
      </c>
      <c r="C16" s="57"/>
      <c r="D16" s="57"/>
      <c r="E16" s="57"/>
      <c r="F16" s="57"/>
      <c r="G16" s="58">
        <f ca="1">OFFSET(H16,0,case)</f>
        <v>0.2</v>
      </c>
      <c r="I16" s="60">
        <v>0.2</v>
      </c>
      <c r="J16" s="60">
        <v>0.2</v>
      </c>
      <c r="K16" s="60">
        <v>0.2</v>
      </c>
      <c r="L16" s="60">
        <v>0.2</v>
      </c>
      <c r="M16" s="60">
        <v>0.2</v>
      </c>
      <c r="N16" s="60">
        <v>0.2</v>
      </c>
      <c r="O16" s="60">
        <v>0.2</v>
      </c>
      <c r="P16" s="60">
        <v>0.2</v>
      </c>
      <c r="Q16" s="60">
        <v>0.2</v>
      </c>
    </row>
    <row r="17" spans="2:17" s="36" customFormat="1" ht="13.5" customHeight="1">
      <c r="B17" s="57"/>
      <c r="C17" s="57"/>
      <c r="D17" s="57"/>
      <c r="E17" s="57"/>
      <c r="F17" s="57"/>
      <c r="G17" s="62"/>
      <c r="I17" s="63"/>
      <c r="J17" s="63"/>
      <c r="K17" s="63"/>
      <c r="L17" s="64"/>
      <c r="M17" s="64"/>
      <c r="N17" s="64"/>
      <c r="O17" s="63"/>
      <c r="P17" s="63"/>
      <c r="Q17" s="63"/>
    </row>
    <row r="18" spans="2:17" s="36" customFormat="1" ht="13.5" customHeight="1">
      <c r="B18" s="65" t="s">
        <v>319</v>
      </c>
      <c r="C18" s="65"/>
      <c r="D18" s="65"/>
      <c r="E18" s="65"/>
      <c r="F18" s="65"/>
      <c r="G18" s="62"/>
      <c r="I18" s="63"/>
      <c r="J18" s="63"/>
      <c r="K18" s="63"/>
      <c r="L18" s="64"/>
      <c r="M18" s="64"/>
      <c r="N18" s="64"/>
      <c r="O18" s="63"/>
      <c r="P18" s="63"/>
      <c r="Q18" s="63"/>
    </row>
    <row r="19" spans="2:17" s="36" customFormat="1" ht="13.5" customHeight="1">
      <c r="B19" s="68" t="s">
        <v>292</v>
      </c>
      <c r="C19" s="69"/>
      <c r="D19" s="69"/>
      <c r="E19" s="69"/>
      <c r="F19" s="69"/>
      <c r="G19" s="66">
        <f ca="1">OFFSET(H19,0,case)</f>
        <v>75</v>
      </c>
      <c r="I19" s="67">
        <v>0</v>
      </c>
      <c r="J19" s="67">
        <v>0</v>
      </c>
      <c r="K19" s="67">
        <v>0</v>
      </c>
      <c r="L19" s="67">
        <v>0</v>
      </c>
      <c r="M19" s="67">
        <v>0</v>
      </c>
      <c r="N19" s="67">
        <v>0</v>
      </c>
      <c r="O19" s="67">
        <v>75</v>
      </c>
      <c r="P19" s="67">
        <v>75</v>
      </c>
      <c r="Q19" s="67">
        <v>75</v>
      </c>
    </row>
    <row r="20" spans="2:17" s="36" customFormat="1" ht="13.5" customHeight="1">
      <c r="B20" s="68" t="s">
        <v>293</v>
      </c>
      <c r="C20" s="69"/>
      <c r="D20" s="69"/>
      <c r="E20" s="69"/>
      <c r="F20" s="69"/>
      <c r="G20" s="66">
        <f ca="1">OFFSET(H20,0,case)</f>
        <v>0</v>
      </c>
      <c r="I20" s="67">
        <v>0</v>
      </c>
      <c r="J20" s="67">
        <v>0</v>
      </c>
      <c r="K20" s="67">
        <v>0</v>
      </c>
      <c r="L20" s="67">
        <v>0</v>
      </c>
      <c r="M20" s="67">
        <v>0</v>
      </c>
      <c r="N20" s="67">
        <v>0</v>
      </c>
      <c r="O20" s="67">
        <v>0</v>
      </c>
      <c r="P20" s="67">
        <v>0</v>
      </c>
      <c r="Q20" s="67">
        <v>0</v>
      </c>
    </row>
    <row r="21" spans="2:17" s="36" customFormat="1" ht="13.5" customHeight="1">
      <c r="B21" s="68" t="s">
        <v>294</v>
      </c>
      <c r="C21" s="69"/>
      <c r="D21" s="69"/>
      <c r="E21" s="69"/>
      <c r="F21" s="69"/>
      <c r="G21" s="66">
        <f ca="1">OFFSET(H21,0,case)</f>
        <v>0</v>
      </c>
      <c r="I21" s="67">
        <v>0</v>
      </c>
      <c r="J21" s="67">
        <v>0</v>
      </c>
      <c r="K21" s="67">
        <v>0</v>
      </c>
      <c r="L21" s="67">
        <v>0</v>
      </c>
      <c r="M21" s="67">
        <v>0</v>
      </c>
      <c r="N21" s="67">
        <v>0</v>
      </c>
      <c r="O21" s="67">
        <v>0</v>
      </c>
      <c r="P21" s="67">
        <v>0</v>
      </c>
      <c r="Q21" s="67">
        <v>0</v>
      </c>
    </row>
    <row r="22" spans="2:17" s="36" customFormat="1" ht="13.5" customHeight="1">
      <c r="B22" s="70" t="s">
        <v>297</v>
      </c>
      <c r="C22" s="71"/>
      <c r="D22" s="71"/>
      <c r="E22" s="71"/>
      <c r="F22" s="71"/>
      <c r="G22" s="66">
        <f ca="1">OFFSET(H22,0,case)</f>
        <v>125</v>
      </c>
      <c r="I22" s="67">
        <v>0</v>
      </c>
      <c r="J22" s="67">
        <v>0</v>
      </c>
      <c r="K22" s="67">
        <v>0</v>
      </c>
      <c r="L22" s="67">
        <v>0</v>
      </c>
      <c r="M22" s="67">
        <v>0</v>
      </c>
      <c r="N22" s="67">
        <v>0</v>
      </c>
      <c r="O22" s="67">
        <v>0</v>
      </c>
      <c r="P22" s="67">
        <v>125</v>
      </c>
      <c r="Q22" s="67">
        <v>125</v>
      </c>
    </row>
    <row r="23" spans="2:17" s="36" customFormat="1" ht="13.5" customHeight="1">
      <c r="B23" s="57" t="s">
        <v>320</v>
      </c>
      <c r="C23" s="57"/>
      <c r="D23" s="57"/>
      <c r="E23" s="57"/>
      <c r="F23" s="57"/>
      <c r="G23" s="66">
        <f ca="1">OFFSET(H23,0,case)</f>
        <v>75</v>
      </c>
      <c r="I23" s="67">
        <v>0</v>
      </c>
      <c r="J23" s="67">
        <v>0</v>
      </c>
      <c r="K23" s="67">
        <v>0</v>
      </c>
      <c r="L23" s="67">
        <v>0</v>
      </c>
      <c r="M23" s="67">
        <v>0</v>
      </c>
      <c r="N23" s="67">
        <v>0</v>
      </c>
      <c r="O23" s="67">
        <v>0</v>
      </c>
      <c r="P23" s="67">
        <v>0</v>
      </c>
      <c r="Q23" s="67">
        <v>75</v>
      </c>
    </row>
    <row r="24" spans="2:17" s="36" customFormat="1" ht="13.5" customHeight="1">
      <c r="B24" s="57"/>
      <c r="C24" s="57"/>
      <c r="D24" s="57"/>
      <c r="E24" s="57"/>
      <c r="F24" s="57"/>
      <c r="G24" s="62"/>
      <c r="I24" s="63"/>
      <c r="J24" s="63"/>
      <c r="K24" s="63"/>
      <c r="L24" s="64"/>
      <c r="M24" s="64"/>
      <c r="N24" s="64"/>
      <c r="O24" s="63"/>
      <c r="P24" s="63"/>
      <c r="Q24" s="63"/>
    </row>
    <row r="25" spans="2:17" s="36" customFormat="1" ht="13.5" customHeight="1">
      <c r="B25" s="57" t="s">
        <v>504</v>
      </c>
      <c r="C25" s="57"/>
      <c r="D25" s="57"/>
      <c r="E25" s="57"/>
      <c r="F25" s="57"/>
      <c r="G25" s="72">
        <f ca="1">OFFSET(H25,0,case)</f>
        <v>1</v>
      </c>
      <c r="I25" s="73">
        <v>0</v>
      </c>
      <c r="J25" s="73">
        <v>0</v>
      </c>
      <c r="K25" s="73">
        <v>0</v>
      </c>
      <c r="L25" s="73">
        <v>0</v>
      </c>
      <c r="M25" s="73">
        <v>0</v>
      </c>
      <c r="N25" s="73">
        <v>0</v>
      </c>
      <c r="O25" s="73">
        <v>1</v>
      </c>
      <c r="P25" s="73">
        <v>1</v>
      </c>
      <c r="Q25" s="73">
        <v>1</v>
      </c>
    </row>
    <row r="26" spans="2:17" s="36" customFormat="1" ht="13.5" customHeight="1">
      <c r="B26" s="57"/>
      <c r="C26" s="57"/>
      <c r="D26" s="57"/>
      <c r="E26" s="57"/>
      <c r="F26" s="57"/>
      <c r="G26" s="72"/>
      <c r="I26" s="74"/>
      <c r="J26" s="74"/>
      <c r="K26" s="74"/>
      <c r="L26" s="74"/>
      <c r="M26" s="74"/>
      <c r="N26" s="74"/>
      <c r="O26" s="74"/>
      <c r="P26" s="74"/>
      <c r="Q26" s="74"/>
    </row>
    <row r="27" spans="2:17" s="36" customFormat="1" ht="13.5" customHeight="1">
      <c r="B27" s="65" t="str">
        <f>"Retire existing "&amp;target&amp;" debt close?"</f>
        <v>Retire existing TargetCo debt close?</v>
      </c>
      <c r="C27" s="65"/>
      <c r="D27" s="65"/>
      <c r="E27" s="65"/>
      <c r="F27" s="65"/>
      <c r="G27" s="72"/>
      <c r="I27" s="74"/>
      <c r="J27" s="74"/>
      <c r="K27" s="74"/>
      <c r="L27" s="74"/>
      <c r="M27" s="74"/>
      <c r="N27" s="74"/>
      <c r="O27" s="74"/>
      <c r="P27" s="74"/>
      <c r="Q27" s="74"/>
    </row>
    <row r="28" spans="2:17" s="36" customFormat="1" ht="13.5" customHeight="1">
      <c r="B28" s="75" t="str">
        <f>Target!B111</f>
        <v>Senior credit facility 2</v>
      </c>
      <c r="C28" s="75"/>
      <c r="D28" s="75"/>
      <c r="E28" s="75"/>
      <c r="F28" s="75"/>
      <c r="G28" s="72">
        <f ca="1">OFFSET(H28,0,case)</f>
        <v>1</v>
      </c>
      <c r="I28" s="73">
        <v>0</v>
      </c>
      <c r="J28" s="73">
        <v>0</v>
      </c>
      <c r="K28" s="73">
        <v>0</v>
      </c>
      <c r="L28" s="73">
        <v>0</v>
      </c>
      <c r="M28" s="73">
        <v>0</v>
      </c>
      <c r="N28" s="73">
        <v>0</v>
      </c>
      <c r="O28" s="73">
        <v>1</v>
      </c>
      <c r="P28" s="73">
        <v>1</v>
      </c>
      <c r="Q28" s="73">
        <v>1</v>
      </c>
    </row>
    <row r="29" spans="2:17" s="36" customFormat="1" ht="13.5" customHeight="1">
      <c r="B29" s="75" t="str">
        <f>Target!B112</f>
        <v>Subordinated note 2</v>
      </c>
      <c r="C29" s="75"/>
      <c r="D29" s="75"/>
      <c r="E29" s="75"/>
      <c r="F29" s="75"/>
      <c r="G29" s="72">
        <f ca="1">OFFSET(H29,0,case)</f>
        <v>1</v>
      </c>
      <c r="I29" s="73">
        <v>0</v>
      </c>
      <c r="J29" s="73">
        <v>0</v>
      </c>
      <c r="K29" s="73">
        <v>0</v>
      </c>
      <c r="L29" s="73">
        <v>0</v>
      </c>
      <c r="M29" s="73">
        <v>0</v>
      </c>
      <c r="N29" s="73">
        <v>0</v>
      </c>
      <c r="O29" s="73">
        <v>1</v>
      </c>
      <c r="P29" s="73">
        <v>1</v>
      </c>
      <c r="Q29" s="73">
        <v>1</v>
      </c>
    </row>
    <row r="30" spans="2:17" s="36" customFormat="1" ht="13.5" customHeight="1">
      <c r="B30" s="75" t="str">
        <f>Target!B113</f>
        <v>Convertible bond 2</v>
      </c>
      <c r="C30" s="75"/>
      <c r="D30" s="75"/>
      <c r="E30" s="75"/>
      <c r="F30" s="75"/>
      <c r="G30" s="72">
        <f ca="1">OFFSET(H30,0,case)</f>
        <v>1</v>
      </c>
      <c r="I30" s="73">
        <v>0</v>
      </c>
      <c r="J30" s="73">
        <v>0</v>
      </c>
      <c r="K30" s="73">
        <v>0</v>
      </c>
      <c r="L30" s="73">
        <v>0</v>
      </c>
      <c r="M30" s="73">
        <v>0</v>
      </c>
      <c r="N30" s="73">
        <v>0</v>
      </c>
      <c r="O30" s="73">
        <v>1</v>
      </c>
      <c r="P30" s="73">
        <v>1</v>
      </c>
      <c r="Q30" s="73">
        <v>1</v>
      </c>
    </row>
    <row r="31" spans="2:17" s="36" customFormat="1" ht="13.5" customHeight="1">
      <c r="B31" s="75" t="str">
        <f>Target!B118</f>
        <v>Preferred stock 2</v>
      </c>
      <c r="C31" s="75"/>
      <c r="D31" s="75"/>
      <c r="E31" s="75"/>
      <c r="F31" s="75"/>
      <c r="G31" s="72">
        <f ca="1">OFFSET(H31,0,case)</f>
        <v>1</v>
      </c>
      <c r="I31" s="73">
        <v>0</v>
      </c>
      <c r="J31" s="73">
        <v>0</v>
      </c>
      <c r="K31" s="73">
        <v>0</v>
      </c>
      <c r="L31" s="73">
        <v>0</v>
      </c>
      <c r="M31" s="73">
        <v>0</v>
      </c>
      <c r="N31" s="73">
        <v>0</v>
      </c>
      <c r="O31" s="73">
        <v>1</v>
      </c>
      <c r="P31" s="73">
        <v>1</v>
      </c>
      <c r="Q31" s="73">
        <v>1</v>
      </c>
    </row>
    <row r="32" spans="2:17" s="36" customFormat="1" ht="13.5" customHeight="1">
      <c r="B32" s="75"/>
      <c r="C32" s="75"/>
      <c r="D32" s="75"/>
      <c r="E32" s="75"/>
      <c r="F32" s="75"/>
      <c r="G32" s="72"/>
      <c r="I32" s="74"/>
      <c r="J32" s="74"/>
      <c r="K32" s="74"/>
      <c r="L32" s="74"/>
      <c r="M32" s="74"/>
      <c r="N32" s="74"/>
      <c r="O32" s="74"/>
      <c r="P32" s="74"/>
      <c r="Q32" s="74"/>
    </row>
    <row r="33" spans="2:17" s="36" customFormat="1" ht="13.5" customHeight="1">
      <c r="B33" s="76" t="s">
        <v>331</v>
      </c>
      <c r="C33" s="76"/>
      <c r="D33" s="76"/>
      <c r="E33" s="76"/>
      <c r="F33" s="76"/>
      <c r="G33" s="72">
        <f ca="1">OFFSET(H33,0,case)</f>
        <v>1</v>
      </c>
      <c r="I33" s="73">
        <v>0</v>
      </c>
      <c r="J33" s="73">
        <v>0</v>
      </c>
      <c r="K33" s="73">
        <v>0</v>
      </c>
      <c r="L33" s="73">
        <v>0</v>
      </c>
      <c r="M33" s="73">
        <v>0</v>
      </c>
      <c r="N33" s="73">
        <v>0</v>
      </c>
      <c r="O33" s="73">
        <v>1</v>
      </c>
      <c r="P33" s="73">
        <v>1</v>
      </c>
      <c r="Q33" s="73">
        <v>1</v>
      </c>
    </row>
    <row r="34" spans="2:17" s="36" customFormat="1" ht="13.5" customHeight="1">
      <c r="B34" s="76" t="s">
        <v>332</v>
      </c>
      <c r="C34" s="76"/>
      <c r="D34" s="76"/>
      <c r="E34" s="76"/>
      <c r="F34" s="76"/>
      <c r="G34" s="72">
        <f ca="1">OFFSET(H34,0,case)</f>
        <v>1</v>
      </c>
      <c r="I34" s="73">
        <v>0</v>
      </c>
      <c r="J34" s="73">
        <v>0</v>
      </c>
      <c r="K34" s="73">
        <v>0</v>
      </c>
      <c r="L34" s="73">
        <v>0</v>
      </c>
      <c r="M34" s="73">
        <v>0</v>
      </c>
      <c r="N34" s="73">
        <v>0</v>
      </c>
      <c r="O34" s="73">
        <v>1</v>
      </c>
      <c r="P34" s="73">
        <v>1</v>
      </c>
      <c r="Q34" s="73">
        <v>1</v>
      </c>
    </row>
    <row r="35" spans="2:17" s="36" customFormat="1" ht="13.5" customHeight="1">
      <c r="B35" s="76" t="str">
        <f>"Roll over "&amp;target&amp;" options (0=liquidate, 1=roll over)?"</f>
        <v>Roll over TargetCo options (0=liquidate, 1=roll over)?</v>
      </c>
      <c r="C35" s="76"/>
      <c r="D35" s="76"/>
      <c r="E35" s="76"/>
      <c r="F35" s="76"/>
      <c r="G35" s="72">
        <f ca="1">OFFSET(H35,0,case)</f>
        <v>0</v>
      </c>
      <c r="I35" s="73">
        <v>0</v>
      </c>
      <c r="J35" s="73">
        <v>0</v>
      </c>
      <c r="K35" s="73">
        <v>0</v>
      </c>
      <c r="L35" s="73">
        <v>0</v>
      </c>
      <c r="M35" s="73">
        <v>0</v>
      </c>
      <c r="N35" s="73">
        <v>0</v>
      </c>
      <c r="O35" s="73">
        <v>0</v>
      </c>
      <c r="P35" s="73">
        <v>0</v>
      </c>
      <c r="Q35" s="73">
        <v>0</v>
      </c>
    </row>
    <row r="36" spans="2:17" s="36" customFormat="1" ht="5.0999999999999996" customHeight="1" thickBot="1">
      <c r="B36" s="77"/>
      <c r="C36" s="77"/>
      <c r="D36" s="77"/>
      <c r="E36" s="77"/>
      <c r="F36" s="77"/>
      <c r="G36" s="77"/>
      <c r="H36" s="77"/>
      <c r="I36" s="77"/>
      <c r="J36" s="77"/>
      <c r="K36" s="77"/>
      <c r="L36" s="77"/>
      <c r="M36" s="77"/>
      <c r="N36" s="77"/>
      <c r="O36" s="77"/>
      <c r="P36" s="77"/>
      <c r="Q36" s="77"/>
    </row>
    <row r="39" spans="2:17" ht="13.5" customHeight="1">
      <c r="B39" s="78" t="s">
        <v>310</v>
      </c>
      <c r="C39" s="79"/>
      <c r="D39" s="80"/>
      <c r="E39" s="81"/>
      <c r="G39" s="78" t="s">
        <v>365</v>
      </c>
      <c r="H39" s="79"/>
      <c r="I39" s="80"/>
      <c r="J39" s="80"/>
      <c r="K39" s="80"/>
      <c r="L39" s="80"/>
      <c r="M39" s="81"/>
    </row>
    <row r="41" spans="2:17" ht="13.5" customHeight="1">
      <c r="B41" s="57" t="s">
        <v>621</v>
      </c>
      <c r="C41" s="36"/>
      <c r="D41" s="83"/>
      <c r="E41" s="84" t="s">
        <v>623</v>
      </c>
      <c r="G41" s="57" t="s">
        <v>230</v>
      </c>
      <c r="H41" s="85"/>
      <c r="I41" s="85"/>
      <c r="L41" s="36"/>
      <c r="M41" s="86">
        <v>0.5</v>
      </c>
    </row>
    <row r="42" spans="2:17" ht="13.5" customHeight="1">
      <c r="B42" s="57" t="s">
        <v>622</v>
      </c>
      <c r="C42" s="36"/>
      <c r="D42" s="83"/>
      <c r="E42" s="84" t="s">
        <v>624</v>
      </c>
      <c r="G42" s="57" t="s">
        <v>231</v>
      </c>
      <c r="H42" s="85"/>
      <c r="I42" s="85"/>
      <c r="L42" s="36"/>
      <c r="M42" s="86">
        <v>1</v>
      </c>
    </row>
    <row r="43" spans="2:17" ht="13.5" customHeight="1">
      <c r="B43" s="57" t="str">
        <f>"Current "&amp;acquirer&amp;" stock price"</f>
        <v>Current BuyerCo stock price</v>
      </c>
      <c r="C43" s="36"/>
      <c r="D43" s="36"/>
      <c r="E43" s="87">
        <v>31.71</v>
      </c>
      <c r="G43" s="57" t="s">
        <v>226</v>
      </c>
      <c r="H43" s="85"/>
      <c r="I43" s="85"/>
      <c r="L43" s="36"/>
      <c r="M43" s="86">
        <v>0.5</v>
      </c>
    </row>
    <row r="44" spans="2:17" ht="13.5" customHeight="1">
      <c r="B44" s="88" t="str">
        <f>"Current "&amp;target&amp;" stock price"</f>
        <v>Current TargetCo stock price</v>
      </c>
      <c r="C44" s="36"/>
      <c r="D44" s="36"/>
      <c r="E44" s="87">
        <v>9.16</v>
      </c>
      <c r="G44" s="57" t="s">
        <v>227</v>
      </c>
      <c r="H44" s="85"/>
      <c r="I44" s="85"/>
      <c r="L44" s="36"/>
      <c r="M44" s="86">
        <v>1</v>
      </c>
    </row>
    <row r="45" spans="2:17" ht="13.5" customHeight="1">
      <c r="B45" s="36" t="s">
        <v>660</v>
      </c>
      <c r="C45" s="36"/>
      <c r="D45" s="36"/>
      <c r="E45" s="89">
        <v>45107</v>
      </c>
      <c r="G45" s="57" t="s">
        <v>228</v>
      </c>
      <c r="H45" s="85"/>
      <c r="I45" s="85"/>
      <c r="L45" s="36"/>
      <c r="M45" s="86">
        <v>0.5</v>
      </c>
    </row>
    <row r="46" spans="2:17" ht="13.5" customHeight="1">
      <c r="B46" s="36" t="s">
        <v>18</v>
      </c>
      <c r="C46" s="36"/>
      <c r="D46" s="36"/>
      <c r="E46" s="84" t="s">
        <v>17</v>
      </c>
      <c r="G46" s="57" t="s">
        <v>229</v>
      </c>
      <c r="H46" s="85"/>
      <c r="I46" s="85"/>
      <c r="L46" s="36"/>
      <c r="M46" s="86">
        <v>1</v>
      </c>
    </row>
    <row r="47" spans="2:17" ht="13.5" customHeight="1">
      <c r="B47" s="36" t="s">
        <v>14</v>
      </c>
      <c r="C47" s="36"/>
      <c r="D47" s="36"/>
      <c r="E47" s="90" t="str">
        <f>IF(OR(Inputs!E46="USD",Inputs!E46="CAD"),"$",IF(Inputs!E46="EUR","€",IF(Inputs!E46="GBP","£","¥")))</f>
        <v>$</v>
      </c>
    </row>
    <row r="48" spans="2:17" ht="13.5" customHeight="1">
      <c r="G48" s="78" t="s">
        <v>284</v>
      </c>
      <c r="H48" s="79"/>
      <c r="I48" s="80"/>
      <c r="J48" s="80"/>
      <c r="K48" s="80"/>
      <c r="L48" s="80"/>
      <c r="M48" s="81"/>
    </row>
    <row r="49" spans="2:13" ht="13.5" customHeight="1">
      <c r="B49" s="78" t="s">
        <v>447</v>
      </c>
      <c r="C49" s="79"/>
      <c r="D49" s="80"/>
      <c r="E49" s="81"/>
    </row>
    <row r="50" spans="2:13" ht="13.5" customHeight="1">
      <c r="G50" s="36" t="s">
        <v>240</v>
      </c>
      <c r="H50" s="36"/>
      <c r="I50" s="36"/>
      <c r="J50" s="36"/>
      <c r="M50" s="91">
        <v>200</v>
      </c>
    </row>
    <row r="51" spans="2:13" ht="13.5" customHeight="1">
      <c r="B51" s="82" t="s">
        <v>448</v>
      </c>
      <c r="E51" s="92">
        <v>1</v>
      </c>
      <c r="G51" s="36" t="s">
        <v>281</v>
      </c>
      <c r="H51" s="36"/>
      <c r="I51" s="36"/>
      <c r="L51" s="36"/>
      <c r="M51" s="86">
        <v>0.25</v>
      </c>
    </row>
    <row r="52" spans="2:13" ht="13.5" customHeight="1">
      <c r="B52" s="82" t="s">
        <v>449</v>
      </c>
      <c r="E52" s="92">
        <v>0</v>
      </c>
      <c r="G52" s="36" t="s">
        <v>282</v>
      </c>
      <c r="H52" s="36"/>
      <c r="I52" s="36"/>
      <c r="L52" s="36"/>
      <c r="M52" s="86">
        <v>0.5</v>
      </c>
    </row>
    <row r="53" spans="2:13" ht="13.5" customHeight="1">
      <c r="B53" s="82" t="s">
        <v>450</v>
      </c>
      <c r="E53" s="93">
        <f>IF(AND(E51,NOT(E52)),1,0)</f>
        <v>1</v>
      </c>
      <c r="G53" s="36" t="s">
        <v>283</v>
      </c>
      <c r="H53" s="36"/>
      <c r="I53" s="36"/>
      <c r="L53" s="36"/>
      <c r="M53" s="86">
        <v>0.25</v>
      </c>
    </row>
    <row r="55" spans="2:13" ht="13.5" customHeight="1">
      <c r="B55" s="78" t="s">
        <v>366</v>
      </c>
      <c r="C55" s="79"/>
      <c r="D55" s="80"/>
      <c r="E55" s="81"/>
      <c r="G55" s="78" t="s">
        <v>370</v>
      </c>
      <c r="H55" s="79"/>
      <c r="I55" s="80"/>
      <c r="J55" s="80"/>
      <c r="K55" s="80"/>
      <c r="L55" s="80"/>
      <c r="M55" s="81"/>
    </row>
    <row r="57" spans="2:13" ht="13.5" customHeight="1">
      <c r="B57" s="36" t="str">
        <f>acquirer&amp;" tax rate"</f>
        <v>BuyerCo tax rate</v>
      </c>
      <c r="C57" s="36"/>
      <c r="D57" s="36"/>
      <c r="E57" s="94">
        <f>Acquirer!G412</f>
        <v>0.35000300000000006</v>
      </c>
      <c r="G57" s="82" t="s">
        <v>380</v>
      </c>
      <c r="M57" s="95">
        <v>0.03</v>
      </c>
    </row>
    <row r="58" spans="2:13" ht="13.5" customHeight="1">
      <c r="B58" s="82" t="s">
        <v>367</v>
      </c>
      <c r="E58" s="96">
        <v>2.8299999999999999E-2</v>
      </c>
      <c r="G58" s="82" t="s">
        <v>379</v>
      </c>
      <c r="M58" s="95">
        <v>0.03</v>
      </c>
    </row>
    <row r="59" spans="2:13" ht="13.5" customHeight="1">
      <c r="G59" s="82" t="s">
        <v>378</v>
      </c>
      <c r="M59" s="95">
        <v>0.03</v>
      </c>
    </row>
    <row r="60" spans="2:13" ht="13.5" customHeight="1">
      <c r="B60" s="78" t="s">
        <v>368</v>
      </c>
      <c r="C60" s="79"/>
      <c r="D60" s="80"/>
      <c r="E60" s="81"/>
      <c r="G60" s="82" t="s">
        <v>377</v>
      </c>
      <c r="M60" s="95">
        <v>0.04</v>
      </c>
    </row>
    <row r="62" spans="2:13" ht="13.5" customHeight="1">
      <c r="B62" s="88" t="s">
        <v>313</v>
      </c>
      <c r="E62" s="91">
        <v>30</v>
      </c>
      <c r="G62" s="78" t="s">
        <v>470</v>
      </c>
      <c r="H62" s="79"/>
      <c r="I62" s="80"/>
      <c r="J62" s="80"/>
      <c r="K62" s="80"/>
      <c r="L62" s="80"/>
      <c r="M62" s="81"/>
    </row>
    <row r="63" spans="2:13" ht="13.5" customHeight="1">
      <c r="B63" s="88" t="s">
        <v>369</v>
      </c>
      <c r="E63" s="91">
        <v>1400</v>
      </c>
    </row>
    <row r="64" spans="2:13" ht="13.5" customHeight="1">
      <c r="B64" s="36" t="s">
        <v>398</v>
      </c>
      <c r="E64" s="97">
        <v>0</v>
      </c>
      <c r="G64" s="82" t="s">
        <v>471</v>
      </c>
      <c r="M64" s="98">
        <v>7</v>
      </c>
    </row>
    <row r="65" spans="7:13" ht="13.5" customHeight="1">
      <c r="G65" s="82" t="s">
        <v>472</v>
      </c>
      <c r="M65" s="98">
        <v>9</v>
      </c>
    </row>
    <row r="66" spans="7:13" ht="13.5" customHeight="1">
      <c r="G66" s="82" t="s">
        <v>473</v>
      </c>
      <c r="M66" s="98">
        <v>5</v>
      </c>
    </row>
    <row r="67" spans="7:13" ht="13.5" customHeight="1">
      <c r="G67" s="82" t="s">
        <v>474</v>
      </c>
      <c r="M67" s="98">
        <v>15</v>
      </c>
    </row>
    <row r="68" spans="7:13" ht="13.5" customHeight="1">
      <c r="G68" s="82" t="s">
        <v>475</v>
      </c>
      <c r="M68" s="98">
        <v>15</v>
      </c>
    </row>
  </sheetData>
  <dataValidations count="7">
    <dataValidation type="whole" operator="equal" allowBlank="1" showInputMessage="1" showErrorMessage="1" sqref="I7" xr:uid="{00000000-0002-0000-0100-000000000000}">
      <formula1>1</formula1>
    </dataValidation>
    <dataValidation type="whole" showErrorMessage="1" errorTitle="Validation Error" error="Turn off the Section 338 election before selecting Asset Purchase." prompt="Enter either a 0 or 1." sqref="I25:Q35 E51:E52" xr:uid="{00000000-0002-0000-0100-000001000000}">
      <formula1>0</formula1>
      <formula2>1</formula2>
    </dataValidation>
    <dataValidation type="whole" operator="greaterThan" allowBlank="1" showInputMessage="1" showErrorMessage="1" sqref="G3" xr:uid="{00000000-0002-0000-0100-000002000000}">
      <formula1>0</formula1>
    </dataValidation>
    <dataValidation allowBlank="1" showInputMessage="1" showErrorMessage="1" prompt="Enter the acquirer's tax rate.  35% is a typical assumption, but may be as high as 40%." sqref="E57" xr:uid="{00000000-0002-0000-0100-000003000000}"/>
    <dataValidation type="whole" allowBlank="1" showInputMessage="1" showErrorMessage="1" sqref="E64" xr:uid="{00000000-0002-0000-0100-000004000000}">
      <formula1>0</formula1>
      <formula2>1</formula2>
    </dataValidation>
    <dataValidation type="whole" operator="equal" allowBlank="1" showErrorMessage="1" errorTitle="Macabacus" error="IRC Section 197 intangibles are always amortized over 15 years for tax purposes." sqref="M67:M68" xr:uid="{00000000-0002-0000-0100-000005000000}">
      <formula1>15</formula1>
    </dataValidation>
    <dataValidation operator="greaterThan" allowBlank="1" showInputMessage="1" showErrorMessage="1" sqref="M64:M66" xr:uid="{00000000-0002-0000-0100-000006000000}"/>
  </dataValidations>
  <pageMargins left="0.75" right="0.75" top="1" bottom="1" header="0.5" footer="0.5"/>
  <pageSetup scale="43" orientation="landscape" r:id="rId1"/>
  <headerFooter alignWithMargins="0">
    <oddHeader>&amp;A</oddHeader>
    <oddFooter>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indexed="13"/>
  </sheetPr>
  <dimension ref="A1:B1"/>
  <sheetViews>
    <sheetView workbookViewId="0">
      <selection activeCell="B1" sqref="B1"/>
    </sheetView>
  </sheetViews>
  <sheetFormatPr defaultRowHeight="12.3"/>
  <sheetData>
    <row r="1" spans="1:2">
      <c r="B1" t="s">
        <v>45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1877D"/>
    <pageSetUpPr autoPageBreaks="0" fitToPage="1"/>
  </sheetPr>
  <dimension ref="A1:AC179"/>
  <sheetViews>
    <sheetView showGridLines="0" zoomScale="80" zoomScaleNormal="80" zoomScaleSheetLayoutView="80" workbookViewId="0"/>
  </sheetViews>
  <sheetFormatPr defaultColWidth="14.71875" defaultRowHeight="15" customHeight="1"/>
  <cols>
    <col min="1" max="1" width="2.71875" style="82" customWidth="1"/>
    <col min="2" max="6" width="14.71875" style="82"/>
    <col min="7" max="9" width="15.71875" style="82" customWidth="1"/>
    <col min="10" max="19" width="14.71875" style="82"/>
    <col min="20" max="20" width="2.71875" style="82" customWidth="1"/>
    <col min="21" max="16384" width="14.71875" style="82"/>
  </cols>
  <sheetData>
    <row r="1" spans="2:29" s="2" customFormat="1" ht="50.1" customHeight="1">
      <c r="B1" s="10"/>
      <c r="C1" s="10"/>
      <c r="D1" s="10"/>
      <c r="E1" s="10"/>
      <c r="F1" s="10"/>
      <c r="G1" s="10"/>
      <c r="H1" s="10"/>
      <c r="I1" s="10"/>
      <c r="J1" s="10"/>
      <c r="K1" s="10"/>
      <c r="L1" s="10"/>
      <c r="M1" s="10"/>
      <c r="N1" s="10"/>
      <c r="O1" s="10"/>
      <c r="P1" s="10"/>
      <c r="Q1" s="10"/>
      <c r="R1" s="10"/>
      <c r="S1" s="10"/>
      <c r="T1" s="10"/>
      <c r="U1" s="10"/>
    </row>
    <row r="2" spans="2:29" s="36" customFormat="1" ht="15" customHeight="1"/>
    <row r="3" spans="2:29" s="101" customFormat="1" ht="23.7" thickBot="1">
      <c r="B3" s="99" t="s">
        <v>502</v>
      </c>
      <c r="C3" s="100"/>
      <c r="K3" s="102"/>
      <c r="M3" s="102"/>
      <c r="N3" s="102"/>
      <c r="W3" s="36"/>
      <c r="X3" s="36"/>
      <c r="Y3" s="36"/>
      <c r="Z3" s="36"/>
      <c r="AA3" s="36"/>
      <c r="AB3" s="36"/>
      <c r="AC3" s="36"/>
    </row>
    <row r="4" spans="2:29" s="101" customFormat="1" ht="2.5" customHeight="1">
      <c r="B4" s="103"/>
      <c r="C4" s="104"/>
      <c r="D4" s="105"/>
      <c r="E4" s="105"/>
      <c r="F4" s="105"/>
      <c r="G4" s="105"/>
      <c r="H4" s="105"/>
      <c r="I4" s="105"/>
      <c r="J4" s="105"/>
      <c r="K4" s="106"/>
      <c r="L4" s="105"/>
      <c r="M4" s="106"/>
      <c r="N4" s="106"/>
      <c r="O4" s="105"/>
      <c r="P4" s="105"/>
      <c r="Q4" s="105"/>
      <c r="R4" s="105"/>
      <c r="S4" s="105"/>
      <c r="T4" s="105"/>
      <c r="U4" s="105"/>
      <c r="W4" s="36"/>
      <c r="X4" s="36"/>
      <c r="Y4" s="36"/>
      <c r="Z4" s="36"/>
      <c r="AA4" s="36"/>
      <c r="AB4" s="36"/>
      <c r="AC4" s="36"/>
    </row>
    <row r="5" spans="2:29" s="36" customFormat="1" ht="15" customHeight="1">
      <c r="B5" s="107" t="str">
        <f>"("&amp;curr&amp;" and shares in millions, except per share amounts)"</f>
        <v>($ and shares in millions, except per share amounts)</v>
      </c>
      <c r="C5" s="107"/>
      <c r="V5" s="101"/>
    </row>
    <row r="6" spans="2:29" s="36" customFormat="1" ht="15" customHeight="1">
      <c r="B6" s="107"/>
      <c r="C6" s="107"/>
      <c r="V6" s="101"/>
    </row>
    <row r="7" spans="2:29" s="36" customFormat="1" ht="15" customHeight="1">
      <c r="B7" s="108" t="s">
        <v>344</v>
      </c>
      <c r="C7" s="109"/>
      <c r="D7" s="109"/>
      <c r="E7" s="110"/>
      <c r="G7" s="108" t="s">
        <v>202</v>
      </c>
      <c r="H7" s="109"/>
      <c r="I7" s="109"/>
      <c r="J7" s="110"/>
      <c r="L7" s="108" t="s">
        <v>203</v>
      </c>
      <c r="M7" s="109"/>
      <c r="N7" s="109"/>
      <c r="O7" s="110"/>
      <c r="V7" s="101"/>
    </row>
    <row r="8" spans="2:29" s="36" customFormat="1" ht="15" customHeight="1">
      <c r="B8" s="88" t="str">
        <f>"Current "&amp;target&amp;" stock price"</f>
        <v>Current TargetCo stock price</v>
      </c>
      <c r="C8" s="88"/>
      <c r="D8" s="88"/>
      <c r="E8" s="111">
        <f>Inputs!E44</f>
        <v>9.16</v>
      </c>
      <c r="G8" s="112" t="s">
        <v>31</v>
      </c>
      <c r="H8" s="88"/>
      <c r="I8" s="88"/>
      <c r="J8" s="88"/>
      <c r="L8" s="88" t="s">
        <v>25</v>
      </c>
      <c r="M8" s="88"/>
      <c r="N8" s="88"/>
      <c r="O8" s="113">
        <f ca="1">E24</f>
        <v>405.75803999999999</v>
      </c>
      <c r="V8" s="101"/>
    </row>
    <row r="9" spans="2:29" s="36" customFormat="1" ht="15" customHeight="1">
      <c r="B9" s="88" t="s">
        <v>199</v>
      </c>
      <c r="C9" s="88"/>
      <c r="D9" s="88"/>
      <c r="E9" s="94">
        <f ca="1">Inputs!G10</f>
        <v>0.25</v>
      </c>
      <c r="G9" s="36" t="s">
        <v>30</v>
      </c>
      <c r="H9" s="88"/>
      <c r="I9" s="88"/>
      <c r="J9" s="114">
        <f ca="1">J18+SUM(J27:J32)-J11-J14-J13</f>
        <v>21.70951841652527</v>
      </c>
      <c r="L9" s="88" t="s">
        <v>36</v>
      </c>
      <c r="M9" s="88"/>
      <c r="N9" s="88"/>
      <c r="O9" s="115">
        <f>Inputs!E58</f>
        <v>2.8299999999999999E-2</v>
      </c>
      <c r="V9" s="101"/>
    </row>
    <row r="10" spans="2:29" s="36" customFormat="1" ht="15" customHeight="1">
      <c r="B10" s="116" t="s">
        <v>200</v>
      </c>
      <c r="C10" s="116"/>
      <c r="D10" s="116"/>
      <c r="E10" s="117">
        <f ca="1">E8*(1+E9)</f>
        <v>11.45</v>
      </c>
      <c r="G10" s="36" t="str">
        <f>acquirer&amp;" common stock"</f>
        <v>BuyerCo common stock</v>
      </c>
      <c r="H10" s="88"/>
      <c r="I10" s="88"/>
      <c r="J10" s="118">
        <f ca="1">J19</f>
        <v>205.30994999999999</v>
      </c>
      <c r="L10" s="119" t="s">
        <v>35</v>
      </c>
      <c r="M10" s="119"/>
      <c r="N10" s="119"/>
      <c r="O10" s="120">
        <f ca="1">O8*O9</f>
        <v>11.482952531999999</v>
      </c>
      <c r="V10" s="101"/>
    </row>
    <row r="11" spans="2:29" s="36" customFormat="1" ht="15" customHeight="1">
      <c r="B11" s="57" t="str">
        <f>"( / ) Current "&amp;acquirer&amp;" stock price"</f>
        <v>( / ) Current BuyerCo stock price</v>
      </c>
      <c r="E11" s="121">
        <f>Inputs!E43</f>
        <v>31.71</v>
      </c>
      <c r="G11" s="36" t="str">
        <f>"Proceeds from liquidation of "&amp;target&amp;" options"</f>
        <v>Proceeds from liquidation of TargetCo options</v>
      </c>
      <c r="H11" s="88"/>
      <c r="I11" s="88"/>
      <c r="J11" s="118">
        <f ca="1">F80*(1-E14)</f>
        <v>4.861860000000001</v>
      </c>
      <c r="L11" s="88" t="s">
        <v>32</v>
      </c>
      <c r="M11" s="88"/>
      <c r="N11" s="88"/>
      <c r="O11" s="122">
        <f>tax</f>
        <v>0.35000300000000006</v>
      </c>
    </row>
    <row r="12" spans="2:29" s="36" customFormat="1" ht="15" customHeight="1">
      <c r="B12" s="123" t="s">
        <v>256</v>
      </c>
      <c r="C12" s="123"/>
      <c r="D12" s="123"/>
      <c r="E12" s="124">
        <f ca="1">E10/E11</f>
        <v>0.36108483128350677</v>
      </c>
      <c r="G12" s="88" t="str">
        <f>acquirer&amp;" rollover options"</f>
        <v>BuyerCo rollover options</v>
      </c>
      <c r="H12" s="88"/>
      <c r="I12" s="88"/>
      <c r="J12" s="118">
        <f ca="1">J21</f>
        <v>0</v>
      </c>
      <c r="L12" s="119" t="s">
        <v>34</v>
      </c>
      <c r="M12" s="119"/>
      <c r="N12" s="119"/>
      <c r="O12" s="120">
        <f ca="1">O10*O11</f>
        <v>4.0190678350575961</v>
      </c>
      <c r="P12" s="125"/>
    </row>
    <row r="13" spans="2:29" s="36" customFormat="1" ht="15" customHeight="1">
      <c r="G13" s="88" t="str">
        <f>acquirer&amp;" revolver draw-down"</f>
        <v>BuyerCo revolver draw-down</v>
      </c>
      <c r="H13" s="88"/>
      <c r="I13" s="88"/>
      <c r="J13" s="118">
        <f ca="1">MAX(0,J50-SUM(J11,J14,J37:J38,J40))</f>
        <v>236.80132158347476</v>
      </c>
      <c r="L13" s="88" t="s">
        <v>33</v>
      </c>
      <c r="M13" s="88"/>
      <c r="N13" s="88"/>
      <c r="O13" s="126">
        <f>Target!S459</f>
        <v>14.5</v>
      </c>
      <c r="P13" s="125"/>
    </row>
    <row r="14" spans="2:29" s="36" customFormat="1" ht="15" customHeight="1">
      <c r="B14" s="88" t="str">
        <f>"Roll over "&amp;target&amp;" options?"</f>
        <v>Roll over TargetCo options?</v>
      </c>
      <c r="C14" s="88"/>
      <c r="D14" s="88"/>
      <c r="E14" s="127">
        <f ca="1">Inputs!G35</f>
        <v>0</v>
      </c>
      <c r="G14" s="36" t="s">
        <v>376</v>
      </c>
      <c r="J14" s="118">
        <f ca="1">E91</f>
        <v>275</v>
      </c>
      <c r="L14" s="128" t="s">
        <v>162</v>
      </c>
      <c r="M14" s="128"/>
      <c r="N14" s="128"/>
      <c r="O14" s="129">
        <f ca="1">O12*O13</f>
        <v>58.276483608335141</v>
      </c>
    </row>
    <row r="15" spans="2:29" s="36" customFormat="1" ht="15" customHeight="1">
      <c r="G15" s="130" t="s">
        <v>29</v>
      </c>
      <c r="H15" s="131"/>
      <c r="I15" s="131"/>
      <c r="J15" s="132">
        <f ca="1">SUM(J9:J14)</f>
        <v>743.68264999999997</v>
      </c>
      <c r="L15" s="88"/>
      <c r="M15" s="88"/>
      <c r="N15" s="88"/>
      <c r="O15" s="133"/>
    </row>
    <row r="16" spans="2:29" s="36" customFormat="1" ht="15" customHeight="1">
      <c r="B16" s="88" t="str">
        <f>target&amp;" basic shares outstanding (BSO)"</f>
        <v>TargetCo basic shares outstanding (BSO)</v>
      </c>
      <c r="C16" s="88"/>
      <c r="D16" s="88"/>
      <c r="E16" s="134">
        <f>F170</f>
        <v>35.340000000000003</v>
      </c>
      <c r="J16" s="125"/>
      <c r="L16" s="88" t="s">
        <v>163</v>
      </c>
      <c r="M16" s="88"/>
      <c r="N16" s="88"/>
      <c r="O16" s="135">
        <f ca="1">Target!S471</f>
        <v>12.24708776194219</v>
      </c>
    </row>
    <row r="17" spans="2:27" s="36" customFormat="1" ht="15" customHeight="1">
      <c r="B17" s="88" t="str">
        <f>"( + ) In-the-money "&amp;target&amp;" options liquidated"</f>
        <v>( + ) In-the-money TargetCo options liquidated</v>
      </c>
      <c r="C17" s="88"/>
      <c r="D17" s="88"/>
      <c r="E17" s="136">
        <f ca="1">E80*(1-E14)</f>
        <v>0.52200000000000002</v>
      </c>
      <c r="G17" s="112" t="s">
        <v>28</v>
      </c>
      <c r="H17" s="88"/>
      <c r="I17" s="88"/>
      <c r="J17" s="88"/>
      <c r="L17" s="88" t="s">
        <v>285</v>
      </c>
      <c r="M17" s="88"/>
      <c r="N17" s="88"/>
      <c r="O17" s="118">
        <f ca="1">MIN(O14,O16)</f>
        <v>12.24708776194219</v>
      </c>
      <c r="Z17" s="137"/>
      <c r="AA17" s="138"/>
    </row>
    <row r="18" spans="2:27" s="36" customFormat="1" ht="15" customHeight="1">
      <c r="B18" s="88" t="str">
        <f>"( + ) "&amp;target&amp;" convertible shares converted"</f>
        <v>( + ) TargetCo convertible shares converted</v>
      </c>
      <c r="C18" s="88"/>
      <c r="D18" s="88"/>
      <c r="E18" s="136">
        <f ca="1">K101</f>
        <v>0</v>
      </c>
      <c r="G18" s="139" t="s">
        <v>43</v>
      </c>
      <c r="H18" s="88"/>
      <c r="I18" s="88"/>
      <c r="J18" s="135">
        <f ca="1">Inputs!G11*J20</f>
        <v>205.30994999999999</v>
      </c>
      <c r="L18" s="88"/>
      <c r="M18" s="88"/>
      <c r="N18" s="88"/>
      <c r="O18" s="118"/>
      <c r="Z18" s="137"/>
      <c r="AA18" s="138"/>
    </row>
    <row r="19" spans="2:27" s="36" customFormat="1" ht="15" customHeight="1">
      <c r="B19" s="116" t="str">
        <f>target&amp;" fully diluted shares outstanding (FDSO)"</f>
        <v>TargetCo fully diluted shares outstanding (FDSO)</v>
      </c>
      <c r="C19" s="116"/>
      <c r="D19" s="116"/>
      <c r="E19" s="140">
        <f ca="1">SUM(E16:E18)</f>
        <v>35.862000000000002</v>
      </c>
      <c r="G19" s="139" t="s">
        <v>275</v>
      </c>
      <c r="H19" s="88"/>
      <c r="I19" s="88"/>
      <c r="J19" s="141">
        <f ca="1">J20-J18</f>
        <v>205.30994999999999</v>
      </c>
      <c r="L19" s="108" t="s">
        <v>501</v>
      </c>
      <c r="M19" s="109"/>
      <c r="N19" s="109"/>
      <c r="O19" s="110"/>
      <c r="Z19" s="137"/>
      <c r="AA19" s="138"/>
    </row>
    <row r="20" spans="2:27" s="36" customFormat="1" ht="15" customHeight="1">
      <c r="B20" s="88" t="str">
        <f>"( x ) Offer price per "&amp;target&amp;" share"</f>
        <v>( x ) Offer price per TargetCo share</v>
      </c>
      <c r="C20" s="88"/>
      <c r="D20" s="88"/>
      <c r="E20" s="142">
        <f ca="1">E10</f>
        <v>11.45</v>
      </c>
      <c r="G20" s="143" t="s">
        <v>174</v>
      </c>
      <c r="H20" s="116"/>
      <c r="I20" s="116"/>
      <c r="J20" s="144">
        <f ca="1">E21</f>
        <v>410.61989999999997</v>
      </c>
      <c r="L20" s="88" t="s">
        <v>500</v>
      </c>
      <c r="M20" s="88"/>
      <c r="N20" s="88"/>
      <c r="O20" s="114">
        <f ca="1">J64</f>
        <v>28.617609540336119</v>
      </c>
    </row>
    <row r="21" spans="2:27" s="36" customFormat="1" ht="15" customHeight="1">
      <c r="B21" s="145" t="s">
        <v>174</v>
      </c>
      <c r="C21" s="145"/>
      <c r="D21" s="145"/>
      <c r="E21" s="146">
        <f ca="1">E19*E20</f>
        <v>410.61989999999997</v>
      </c>
      <c r="G21" s="147" t="str">
        <f>acquirer&amp;" rollover options"</f>
        <v>BuyerCo rollover options</v>
      </c>
      <c r="H21" s="88"/>
      <c r="I21" s="88"/>
      <c r="J21" s="118">
        <f ca="1">J80*E14</f>
        <v>0</v>
      </c>
      <c r="L21" s="88" t="s">
        <v>170</v>
      </c>
      <c r="M21" s="88"/>
      <c r="N21" s="88"/>
      <c r="O21" s="141">
        <f>O34*tax</f>
        <v>0</v>
      </c>
    </row>
    <row r="22" spans="2:27" s="36" customFormat="1" ht="15" customHeight="1">
      <c r="B22" s="36" t="str">
        <f>"( – ) Proceeds from liquidation of "&amp;target&amp;" options"</f>
        <v>( – ) Proceeds from liquidation of TargetCo options</v>
      </c>
      <c r="E22" s="118">
        <f ca="1">-F80*(1-E14)</f>
        <v>-4.861860000000001</v>
      </c>
      <c r="G22" s="139" t="str">
        <f>target&amp;" revolver pay-off"</f>
        <v>TargetCo revolver pay-off</v>
      </c>
      <c r="H22" s="88"/>
      <c r="I22" s="88"/>
      <c r="J22" s="118">
        <f ca="1">F145</f>
        <v>0</v>
      </c>
      <c r="L22" s="119" t="s">
        <v>26</v>
      </c>
      <c r="M22" s="116"/>
      <c r="N22" s="119"/>
      <c r="O22" s="148">
        <f ca="1">SUM(O20:O21)</f>
        <v>28.617609540336119</v>
      </c>
    </row>
    <row r="23" spans="2:27" s="36" customFormat="1" ht="15" customHeight="1">
      <c r="B23" s="36" t="str">
        <f>"( + ) Fair value of "&amp;target&amp;" options rolled over"</f>
        <v>( + ) Fair value of TargetCo options rolled over</v>
      </c>
      <c r="E23" s="118">
        <f ca="1">J80*E14</f>
        <v>0</v>
      </c>
      <c r="G23" s="139" t="str">
        <f>B97&amp;" retired"</f>
        <v>Senior credit facility 2 retired</v>
      </c>
      <c r="H23" s="88"/>
      <c r="I23" s="88"/>
      <c r="J23" s="118">
        <f ca="1">M97*N97</f>
        <v>0</v>
      </c>
    </row>
    <row r="24" spans="2:27" s="36" customFormat="1" ht="15" customHeight="1">
      <c r="B24" s="149" t="s">
        <v>25</v>
      </c>
      <c r="C24" s="149"/>
      <c r="D24" s="149"/>
      <c r="E24" s="150">
        <f ca="1">SUM(E21:E23)</f>
        <v>405.75803999999999</v>
      </c>
      <c r="G24" s="139" t="str">
        <f>B98&amp;" retired"</f>
        <v>Subordinated note 2 retired</v>
      </c>
      <c r="H24" s="88"/>
      <c r="I24" s="88"/>
      <c r="J24" s="118">
        <f ca="1">M98*N98</f>
        <v>45.5</v>
      </c>
      <c r="L24" s="88" t="s">
        <v>503</v>
      </c>
      <c r="M24" s="88"/>
      <c r="N24" s="88"/>
      <c r="O24" s="114">
        <f ca="1">I64</f>
        <v>0</v>
      </c>
    </row>
    <row r="25" spans="2:27" s="36" customFormat="1" ht="15" customHeight="1">
      <c r="B25" s="57" t="s">
        <v>353</v>
      </c>
      <c r="E25" s="118">
        <f ca="1">SUM(D97:D100)-SUMPRODUCT(D97:D100,E97:E100)</f>
        <v>45.5</v>
      </c>
      <c r="G25" s="139" t="str">
        <f>B99&amp;" retired"</f>
        <v>Convertible bond 2 retired</v>
      </c>
      <c r="H25" s="88"/>
      <c r="I25" s="88"/>
      <c r="J25" s="118">
        <f ca="1">M99*N99</f>
        <v>194.51249999999999</v>
      </c>
      <c r="L25" s="88" t="s">
        <v>172</v>
      </c>
      <c r="M25" s="88"/>
      <c r="N25" s="88"/>
      <c r="O25" s="118">
        <f ca="1">MIN(0,O17-O16)</f>
        <v>0</v>
      </c>
    </row>
    <row r="26" spans="2:27" s="36" customFormat="1" ht="15" customHeight="1">
      <c r="B26" s="57" t="s">
        <v>354</v>
      </c>
      <c r="E26" s="118">
        <f ca="1">SUMPRODUCT(M97:M100,E97:E100)</f>
        <v>194.51249999999999</v>
      </c>
      <c r="G26" s="139" t="str">
        <f>B100&amp;" retired"</f>
        <v>Preferred stock 2 retired</v>
      </c>
      <c r="H26" s="88"/>
      <c r="I26" s="88"/>
      <c r="J26" s="118">
        <f ca="1">M100*N100</f>
        <v>0</v>
      </c>
      <c r="L26" s="119" t="s">
        <v>171</v>
      </c>
      <c r="M26" s="116"/>
      <c r="N26" s="119"/>
      <c r="O26" s="148">
        <f ca="1">SUM(O24:O25)</f>
        <v>0</v>
      </c>
    </row>
    <row r="27" spans="2:27" s="36" customFormat="1" ht="15" customHeight="1">
      <c r="B27" s="57" t="s">
        <v>356</v>
      </c>
      <c r="E27" s="151">
        <f>Target!G636</f>
        <v>0</v>
      </c>
      <c r="G27" s="143" t="str">
        <f>"Total "&amp;target&amp;" debt &amp; preferred retired"</f>
        <v>Total TargetCo debt &amp; preferred retired</v>
      </c>
      <c r="H27" s="116"/>
      <c r="I27" s="116"/>
      <c r="J27" s="144">
        <f ca="1">SUM(J22:J26)</f>
        <v>240.01249999999999</v>
      </c>
      <c r="L27" s="152"/>
      <c r="M27" s="152"/>
      <c r="N27" s="153"/>
      <c r="O27" s="154"/>
      <c r="AA27" s="138"/>
    </row>
    <row r="28" spans="2:27" s="36" customFormat="1" ht="15" customHeight="1">
      <c r="B28" s="57" t="s">
        <v>355</v>
      </c>
      <c r="E28" s="151">
        <f>Target!G637</f>
        <v>0</v>
      </c>
      <c r="G28" s="147" t="str">
        <f>acquirer&amp;" revolver pay-down"</f>
        <v>BuyerCo revolver pay-down</v>
      </c>
      <c r="H28" s="88"/>
      <c r="I28" s="88"/>
      <c r="J28" s="118">
        <f ca="1">J51</f>
        <v>0</v>
      </c>
      <c r="L28" s="108" t="s">
        <v>173</v>
      </c>
      <c r="M28" s="109"/>
      <c r="N28" s="109"/>
      <c r="O28" s="110"/>
    </row>
    <row r="29" spans="2:27" s="36" customFormat="1" ht="15" customHeight="1">
      <c r="B29" s="57" t="s">
        <v>357</v>
      </c>
      <c r="E29" s="151">
        <f>Target!G638</f>
        <v>0</v>
      </c>
      <c r="G29" s="147" t="s">
        <v>279</v>
      </c>
      <c r="H29" s="88"/>
      <c r="I29" s="88"/>
      <c r="J29" s="118">
        <f ca="1">P101</f>
        <v>4.8002500000000001</v>
      </c>
      <c r="L29" s="88" t="s">
        <v>25</v>
      </c>
      <c r="M29" s="88"/>
      <c r="N29" s="88"/>
      <c r="O29" s="114">
        <f ca="1">E24</f>
        <v>405.75803999999999</v>
      </c>
    </row>
    <row r="30" spans="2:27" s="36" customFormat="1" ht="15" customHeight="1">
      <c r="B30" s="57" t="s">
        <v>201</v>
      </c>
      <c r="E30" s="118">
        <f ca="1">-F112</f>
        <v>-187.29832323239592</v>
      </c>
      <c r="G30" s="88" t="s">
        <v>251</v>
      </c>
      <c r="H30" s="88"/>
      <c r="I30" s="88"/>
      <c r="J30" s="118">
        <f ca="1">H91+I91</f>
        <v>8.25</v>
      </c>
      <c r="L30" s="88" t="s">
        <v>661</v>
      </c>
      <c r="M30" s="88"/>
      <c r="N30" s="88"/>
      <c r="O30" s="118">
        <f>F157</f>
        <v>0</v>
      </c>
    </row>
    <row r="31" spans="2:27" s="36" customFormat="1" ht="15" customHeight="1">
      <c r="B31" s="155" t="s">
        <v>341</v>
      </c>
      <c r="C31" s="156"/>
      <c r="D31" s="156"/>
      <c r="E31" s="157">
        <f ca="1">SUM(E24:E30)</f>
        <v>458.4722167676041</v>
      </c>
      <c r="G31" s="88" t="s">
        <v>313</v>
      </c>
      <c r="H31" s="88"/>
      <c r="I31" s="88"/>
      <c r="J31" s="126">
        <f>Inputs!E62</f>
        <v>30</v>
      </c>
      <c r="L31" s="88" t="s">
        <v>175</v>
      </c>
      <c r="M31" s="88"/>
      <c r="N31" s="88"/>
      <c r="O31" s="118">
        <f ca="1">(F156-F128)</f>
        <v>-138.70244858694224</v>
      </c>
    </row>
    <row r="32" spans="2:27" s="36" customFormat="1" ht="15" customHeight="1">
      <c r="G32" s="36" t="s">
        <v>316</v>
      </c>
      <c r="J32" s="118">
        <f>O46</f>
        <v>50</v>
      </c>
      <c r="L32" s="119" t="s">
        <v>176</v>
      </c>
      <c r="M32" s="116"/>
      <c r="N32" s="119"/>
      <c r="O32" s="158">
        <f ca="1">SUM(O29:O31)</f>
        <v>267.05559141305775</v>
      </c>
    </row>
    <row r="33" spans="2:16" s="36" customFormat="1" ht="15" customHeight="1">
      <c r="B33" s="108" t="s">
        <v>364</v>
      </c>
      <c r="C33" s="109"/>
      <c r="D33" s="109"/>
      <c r="E33" s="110"/>
      <c r="G33" s="130" t="s">
        <v>27</v>
      </c>
      <c r="H33" s="130"/>
      <c r="I33" s="131"/>
      <c r="J33" s="132">
        <f ca="1">SUM(J20:J21,J27:J32)</f>
        <v>743.68264999999997</v>
      </c>
      <c r="L33" s="139" t="s">
        <v>177</v>
      </c>
      <c r="M33" s="139"/>
      <c r="N33" s="88"/>
      <c r="O33" s="118">
        <f>-F121</f>
        <v>-61.094000000000001</v>
      </c>
      <c r="P33" s="125"/>
    </row>
    <row r="34" spans="2:16" s="36" customFormat="1" ht="15" customHeight="1" thickBot="1">
      <c r="B34" s="159"/>
      <c r="C34" s="159"/>
      <c r="D34" s="160" t="s">
        <v>345</v>
      </c>
      <c r="E34" s="160" t="s">
        <v>253</v>
      </c>
      <c r="L34" s="139" t="s">
        <v>204</v>
      </c>
      <c r="M34" s="139"/>
      <c r="N34" s="88"/>
      <c r="O34" s="118">
        <f>-F122</f>
        <v>0</v>
      </c>
      <c r="P34" s="125"/>
    </row>
    <row r="35" spans="2:16" s="36" customFormat="1" ht="15" customHeight="1">
      <c r="B35" s="88" t="str">
        <f>YEAR(Target!G500)&amp;" Revenue multiple"</f>
        <v>2023 Revenue multiple</v>
      </c>
      <c r="C35" s="88"/>
      <c r="D35" s="161">
        <f ca="1">Target!G645</f>
        <v>0.82679734352052181</v>
      </c>
      <c r="E35" s="161">
        <f ca="1">E31/Target!G10</f>
        <v>0.97964148881966684</v>
      </c>
      <c r="G35" s="108" t="s">
        <v>249</v>
      </c>
      <c r="H35" s="109"/>
      <c r="I35" s="109"/>
      <c r="J35" s="110"/>
      <c r="L35" s="139" t="s">
        <v>71</v>
      </c>
      <c r="M35" s="139"/>
      <c r="N35" s="88"/>
      <c r="O35" s="118">
        <f ca="1">SUMIF(E58:E63,1,H58:H63)-SUMIF(E58:E63,0,H58:H63)</f>
        <v>81.763897853264439</v>
      </c>
    </row>
    <row r="36" spans="2:16" s="36" customFormat="1" ht="15" customHeight="1">
      <c r="B36" s="88" t="str">
        <f>YEAR(Target!H500)&amp;" Revenue multiple"</f>
        <v>2024 Revenue multiple</v>
      </c>
      <c r="D36" s="161">
        <f ca="1">Target!G646</f>
        <v>0.82240415891095464</v>
      </c>
      <c r="E36" s="161">
        <f ca="1">E31/Target!H10</f>
        <v>0.97443616741254857</v>
      </c>
      <c r="G36" s="112" t="s">
        <v>494</v>
      </c>
      <c r="H36" s="88"/>
      <c r="I36" s="88"/>
      <c r="J36" s="88"/>
      <c r="L36" s="139" t="s">
        <v>26</v>
      </c>
      <c r="M36" s="139"/>
      <c r="N36" s="88"/>
      <c r="O36" s="118">
        <f ca="1">-O22</f>
        <v>-28.617609540336119</v>
      </c>
    </row>
    <row r="37" spans="2:16" s="36" customFormat="1" ht="15" customHeight="1">
      <c r="B37" s="88" t="str">
        <f>YEAR(Target!G500)&amp;" EBITDA multiple"</f>
        <v>2023 EBITDA multiple</v>
      </c>
      <c r="C37" s="88"/>
      <c r="D37" s="161">
        <f ca="1">Target!G649</f>
        <v>3.0588233736569506</v>
      </c>
      <c r="E37" s="161">
        <f ca="1">E31/Target!G14</f>
        <v>3.6242862985581357</v>
      </c>
      <c r="G37" s="88" t="str">
        <f>acquirer&amp;" existing cash"</f>
        <v>BuyerCo existing cash</v>
      </c>
      <c r="H37" s="88"/>
      <c r="I37" s="88"/>
      <c r="J37" s="114">
        <f ca="1">E112</f>
        <v>1234.4111951841294</v>
      </c>
      <c r="L37" s="139" t="s">
        <v>171</v>
      </c>
      <c r="M37" s="139"/>
      <c r="N37" s="88"/>
      <c r="O37" s="118">
        <f ca="1">O26</f>
        <v>0</v>
      </c>
    </row>
    <row r="38" spans="2:16" s="36" customFormat="1" ht="15" customHeight="1">
      <c r="B38" s="88" t="str">
        <f>YEAR(Target!H500)&amp;" EBITDA multiple"</f>
        <v>2024 EBITDA multiple</v>
      </c>
      <c r="D38" s="161">
        <f ca="1">Target!G650</f>
        <v>3.0734007686068638</v>
      </c>
      <c r="E38" s="161">
        <f ca="1">E31/Target!H14</f>
        <v>3.6415585128483245</v>
      </c>
      <c r="G38" s="88" t="str">
        <f>target&amp;" existing cash"</f>
        <v>TargetCo existing cash</v>
      </c>
      <c r="H38" s="88"/>
      <c r="I38" s="88"/>
      <c r="J38" s="118">
        <f ca="1">F112</f>
        <v>187.29832323239592</v>
      </c>
      <c r="L38" s="128" t="s">
        <v>178</v>
      </c>
      <c r="M38" s="128"/>
      <c r="N38" s="128"/>
      <c r="O38" s="162">
        <f ca="1">SUM(O33:O37)</f>
        <v>-7.9477116870716813</v>
      </c>
    </row>
    <row r="39" spans="2:16" s="36" customFormat="1" ht="15" customHeight="1">
      <c r="B39" s="88" t="str">
        <f>YEAR(Target!G500)&amp;" EBIT multiple"</f>
        <v>2023 EBIT multiple</v>
      </c>
      <c r="C39" s="88"/>
      <c r="D39" s="161">
        <f ca="1">Target!G653</f>
        <v>4.2898132679335284</v>
      </c>
      <c r="E39" s="161">
        <f ca="1">E31/Target!G18</f>
        <v>5.0828405406607997</v>
      </c>
      <c r="G39" s="36" t="s">
        <v>301</v>
      </c>
      <c r="J39" s="163">
        <f ca="1">J11+J14+J13</f>
        <v>516.66318158347474</v>
      </c>
      <c r="L39" s="128" t="s">
        <v>179</v>
      </c>
      <c r="M39" s="128"/>
      <c r="N39" s="128"/>
      <c r="O39" s="162">
        <f ca="1">O32-O38</f>
        <v>275.00330310012941</v>
      </c>
    </row>
    <row r="40" spans="2:16" s="36" customFormat="1" ht="15" customHeight="1">
      <c r="B40" s="88" t="str">
        <f>YEAR(Target!H500)&amp;" EBIT multiple"</f>
        <v>2024 EBIT multiple</v>
      </c>
      <c r="C40" s="88"/>
      <c r="D40" s="161">
        <f ca="1">Target!G654</f>
        <v>4.3233648800849629</v>
      </c>
      <c r="E40" s="161">
        <f ca="1">E31/Target!H18</f>
        <v>5.1225946007553533</v>
      </c>
      <c r="G40" s="88" t="s">
        <v>302</v>
      </c>
      <c r="H40" s="88"/>
      <c r="I40" s="88"/>
      <c r="J40" s="126">
        <f>-Inputs!E63</f>
        <v>-1400</v>
      </c>
      <c r="L40" s="88" t="s">
        <v>24</v>
      </c>
      <c r="M40" s="88"/>
      <c r="N40" s="88"/>
      <c r="O40" s="118">
        <f ca="1">MAX(0,-O39)</f>
        <v>0</v>
      </c>
    </row>
    <row r="41" spans="2:16" s="36" customFormat="1" ht="15" customHeight="1">
      <c r="B41" s="88" t="str">
        <f>YEAR(Target!G500)&amp;" P / E multiple"</f>
        <v>2023 P / E multiple</v>
      </c>
      <c r="C41" s="88"/>
      <c r="D41" s="161">
        <f ca="1">Target!G657</f>
        <v>8.0334575559997958</v>
      </c>
      <c r="E41" s="161">
        <f ca="1">E24/Target!G35</f>
        <v>10.068713251611037</v>
      </c>
      <c r="G41" s="164" t="s">
        <v>250</v>
      </c>
      <c r="H41" s="165"/>
      <c r="I41" s="165"/>
      <c r="J41" s="166">
        <f ca="1">SUM(J37:J40)</f>
        <v>538.3726999999999</v>
      </c>
      <c r="L41" s="167" t="s">
        <v>23</v>
      </c>
      <c r="M41" s="167"/>
      <c r="N41" s="168"/>
      <c r="O41" s="169">
        <f ca="1">SUM(O39:O40)</f>
        <v>275.00330310012941</v>
      </c>
    </row>
    <row r="42" spans="2:16" s="36" customFormat="1" ht="15" customHeight="1">
      <c r="B42" s="88" t="str">
        <f>YEAR(Target!H500)&amp;" P / E multiple"</f>
        <v>2024 P / E multiple</v>
      </c>
      <c r="C42" s="88"/>
      <c r="D42" s="161">
        <f ca="1">Target!G658</f>
        <v>8.0619462267586748</v>
      </c>
      <c r="E42" s="161">
        <f ca="1">E24/Target!H35</f>
        <v>10.104419453429017</v>
      </c>
      <c r="G42" s="88"/>
      <c r="H42" s="88"/>
      <c r="I42" s="88"/>
      <c r="J42" s="170"/>
    </row>
    <row r="43" spans="2:16" s="36" customFormat="1" ht="15" customHeight="1">
      <c r="B43" s="139"/>
      <c r="C43" s="88"/>
      <c r="D43" s="88"/>
      <c r="E43" s="141"/>
      <c r="G43" s="112" t="s">
        <v>495</v>
      </c>
      <c r="H43" s="88"/>
      <c r="I43" s="88"/>
      <c r="J43" s="170"/>
      <c r="L43" s="108" t="s">
        <v>242</v>
      </c>
      <c r="M43" s="109"/>
      <c r="N43" s="109"/>
      <c r="O43" s="110"/>
    </row>
    <row r="44" spans="2:16" s="36" customFormat="1" ht="15" customHeight="1">
      <c r="B44" s="108" t="s">
        <v>255</v>
      </c>
      <c r="C44" s="109"/>
      <c r="D44" s="109"/>
      <c r="E44" s="110"/>
      <c r="G44" s="88" t="s">
        <v>43</v>
      </c>
      <c r="H44" s="88"/>
      <c r="I44" s="88"/>
      <c r="J44" s="114">
        <f ca="1">J18</f>
        <v>205.30994999999999</v>
      </c>
      <c r="L44" s="36" t="s">
        <v>240</v>
      </c>
      <c r="O44" s="135">
        <f>Inputs!M50</f>
        <v>200</v>
      </c>
    </row>
    <row r="45" spans="2:16" s="36" customFormat="1" ht="15" customHeight="1">
      <c r="B45" s="36" t="str">
        <f>acquirer&amp;" standalone FDSO"</f>
        <v>BuyerCo standalone FDSO</v>
      </c>
      <c r="E45" s="171">
        <f ca="1">E171</f>
        <v>219.33003090507728</v>
      </c>
      <c r="G45" s="88" t="str">
        <f>target&amp;" debt &amp; preferred retired"</f>
        <v>TargetCo debt &amp; preferred retired</v>
      </c>
      <c r="H45" s="88"/>
      <c r="I45" s="88"/>
      <c r="J45" s="118">
        <f ca="1">SUM(J22:J26)</f>
        <v>240.01249999999999</v>
      </c>
      <c r="L45" s="36" t="s">
        <v>239</v>
      </c>
      <c r="O45" s="122">
        <f>Inputs!M51</f>
        <v>0.25</v>
      </c>
    </row>
    <row r="46" spans="2:16" s="36" customFormat="1" ht="15" customHeight="1">
      <c r="B46" s="36" t="str">
        <f>"( + ) "&amp;acquirer&amp;" shares issued as consideration to seller"</f>
        <v>( + ) BuyerCo shares issued as consideration to seller</v>
      </c>
      <c r="E46" s="171">
        <f ca="1">J19/E11</f>
        <v>6.4746121097445597</v>
      </c>
      <c r="G46" s="36" t="s">
        <v>316</v>
      </c>
      <c r="J46" s="118">
        <f>O46</f>
        <v>50</v>
      </c>
      <c r="L46" s="123" t="s">
        <v>241</v>
      </c>
      <c r="M46" s="123"/>
      <c r="N46" s="123"/>
      <c r="O46" s="172">
        <f>O44*O45</f>
        <v>50</v>
      </c>
    </row>
    <row r="47" spans="2:16" s="36" customFormat="1" ht="15" customHeight="1">
      <c r="B47" s="36" t="str">
        <f>"( + ) "&amp;acquirer&amp;" shares issued to third parties"</f>
        <v>( + ) BuyerCo shares issued to third parties</v>
      </c>
      <c r="E47" s="173">
        <f ca="1">E90/(E11/(1+Inputs!M60))</f>
        <v>2.4597918637653735</v>
      </c>
      <c r="G47" s="88" t="s">
        <v>279</v>
      </c>
      <c r="H47" s="88"/>
      <c r="I47" s="88"/>
      <c r="J47" s="118">
        <f ca="1">J29</f>
        <v>4.8002500000000001</v>
      </c>
    </row>
    <row r="48" spans="2:16" s="36" customFormat="1" ht="15" customHeight="1">
      <c r="B48" s="36" t="str">
        <f>"( + ) "&amp;target&amp;" options rolled over (Treasury Method)"</f>
        <v>( + ) TargetCo options rolled over (Treasury Method)</v>
      </c>
      <c r="E48" s="171">
        <f ca="1">I80*E14</f>
        <v>0</v>
      </c>
      <c r="G48" s="88" t="s">
        <v>251</v>
      </c>
      <c r="H48" s="88"/>
      <c r="I48" s="88"/>
      <c r="J48" s="118">
        <f ca="1">J30</f>
        <v>8.25</v>
      </c>
      <c r="L48" s="108" t="s">
        <v>306</v>
      </c>
      <c r="M48" s="109"/>
      <c r="N48" s="109"/>
      <c r="O48" s="110"/>
    </row>
    <row r="49" spans="2:25" s="36" customFormat="1" ht="15" customHeight="1">
      <c r="B49" s="36" t="str">
        <f>"( + ) "&amp;acquirer&amp;" warrants issued (Treasury Method)"</f>
        <v>( + ) BuyerCo warrants issued (Treasury Method)</v>
      </c>
      <c r="E49" s="174">
        <v>0</v>
      </c>
      <c r="G49" s="88" t="s">
        <v>252</v>
      </c>
      <c r="H49" s="88"/>
      <c r="I49" s="88"/>
      <c r="J49" s="118">
        <f>J31</f>
        <v>30</v>
      </c>
      <c r="L49" s="88" t="s">
        <v>307</v>
      </c>
      <c r="M49" s="88"/>
      <c r="N49" s="88"/>
      <c r="O49" s="175" t="str">
        <f ca="1">IF(ROUND(ABS(J15-J33),3)=0,"OK","CHECK")</f>
        <v>OK</v>
      </c>
    </row>
    <row r="50" spans="2:25" s="36" customFormat="1" ht="15" customHeight="1">
      <c r="B50" s="123" t="s">
        <v>254</v>
      </c>
      <c r="C50" s="123"/>
      <c r="D50" s="123"/>
      <c r="E50" s="176">
        <f ca="1">SUM(E45:E49)</f>
        <v>228.2644348785872</v>
      </c>
      <c r="G50" s="116" t="s">
        <v>393</v>
      </c>
      <c r="H50" s="116"/>
      <c r="I50" s="116"/>
      <c r="J50" s="144">
        <f ca="1">SUM(J44:J49)</f>
        <v>538.37270000000001</v>
      </c>
      <c r="L50" s="36" t="s">
        <v>511</v>
      </c>
      <c r="O50" s="175" t="str">
        <f ca="1">IF(J52&lt;=J41,"OK","CHECK")</f>
        <v>OK</v>
      </c>
    </row>
    <row r="51" spans="2:25" s="36" customFormat="1" ht="15" customHeight="1">
      <c r="B51" s="59" t="str">
        <f>"Existing "&amp;acquirer&amp;" shareholder pro forma ownership"</f>
        <v>Existing BuyerCo shareholder pro forma ownership</v>
      </c>
      <c r="E51" s="177">
        <f ca="1">E45/E50</f>
        <v>0.96085941299501132</v>
      </c>
      <c r="G51" s="88" t="str">
        <f>"Optional pay-down of "&amp;acquirer&amp;" revolver"</f>
        <v>Optional pay-down of BuyerCo revolver</v>
      </c>
      <c r="H51" s="88"/>
      <c r="I51" s="127">
        <f ca="1">Inputs!G25</f>
        <v>1</v>
      </c>
      <c r="J51" s="118">
        <f ca="1">MAX(MIN(J41-J50,E140),0)*I51</f>
        <v>0</v>
      </c>
      <c r="L51" s="88" t="s">
        <v>308</v>
      </c>
      <c r="M51" s="88"/>
      <c r="N51" s="88"/>
      <c r="O51" s="175" t="str">
        <f ca="1">IF(SUM(E174:U174)=0,"OK","CHECK")</f>
        <v>OK</v>
      </c>
    </row>
    <row r="52" spans="2:25" s="36" customFormat="1" ht="15" customHeight="1">
      <c r="G52" s="164" t="s">
        <v>300</v>
      </c>
      <c r="H52" s="165"/>
      <c r="I52" s="165"/>
      <c r="J52" s="166">
        <f ca="1">SUM(J50:J51)</f>
        <v>538.37270000000001</v>
      </c>
      <c r="L52" s="88" t="s">
        <v>430</v>
      </c>
      <c r="M52" s="88"/>
      <c r="N52" s="88"/>
      <c r="O52" s="175" t="str">
        <f ca="1">IF(SUM('Pro Forma'!G155:R155)=0,"OK","CHECK")</f>
        <v>OK</v>
      </c>
    </row>
    <row r="53" spans="2:25" s="36" customFormat="1" ht="15" customHeight="1">
      <c r="L53" s="88" t="str">
        <f>acquirer&amp;" standalone balance sheet balances"</f>
        <v>BuyerCo standalone balance sheet balances</v>
      </c>
      <c r="M53" s="88"/>
      <c r="N53" s="88"/>
      <c r="O53" s="175" t="str">
        <f ca="1">IF(SUM(Acquirer!F126:T126)=0,"OK","CHECK")</f>
        <v>OK</v>
      </c>
    </row>
    <row r="54" spans="2:25" s="36" customFormat="1" ht="15" customHeight="1">
      <c r="B54" s="108" t="str">
        <f>target&amp;" Fair Value Adjustments"</f>
        <v>TargetCo Fair Value Adjustments</v>
      </c>
      <c r="C54" s="109"/>
      <c r="D54" s="109"/>
      <c r="E54" s="109"/>
      <c r="F54" s="109"/>
      <c r="G54" s="109"/>
      <c r="H54" s="109"/>
      <c r="I54" s="109"/>
      <c r="J54" s="178"/>
      <c r="L54" s="88" t="str">
        <f>target&amp;" standalone balance sheet balances"</f>
        <v>TargetCo standalone balance sheet balances</v>
      </c>
      <c r="M54" s="88"/>
      <c r="N54" s="88"/>
      <c r="O54" s="175" t="str">
        <f ca="1">IF(SUM(Target!F126:T126)=0,"OK","CHECK")</f>
        <v>OK</v>
      </c>
    </row>
    <row r="55" spans="2:25" s="88" customFormat="1" ht="15" customHeight="1">
      <c r="B55" s="88" t="s">
        <v>626</v>
      </c>
      <c r="F55" s="179">
        <v>0.25</v>
      </c>
      <c r="L55" s="88" t="s">
        <v>627</v>
      </c>
      <c r="O55" s="175" t="str">
        <f ca="1">IF(S140&lt;='Pro Forma'!G352,"OK","CHECK")</f>
        <v>OK</v>
      </c>
    </row>
    <row r="56" spans="2:25" s="88" customFormat="1" ht="15" customHeight="1"/>
    <row r="57" spans="2:25" s="88" customFormat="1" ht="15" customHeight="1" thickBot="1">
      <c r="B57" s="180" t="s">
        <v>499</v>
      </c>
      <c r="C57" s="159"/>
      <c r="D57" s="159"/>
      <c r="E57" s="181" t="s">
        <v>496</v>
      </c>
      <c r="F57" s="181" t="s">
        <v>507</v>
      </c>
      <c r="G57" s="181" t="s">
        <v>506</v>
      </c>
      <c r="H57" s="181" t="s">
        <v>508</v>
      </c>
      <c r="I57" s="181" t="s">
        <v>509</v>
      </c>
      <c r="J57" s="181" t="s">
        <v>510</v>
      </c>
      <c r="V57" s="36"/>
      <c r="W57" s="36"/>
      <c r="X57" s="36"/>
      <c r="Y57" s="36"/>
    </row>
    <row r="58" spans="2:25" s="88" customFormat="1" ht="15" customHeight="1">
      <c r="B58" s="68" t="s">
        <v>164</v>
      </c>
      <c r="D58" s="182"/>
      <c r="E58" s="183">
        <v>1</v>
      </c>
      <c r="F58" s="114">
        <f>F118</f>
        <v>51.05</v>
      </c>
      <c r="G58" s="91">
        <f>F58+15</f>
        <v>66.05</v>
      </c>
      <c r="H58" s="114">
        <f>G58-F58</f>
        <v>15</v>
      </c>
      <c r="I58" s="114">
        <f t="shared" ref="I58:I63" si="0">IF(carryover,MAX(0,H58*CHOOSE(E58+1,1,-1))*tax,0)</f>
        <v>0</v>
      </c>
      <c r="J58" s="114">
        <f t="shared" ref="J58:J63" si="1">IF(carryover,MAX(0,H58*CHOOSE(E58+1,-1,1))*tax,0)</f>
        <v>5.250045000000001</v>
      </c>
      <c r="V58" s="36"/>
      <c r="W58" s="36"/>
      <c r="X58" s="36"/>
      <c r="Y58" s="36"/>
    </row>
    <row r="59" spans="2:25" s="88" customFormat="1" ht="15" customHeight="1">
      <c r="B59" s="68" t="s">
        <v>165</v>
      </c>
      <c r="D59" s="182"/>
      <c r="E59" s="183">
        <v>1</v>
      </c>
      <c r="F59" s="98">
        <v>0</v>
      </c>
      <c r="G59" s="118">
        <f ca="1">H59-F59</f>
        <v>66.763897853264439</v>
      </c>
      <c r="H59" s="184">
        <f ca="1">F55*O32</f>
        <v>66.763897853264439</v>
      </c>
      <c r="I59" s="118">
        <f t="shared" ca="1" si="0"/>
        <v>0</v>
      </c>
      <c r="J59" s="118">
        <f t="shared" ca="1" si="1"/>
        <v>23.367564540336119</v>
      </c>
      <c r="V59" s="36"/>
      <c r="W59" s="36"/>
      <c r="X59" s="36"/>
      <c r="Y59" s="36"/>
    </row>
    <row r="60" spans="2:25" s="88" customFormat="1" ht="15" customHeight="1">
      <c r="B60" s="68" t="s">
        <v>166</v>
      </c>
      <c r="E60" s="183">
        <v>1</v>
      </c>
      <c r="F60" s="98">
        <v>0</v>
      </c>
      <c r="G60" s="98">
        <v>0</v>
      </c>
      <c r="H60" s="118">
        <f>G60-F60</f>
        <v>0</v>
      </c>
      <c r="I60" s="118">
        <f t="shared" si="0"/>
        <v>0</v>
      </c>
      <c r="J60" s="118">
        <f t="shared" si="1"/>
        <v>0</v>
      </c>
      <c r="V60" s="36"/>
      <c r="W60" s="36"/>
      <c r="X60" s="36"/>
      <c r="Y60" s="36"/>
    </row>
    <row r="61" spans="2:25" s="88" customFormat="1" ht="15" customHeight="1">
      <c r="B61" s="68" t="s">
        <v>167</v>
      </c>
      <c r="E61" s="183">
        <v>0</v>
      </c>
      <c r="F61" s="98">
        <v>0</v>
      </c>
      <c r="G61" s="98">
        <v>0</v>
      </c>
      <c r="H61" s="118">
        <f>G61-F61</f>
        <v>0</v>
      </c>
      <c r="I61" s="118">
        <f t="shared" si="0"/>
        <v>0</v>
      </c>
      <c r="J61" s="118">
        <f t="shared" si="1"/>
        <v>0</v>
      </c>
      <c r="V61" s="36"/>
      <c r="W61" s="36"/>
      <c r="X61" s="36"/>
      <c r="Y61" s="36"/>
    </row>
    <row r="62" spans="2:25" s="88" customFormat="1" ht="15" customHeight="1">
      <c r="B62" s="68" t="s">
        <v>168</v>
      </c>
      <c r="E62" s="183">
        <v>0</v>
      </c>
      <c r="F62" s="98">
        <v>0</v>
      </c>
      <c r="G62" s="98">
        <v>0</v>
      </c>
      <c r="H62" s="118">
        <f>G62-F62</f>
        <v>0</v>
      </c>
      <c r="I62" s="118">
        <f t="shared" si="0"/>
        <v>0</v>
      </c>
      <c r="J62" s="118">
        <f t="shared" si="1"/>
        <v>0</v>
      </c>
      <c r="V62" s="36"/>
      <c r="W62" s="36"/>
      <c r="X62" s="36"/>
      <c r="Y62" s="36"/>
    </row>
    <row r="63" spans="2:25" s="88" customFormat="1" ht="15" customHeight="1">
      <c r="B63" s="68" t="s">
        <v>169</v>
      </c>
      <c r="E63" s="183">
        <v>0</v>
      </c>
      <c r="F63" s="98">
        <v>0</v>
      </c>
      <c r="G63" s="98">
        <v>0</v>
      </c>
      <c r="H63" s="118">
        <f>G63-F63</f>
        <v>0</v>
      </c>
      <c r="I63" s="118">
        <f t="shared" si="0"/>
        <v>0</v>
      </c>
      <c r="J63" s="118">
        <f t="shared" si="1"/>
        <v>0</v>
      </c>
    </row>
    <row r="64" spans="2:25" s="88" customFormat="1" ht="15" customHeight="1">
      <c r="B64" s="116" t="s">
        <v>67</v>
      </c>
      <c r="C64" s="123"/>
      <c r="D64" s="123"/>
      <c r="E64" s="123"/>
      <c r="F64" s="172"/>
      <c r="G64" s="172"/>
      <c r="H64" s="172"/>
      <c r="I64" s="172">
        <f ca="1">SUM(I58:OFFSET(I64,-1,0))</f>
        <v>0</v>
      </c>
      <c r="J64" s="172">
        <f ca="1">SUM(J58:OFFSET(J64,-1,0))</f>
        <v>28.617609540336119</v>
      </c>
    </row>
    <row r="65" spans="2:10" s="88" customFormat="1" ht="15" customHeight="1"/>
    <row r="66" spans="2:10" s="88" customFormat="1" ht="15" customHeight="1">
      <c r="B66" s="108" t="str">
        <f>target&amp;" Stock Options"</f>
        <v>TargetCo Stock Options</v>
      </c>
      <c r="C66" s="109"/>
      <c r="D66" s="109"/>
      <c r="E66" s="109"/>
      <c r="F66" s="109"/>
      <c r="G66" s="109"/>
      <c r="H66" s="109"/>
      <c r="I66" s="109"/>
      <c r="J66" s="178"/>
    </row>
    <row r="67" spans="2:10" s="88" customFormat="1" ht="15" customHeight="1">
      <c r="B67" s="36"/>
      <c r="C67" s="185" t="str">
        <f>target&amp;" Options Outstanding"</f>
        <v>TargetCo Options Outstanding</v>
      </c>
      <c r="D67" s="185"/>
      <c r="E67" s="185" t="s">
        <v>259</v>
      </c>
      <c r="F67" s="185"/>
      <c r="G67" s="185" t="s">
        <v>263</v>
      </c>
      <c r="H67" s="185"/>
      <c r="I67" s="185"/>
      <c r="J67" s="185"/>
    </row>
    <row r="68" spans="2:10" s="88" customFormat="1" ht="15" customHeight="1">
      <c r="B68" s="186"/>
      <c r="C68" s="187" t="s">
        <v>183</v>
      </c>
      <c r="D68" s="187" t="s">
        <v>184</v>
      </c>
      <c r="E68" s="187" t="s">
        <v>258</v>
      </c>
      <c r="F68" s="187" t="s">
        <v>260</v>
      </c>
      <c r="G68" s="187" t="s">
        <v>262</v>
      </c>
      <c r="H68" s="187" t="s">
        <v>261</v>
      </c>
      <c r="I68" s="187" t="s">
        <v>185</v>
      </c>
      <c r="J68" s="187" t="s">
        <v>274</v>
      </c>
    </row>
    <row r="69" spans="2:10" s="88" customFormat="1" ht="15" customHeight="1" thickBot="1">
      <c r="B69" s="159"/>
      <c r="C69" s="181" t="s">
        <v>182</v>
      </c>
      <c r="D69" s="181" t="s">
        <v>186</v>
      </c>
      <c r="E69" s="181" t="s">
        <v>182</v>
      </c>
      <c r="F69" s="181" t="s">
        <v>259</v>
      </c>
      <c r="G69" s="181" t="str">
        <f>acquirer&amp;" Options"</f>
        <v>BuyerCo Options</v>
      </c>
      <c r="H69" s="181" t="s">
        <v>186</v>
      </c>
      <c r="I69" s="181" t="s">
        <v>257</v>
      </c>
      <c r="J69" s="181" t="s">
        <v>269</v>
      </c>
    </row>
    <row r="70" spans="2:10" s="88" customFormat="1" ht="15" customHeight="1">
      <c r="B70" s="188" t="str">
        <f>Target!B510</f>
        <v>Tranche 1</v>
      </c>
      <c r="C70" s="173">
        <f>Target!D510</f>
        <v>0.40200000000000002</v>
      </c>
      <c r="D70" s="189">
        <f>Target!E510</f>
        <v>9.1300000000000008</v>
      </c>
      <c r="E70" s="134">
        <f t="shared" ref="E70:E79" ca="1" si="2">IF(D70&gt;$E$10,0,C70)</f>
        <v>0.40200000000000002</v>
      </c>
      <c r="F70" s="114">
        <f t="shared" ref="F70:F79" ca="1" si="3">D70*E70</f>
        <v>3.6702600000000007</v>
      </c>
      <c r="G70" s="134">
        <f t="shared" ref="G70:G79" ca="1" si="4">C70*$E$12</f>
        <v>0.14515610217596972</v>
      </c>
      <c r="H70" s="190">
        <f t="shared" ref="H70:H79" ca="1" si="5">D70/$E$12</f>
        <v>25.284917030567687</v>
      </c>
      <c r="I70" s="134">
        <f t="shared" ref="I70:I79" ca="1" si="6">IF(H70&gt;$E$11,0,G70-G70*H70/$E$11)</f>
        <v>2.9411542100283808E-2</v>
      </c>
      <c r="J70" s="114">
        <f t="shared" ref="J70:J79" ca="1" si="7">MAX(0,($E$11-H70)*G70)</f>
        <v>0.93263999999999991</v>
      </c>
    </row>
    <row r="71" spans="2:10" s="88" customFormat="1" ht="15" customHeight="1">
      <c r="B71" s="188" t="str">
        <f>Target!B511</f>
        <v>Tranche 2</v>
      </c>
      <c r="C71" s="173">
        <f>Target!D511</f>
        <v>0.12</v>
      </c>
      <c r="D71" s="191">
        <f>Target!E511</f>
        <v>9.93</v>
      </c>
      <c r="E71" s="134">
        <f t="shared" ca="1" si="2"/>
        <v>0.12</v>
      </c>
      <c r="F71" s="118">
        <f t="shared" ca="1" si="3"/>
        <v>1.1916</v>
      </c>
      <c r="G71" s="134">
        <f t="shared" ca="1" si="4"/>
        <v>4.3330179754020808E-2</v>
      </c>
      <c r="H71" s="192">
        <f t="shared" ca="1" si="5"/>
        <v>27.50046288209607</v>
      </c>
      <c r="I71" s="134">
        <f t="shared" ca="1" si="6"/>
        <v>5.7521286660359508E-3</v>
      </c>
      <c r="J71" s="118">
        <f t="shared" ca="1" si="7"/>
        <v>0.18240000000000001</v>
      </c>
    </row>
    <row r="72" spans="2:10" s="88" customFormat="1" ht="15" customHeight="1">
      <c r="B72" s="188" t="str">
        <f>Target!B512</f>
        <v>Tranche 3</v>
      </c>
      <c r="C72" s="173">
        <f>Target!D512</f>
        <v>0.46600000000000003</v>
      </c>
      <c r="D72" s="191">
        <f>Target!E512</f>
        <v>11.6</v>
      </c>
      <c r="E72" s="134">
        <f t="shared" ca="1" si="2"/>
        <v>0</v>
      </c>
      <c r="F72" s="118">
        <f t="shared" ca="1" si="3"/>
        <v>0</v>
      </c>
      <c r="G72" s="134">
        <f t="shared" ca="1" si="4"/>
        <v>0.16826553137811417</v>
      </c>
      <c r="H72" s="192">
        <f t="shared" ca="1" si="5"/>
        <v>32.125414847161572</v>
      </c>
      <c r="I72" s="134">
        <f t="shared" ca="1" si="6"/>
        <v>0</v>
      </c>
      <c r="J72" s="118">
        <f t="shared" ca="1" si="7"/>
        <v>0</v>
      </c>
    </row>
    <row r="73" spans="2:10" s="88" customFormat="1" ht="15" customHeight="1">
      <c r="B73" s="188" t="str">
        <f>Target!B513</f>
        <v>Tranche 4</v>
      </c>
      <c r="C73" s="173">
        <f>Target!D513</f>
        <v>0.3</v>
      </c>
      <c r="D73" s="191">
        <f>Target!E513</f>
        <v>12.64</v>
      </c>
      <c r="E73" s="134">
        <f t="shared" ca="1" si="2"/>
        <v>0</v>
      </c>
      <c r="F73" s="118">
        <f t="shared" ca="1" si="3"/>
        <v>0</v>
      </c>
      <c r="G73" s="134">
        <f t="shared" ca="1" si="4"/>
        <v>0.10832544938505202</v>
      </c>
      <c r="H73" s="192">
        <f t="shared" ca="1" si="5"/>
        <v>35.005624454148474</v>
      </c>
      <c r="I73" s="134">
        <f t="shared" ca="1" si="6"/>
        <v>0</v>
      </c>
      <c r="J73" s="118">
        <f t="shared" ca="1" si="7"/>
        <v>0</v>
      </c>
    </row>
    <row r="74" spans="2:10" s="88" customFormat="1" ht="15" customHeight="1">
      <c r="B74" s="188" t="str">
        <f>Target!B514</f>
        <v>Tranche 5</v>
      </c>
      <c r="C74" s="173">
        <f>Target!D514</f>
        <v>0.52</v>
      </c>
      <c r="D74" s="191">
        <f>Target!E514</f>
        <v>19.48</v>
      </c>
      <c r="E74" s="134">
        <f t="shared" ca="1" si="2"/>
        <v>0</v>
      </c>
      <c r="F74" s="118">
        <f t="shared" ca="1" si="3"/>
        <v>0</v>
      </c>
      <c r="G74" s="134">
        <f t="shared" ca="1" si="4"/>
        <v>0.18776411226742354</v>
      </c>
      <c r="H74" s="192">
        <f t="shared" ca="1" si="5"/>
        <v>53.948541484716159</v>
      </c>
      <c r="I74" s="134">
        <f t="shared" ca="1" si="6"/>
        <v>0</v>
      </c>
      <c r="J74" s="118">
        <f t="shared" ca="1" si="7"/>
        <v>0</v>
      </c>
    </row>
    <row r="75" spans="2:10" s="88" customFormat="1" ht="15" customHeight="1">
      <c r="B75" s="188" t="str">
        <f>Target!B515</f>
        <v>Tranche 6</v>
      </c>
      <c r="C75" s="173">
        <f>Target!D515</f>
        <v>0.42199999999999999</v>
      </c>
      <c r="D75" s="191">
        <f>Target!E515</f>
        <v>27.03</v>
      </c>
      <c r="E75" s="134">
        <f t="shared" ca="1" si="2"/>
        <v>0</v>
      </c>
      <c r="F75" s="118">
        <f t="shared" ca="1" si="3"/>
        <v>0</v>
      </c>
      <c r="G75" s="134">
        <f t="shared" ca="1" si="4"/>
        <v>0.15237779880163985</v>
      </c>
      <c r="H75" s="192">
        <f t="shared" ca="1" si="5"/>
        <v>74.857755458515285</v>
      </c>
      <c r="I75" s="134">
        <f t="shared" ca="1" si="6"/>
        <v>0</v>
      </c>
      <c r="J75" s="118">
        <f t="shared" ca="1" si="7"/>
        <v>0</v>
      </c>
    </row>
    <row r="76" spans="2:10" s="88" customFormat="1" ht="15" customHeight="1">
      <c r="B76" s="188" t="str">
        <f>Target!B516</f>
        <v>Tranche 7</v>
      </c>
      <c r="C76" s="173">
        <f>Target!D516</f>
        <v>0.375</v>
      </c>
      <c r="D76" s="191">
        <f>Target!E516</f>
        <v>45.78</v>
      </c>
      <c r="E76" s="134">
        <f t="shared" ca="1" si="2"/>
        <v>0</v>
      </c>
      <c r="F76" s="118">
        <f t="shared" ca="1" si="3"/>
        <v>0</v>
      </c>
      <c r="G76" s="134">
        <f t="shared" ca="1" si="4"/>
        <v>0.13540681173131502</v>
      </c>
      <c r="H76" s="192">
        <f t="shared" ca="1" si="5"/>
        <v>126.7846113537118</v>
      </c>
      <c r="I76" s="134">
        <f t="shared" ca="1" si="6"/>
        <v>0</v>
      </c>
      <c r="J76" s="118">
        <f t="shared" ca="1" si="7"/>
        <v>0</v>
      </c>
    </row>
    <row r="77" spans="2:10" s="88" customFormat="1" ht="15" customHeight="1">
      <c r="B77" s="188" t="str">
        <f>Target!B517</f>
        <v>Tranche 8</v>
      </c>
      <c r="C77" s="173">
        <f>Target!D517</f>
        <v>0</v>
      </c>
      <c r="D77" s="191">
        <f>Target!E517</f>
        <v>0</v>
      </c>
      <c r="E77" s="134">
        <f t="shared" ca="1" si="2"/>
        <v>0</v>
      </c>
      <c r="F77" s="118">
        <f t="shared" ca="1" si="3"/>
        <v>0</v>
      </c>
      <c r="G77" s="134">
        <f t="shared" ca="1" si="4"/>
        <v>0</v>
      </c>
      <c r="H77" s="192">
        <f t="shared" ca="1" si="5"/>
        <v>0</v>
      </c>
      <c r="I77" s="134">
        <f t="shared" ca="1" si="6"/>
        <v>0</v>
      </c>
      <c r="J77" s="118">
        <f t="shared" ca="1" si="7"/>
        <v>0</v>
      </c>
    </row>
    <row r="78" spans="2:10" s="88" customFormat="1" ht="15" customHeight="1">
      <c r="B78" s="188" t="str">
        <f>Target!B518</f>
        <v>Tranche 9</v>
      </c>
      <c r="C78" s="173">
        <f>Target!D518</f>
        <v>0</v>
      </c>
      <c r="D78" s="191">
        <f>Target!E518</f>
        <v>0</v>
      </c>
      <c r="E78" s="134">
        <f t="shared" ca="1" si="2"/>
        <v>0</v>
      </c>
      <c r="F78" s="118">
        <f t="shared" ca="1" si="3"/>
        <v>0</v>
      </c>
      <c r="G78" s="134">
        <f t="shared" ca="1" si="4"/>
        <v>0</v>
      </c>
      <c r="H78" s="192">
        <f t="shared" ca="1" si="5"/>
        <v>0</v>
      </c>
      <c r="I78" s="134">
        <f t="shared" ca="1" si="6"/>
        <v>0</v>
      </c>
      <c r="J78" s="118">
        <f t="shared" ca="1" si="7"/>
        <v>0</v>
      </c>
    </row>
    <row r="79" spans="2:10" s="88" customFormat="1" ht="15" customHeight="1">
      <c r="B79" s="188" t="str">
        <f>Target!B519</f>
        <v>Tranche 10</v>
      </c>
      <c r="C79" s="173">
        <f>Target!D519</f>
        <v>0</v>
      </c>
      <c r="D79" s="191">
        <f>Target!E519</f>
        <v>0</v>
      </c>
      <c r="E79" s="134">
        <f t="shared" ca="1" si="2"/>
        <v>0</v>
      </c>
      <c r="F79" s="118">
        <f t="shared" ca="1" si="3"/>
        <v>0</v>
      </c>
      <c r="G79" s="134">
        <f t="shared" ca="1" si="4"/>
        <v>0</v>
      </c>
      <c r="H79" s="192">
        <f t="shared" ca="1" si="5"/>
        <v>0</v>
      </c>
      <c r="I79" s="134">
        <f t="shared" ca="1" si="6"/>
        <v>0</v>
      </c>
      <c r="J79" s="118">
        <f t="shared" ca="1" si="7"/>
        <v>0</v>
      </c>
    </row>
    <row r="80" spans="2:10" s="88" customFormat="1" ht="15" customHeight="1">
      <c r="B80" s="123" t="s">
        <v>67</v>
      </c>
      <c r="C80" s="123"/>
      <c r="D80" s="123"/>
      <c r="E80" s="176">
        <f ca="1">SUM(E70:E79)</f>
        <v>0.52200000000000002</v>
      </c>
      <c r="F80" s="172">
        <f ca="1">SUM(F70:F79)</f>
        <v>4.861860000000001</v>
      </c>
      <c r="G80" s="123"/>
      <c r="H80" s="123"/>
      <c r="I80" s="176">
        <f ca="1">SUM(I70:I79)</f>
        <v>3.5163670766319759E-2</v>
      </c>
      <c r="J80" s="172">
        <f ca="1">SUM(J70:J79)</f>
        <v>1.11504</v>
      </c>
    </row>
    <row r="81" spans="2:18" s="88" customFormat="1" ht="15" customHeight="1"/>
    <row r="82" spans="2:18" s="88" customFormat="1" ht="15" customHeight="1">
      <c r="B82" s="108" t="s">
        <v>370</v>
      </c>
      <c r="C82" s="109"/>
      <c r="D82" s="109"/>
      <c r="E82" s="109"/>
      <c r="F82" s="109"/>
      <c r="G82" s="109"/>
      <c r="H82" s="109"/>
      <c r="I82" s="109"/>
      <c r="J82" s="178"/>
    </row>
    <row r="83" spans="2:18" s="88" customFormat="1" ht="15" customHeight="1">
      <c r="B83" s="36"/>
      <c r="C83" s="36"/>
      <c r="D83" s="193"/>
      <c r="E83" s="193"/>
      <c r="F83" s="193"/>
      <c r="G83" s="193"/>
      <c r="H83" s="193"/>
      <c r="I83" s="187" t="s">
        <v>375</v>
      </c>
      <c r="J83" s="193"/>
      <c r="K83" s="36"/>
    </row>
    <row r="84" spans="2:18" s="88" customFormat="1" ht="15" customHeight="1">
      <c r="B84" s="194"/>
      <c r="C84" s="186"/>
      <c r="D84" s="187" t="s">
        <v>492</v>
      </c>
      <c r="E84" s="187" t="s">
        <v>327</v>
      </c>
      <c r="F84" s="187" t="s">
        <v>305</v>
      </c>
      <c r="G84" s="187" t="s">
        <v>445</v>
      </c>
      <c r="H84" s="187" t="s">
        <v>373</v>
      </c>
      <c r="I84" s="187" t="s">
        <v>374</v>
      </c>
      <c r="J84" s="187" t="s">
        <v>303</v>
      </c>
      <c r="K84" s="36"/>
    </row>
    <row r="85" spans="2:18" s="88" customFormat="1" ht="15" customHeight="1" thickBot="1">
      <c r="B85" s="195"/>
      <c r="C85" s="159"/>
      <c r="D85" s="181" t="s">
        <v>493</v>
      </c>
      <c r="E85" s="181" t="s">
        <v>305</v>
      </c>
      <c r="F85" s="181" t="s">
        <v>315</v>
      </c>
      <c r="G85" s="181" t="s">
        <v>446</v>
      </c>
      <c r="H85" s="181" t="s">
        <v>375</v>
      </c>
      <c r="I85" s="181" t="s">
        <v>304</v>
      </c>
      <c r="J85" s="181" t="s">
        <v>304</v>
      </c>
      <c r="K85" s="36"/>
    </row>
    <row r="86" spans="2:18" s="88" customFormat="1" ht="15" customHeight="1">
      <c r="B86" s="188" t="str">
        <f>Inputs!B19</f>
        <v>Senior credit facility 3</v>
      </c>
      <c r="C86" s="36"/>
      <c r="D86" s="183">
        <v>1</v>
      </c>
      <c r="E86" s="196">
        <f ca="1">Inputs!G19</f>
        <v>75</v>
      </c>
      <c r="F86" s="197">
        <f>Inputs!$M$57</f>
        <v>0.03</v>
      </c>
      <c r="G86" s="84">
        <v>5</v>
      </c>
      <c r="H86" s="113">
        <f ca="1">D86*E86*F86</f>
        <v>2.25</v>
      </c>
      <c r="I86" s="113">
        <f ca="1">(1-D86)*E86*F86</f>
        <v>0</v>
      </c>
      <c r="J86" s="198">
        <f ca="1">E86-I86</f>
        <v>75</v>
      </c>
      <c r="K86" s="36"/>
    </row>
    <row r="87" spans="2:18" s="88" customFormat="1" ht="15" customHeight="1">
      <c r="B87" s="188" t="str">
        <f>Inputs!B20</f>
        <v>Subordinated note 3</v>
      </c>
      <c r="C87" s="36"/>
      <c r="D87" s="183">
        <v>1</v>
      </c>
      <c r="E87" s="196">
        <f ca="1">Inputs!G20</f>
        <v>0</v>
      </c>
      <c r="F87" s="197">
        <f>Inputs!$M$57</f>
        <v>0.03</v>
      </c>
      <c r="G87" s="84">
        <v>7</v>
      </c>
      <c r="H87" s="90">
        <f t="shared" ref="H87:H90" ca="1" si="8">D87*E87*F87</f>
        <v>0</v>
      </c>
      <c r="I87" s="90">
        <f ca="1">(1-D87)*E87*F87</f>
        <v>0</v>
      </c>
      <c r="J87" s="199">
        <f ca="1">E87-I87</f>
        <v>0</v>
      </c>
      <c r="K87" s="36"/>
    </row>
    <row r="88" spans="2:18" s="88" customFormat="1" ht="15" customHeight="1">
      <c r="B88" s="188" t="str">
        <f>Inputs!B21</f>
        <v>Convertible bond 3</v>
      </c>
      <c r="C88" s="36"/>
      <c r="D88" s="183">
        <v>1</v>
      </c>
      <c r="E88" s="196">
        <f ca="1">Inputs!G21</f>
        <v>0</v>
      </c>
      <c r="F88" s="197">
        <f>Inputs!$M$57</f>
        <v>0.03</v>
      </c>
      <c r="G88" s="84">
        <v>7</v>
      </c>
      <c r="H88" s="90">
        <f t="shared" ca="1" si="8"/>
        <v>0</v>
      </c>
      <c r="I88" s="90">
        <f ca="1">(1-D88)*E88*F88</f>
        <v>0</v>
      </c>
      <c r="J88" s="199">
        <f ca="1">E88-I88</f>
        <v>0</v>
      </c>
      <c r="K88" s="36"/>
    </row>
    <row r="89" spans="2:18" s="88" customFormat="1" ht="15" customHeight="1">
      <c r="B89" s="188" t="str">
        <f>Inputs!B22</f>
        <v>Preferred stock 3</v>
      </c>
      <c r="C89" s="36"/>
      <c r="D89" s="183">
        <v>0</v>
      </c>
      <c r="E89" s="200">
        <f ca="1">Inputs!G22</f>
        <v>125</v>
      </c>
      <c r="F89" s="197">
        <f>Inputs!M58</f>
        <v>0.03</v>
      </c>
      <c r="G89" s="84" t="s">
        <v>15</v>
      </c>
      <c r="H89" s="90">
        <f t="shared" ca="1" si="8"/>
        <v>0</v>
      </c>
      <c r="I89" s="90">
        <f ca="1">(1-D89)*E89*F89</f>
        <v>3.75</v>
      </c>
      <c r="J89" s="199">
        <f ca="1">E89-I89</f>
        <v>121.25</v>
      </c>
      <c r="K89" s="36"/>
    </row>
    <row r="90" spans="2:18" s="88" customFormat="1" ht="15" customHeight="1">
      <c r="B90" s="36" t="s">
        <v>371</v>
      </c>
      <c r="C90" s="36"/>
      <c r="D90" s="183">
        <v>0</v>
      </c>
      <c r="E90" s="200">
        <f ca="1">Inputs!G23</f>
        <v>75</v>
      </c>
      <c r="F90" s="197">
        <f>Inputs!M59</f>
        <v>0.03</v>
      </c>
      <c r="G90" s="84" t="s">
        <v>15</v>
      </c>
      <c r="H90" s="90">
        <f t="shared" ca="1" si="8"/>
        <v>0</v>
      </c>
      <c r="I90" s="90">
        <f ca="1">(1-D90)*E90*F90</f>
        <v>2.25</v>
      </c>
      <c r="J90" s="199">
        <f ca="1">E90-I90</f>
        <v>72.75</v>
      </c>
      <c r="K90" s="36"/>
    </row>
    <row r="91" spans="2:18" s="88" customFormat="1" ht="15" customHeight="1">
      <c r="B91" s="123" t="s">
        <v>372</v>
      </c>
      <c r="C91" s="123"/>
      <c r="D91" s="123"/>
      <c r="E91" s="201">
        <f ca="1">SUM(E86:E90)</f>
        <v>275</v>
      </c>
      <c r="F91" s="202"/>
      <c r="G91" s="202"/>
      <c r="H91" s="201">
        <f ca="1">SUM(H86:H90)</f>
        <v>2.25</v>
      </c>
      <c r="I91" s="201">
        <f ca="1">SUM(I86:I90)</f>
        <v>6</v>
      </c>
      <c r="J91" s="201">
        <f ca="1">SUM(J86:J90)</f>
        <v>269</v>
      </c>
      <c r="K91" s="36"/>
    </row>
    <row r="92" spans="2:18" s="88" customFormat="1" ht="15" customHeight="1"/>
    <row r="93" spans="2:18" s="88" customFormat="1" ht="15" customHeight="1">
      <c r="B93" s="108" t="str">
        <f>target&amp;" Debt &amp; Preferred Stock Conversion &amp; Repayment"</f>
        <v>TargetCo Debt &amp; Preferred Stock Conversion &amp; Repayment</v>
      </c>
      <c r="C93" s="109"/>
      <c r="D93" s="109"/>
      <c r="E93" s="109"/>
      <c r="F93" s="109"/>
      <c r="G93" s="109"/>
      <c r="H93" s="109"/>
      <c r="I93" s="109"/>
      <c r="J93" s="109"/>
      <c r="K93" s="109"/>
      <c r="L93" s="109"/>
      <c r="M93" s="109"/>
      <c r="N93" s="109"/>
      <c r="O93" s="109"/>
      <c r="P93" s="109"/>
      <c r="Q93" s="178"/>
    </row>
    <row r="94" spans="2:18" s="36" customFormat="1" ht="15" customHeight="1">
      <c r="D94" s="203" t="s">
        <v>505</v>
      </c>
      <c r="E94" s="203" t="s">
        <v>270</v>
      </c>
      <c r="F94" s="204"/>
      <c r="G94" s="205"/>
      <c r="H94" s="205"/>
      <c r="I94" s="205"/>
      <c r="J94" s="205"/>
      <c r="K94" s="203"/>
      <c r="L94" s="204"/>
      <c r="M94" s="203" t="s">
        <v>340</v>
      </c>
      <c r="N94" s="203" t="s">
        <v>335</v>
      </c>
      <c r="O94" s="205"/>
      <c r="P94" s="205"/>
      <c r="Q94" s="203" t="s">
        <v>338</v>
      </c>
      <c r="R94" s="88"/>
    </row>
    <row r="95" spans="2:18" s="36" customFormat="1" ht="15" customHeight="1">
      <c r="B95" s="186"/>
      <c r="C95" s="186"/>
      <c r="D95" s="187" t="s">
        <v>268</v>
      </c>
      <c r="E95" s="187" t="s">
        <v>342</v>
      </c>
      <c r="F95" s="187" t="s">
        <v>270</v>
      </c>
      <c r="G95" s="187" t="s">
        <v>271</v>
      </c>
      <c r="H95" s="187" t="s">
        <v>346</v>
      </c>
      <c r="I95" s="187" t="s">
        <v>329</v>
      </c>
      <c r="J95" s="187" t="s">
        <v>342</v>
      </c>
      <c r="K95" s="187" t="s">
        <v>328</v>
      </c>
      <c r="L95" s="187" t="s">
        <v>334</v>
      </c>
      <c r="M95" s="187" t="s">
        <v>268</v>
      </c>
      <c r="N95" s="187" t="s">
        <v>336</v>
      </c>
      <c r="O95" s="187" t="s">
        <v>276</v>
      </c>
      <c r="P95" s="187" t="s">
        <v>276</v>
      </c>
      <c r="Q95" s="187" t="s">
        <v>268</v>
      </c>
      <c r="R95" s="88"/>
    </row>
    <row r="96" spans="2:18" s="36" customFormat="1" ht="15" customHeight="1" thickBot="1">
      <c r="B96" s="159"/>
      <c r="C96" s="159"/>
      <c r="D96" s="181" t="s">
        <v>269</v>
      </c>
      <c r="E96" s="181" t="s">
        <v>309</v>
      </c>
      <c r="F96" s="181" t="s">
        <v>248</v>
      </c>
      <c r="G96" s="181" t="s">
        <v>187</v>
      </c>
      <c r="H96" s="181" t="s">
        <v>347</v>
      </c>
      <c r="I96" s="181" t="s">
        <v>330</v>
      </c>
      <c r="J96" s="181" t="s">
        <v>339</v>
      </c>
      <c r="K96" s="181" t="s">
        <v>187</v>
      </c>
      <c r="L96" s="181" t="s">
        <v>333</v>
      </c>
      <c r="M96" s="181" t="s">
        <v>269</v>
      </c>
      <c r="N96" s="181" t="s">
        <v>428</v>
      </c>
      <c r="O96" s="181" t="s">
        <v>277</v>
      </c>
      <c r="P96" s="181" t="s">
        <v>278</v>
      </c>
      <c r="Q96" s="181" t="s">
        <v>269</v>
      </c>
      <c r="R96" s="88"/>
    </row>
    <row r="97" spans="2:24" s="36" customFormat="1" ht="15" customHeight="1">
      <c r="B97" s="147" t="str">
        <f>B146</f>
        <v>Senior credit facility 2</v>
      </c>
      <c r="D97" s="206">
        <f ca="1">F146</f>
        <v>0</v>
      </c>
      <c r="E97" s="207">
        <f>Target!H344</f>
        <v>0</v>
      </c>
      <c r="F97" s="189">
        <f>Target!I344</f>
        <v>0</v>
      </c>
      <c r="G97" s="138">
        <f ca="1">IFERROR(D97/F97,0)</f>
        <v>0</v>
      </c>
      <c r="H97" s="208">
        <f ca="1">IF(F97&lt;=$E$10,1,0)*E97</f>
        <v>0</v>
      </c>
      <c r="I97" s="183">
        <v>1</v>
      </c>
      <c r="J97" s="93">
        <f ca="1">E97*H97*I97</f>
        <v>0</v>
      </c>
      <c r="K97" s="136">
        <f ca="1">G97*J97</f>
        <v>0</v>
      </c>
      <c r="L97" s="114">
        <f ca="1">F97*K97</f>
        <v>0</v>
      </c>
      <c r="M97" s="206">
        <f ca="1">D97*(1-$J97)</f>
        <v>0</v>
      </c>
      <c r="N97" s="207">
        <f ca="1">Inputs!G28</f>
        <v>1</v>
      </c>
      <c r="O97" s="95">
        <v>0.02</v>
      </c>
      <c r="P97" s="114">
        <f ca="1">M97*O97*N97</f>
        <v>0</v>
      </c>
      <c r="Q97" s="206">
        <f ca="1">M97*(1-$N97)</f>
        <v>0</v>
      </c>
      <c r="R97" s="88"/>
    </row>
    <row r="98" spans="2:24" s="36" customFormat="1" ht="15" customHeight="1">
      <c r="B98" s="147" t="str">
        <f>B147</f>
        <v>Subordinated note 2</v>
      </c>
      <c r="D98" s="206">
        <f t="shared" ref="D98:D99" ca="1" si="9">F147</f>
        <v>45.5</v>
      </c>
      <c r="E98" s="207">
        <f>Target!H345</f>
        <v>0</v>
      </c>
      <c r="F98" s="189">
        <f>Target!I345</f>
        <v>0</v>
      </c>
      <c r="G98" s="138">
        <f ca="1">IFERROR(D98/F98,0)</f>
        <v>0</v>
      </c>
      <c r="H98" s="208">
        <f ca="1">IF(F98&lt;=$E$10,1,0)*E98</f>
        <v>0</v>
      </c>
      <c r="I98" s="183">
        <v>1</v>
      </c>
      <c r="J98" s="93">
        <f t="shared" ref="J98:J100" ca="1" si="10">E98*H98*I98</f>
        <v>0</v>
      </c>
      <c r="K98" s="136">
        <f ca="1">G98*J98</f>
        <v>0</v>
      </c>
      <c r="L98" s="114">
        <f t="shared" ref="L98:L100" ca="1" si="11">F98*K98</f>
        <v>0</v>
      </c>
      <c r="M98" s="206">
        <f ca="1">D98*(1-$J98)</f>
        <v>45.5</v>
      </c>
      <c r="N98" s="207">
        <f ca="1">Inputs!G29</f>
        <v>1</v>
      </c>
      <c r="O98" s="95">
        <v>0.02</v>
      </c>
      <c r="P98" s="114">
        <f ca="1">M98*O98*N98</f>
        <v>0.91</v>
      </c>
      <c r="Q98" s="206">
        <f ca="1">M98*(1-$N98)</f>
        <v>0</v>
      </c>
      <c r="R98" s="88"/>
    </row>
    <row r="99" spans="2:24" s="36" customFormat="1" ht="15" customHeight="1">
      <c r="B99" s="147" t="str">
        <f>B148</f>
        <v>Convertible bond 2</v>
      </c>
      <c r="C99" s="135"/>
      <c r="D99" s="206">
        <f t="shared" si="9"/>
        <v>194.51249999999999</v>
      </c>
      <c r="E99" s="207">
        <f>Target!H346</f>
        <v>1</v>
      </c>
      <c r="F99" s="189">
        <f>Target!I346</f>
        <v>26.77</v>
      </c>
      <c r="G99" s="138">
        <f>IFERROR(D99/F99,0)</f>
        <v>7.2660627568173322</v>
      </c>
      <c r="H99" s="208">
        <f ca="1">IF(F99&lt;=$E$10,1,0)*E99</f>
        <v>0</v>
      </c>
      <c r="I99" s="183">
        <v>1</v>
      </c>
      <c r="J99" s="93">
        <f t="shared" ca="1" si="10"/>
        <v>0</v>
      </c>
      <c r="K99" s="136">
        <f ca="1">G99*J99</f>
        <v>0</v>
      </c>
      <c r="L99" s="114">
        <f t="shared" ca="1" si="11"/>
        <v>0</v>
      </c>
      <c r="M99" s="206">
        <f ca="1">D99*(1-$J99)</f>
        <v>194.51249999999999</v>
      </c>
      <c r="N99" s="207">
        <f ca="1">Inputs!G30</f>
        <v>1</v>
      </c>
      <c r="O99" s="95">
        <v>0.02</v>
      </c>
      <c r="P99" s="114">
        <f ca="1">M99*O99*N99</f>
        <v>3.89025</v>
      </c>
      <c r="Q99" s="206">
        <f ca="1">M99*(1-$N99)</f>
        <v>0</v>
      </c>
      <c r="R99" s="88"/>
    </row>
    <row r="100" spans="2:24" s="36" customFormat="1" ht="15" customHeight="1">
      <c r="B100" s="147" t="str">
        <f>B159</f>
        <v>Preferred stock 2</v>
      </c>
      <c r="C100" s="126"/>
      <c r="D100" s="206">
        <f>F159</f>
        <v>0</v>
      </c>
      <c r="E100" s="207">
        <f>Target!H347</f>
        <v>0</v>
      </c>
      <c r="F100" s="189">
        <f>Target!I347</f>
        <v>0</v>
      </c>
      <c r="G100" s="138">
        <f>IFERROR(D100/F100,0)</f>
        <v>0</v>
      </c>
      <c r="H100" s="208">
        <f ca="1">IF(F100&lt;=$E$10,1,0)*E100</f>
        <v>0</v>
      </c>
      <c r="I100" s="183">
        <v>1</v>
      </c>
      <c r="J100" s="93">
        <f t="shared" ca="1" si="10"/>
        <v>0</v>
      </c>
      <c r="K100" s="136">
        <f ca="1">G100*J100</f>
        <v>0</v>
      </c>
      <c r="L100" s="114">
        <f t="shared" ca="1" si="11"/>
        <v>0</v>
      </c>
      <c r="M100" s="206">
        <f ca="1">D100*(1-$J100)</f>
        <v>0</v>
      </c>
      <c r="N100" s="207">
        <f ca="1">Inputs!G31</f>
        <v>1</v>
      </c>
      <c r="O100" s="95">
        <v>0.02</v>
      </c>
      <c r="P100" s="114">
        <f ca="1">M100*O100*N100</f>
        <v>0</v>
      </c>
      <c r="Q100" s="206">
        <f ca="1">M100*(1-$N100)</f>
        <v>0</v>
      </c>
      <c r="R100" s="88"/>
    </row>
    <row r="101" spans="2:24" s="36" customFormat="1" ht="15" customHeight="1">
      <c r="B101" s="116" t="s">
        <v>67</v>
      </c>
      <c r="C101" s="123"/>
      <c r="D101" s="172"/>
      <c r="E101" s="123"/>
      <c r="F101" s="123"/>
      <c r="G101" s="176"/>
      <c r="H101" s="176"/>
      <c r="I101" s="176"/>
      <c r="J101" s="176"/>
      <c r="K101" s="176">
        <f ca="1">SUM(K97:OFFSET(K101,-1,0))</f>
        <v>0</v>
      </c>
      <c r="L101" s="172">
        <f ca="1">SUM(L97:OFFSET(L101,-1,0))</f>
        <v>0</v>
      </c>
      <c r="M101" s="172"/>
      <c r="N101" s="123"/>
      <c r="O101" s="123"/>
      <c r="P101" s="172">
        <f ca="1">SUM(P97:OFFSET(P101,-1,0))</f>
        <v>4.8002500000000001</v>
      </c>
      <c r="Q101" s="123"/>
      <c r="R101" s="88"/>
    </row>
    <row r="102" spans="2:24" s="36" customFormat="1" ht="5.0999999999999996" customHeight="1" thickBot="1">
      <c r="B102" s="209"/>
      <c r="C102" s="209"/>
      <c r="D102" s="209"/>
      <c r="E102" s="210"/>
      <c r="F102" s="209"/>
      <c r="G102" s="209"/>
      <c r="H102" s="209"/>
      <c r="I102" s="209"/>
      <c r="J102" s="209"/>
      <c r="K102" s="209"/>
      <c r="L102" s="209"/>
      <c r="M102" s="209"/>
      <c r="N102" s="209"/>
      <c r="O102" s="209"/>
      <c r="P102" s="209"/>
      <c r="Q102" s="209"/>
      <c r="R102" s="88"/>
      <c r="U102" s="88"/>
      <c r="V102" s="88"/>
      <c r="W102" s="88"/>
      <c r="X102" s="88"/>
    </row>
    <row r="103" spans="2:24" s="36" customFormat="1" ht="15" customHeight="1">
      <c r="E103" s="211"/>
      <c r="T103" s="88"/>
      <c r="U103" s="88"/>
      <c r="V103" s="88"/>
      <c r="W103" s="88"/>
      <c r="X103" s="88"/>
    </row>
    <row r="104" spans="2:24" s="36" customFormat="1" ht="15" customHeight="1">
      <c r="E104" s="211"/>
      <c r="T104" s="88"/>
      <c r="U104" s="88"/>
      <c r="V104" s="88"/>
      <c r="W104" s="88"/>
      <c r="X104" s="88"/>
    </row>
    <row r="105" spans="2:24" s="101" customFormat="1" ht="21.75" customHeight="1">
      <c r="B105" s="212" t="s">
        <v>0</v>
      </c>
      <c r="C105" s="100"/>
      <c r="K105" s="102"/>
      <c r="M105" s="102"/>
      <c r="N105" s="102"/>
    </row>
    <row r="106" spans="2:24" s="216" customFormat="1" ht="15" customHeight="1">
      <c r="B106" s="213"/>
      <c r="C106" s="213"/>
      <c r="D106" s="213"/>
      <c r="E106" s="213" t="str">
        <f>acquirer</f>
        <v>BuyerCo</v>
      </c>
      <c r="F106" s="213" t="str">
        <f>target</f>
        <v>TargetCo</v>
      </c>
      <c r="G106" s="214" t="s">
        <v>80</v>
      </c>
      <c r="H106" s="214"/>
      <c r="I106" s="214"/>
      <c r="J106" s="213" t="s">
        <v>76</v>
      </c>
      <c r="K106" s="213" t="s">
        <v>72</v>
      </c>
      <c r="L106" s="213" t="s">
        <v>73</v>
      </c>
      <c r="M106" s="213" t="s">
        <v>311</v>
      </c>
      <c r="N106" s="215" t="s">
        <v>497</v>
      </c>
      <c r="O106" s="214" t="s">
        <v>370</v>
      </c>
      <c r="P106" s="214"/>
      <c r="Q106" s="214"/>
      <c r="R106" s="213" t="s">
        <v>69</v>
      </c>
      <c r="S106" s="213" t="s">
        <v>69</v>
      </c>
      <c r="U106" s="213"/>
    </row>
    <row r="107" spans="2:24" s="216" customFormat="1" ht="15" customHeight="1">
      <c r="B107" s="213"/>
      <c r="C107" s="213"/>
      <c r="D107" s="213"/>
      <c r="E107" s="213" t="s">
        <v>318</v>
      </c>
      <c r="F107" s="213" t="s">
        <v>318</v>
      </c>
      <c r="G107" s="213" t="s">
        <v>180</v>
      </c>
      <c r="H107" s="213" t="s">
        <v>76</v>
      </c>
      <c r="I107" s="215" t="s">
        <v>625</v>
      </c>
      <c r="J107" s="213" t="s">
        <v>77</v>
      </c>
      <c r="K107" s="213" t="s">
        <v>75</v>
      </c>
      <c r="L107" s="213" t="s">
        <v>22</v>
      </c>
      <c r="M107" s="213" t="s">
        <v>74</v>
      </c>
      <c r="N107" s="213" t="s">
        <v>498</v>
      </c>
      <c r="O107" s="213" t="s">
        <v>492</v>
      </c>
      <c r="P107" s="213" t="s">
        <v>360</v>
      </c>
      <c r="Q107" s="213" t="s">
        <v>386</v>
      </c>
      <c r="R107" s="213" t="s">
        <v>22</v>
      </c>
      <c r="S107" s="213" t="s">
        <v>70</v>
      </c>
      <c r="U107" s="213" t="s">
        <v>67</v>
      </c>
    </row>
    <row r="108" spans="2:24" s="216" customFormat="1" ht="15" customHeight="1" thickBot="1">
      <c r="B108" s="217" t="s">
        <v>19</v>
      </c>
      <c r="C108" s="218"/>
      <c r="D108" s="218"/>
      <c r="E108" s="219">
        <f>close</f>
        <v>45107</v>
      </c>
      <c r="F108" s="219">
        <f>close</f>
        <v>45107</v>
      </c>
      <c r="G108" s="218" t="s">
        <v>181</v>
      </c>
      <c r="H108" s="218" t="s">
        <v>79</v>
      </c>
      <c r="I108" s="220" t="s">
        <v>78</v>
      </c>
      <c r="J108" s="218" t="s">
        <v>12</v>
      </c>
      <c r="K108" s="218" t="s">
        <v>68</v>
      </c>
      <c r="L108" s="218" t="s">
        <v>12</v>
      </c>
      <c r="M108" s="218" t="s">
        <v>312</v>
      </c>
      <c r="N108" s="218" t="s">
        <v>74</v>
      </c>
      <c r="O108" s="218" t="s">
        <v>305</v>
      </c>
      <c r="P108" s="218" t="s">
        <v>305</v>
      </c>
      <c r="Q108" s="218" t="s">
        <v>305</v>
      </c>
      <c r="R108" s="218" t="s">
        <v>12</v>
      </c>
      <c r="S108" s="218" t="s">
        <v>12</v>
      </c>
      <c r="U108" s="218" t="s">
        <v>68</v>
      </c>
    </row>
    <row r="109" spans="2:24" s="36" customFormat="1" ht="5.0999999999999996" customHeight="1"/>
    <row r="110" spans="2:24" s="88" customFormat="1" ht="15" customHeight="1">
      <c r="B110" s="108" t="s">
        <v>4</v>
      </c>
      <c r="C110" s="109"/>
      <c r="D110" s="109"/>
      <c r="E110" s="109"/>
      <c r="F110" s="109"/>
      <c r="G110" s="109"/>
      <c r="H110" s="109"/>
      <c r="I110" s="109"/>
      <c r="J110" s="109"/>
      <c r="K110" s="109"/>
      <c r="L110" s="109"/>
      <c r="M110" s="109"/>
      <c r="N110" s="109"/>
      <c r="O110" s="109"/>
      <c r="P110" s="109"/>
      <c r="Q110" s="109"/>
      <c r="R110" s="109"/>
      <c r="S110" s="109"/>
      <c r="T110" s="109"/>
      <c r="U110" s="178"/>
    </row>
    <row r="111" spans="2:24" s="36" customFormat="1" ht="5.0999999999999996" customHeight="1">
      <c r="B111" s="221"/>
      <c r="C111" s="221"/>
    </row>
    <row r="112" spans="2:24" s="36" customFormat="1" ht="15" customHeight="1">
      <c r="B112" s="85" t="s">
        <v>51</v>
      </c>
      <c r="E112" s="222">
        <f ca="1">Acquirer!S84</f>
        <v>1234.4111951841294</v>
      </c>
      <c r="F112" s="223">
        <f ca="1">Target!S84</f>
        <v>187.29832323239592</v>
      </c>
      <c r="G112" s="224"/>
      <c r="H112" s="225"/>
      <c r="I112" s="226"/>
      <c r="J112" s="227">
        <f ca="1">SUM(F112:I112)</f>
        <v>187.29832323239592</v>
      </c>
      <c r="K112" s="228">
        <f ca="1">-J18+J11</f>
        <v>-200.44808999999998</v>
      </c>
      <c r="L112" s="227">
        <f ca="1">SUM(J112:K112)</f>
        <v>-13.149766767604063</v>
      </c>
      <c r="M112" s="228">
        <f>-O46-J31+O46*tax+J31*tax</f>
        <v>-51.999759999999995</v>
      </c>
      <c r="N112" s="228">
        <f ca="1">J13-J27-J29+J29*tax</f>
        <v>-6.3313265157752285</v>
      </c>
      <c r="O112" s="228">
        <f ca="1">SUMPRODUCT(D86:D90,E86:E90)-H91+H91*tax</f>
        <v>73.537506750000006</v>
      </c>
      <c r="P112" s="228">
        <f ca="1">J89</f>
        <v>121.25</v>
      </c>
      <c r="Q112" s="228">
        <f ca="1">J90</f>
        <v>72.75</v>
      </c>
      <c r="R112" s="229">
        <f ca="1">SUM(L112:Q112)</f>
        <v>196.05665346662073</v>
      </c>
      <c r="S112" s="230">
        <f ca="1">R112+E112</f>
        <v>1430.4678486507501</v>
      </c>
      <c r="T112" s="88"/>
      <c r="U112" s="224">
        <f ca="1">SUM(G112:I112,K112,M112:Q112)</f>
        <v>8.7583302342248146</v>
      </c>
      <c r="W112" s="231"/>
    </row>
    <row r="113" spans="1:21" s="36" customFormat="1" ht="15" customHeight="1">
      <c r="B113" s="85" t="s">
        <v>52</v>
      </c>
      <c r="E113" s="232">
        <f>Acquirer!S85</f>
        <v>673.46217738631719</v>
      </c>
      <c r="F113" s="126">
        <f>Target!S85</f>
        <v>144.86235027223231</v>
      </c>
      <c r="G113" s="224"/>
      <c r="H113" s="225"/>
      <c r="I113" s="226"/>
      <c r="J113" s="141">
        <f>SUM(F113:I113)</f>
        <v>144.86235027223231</v>
      </c>
      <c r="K113" s="228"/>
      <c r="L113" s="141">
        <f>SUM(J113:K113)</f>
        <v>144.86235027223231</v>
      </c>
      <c r="M113" s="233"/>
      <c r="N113" s="233"/>
      <c r="O113" s="233"/>
      <c r="P113" s="233"/>
      <c r="Q113" s="233"/>
      <c r="R113" s="234">
        <f>SUM(L113:Q113)</f>
        <v>144.86235027223231</v>
      </c>
      <c r="S113" s="141">
        <f>R113+E113</f>
        <v>818.32452765854953</v>
      </c>
      <c r="T113" s="88"/>
      <c r="U113" s="235">
        <f>SUM(G113:I113,K113,M113:Q113)</f>
        <v>0</v>
      </c>
    </row>
    <row r="114" spans="1:21" s="36" customFormat="1" ht="15" customHeight="1">
      <c r="B114" s="85" t="s">
        <v>53</v>
      </c>
      <c r="E114" s="232">
        <f>Acquirer!S86</f>
        <v>0</v>
      </c>
      <c r="F114" s="126">
        <f>Target!S86</f>
        <v>0</v>
      </c>
      <c r="G114" s="224"/>
      <c r="H114" s="225"/>
      <c r="I114" s="226"/>
      <c r="J114" s="141">
        <f>SUM(F114:I114)</f>
        <v>0</v>
      </c>
      <c r="K114" s="228"/>
      <c r="L114" s="141">
        <f>SUM(J114:K114)</f>
        <v>0</v>
      </c>
      <c r="M114" s="233"/>
      <c r="N114" s="233"/>
      <c r="O114" s="233"/>
      <c r="P114" s="233"/>
      <c r="Q114" s="233"/>
      <c r="R114" s="234">
        <f>SUM(L114:Q114)</f>
        <v>0</v>
      </c>
      <c r="S114" s="141">
        <f>R114+E114</f>
        <v>0</v>
      </c>
      <c r="T114" s="88"/>
      <c r="U114" s="235">
        <f>SUM(G114:I114,K114,M114:Q114)</f>
        <v>0</v>
      </c>
    </row>
    <row r="115" spans="1:21" s="36" customFormat="1" ht="15" customHeight="1">
      <c r="B115" s="139" t="s">
        <v>84</v>
      </c>
      <c r="E115" s="232">
        <f>Acquirer!S87</f>
        <v>129.0754233237744</v>
      </c>
      <c r="F115" s="126">
        <f>Target!S87</f>
        <v>9.3727404718693279</v>
      </c>
      <c r="G115" s="224"/>
      <c r="H115" s="225"/>
      <c r="I115" s="226"/>
      <c r="J115" s="141">
        <f>SUM(F115:I115)</f>
        <v>9.3727404718693279</v>
      </c>
      <c r="K115" s="228"/>
      <c r="L115" s="141">
        <f>SUM(J115:K115)</f>
        <v>9.3727404718693279</v>
      </c>
      <c r="M115" s="233"/>
      <c r="N115" s="233"/>
      <c r="O115" s="233"/>
      <c r="P115" s="233"/>
      <c r="Q115" s="233"/>
      <c r="R115" s="234">
        <f>SUM(L115:Q115)</f>
        <v>9.3727404718693279</v>
      </c>
      <c r="S115" s="141">
        <f>R115+E115</f>
        <v>138.44816379564372</v>
      </c>
      <c r="T115" s="88"/>
      <c r="U115" s="235">
        <f>SUM(G115:I115,K115,M115:Q115)</f>
        <v>0</v>
      </c>
    </row>
    <row r="116" spans="1:21" s="36" customFormat="1" ht="15" customHeight="1">
      <c r="B116" s="85" t="s">
        <v>54</v>
      </c>
      <c r="E116" s="232">
        <f>Acquirer!S88</f>
        <v>143.94254771624009</v>
      </c>
      <c r="F116" s="126">
        <f>Target!S88</f>
        <v>8.7632482935153604</v>
      </c>
      <c r="G116" s="224"/>
      <c r="H116" s="225"/>
      <c r="I116" s="226"/>
      <c r="J116" s="141">
        <f>SUM(F116:I116)</f>
        <v>8.7632482935153604</v>
      </c>
      <c r="K116" s="228"/>
      <c r="L116" s="141">
        <f>SUM(J116:K116)</f>
        <v>8.7632482935153604</v>
      </c>
      <c r="M116" s="233"/>
      <c r="N116" s="233"/>
      <c r="O116" s="233"/>
      <c r="P116" s="233"/>
      <c r="Q116" s="233"/>
      <c r="R116" s="234">
        <f>SUM(L116:Q116)</f>
        <v>8.7632482935153604</v>
      </c>
      <c r="S116" s="141">
        <f>R116+E116</f>
        <v>152.70579600975543</v>
      </c>
      <c r="T116" s="88"/>
      <c r="U116" s="235">
        <f>SUM(G116:I116,K116,M116:Q116)</f>
        <v>0</v>
      </c>
    </row>
    <row r="117" spans="1:21" s="36" customFormat="1" ht="15" customHeight="1">
      <c r="A117" s="85"/>
      <c r="B117" s="236" t="s">
        <v>50</v>
      </c>
      <c r="C117" s="237"/>
      <c r="D117" s="237"/>
      <c r="E117" s="238">
        <f ca="1">SUM(E112:E116)</f>
        <v>2180.8913436104608</v>
      </c>
      <c r="F117" s="239">
        <f ca="1">SUM(F112:F116)</f>
        <v>350.29666227001292</v>
      </c>
      <c r="G117" s="240">
        <f t="shared" ref="G117:M117" si="12">SUM(G112:G116)</f>
        <v>0</v>
      </c>
      <c r="H117" s="240">
        <f t="shared" si="12"/>
        <v>0</v>
      </c>
      <c r="I117" s="240">
        <f t="shared" si="12"/>
        <v>0</v>
      </c>
      <c r="J117" s="241">
        <f ca="1">SUM(J112:J116)</f>
        <v>350.29666227001292</v>
      </c>
      <c r="K117" s="240">
        <f ca="1">SUM(K112:K116)</f>
        <v>-200.44808999999998</v>
      </c>
      <c r="L117" s="241">
        <f ca="1">SUM(L112:L116)</f>
        <v>149.84857227001294</v>
      </c>
      <c r="M117" s="240">
        <f t="shared" si="12"/>
        <v>-51.999759999999995</v>
      </c>
      <c r="N117" s="240">
        <f t="shared" ref="N117:S117" ca="1" si="13">SUM(N112:N116)</f>
        <v>-6.3313265157752285</v>
      </c>
      <c r="O117" s="240">
        <f t="shared" ca="1" si="13"/>
        <v>73.537506750000006</v>
      </c>
      <c r="P117" s="240">
        <f t="shared" ca="1" si="13"/>
        <v>121.25</v>
      </c>
      <c r="Q117" s="240">
        <f t="shared" ca="1" si="13"/>
        <v>72.75</v>
      </c>
      <c r="R117" s="242">
        <f t="shared" ca="1" si="13"/>
        <v>359.0549925042377</v>
      </c>
      <c r="S117" s="241">
        <f t="shared" ca="1" si="13"/>
        <v>2539.9463361146986</v>
      </c>
      <c r="T117" s="88"/>
      <c r="U117" s="240">
        <f ca="1">SUM(U112:U116)</f>
        <v>8.7583302342248146</v>
      </c>
    </row>
    <row r="118" spans="1:21" s="36" customFormat="1" ht="15" customHeight="1">
      <c r="B118" s="85" t="s">
        <v>47</v>
      </c>
      <c r="C118" s="85"/>
      <c r="E118" s="232">
        <f>Acquirer!S90</f>
        <v>517.56499999999994</v>
      </c>
      <c r="F118" s="243">
        <f>Target!S90</f>
        <v>51.05</v>
      </c>
      <c r="G118" s="244"/>
      <c r="H118" s="233">
        <f>H58</f>
        <v>15</v>
      </c>
      <c r="I118" s="244"/>
      <c r="J118" s="141">
        <f>SUM(F118:I118)</f>
        <v>66.05</v>
      </c>
      <c r="K118" s="244"/>
      <c r="L118" s="141">
        <f>SUM(J118:K118)</f>
        <v>66.05</v>
      </c>
      <c r="M118" s="244"/>
      <c r="N118" s="244"/>
      <c r="O118" s="244"/>
      <c r="P118" s="244"/>
      <c r="Q118" s="244"/>
      <c r="R118" s="234">
        <f>SUM(L118:Q118)</f>
        <v>66.05</v>
      </c>
      <c r="S118" s="245">
        <f>R118+E118</f>
        <v>583.6149999999999</v>
      </c>
      <c r="T118" s="88"/>
      <c r="U118" s="235">
        <f>SUM(G118:I118,K118,M118:Q118)</f>
        <v>15</v>
      </c>
    </row>
    <row r="119" spans="1:21" s="36" customFormat="1" ht="15" customHeight="1">
      <c r="B119" s="85" t="s">
        <v>48</v>
      </c>
      <c r="C119" s="85"/>
      <c r="E119" s="232">
        <f>Acquirer!S91</f>
        <v>-56.826999999999977</v>
      </c>
      <c r="F119" s="243">
        <f>Target!S91</f>
        <v>-13.080000000000002</v>
      </c>
      <c r="G119" s="246"/>
      <c r="H119" s="247"/>
      <c r="I119" s="246"/>
      <c r="J119" s="141">
        <f>SUM(F119:I119)</f>
        <v>-13.080000000000002</v>
      </c>
      <c r="K119" s="246"/>
      <c r="L119" s="141">
        <f>SUM(J119:K119)</f>
        <v>-13.080000000000002</v>
      </c>
      <c r="M119" s="246"/>
      <c r="N119" s="246"/>
      <c r="O119" s="246"/>
      <c r="P119" s="246"/>
      <c r="Q119" s="246"/>
      <c r="R119" s="234">
        <f>SUM(L119:Q119)</f>
        <v>-13.080000000000002</v>
      </c>
      <c r="S119" s="245">
        <f>R119+E119</f>
        <v>-69.906999999999982</v>
      </c>
      <c r="T119" s="88"/>
      <c r="U119" s="235">
        <f>SUM(G119:I119,K119,M119:Q119)</f>
        <v>0</v>
      </c>
    </row>
    <row r="120" spans="1:21" s="36" customFormat="1" ht="15" customHeight="1">
      <c r="B120" s="248" t="s">
        <v>49</v>
      </c>
      <c r="C120" s="248"/>
      <c r="D120" s="249"/>
      <c r="E120" s="238">
        <f>SUM(E118:E119)</f>
        <v>460.73799999999994</v>
      </c>
      <c r="F120" s="239">
        <f>SUM(F118:F119)</f>
        <v>37.97</v>
      </c>
      <c r="G120" s="240">
        <f t="shared" ref="G120:N120" si="14">SUM(G118:G119)</f>
        <v>0</v>
      </c>
      <c r="H120" s="240">
        <f t="shared" si="14"/>
        <v>15</v>
      </c>
      <c r="I120" s="240">
        <f t="shared" si="14"/>
        <v>0</v>
      </c>
      <c r="J120" s="241">
        <f>SUM(J118:J119)</f>
        <v>52.97</v>
      </c>
      <c r="K120" s="240">
        <f t="shared" si="14"/>
        <v>0</v>
      </c>
      <c r="L120" s="241">
        <f>SUM(L118:L119)</f>
        <v>52.97</v>
      </c>
      <c r="M120" s="240">
        <f t="shared" si="14"/>
        <v>0</v>
      </c>
      <c r="N120" s="240">
        <f t="shared" si="14"/>
        <v>0</v>
      </c>
      <c r="O120" s="240">
        <f t="shared" ref="O120" si="15">SUM(O118:O119)</f>
        <v>0</v>
      </c>
      <c r="P120" s="240">
        <f>SUM(P118:P119)</f>
        <v>0</v>
      </c>
      <c r="Q120" s="240">
        <f>SUM(Q118:Q119)</f>
        <v>0</v>
      </c>
      <c r="R120" s="242">
        <f>SUM(R118:R119)</f>
        <v>52.97</v>
      </c>
      <c r="S120" s="241">
        <f>SUM(S118:S119)</f>
        <v>513.70799999999986</v>
      </c>
      <c r="T120" s="88"/>
      <c r="U120" s="240">
        <f>SUM(U118:U119)</f>
        <v>15</v>
      </c>
    </row>
    <row r="121" spans="1:21" s="36" customFormat="1" ht="15" customHeight="1">
      <c r="B121" s="57" t="s">
        <v>11</v>
      </c>
      <c r="C121" s="85"/>
      <c r="E121" s="232">
        <f>Acquirer!S93</f>
        <v>1487.626</v>
      </c>
      <c r="F121" s="126">
        <f>Target!S93</f>
        <v>61.094000000000001</v>
      </c>
      <c r="G121" s="250">
        <f>-F121</f>
        <v>-61.094000000000001</v>
      </c>
      <c r="H121" s="251"/>
      <c r="I121" s="233"/>
      <c r="J121" s="141">
        <f>SUM(F121:I121)</f>
        <v>0</v>
      </c>
      <c r="K121" s="233">
        <f ca="1">O41</f>
        <v>275.00330310012941</v>
      </c>
      <c r="L121" s="141">
        <f ca="1">SUM(J121:K121)</f>
        <v>275.00330310012941</v>
      </c>
      <c r="M121" s="233"/>
      <c r="N121" s="233"/>
      <c r="O121" s="233"/>
      <c r="P121" s="233"/>
      <c r="Q121" s="233"/>
      <c r="R121" s="234">
        <f t="shared" ref="R121:R127" ca="1" si="16">SUM(L121:Q121)</f>
        <v>275.00330310012941</v>
      </c>
      <c r="S121" s="245">
        <f t="shared" ref="S121:S127" ca="1" si="17">R121+E121</f>
        <v>1762.6293031001294</v>
      </c>
      <c r="T121" s="88"/>
      <c r="U121" s="235">
        <f t="shared" ref="U121:U127" ca="1" si="18">SUM(G121:I121,K121,M121:Q121)</f>
        <v>213.90930310012942</v>
      </c>
    </row>
    <row r="122" spans="1:21" s="36" customFormat="1" ht="15" customHeight="1">
      <c r="B122" s="57" t="s">
        <v>154</v>
      </c>
      <c r="C122" s="85"/>
      <c r="E122" s="252">
        <v>0</v>
      </c>
      <c r="F122" s="98">
        <v>0</v>
      </c>
      <c r="G122" s="251">
        <f>-F122</f>
        <v>0</v>
      </c>
      <c r="H122" s="233">
        <f ca="1">H59</f>
        <v>66.763897853264439</v>
      </c>
      <c r="I122" s="233"/>
      <c r="J122" s="141">
        <f ca="1">SUM(F122:I122)</f>
        <v>66.763897853264439</v>
      </c>
      <c r="K122" s="235"/>
      <c r="L122" s="141">
        <f ca="1">SUM(J122:K122)</f>
        <v>66.763897853264439</v>
      </c>
      <c r="M122" s="235"/>
      <c r="N122" s="235"/>
      <c r="O122" s="235"/>
      <c r="P122" s="235"/>
      <c r="Q122" s="235"/>
      <c r="R122" s="234">
        <f t="shared" ca="1" si="16"/>
        <v>66.763897853264439</v>
      </c>
      <c r="S122" s="245">
        <f t="shared" ca="1" si="17"/>
        <v>66.763897853264439</v>
      </c>
      <c r="T122" s="88"/>
      <c r="U122" s="235">
        <f t="shared" ca="1" si="18"/>
        <v>66.763897853264439</v>
      </c>
    </row>
    <row r="123" spans="1:21" s="36" customFormat="1" ht="15" customHeight="1">
      <c r="B123" s="57" t="s">
        <v>56</v>
      </c>
      <c r="C123" s="85"/>
      <c r="E123" s="232">
        <f>Acquirer!S94</f>
        <v>253.72000000000003</v>
      </c>
      <c r="F123" s="126">
        <f>Target!S94</f>
        <v>31.690999999999999</v>
      </c>
      <c r="G123" s="235"/>
      <c r="H123" s="251"/>
      <c r="I123" s="235"/>
      <c r="J123" s="141">
        <f>SUM(F123:I123)</f>
        <v>31.690999999999999</v>
      </c>
      <c r="K123" s="235"/>
      <c r="L123" s="141">
        <f>SUM(J123:K123)</f>
        <v>31.690999999999999</v>
      </c>
      <c r="M123" s="235"/>
      <c r="N123" s="235"/>
      <c r="O123" s="235"/>
      <c r="P123" s="235"/>
      <c r="Q123" s="235"/>
      <c r="R123" s="234">
        <f t="shared" si="16"/>
        <v>31.690999999999999</v>
      </c>
      <c r="S123" s="245">
        <f t="shared" si="17"/>
        <v>285.411</v>
      </c>
      <c r="T123" s="88"/>
      <c r="U123" s="235">
        <f t="shared" si="18"/>
        <v>0</v>
      </c>
    </row>
    <row r="124" spans="1:21" s="36" customFormat="1" ht="15" customHeight="1">
      <c r="B124" s="57" t="s">
        <v>436</v>
      </c>
      <c r="C124" s="57"/>
      <c r="E124" s="232">
        <f>Acquirer!S95</f>
        <v>0</v>
      </c>
      <c r="F124" s="126">
        <f>Target!S95</f>
        <v>0</v>
      </c>
      <c r="G124" s="233"/>
      <c r="H124" s="233"/>
      <c r="I124" s="233"/>
      <c r="J124" s="141">
        <f>SUM(F124:I124)</f>
        <v>0</v>
      </c>
      <c r="K124" s="233"/>
      <c r="L124" s="141">
        <f>SUM(J124:K124)</f>
        <v>0</v>
      </c>
      <c r="M124" s="233"/>
      <c r="N124" s="233"/>
      <c r="O124" s="233"/>
      <c r="P124" s="233"/>
      <c r="Q124" s="233"/>
      <c r="R124" s="234">
        <f t="shared" si="16"/>
        <v>0</v>
      </c>
      <c r="S124" s="245">
        <f t="shared" si="17"/>
        <v>0</v>
      </c>
      <c r="T124" s="88"/>
      <c r="U124" s="235">
        <f t="shared" si="18"/>
        <v>0</v>
      </c>
    </row>
    <row r="125" spans="1:21" s="36" customFormat="1" ht="15" customHeight="1">
      <c r="B125" s="57" t="s">
        <v>55</v>
      </c>
      <c r="C125" s="57"/>
      <c r="E125" s="232">
        <f>Acquirer!S96</f>
        <v>0</v>
      </c>
      <c r="F125" s="126">
        <f>Target!S96</f>
        <v>0</v>
      </c>
      <c r="G125" s="233"/>
      <c r="H125" s="233"/>
      <c r="I125" s="233"/>
      <c r="J125" s="141">
        <f>SUM(F125:I125)</f>
        <v>0</v>
      </c>
      <c r="K125" s="233"/>
      <c r="L125" s="141">
        <f>SUM(J125:K125)</f>
        <v>0</v>
      </c>
      <c r="M125" s="233"/>
      <c r="N125" s="233"/>
      <c r="O125" s="233"/>
      <c r="P125" s="233"/>
      <c r="Q125" s="233"/>
      <c r="R125" s="234">
        <f t="shared" si="16"/>
        <v>0</v>
      </c>
      <c r="S125" s="245">
        <f t="shared" si="17"/>
        <v>0</v>
      </c>
      <c r="T125" s="88"/>
      <c r="U125" s="235">
        <f t="shared" si="18"/>
        <v>0</v>
      </c>
    </row>
    <row r="126" spans="1:21" s="36" customFormat="1" ht="15" customHeight="1">
      <c r="B126" s="57" t="s">
        <v>314</v>
      </c>
      <c r="C126" s="57"/>
      <c r="E126" s="252">
        <v>0</v>
      </c>
      <c r="F126" s="98">
        <v>0</v>
      </c>
      <c r="G126" s="233"/>
      <c r="H126" s="233"/>
      <c r="I126" s="233"/>
      <c r="J126" s="141">
        <f t="shared" ref="J126" si="19">SUM(F126:I126)</f>
        <v>0</v>
      </c>
      <c r="K126" s="233"/>
      <c r="L126" s="141">
        <f t="shared" ref="L126" si="20">SUM(J126:K126)</f>
        <v>0</v>
      </c>
      <c r="M126" s="233"/>
      <c r="N126" s="233"/>
      <c r="O126" s="233">
        <f ca="1">H91</f>
        <v>2.25</v>
      </c>
      <c r="P126" s="233"/>
      <c r="Q126" s="233"/>
      <c r="R126" s="234">
        <f t="shared" ca="1" si="16"/>
        <v>2.25</v>
      </c>
      <c r="S126" s="245">
        <f t="shared" ca="1" si="17"/>
        <v>2.25</v>
      </c>
      <c r="T126" s="88"/>
      <c r="U126" s="235">
        <f t="shared" ca="1" si="18"/>
        <v>2.25</v>
      </c>
    </row>
    <row r="127" spans="1:21" s="36" customFormat="1" ht="15" customHeight="1">
      <c r="B127" s="36" t="s">
        <v>10</v>
      </c>
      <c r="E127" s="232">
        <f>Acquirer!S97</f>
        <v>464.04700000000003</v>
      </c>
      <c r="F127" s="126">
        <f>Target!S97</f>
        <v>14.29</v>
      </c>
      <c r="G127" s="226"/>
      <c r="H127" s="251"/>
      <c r="I127" s="226"/>
      <c r="J127" s="141">
        <f>SUM(F127:I127)</f>
        <v>14.29</v>
      </c>
      <c r="K127" s="226"/>
      <c r="L127" s="141">
        <f>SUM(J127:K127)</f>
        <v>14.29</v>
      </c>
      <c r="M127" s="226"/>
      <c r="N127" s="226"/>
      <c r="O127" s="226"/>
      <c r="P127" s="226"/>
      <c r="Q127" s="226"/>
      <c r="R127" s="234">
        <f t="shared" si="16"/>
        <v>14.29</v>
      </c>
      <c r="S127" s="245">
        <f t="shared" si="17"/>
        <v>478.33700000000005</v>
      </c>
      <c r="T127" s="88"/>
      <c r="U127" s="235">
        <f t="shared" si="18"/>
        <v>0</v>
      </c>
    </row>
    <row r="128" spans="1:21" s="193" customFormat="1" ht="15" customHeight="1">
      <c r="B128" s="253" t="s">
        <v>9</v>
      </c>
      <c r="C128" s="253"/>
      <c r="D128" s="254"/>
      <c r="E128" s="255">
        <f t="shared" ref="E128:S128" ca="1" si="21">SUM(E117,E120:E127)</f>
        <v>4847.0223436104607</v>
      </c>
      <c r="F128" s="256">
        <f t="shared" ca="1" si="21"/>
        <v>495.34166227001293</v>
      </c>
      <c r="G128" s="257">
        <f t="shared" si="21"/>
        <v>-61.094000000000001</v>
      </c>
      <c r="H128" s="257">
        <f t="shared" ca="1" si="21"/>
        <v>81.763897853264439</v>
      </c>
      <c r="I128" s="257">
        <f t="shared" si="21"/>
        <v>0</v>
      </c>
      <c r="J128" s="258">
        <f t="shared" ca="1" si="21"/>
        <v>516.01156012327738</v>
      </c>
      <c r="K128" s="257">
        <f t="shared" ca="1" si="21"/>
        <v>74.555213100129436</v>
      </c>
      <c r="L128" s="258">
        <f t="shared" ca="1" si="21"/>
        <v>590.56677322340681</v>
      </c>
      <c r="M128" s="257">
        <f t="shared" si="21"/>
        <v>-51.999759999999995</v>
      </c>
      <c r="N128" s="257">
        <f t="shared" ca="1" si="21"/>
        <v>-6.3313265157752285</v>
      </c>
      <c r="O128" s="257">
        <f t="shared" ca="1" si="21"/>
        <v>75.787506750000006</v>
      </c>
      <c r="P128" s="257">
        <f t="shared" ca="1" si="21"/>
        <v>121.25</v>
      </c>
      <c r="Q128" s="257">
        <f t="shared" ca="1" si="21"/>
        <v>72.75</v>
      </c>
      <c r="R128" s="259">
        <f t="shared" ca="1" si="21"/>
        <v>802.02319345763158</v>
      </c>
      <c r="S128" s="258">
        <f t="shared" ca="1" si="21"/>
        <v>5649.0455370680929</v>
      </c>
      <c r="T128" s="260"/>
      <c r="U128" s="257">
        <f ca="1">SUM(U117,U120:U127)</f>
        <v>306.6815311876187</v>
      </c>
    </row>
    <row r="129" spans="1:21" s="36" customFormat="1" ht="5.0999999999999996" customHeight="1">
      <c r="G129" s="88"/>
      <c r="H129" s="88"/>
      <c r="I129" s="88"/>
      <c r="J129" s="88"/>
      <c r="K129" s="88"/>
      <c r="L129" s="88"/>
      <c r="M129" s="88"/>
      <c r="N129" s="88"/>
      <c r="O129" s="88"/>
      <c r="P129" s="88"/>
      <c r="Q129" s="88"/>
      <c r="R129" s="88"/>
      <c r="S129" s="88"/>
      <c r="T129" s="88"/>
      <c r="U129" s="88"/>
    </row>
    <row r="130" spans="1:21" s="88" customFormat="1" ht="15" customHeight="1">
      <c r="B130" s="108" t="s">
        <v>64</v>
      </c>
      <c r="C130" s="109"/>
      <c r="D130" s="109"/>
      <c r="E130" s="109"/>
      <c r="F130" s="109"/>
      <c r="G130" s="109"/>
      <c r="H130" s="109"/>
      <c r="I130" s="109"/>
      <c r="J130" s="109"/>
      <c r="K130" s="109"/>
      <c r="L130" s="109"/>
      <c r="M130" s="109"/>
      <c r="N130" s="109"/>
      <c r="O130" s="109"/>
      <c r="P130" s="109"/>
      <c r="Q130" s="109"/>
      <c r="R130" s="109"/>
      <c r="S130" s="109"/>
      <c r="T130" s="109"/>
      <c r="U130" s="178"/>
    </row>
    <row r="131" spans="1:21" s="36" customFormat="1" ht="5.0999999999999996" customHeight="1">
      <c r="B131" s="221"/>
      <c r="C131" s="221"/>
      <c r="G131" s="88"/>
      <c r="H131" s="88"/>
      <c r="I131" s="88"/>
      <c r="J131" s="88"/>
      <c r="K131" s="88"/>
      <c r="L131" s="88"/>
      <c r="M131" s="88"/>
      <c r="N131" s="88"/>
      <c r="O131" s="88"/>
      <c r="P131" s="88"/>
      <c r="Q131" s="88"/>
      <c r="R131" s="88"/>
      <c r="S131" s="88"/>
      <c r="T131" s="88"/>
      <c r="U131" s="88"/>
    </row>
    <row r="132" spans="1:21" s="36" customFormat="1" ht="15" customHeight="1">
      <c r="B132" s="85" t="s">
        <v>57</v>
      </c>
      <c r="E132" s="222">
        <f>Acquirer!S102</f>
        <v>217.01382557369814</v>
      </c>
      <c r="F132" s="261">
        <f>Target!S102</f>
        <v>22.019486348122868</v>
      </c>
      <c r="G132" s="224"/>
      <c r="H132" s="225"/>
      <c r="I132" s="228"/>
      <c r="J132" s="227">
        <f t="shared" ref="J132:J138" si="22">SUM(F132:I132)</f>
        <v>22.019486348122868</v>
      </c>
      <c r="K132" s="228"/>
      <c r="L132" s="227">
        <f t="shared" ref="L132:L138" si="23">SUM(J132:K132)</f>
        <v>22.019486348122868</v>
      </c>
      <c r="M132" s="228"/>
      <c r="N132" s="228"/>
      <c r="O132" s="228"/>
      <c r="P132" s="228"/>
      <c r="Q132" s="228"/>
      <c r="R132" s="229">
        <f t="shared" ref="R132:R138" si="24">SUM(L132:Q132)</f>
        <v>22.019486348122868</v>
      </c>
      <c r="S132" s="230">
        <f t="shared" ref="S132:S138" si="25">R132+E132</f>
        <v>239.033311921821</v>
      </c>
      <c r="T132" s="88"/>
      <c r="U132" s="224">
        <f t="shared" ref="U132:U138" si="26">SUM(G132:I132,K132,M132:Q132)</f>
        <v>0</v>
      </c>
    </row>
    <row r="133" spans="1:21" s="36" customFormat="1" ht="15" customHeight="1">
      <c r="B133" s="85" t="s">
        <v>58</v>
      </c>
      <c r="E133" s="232">
        <f>Acquirer!S103</f>
        <v>460.86961413283314</v>
      </c>
      <c r="F133" s="126">
        <f>Target!S103</f>
        <v>16.390460750853244</v>
      </c>
      <c r="G133" s="224"/>
      <c r="H133" s="225"/>
      <c r="I133" s="228"/>
      <c r="J133" s="141">
        <f t="shared" si="22"/>
        <v>16.390460750853244</v>
      </c>
      <c r="K133" s="228"/>
      <c r="L133" s="141">
        <f t="shared" si="23"/>
        <v>16.390460750853244</v>
      </c>
      <c r="M133" s="228"/>
      <c r="N133" s="228"/>
      <c r="O133" s="228"/>
      <c r="P133" s="228"/>
      <c r="Q133" s="228"/>
      <c r="R133" s="234">
        <f t="shared" si="24"/>
        <v>16.390460750853244</v>
      </c>
      <c r="S133" s="141">
        <f t="shared" si="25"/>
        <v>477.2600748836864</v>
      </c>
      <c r="T133" s="88"/>
      <c r="U133" s="235">
        <f t="shared" si="26"/>
        <v>0</v>
      </c>
    </row>
    <row r="134" spans="1:21" s="36" customFormat="1" ht="15" customHeight="1">
      <c r="B134" s="85" t="s">
        <v>85</v>
      </c>
      <c r="E134" s="232">
        <f>Acquirer!S104</f>
        <v>0</v>
      </c>
      <c r="F134" s="126">
        <f>Target!S104</f>
        <v>0</v>
      </c>
      <c r="G134" s="224"/>
      <c r="H134" s="225"/>
      <c r="I134" s="228"/>
      <c r="J134" s="141">
        <f t="shared" si="22"/>
        <v>0</v>
      </c>
      <c r="K134" s="228"/>
      <c r="L134" s="141">
        <f t="shared" si="23"/>
        <v>0</v>
      </c>
      <c r="M134" s="228"/>
      <c r="N134" s="228"/>
      <c r="O134" s="228"/>
      <c r="P134" s="228"/>
      <c r="Q134" s="228"/>
      <c r="R134" s="234">
        <f t="shared" si="24"/>
        <v>0</v>
      </c>
      <c r="S134" s="141">
        <f t="shared" si="25"/>
        <v>0</v>
      </c>
      <c r="T134" s="88"/>
      <c r="U134" s="235">
        <f t="shared" si="26"/>
        <v>0</v>
      </c>
    </row>
    <row r="135" spans="1:21" s="36" customFormat="1" ht="15" customHeight="1">
      <c r="B135" s="85" t="s">
        <v>59</v>
      </c>
      <c r="E135" s="232">
        <f>Acquirer!S105</f>
        <v>41.83396237864077</v>
      </c>
      <c r="F135" s="126">
        <f>Target!S105</f>
        <v>3.1288941979522185</v>
      </c>
      <c r="G135" s="224"/>
      <c r="H135" s="225"/>
      <c r="I135" s="228"/>
      <c r="J135" s="141">
        <f t="shared" si="22"/>
        <v>3.1288941979522185</v>
      </c>
      <c r="K135" s="228"/>
      <c r="L135" s="141">
        <f t="shared" si="23"/>
        <v>3.1288941979522185</v>
      </c>
      <c r="M135" s="228"/>
      <c r="N135" s="228"/>
      <c r="O135" s="228"/>
      <c r="P135" s="228"/>
      <c r="Q135" s="228"/>
      <c r="R135" s="234">
        <f t="shared" si="24"/>
        <v>3.1288941979522185</v>
      </c>
      <c r="S135" s="141">
        <f t="shared" si="25"/>
        <v>44.962856576592991</v>
      </c>
      <c r="T135" s="88"/>
      <c r="U135" s="235">
        <f t="shared" si="26"/>
        <v>0</v>
      </c>
    </row>
    <row r="136" spans="1:21" s="36" customFormat="1" ht="15" customHeight="1">
      <c r="B136" s="85" t="s">
        <v>60</v>
      </c>
      <c r="E136" s="232">
        <f>Acquirer!S106</f>
        <v>247.85409668168785</v>
      </c>
      <c r="F136" s="126">
        <f>Target!S106</f>
        <v>21.247921960072595</v>
      </c>
      <c r="G136" s="224"/>
      <c r="H136" s="225"/>
      <c r="I136" s="228"/>
      <c r="J136" s="141">
        <f t="shared" si="22"/>
        <v>21.247921960072595</v>
      </c>
      <c r="K136" s="228"/>
      <c r="L136" s="141">
        <f t="shared" si="23"/>
        <v>21.247921960072595</v>
      </c>
      <c r="M136" s="228"/>
      <c r="N136" s="228"/>
      <c r="O136" s="228"/>
      <c r="P136" s="228"/>
      <c r="Q136" s="228"/>
      <c r="R136" s="234">
        <f t="shared" si="24"/>
        <v>21.247921960072595</v>
      </c>
      <c r="S136" s="141">
        <f t="shared" si="25"/>
        <v>269.10201864176042</v>
      </c>
      <c r="T136" s="88"/>
      <c r="U136" s="235">
        <f t="shared" si="26"/>
        <v>0</v>
      </c>
    </row>
    <row r="137" spans="1:21" s="36" customFormat="1" ht="15" customHeight="1">
      <c r="B137" s="85" t="s">
        <v>61</v>
      </c>
      <c r="E137" s="232">
        <f>Acquirer!S107</f>
        <v>0</v>
      </c>
      <c r="F137" s="126">
        <f>Target!S107</f>
        <v>38.56127645051194</v>
      </c>
      <c r="G137" s="224"/>
      <c r="H137" s="225"/>
      <c r="I137" s="228"/>
      <c r="J137" s="141">
        <f t="shared" si="22"/>
        <v>38.56127645051194</v>
      </c>
      <c r="K137" s="228"/>
      <c r="L137" s="141">
        <f t="shared" si="23"/>
        <v>38.56127645051194</v>
      </c>
      <c r="M137" s="228"/>
      <c r="N137" s="228"/>
      <c r="O137" s="228"/>
      <c r="P137" s="228"/>
      <c r="Q137" s="228"/>
      <c r="R137" s="234">
        <f t="shared" si="24"/>
        <v>38.56127645051194</v>
      </c>
      <c r="S137" s="141">
        <f t="shared" si="25"/>
        <v>38.56127645051194</v>
      </c>
      <c r="T137" s="88"/>
      <c r="U137" s="235">
        <f t="shared" si="26"/>
        <v>0</v>
      </c>
    </row>
    <row r="138" spans="1:21" s="36" customFormat="1" ht="15" customHeight="1">
      <c r="B138" s="85" t="s">
        <v>62</v>
      </c>
      <c r="E138" s="232">
        <f>Acquirer!S108</f>
        <v>2.1779999999999999</v>
      </c>
      <c r="F138" s="126">
        <f>Target!S108</f>
        <v>0</v>
      </c>
      <c r="G138" s="224"/>
      <c r="H138" s="225"/>
      <c r="I138" s="228"/>
      <c r="J138" s="141">
        <f t="shared" si="22"/>
        <v>0</v>
      </c>
      <c r="K138" s="228"/>
      <c r="L138" s="141">
        <f t="shared" si="23"/>
        <v>0</v>
      </c>
      <c r="M138" s="228"/>
      <c r="N138" s="228"/>
      <c r="O138" s="228"/>
      <c r="P138" s="228"/>
      <c r="Q138" s="228"/>
      <c r="R138" s="234">
        <f t="shared" si="24"/>
        <v>0</v>
      </c>
      <c r="S138" s="141">
        <f t="shared" si="25"/>
        <v>2.1779999999999999</v>
      </c>
      <c r="T138" s="88"/>
      <c r="U138" s="235">
        <f t="shared" si="26"/>
        <v>0</v>
      </c>
    </row>
    <row r="139" spans="1:21" s="36" customFormat="1" ht="15" customHeight="1">
      <c r="A139" s="85"/>
      <c r="B139" s="236" t="s">
        <v>63</v>
      </c>
      <c r="C139" s="237"/>
      <c r="D139" s="237"/>
      <c r="E139" s="238">
        <f>SUM(E132:E138)</f>
        <v>969.7494987668598</v>
      </c>
      <c r="F139" s="239">
        <f>SUM(F132:F138)</f>
        <v>101.34803970751287</v>
      </c>
      <c r="G139" s="240">
        <f t="shared" ref="G139:N139" si="27">SUM(G132:G138)</f>
        <v>0</v>
      </c>
      <c r="H139" s="240">
        <f t="shared" si="27"/>
        <v>0</v>
      </c>
      <c r="I139" s="240">
        <f t="shared" si="27"/>
        <v>0</v>
      </c>
      <c r="J139" s="241">
        <f>SUM(J132:J138)</f>
        <v>101.34803970751287</v>
      </c>
      <c r="K139" s="240">
        <f t="shared" si="27"/>
        <v>0</v>
      </c>
      <c r="L139" s="241">
        <f>SUM(L132:L138)</f>
        <v>101.34803970751287</v>
      </c>
      <c r="M139" s="240">
        <f t="shared" si="27"/>
        <v>0</v>
      </c>
      <c r="N139" s="240">
        <f t="shared" si="27"/>
        <v>0</v>
      </c>
      <c r="O139" s="240">
        <f t="shared" ref="O139" si="28">SUM(O132:O138)</f>
        <v>0</v>
      </c>
      <c r="P139" s="240">
        <f>SUM(P132:P138)</f>
        <v>0</v>
      </c>
      <c r="Q139" s="240">
        <f>SUM(Q132:Q138)</f>
        <v>0</v>
      </c>
      <c r="R139" s="242">
        <f>SUM(R132:R138)</f>
        <v>101.34803970751287</v>
      </c>
      <c r="S139" s="241">
        <f>SUM(S132:S138)</f>
        <v>1071.0975384743729</v>
      </c>
      <c r="T139" s="88"/>
      <c r="U139" s="240">
        <f>SUM(U132:U138)</f>
        <v>0</v>
      </c>
    </row>
    <row r="140" spans="1:21" s="36" customFormat="1" ht="15" customHeight="1">
      <c r="B140" s="85" t="str">
        <f>acquirer&amp;" revolver"</f>
        <v>BuyerCo revolver</v>
      </c>
      <c r="E140" s="232">
        <f ca="1">Acquirer!S110</f>
        <v>0</v>
      </c>
      <c r="F140" s="98">
        <v>0</v>
      </c>
      <c r="G140" s="235"/>
      <c r="H140" s="233"/>
      <c r="I140" s="233"/>
      <c r="J140" s="141">
        <f>SUM(F140:I140)</f>
        <v>0</v>
      </c>
      <c r="K140" s="233"/>
      <c r="L140" s="141">
        <f t="shared" ref="L140:L143" si="29">SUM(J140:K140)</f>
        <v>0</v>
      </c>
      <c r="M140" s="233"/>
      <c r="N140" s="233">
        <f ca="1">J13-J28</f>
        <v>236.80132158347476</v>
      </c>
      <c r="O140" s="233"/>
      <c r="P140" s="233"/>
      <c r="Q140" s="233"/>
      <c r="R140" s="234">
        <f ca="1">SUM(L140:Q140)</f>
        <v>236.80132158347476</v>
      </c>
      <c r="S140" s="141">
        <f ca="1">R140+E140</f>
        <v>236.80132158347476</v>
      </c>
      <c r="T140" s="88"/>
      <c r="U140" s="235">
        <f ca="1">SUM(G140:I140,K140,M140:Q140)</f>
        <v>236.80132158347476</v>
      </c>
    </row>
    <row r="141" spans="1:21" s="36" customFormat="1" ht="15" customHeight="1">
      <c r="B141" s="262" t="str">
        <f>Acquirer!B111</f>
        <v>Senior credit facility 1</v>
      </c>
      <c r="E141" s="232">
        <f ca="1">Acquirer!S111</f>
        <v>0</v>
      </c>
      <c r="F141" s="98">
        <v>0</v>
      </c>
      <c r="G141" s="235"/>
      <c r="H141" s="233"/>
      <c r="I141" s="233"/>
      <c r="J141" s="141">
        <f>SUM(F141:I141)</f>
        <v>0</v>
      </c>
      <c r="K141" s="235"/>
      <c r="L141" s="141">
        <f t="shared" ref="L141" si="30">SUM(J141:K141)</f>
        <v>0</v>
      </c>
      <c r="M141" s="233"/>
      <c r="N141" s="233"/>
      <c r="O141" s="233"/>
      <c r="P141" s="233"/>
      <c r="Q141" s="233"/>
      <c r="R141" s="234">
        <f>SUM(L141:Q141)</f>
        <v>0</v>
      </c>
      <c r="S141" s="141">
        <f ca="1">R141+E141</f>
        <v>0</v>
      </c>
      <c r="T141" s="88"/>
      <c r="U141" s="235">
        <f>SUM(G141:I141,K141,M141:Q141)</f>
        <v>0</v>
      </c>
    </row>
    <row r="142" spans="1:21" s="36" customFormat="1" ht="15" customHeight="1">
      <c r="B142" s="262" t="str">
        <f>Acquirer!B112</f>
        <v>Subordinated note 1</v>
      </c>
      <c r="E142" s="232">
        <f ca="1">Acquirer!S112</f>
        <v>0</v>
      </c>
      <c r="F142" s="98">
        <v>0</v>
      </c>
      <c r="G142" s="235"/>
      <c r="H142" s="233"/>
      <c r="I142" s="233"/>
      <c r="J142" s="141">
        <f>SUM(F142:I142)</f>
        <v>0</v>
      </c>
      <c r="K142" s="235"/>
      <c r="L142" s="141">
        <f t="shared" ref="L142" si="31">SUM(J142:K142)</f>
        <v>0</v>
      </c>
      <c r="M142" s="233"/>
      <c r="N142" s="233"/>
      <c r="O142" s="233"/>
      <c r="P142" s="233"/>
      <c r="Q142" s="233"/>
      <c r="R142" s="234">
        <f>SUM(L142:Q142)</f>
        <v>0</v>
      </c>
      <c r="S142" s="141">
        <f ca="1">R142+E142</f>
        <v>0</v>
      </c>
      <c r="T142" s="88"/>
      <c r="U142" s="235">
        <f>SUM(G142:I142,K142,M142:Q142)</f>
        <v>0</v>
      </c>
    </row>
    <row r="143" spans="1:21" s="36" customFormat="1" ht="15" customHeight="1">
      <c r="B143" s="262" t="str">
        <f>Acquirer!B113</f>
        <v>Convertible bond 1</v>
      </c>
      <c r="E143" s="232">
        <f>Acquirer!S113</f>
        <v>471.375</v>
      </c>
      <c r="F143" s="98">
        <v>0</v>
      </c>
      <c r="G143" s="235"/>
      <c r="H143" s="251"/>
      <c r="I143" s="235"/>
      <c r="J143" s="141">
        <f>SUM(F143:I143)</f>
        <v>0</v>
      </c>
      <c r="K143" s="235"/>
      <c r="L143" s="141">
        <f t="shared" si="29"/>
        <v>0</v>
      </c>
      <c r="M143" s="235"/>
      <c r="N143" s="233"/>
      <c r="O143" s="233"/>
      <c r="P143" s="235"/>
      <c r="Q143" s="235"/>
      <c r="R143" s="234">
        <f>SUM(L143:Q143)</f>
        <v>0</v>
      </c>
      <c r="S143" s="141">
        <f>R143+E143</f>
        <v>471.375</v>
      </c>
      <c r="T143" s="88"/>
      <c r="U143" s="235">
        <f>SUM(G143:I143,K143,M143:Q143)</f>
        <v>0</v>
      </c>
    </row>
    <row r="144" spans="1:21" s="36" customFormat="1" ht="15" customHeight="1">
      <c r="A144" s="85"/>
      <c r="B144" s="236" t="str">
        <f>"Total "&amp;acquirer&amp;" debt"</f>
        <v>Total BuyerCo debt</v>
      </c>
      <c r="C144" s="237"/>
      <c r="D144" s="237"/>
      <c r="E144" s="238">
        <f t="shared" ref="E144:N144" ca="1" si="32">SUM(E140:E143)</f>
        <v>471.375</v>
      </c>
      <c r="F144" s="239">
        <f t="shared" si="32"/>
        <v>0</v>
      </c>
      <c r="G144" s="240">
        <f t="shared" si="32"/>
        <v>0</v>
      </c>
      <c r="H144" s="240">
        <f t="shared" si="32"/>
        <v>0</v>
      </c>
      <c r="I144" s="240">
        <f t="shared" si="32"/>
        <v>0</v>
      </c>
      <c r="J144" s="241">
        <f t="shared" si="32"/>
        <v>0</v>
      </c>
      <c r="K144" s="240">
        <f t="shared" si="32"/>
        <v>0</v>
      </c>
      <c r="L144" s="241">
        <f t="shared" si="32"/>
        <v>0</v>
      </c>
      <c r="M144" s="240">
        <f t="shared" si="32"/>
        <v>0</v>
      </c>
      <c r="N144" s="240">
        <f t="shared" ca="1" si="32"/>
        <v>236.80132158347476</v>
      </c>
      <c r="O144" s="240">
        <f t="shared" ref="O144" si="33">SUM(O140:O143)</f>
        <v>0</v>
      </c>
      <c r="P144" s="240">
        <f>SUM(P140:P143)</f>
        <v>0</v>
      </c>
      <c r="Q144" s="240">
        <f>SUM(Q140:Q143)</f>
        <v>0</v>
      </c>
      <c r="R144" s="242">
        <f ca="1">SUM(R140:R143)</f>
        <v>236.80132158347476</v>
      </c>
      <c r="S144" s="241">
        <f ca="1">SUM(S140:S143)</f>
        <v>708.17632158347476</v>
      </c>
      <c r="T144" s="88"/>
      <c r="U144" s="240">
        <f ca="1">SUM(U140:U143)</f>
        <v>236.80132158347476</v>
      </c>
    </row>
    <row r="145" spans="1:23" s="36" customFormat="1" ht="15" customHeight="1">
      <c r="B145" s="85" t="str">
        <f>target&amp;" revolver"</f>
        <v>TargetCo revolver</v>
      </c>
      <c r="E145" s="252">
        <v>0</v>
      </c>
      <c r="F145" s="126">
        <f ca="1">Target!S110</f>
        <v>0</v>
      </c>
      <c r="G145" s="235"/>
      <c r="H145" s="251"/>
      <c r="I145" s="235"/>
      <c r="J145" s="141">
        <f ca="1">SUM(F145:I145)</f>
        <v>0</v>
      </c>
      <c r="K145" s="235"/>
      <c r="L145" s="141">
        <f ca="1">SUM(J145:K145)</f>
        <v>0</v>
      </c>
      <c r="M145" s="235"/>
      <c r="N145" s="235">
        <f ca="1">-J22</f>
        <v>0</v>
      </c>
      <c r="O145" s="235"/>
      <c r="P145" s="235"/>
      <c r="Q145" s="235"/>
      <c r="R145" s="234">
        <f ca="1">SUM(L145:Q145)</f>
        <v>0</v>
      </c>
      <c r="S145" s="141">
        <f ca="1">R145+E145</f>
        <v>0</v>
      </c>
      <c r="T145" s="88"/>
      <c r="U145" s="235">
        <f ca="1">SUM(G145:I145,K145,M145:Q145)</f>
        <v>0</v>
      </c>
    </row>
    <row r="146" spans="1:23" s="36" customFormat="1" ht="15" customHeight="1">
      <c r="B146" s="262" t="str">
        <f>Target!B111</f>
        <v>Senior credit facility 2</v>
      </c>
      <c r="E146" s="252">
        <v>0</v>
      </c>
      <c r="F146" s="126">
        <f ca="1">Target!S111</f>
        <v>0</v>
      </c>
      <c r="G146" s="235"/>
      <c r="H146" s="263">
        <v>0</v>
      </c>
      <c r="I146" s="235"/>
      <c r="J146" s="141">
        <f ca="1">SUM(F146:I146)</f>
        <v>0</v>
      </c>
      <c r="K146" s="235">
        <f ca="1">M97-D97</f>
        <v>0</v>
      </c>
      <c r="L146" s="141">
        <f ca="1">SUM(J146:K146)</f>
        <v>0</v>
      </c>
      <c r="M146" s="235"/>
      <c r="N146" s="235">
        <f ca="1">-J23</f>
        <v>0</v>
      </c>
      <c r="O146" s="235"/>
      <c r="P146" s="235"/>
      <c r="Q146" s="235"/>
      <c r="R146" s="234">
        <f ca="1">SUM(L146:Q146)</f>
        <v>0</v>
      </c>
      <c r="S146" s="141">
        <f ca="1">R146+E146</f>
        <v>0</v>
      </c>
      <c r="T146" s="88"/>
      <c r="U146" s="235">
        <f ca="1">SUM(G146:I146,K146,M146:Q146)</f>
        <v>0</v>
      </c>
    </row>
    <row r="147" spans="1:23" s="36" customFormat="1" ht="15" customHeight="1">
      <c r="B147" s="262" t="str">
        <f>Target!B112</f>
        <v>Subordinated note 2</v>
      </c>
      <c r="E147" s="252">
        <v>0</v>
      </c>
      <c r="F147" s="126">
        <f ca="1">Target!S112</f>
        <v>45.5</v>
      </c>
      <c r="G147" s="235"/>
      <c r="H147" s="263">
        <v>0</v>
      </c>
      <c r="I147" s="235"/>
      <c r="J147" s="141">
        <f ca="1">SUM(F147:I147)</f>
        <v>45.5</v>
      </c>
      <c r="K147" s="235">
        <f ca="1">M98-D98</f>
        <v>0</v>
      </c>
      <c r="L147" s="141">
        <f ca="1">SUM(J147:K147)</f>
        <v>45.5</v>
      </c>
      <c r="M147" s="235"/>
      <c r="N147" s="235">
        <f ca="1">-J24</f>
        <v>-45.5</v>
      </c>
      <c r="O147" s="235"/>
      <c r="P147" s="235"/>
      <c r="Q147" s="235"/>
      <c r="R147" s="234">
        <f ca="1">SUM(L147:Q147)</f>
        <v>0</v>
      </c>
      <c r="S147" s="141">
        <f ca="1">R147+E147</f>
        <v>0</v>
      </c>
      <c r="T147" s="88"/>
      <c r="U147" s="235">
        <f ca="1">SUM(G147:I147,K147,M147:Q147)</f>
        <v>-45.5</v>
      </c>
    </row>
    <row r="148" spans="1:23" s="36" customFormat="1" ht="15" customHeight="1">
      <c r="B148" s="262" t="str">
        <f>Target!B113</f>
        <v>Convertible bond 2</v>
      </c>
      <c r="E148" s="252">
        <v>0</v>
      </c>
      <c r="F148" s="126">
        <f>Target!S113</f>
        <v>194.51249999999999</v>
      </c>
      <c r="G148" s="235"/>
      <c r="H148" s="263">
        <v>0</v>
      </c>
      <c r="I148" s="235"/>
      <c r="J148" s="141">
        <f>SUM(F148:I148)</f>
        <v>194.51249999999999</v>
      </c>
      <c r="K148" s="235">
        <f ca="1">M99-D99</f>
        <v>0</v>
      </c>
      <c r="L148" s="141">
        <f ca="1">SUM(J148:K148)</f>
        <v>194.51249999999999</v>
      </c>
      <c r="M148" s="235"/>
      <c r="N148" s="235">
        <f ca="1">-J25</f>
        <v>-194.51249999999999</v>
      </c>
      <c r="O148" s="235"/>
      <c r="P148" s="235"/>
      <c r="Q148" s="235"/>
      <c r="R148" s="234">
        <f ca="1">SUM(L148:Q148)</f>
        <v>0</v>
      </c>
      <c r="S148" s="141">
        <f ca="1">R148+E148</f>
        <v>0</v>
      </c>
      <c r="T148" s="88"/>
      <c r="U148" s="235">
        <f ca="1">SUM(G148:I148,K148,M148:Q148)</f>
        <v>-194.51249999999999</v>
      </c>
    </row>
    <row r="149" spans="1:23" s="36" customFormat="1" ht="15" customHeight="1">
      <c r="A149" s="85"/>
      <c r="B149" s="236" t="str">
        <f>"Total "&amp;target&amp;" debt"</f>
        <v>Total TargetCo debt</v>
      </c>
      <c r="C149" s="237"/>
      <c r="D149" s="237"/>
      <c r="E149" s="238">
        <f t="shared" ref="E149:N149" si="34">SUM(E145:E148)</f>
        <v>0</v>
      </c>
      <c r="F149" s="239">
        <f t="shared" ca="1" si="34"/>
        <v>240.01249999999999</v>
      </c>
      <c r="G149" s="240">
        <f t="shared" si="34"/>
        <v>0</v>
      </c>
      <c r="H149" s="240">
        <f t="shared" si="34"/>
        <v>0</v>
      </c>
      <c r="I149" s="240">
        <f t="shared" si="34"/>
        <v>0</v>
      </c>
      <c r="J149" s="241">
        <f t="shared" ca="1" si="34"/>
        <v>240.01249999999999</v>
      </c>
      <c r="K149" s="240">
        <f t="shared" ca="1" si="34"/>
        <v>0</v>
      </c>
      <c r="L149" s="241">
        <f t="shared" ca="1" si="34"/>
        <v>240.01249999999999</v>
      </c>
      <c r="M149" s="240">
        <f t="shared" si="34"/>
        <v>0</v>
      </c>
      <c r="N149" s="240">
        <f t="shared" ca="1" si="34"/>
        <v>-240.01249999999999</v>
      </c>
      <c r="O149" s="240">
        <f t="shared" ref="O149" si="35">SUM(O145:O148)</f>
        <v>0</v>
      </c>
      <c r="P149" s="240">
        <f>SUM(P145:P148)</f>
        <v>0</v>
      </c>
      <c r="Q149" s="240">
        <f>SUM(Q145:Q148)</f>
        <v>0</v>
      </c>
      <c r="R149" s="242">
        <f ca="1">SUM(R145:R148)</f>
        <v>0</v>
      </c>
      <c r="S149" s="241">
        <f ca="1">SUM(S145:S148)</f>
        <v>0</v>
      </c>
      <c r="T149" s="88"/>
      <c r="U149" s="240">
        <f ca="1">SUM(U145:U148)</f>
        <v>-240.01249999999999</v>
      </c>
    </row>
    <row r="150" spans="1:23" s="36" customFormat="1" ht="15" customHeight="1">
      <c r="A150" s="85"/>
      <c r="B150" s="85" t="str">
        <f>B86</f>
        <v>Senior credit facility 3</v>
      </c>
      <c r="C150" s="85"/>
      <c r="D150" s="85"/>
      <c r="E150" s="252">
        <v>0</v>
      </c>
      <c r="F150" s="98">
        <v>0</v>
      </c>
      <c r="G150" s="264"/>
      <c r="H150" s="264"/>
      <c r="I150" s="264"/>
      <c r="J150" s="245"/>
      <c r="K150" s="264"/>
      <c r="L150" s="245"/>
      <c r="M150" s="264"/>
      <c r="N150" s="233"/>
      <c r="O150" s="233">
        <f ca="1">E86</f>
        <v>75</v>
      </c>
      <c r="P150" s="264"/>
      <c r="Q150" s="264"/>
      <c r="R150" s="234">
        <f ca="1">SUM(L150:Q150)</f>
        <v>75</v>
      </c>
      <c r="S150" s="141">
        <f ca="1">R150+E150</f>
        <v>75</v>
      </c>
      <c r="T150" s="88"/>
      <c r="U150" s="235">
        <f ca="1">SUM(G150:I150,K150,M150:Q150)</f>
        <v>75</v>
      </c>
      <c r="W150" s="163"/>
    </row>
    <row r="151" spans="1:23" s="36" customFormat="1" ht="15" customHeight="1">
      <c r="A151" s="85"/>
      <c r="B151" s="85" t="str">
        <f>B87</f>
        <v>Subordinated note 3</v>
      </c>
      <c r="C151" s="85"/>
      <c r="D151" s="85"/>
      <c r="E151" s="252">
        <v>0</v>
      </c>
      <c r="F151" s="98">
        <v>0</v>
      </c>
      <c r="G151" s="264"/>
      <c r="H151" s="264"/>
      <c r="I151" s="264"/>
      <c r="J151" s="245"/>
      <c r="K151" s="264"/>
      <c r="L151" s="245"/>
      <c r="M151" s="264"/>
      <c r="N151" s="233"/>
      <c r="O151" s="233">
        <f ca="1">E87</f>
        <v>0</v>
      </c>
      <c r="P151" s="264"/>
      <c r="Q151" s="264"/>
      <c r="R151" s="234">
        <f ca="1">SUM(L151:Q151)</f>
        <v>0</v>
      </c>
      <c r="S151" s="141">
        <f ca="1">R151+E151</f>
        <v>0</v>
      </c>
      <c r="T151" s="88"/>
      <c r="U151" s="235">
        <f ca="1">SUM(G151:I151,K151,M151:Q151)</f>
        <v>0</v>
      </c>
    </row>
    <row r="152" spans="1:23" s="36" customFormat="1" ht="15" customHeight="1">
      <c r="A152" s="85"/>
      <c r="B152" s="85" t="str">
        <f>B88</f>
        <v>Convertible bond 3</v>
      </c>
      <c r="C152" s="85"/>
      <c r="D152" s="85"/>
      <c r="E152" s="252">
        <v>0</v>
      </c>
      <c r="F152" s="98">
        <v>0</v>
      </c>
      <c r="G152" s="264"/>
      <c r="H152" s="264"/>
      <c r="I152" s="264"/>
      <c r="J152" s="245"/>
      <c r="K152" s="264"/>
      <c r="L152" s="245"/>
      <c r="M152" s="264"/>
      <c r="N152" s="233"/>
      <c r="O152" s="233">
        <f ca="1">E88</f>
        <v>0</v>
      </c>
      <c r="P152" s="264"/>
      <c r="Q152" s="264"/>
      <c r="R152" s="234">
        <f ca="1">SUM(L152:Q152)</f>
        <v>0</v>
      </c>
      <c r="S152" s="141">
        <f ca="1">R152+E152</f>
        <v>0</v>
      </c>
      <c r="T152" s="88"/>
      <c r="U152" s="235">
        <f ca="1">SUM(G152:I152,K152,M152:Q152)</f>
        <v>0</v>
      </c>
    </row>
    <row r="153" spans="1:23" s="36" customFormat="1" ht="15" customHeight="1">
      <c r="A153" s="85"/>
      <c r="B153" s="236" t="s">
        <v>317</v>
      </c>
      <c r="C153" s="237"/>
      <c r="D153" s="237"/>
      <c r="E153" s="238">
        <f>SUM(E150:E152)</f>
        <v>0</v>
      </c>
      <c r="F153" s="239">
        <f t="shared" ref="F153:M153" si="36">SUM(F150:F152)</f>
        <v>0</v>
      </c>
      <c r="G153" s="240">
        <f t="shared" si="36"/>
        <v>0</v>
      </c>
      <c r="H153" s="240">
        <f t="shared" si="36"/>
        <v>0</v>
      </c>
      <c r="I153" s="240">
        <f t="shared" si="36"/>
        <v>0</v>
      </c>
      <c r="J153" s="241">
        <f t="shared" si="36"/>
        <v>0</v>
      </c>
      <c r="K153" s="240">
        <f t="shared" si="36"/>
        <v>0</v>
      </c>
      <c r="L153" s="241">
        <f t="shared" si="36"/>
        <v>0</v>
      </c>
      <c r="M153" s="240">
        <f t="shared" si="36"/>
        <v>0</v>
      </c>
      <c r="N153" s="240">
        <f t="shared" ref="N153:S153" si="37">SUM(N150:N152)</f>
        <v>0</v>
      </c>
      <c r="O153" s="240">
        <f t="shared" ca="1" si="37"/>
        <v>75</v>
      </c>
      <c r="P153" s="240">
        <f t="shared" si="37"/>
        <v>0</v>
      </c>
      <c r="Q153" s="240">
        <f t="shared" si="37"/>
        <v>0</v>
      </c>
      <c r="R153" s="242">
        <f t="shared" ca="1" si="37"/>
        <v>75</v>
      </c>
      <c r="S153" s="241">
        <f t="shared" ca="1" si="37"/>
        <v>75</v>
      </c>
      <c r="T153" s="88"/>
      <c r="U153" s="240">
        <f ca="1">SUM(U150:U152)</f>
        <v>75</v>
      </c>
    </row>
    <row r="154" spans="1:23" s="36" customFormat="1" ht="15" customHeight="1">
      <c r="B154" s="36" t="s">
        <v>524</v>
      </c>
      <c r="E154" s="232">
        <f ca="1">Acquirer!S114</f>
        <v>0</v>
      </c>
      <c r="F154" s="126">
        <f ca="1">Target!S114</f>
        <v>-2.6383260244421898</v>
      </c>
      <c r="G154" s="235"/>
      <c r="H154" s="251"/>
      <c r="I154" s="235">
        <f ca="1">O22-O26</f>
        <v>28.617609540336119</v>
      </c>
      <c r="J154" s="141">
        <f ca="1">SUM(F154:I154)</f>
        <v>25.979283515893929</v>
      </c>
      <c r="K154" s="235"/>
      <c r="L154" s="141">
        <f ca="1">SUM(J154:K154)</f>
        <v>25.979283515893929</v>
      </c>
      <c r="M154" s="235"/>
      <c r="N154" s="265">
        <v>0</v>
      </c>
      <c r="O154" s="235">
        <f ca="1">H91*tax</f>
        <v>0.78750675000000014</v>
      </c>
      <c r="P154" s="235"/>
      <c r="Q154" s="235"/>
      <c r="R154" s="234">
        <f ca="1">SUM(L154:Q154)</f>
        <v>26.766790265893928</v>
      </c>
      <c r="S154" s="245">
        <f ca="1">R154+E154</f>
        <v>26.766790265893928</v>
      </c>
      <c r="T154" s="88"/>
      <c r="U154" s="244">
        <f ca="1">SUM(G154:I154,K154,M154:Q154)</f>
        <v>29.405116290336117</v>
      </c>
    </row>
    <row r="155" spans="1:23" s="36" customFormat="1" ht="15" customHeight="1">
      <c r="B155" s="36" t="s">
        <v>8</v>
      </c>
      <c r="E155" s="232">
        <f>Acquirer!S115</f>
        <v>502.98599999999999</v>
      </c>
      <c r="F155" s="126">
        <f>Target!S115</f>
        <v>17.917000000000002</v>
      </c>
      <c r="G155" s="226"/>
      <c r="H155" s="251"/>
      <c r="I155" s="226"/>
      <c r="J155" s="141">
        <f>SUM(F155:I155)</f>
        <v>17.917000000000002</v>
      </c>
      <c r="K155" s="226"/>
      <c r="L155" s="141">
        <f>SUM(J155:K155)</f>
        <v>17.917000000000002</v>
      </c>
      <c r="M155" s="226"/>
      <c r="N155" s="226"/>
      <c r="O155" s="226"/>
      <c r="P155" s="226"/>
      <c r="Q155" s="226"/>
      <c r="R155" s="234">
        <f>SUM(L155:Q155)</f>
        <v>17.917000000000002</v>
      </c>
      <c r="S155" s="245">
        <f>R155+E155</f>
        <v>520.90300000000002</v>
      </c>
      <c r="T155" s="88"/>
      <c r="U155" s="244">
        <f>SUM(G155:I155,K155,M155:Q155)</f>
        <v>0</v>
      </c>
    </row>
    <row r="156" spans="1:23" s="36" customFormat="1" ht="15" customHeight="1">
      <c r="B156" s="248" t="s">
        <v>7</v>
      </c>
      <c r="C156" s="248"/>
      <c r="D156" s="249"/>
      <c r="E156" s="238">
        <f ca="1">SUM(E139,E144,E149,E153:E155)</f>
        <v>1944.1104987668596</v>
      </c>
      <c r="F156" s="239">
        <f ca="1">SUM(F139,F144,F149,F153:F155)</f>
        <v>356.63921368307069</v>
      </c>
      <c r="G156" s="240">
        <f t="shared" ref="G156:M156" si="38">SUM(G139,G144,G149,G153:G155)</f>
        <v>0</v>
      </c>
      <c r="H156" s="240">
        <f t="shared" si="38"/>
        <v>0</v>
      </c>
      <c r="I156" s="240">
        <f ca="1">SUM(I139,I144,I149,I153:I155)</f>
        <v>28.617609540336119</v>
      </c>
      <c r="J156" s="241">
        <f ca="1">SUM(J139,J144,J149,J153:J155)</f>
        <v>385.25682322340685</v>
      </c>
      <c r="K156" s="240">
        <f t="shared" ca="1" si="38"/>
        <v>0</v>
      </c>
      <c r="L156" s="241">
        <f ca="1">SUM(L139,L144,L149,L153:L155)</f>
        <v>385.25682322340685</v>
      </c>
      <c r="M156" s="240">
        <f t="shared" si="38"/>
        <v>0</v>
      </c>
      <c r="N156" s="240">
        <f t="shared" ref="N156:S156" ca="1" si="39">SUM(N139,N144,N149,N153:N155)</f>
        <v>-3.2111784165252288</v>
      </c>
      <c r="O156" s="240">
        <f t="shared" ca="1" si="39"/>
        <v>75.787506750000006</v>
      </c>
      <c r="P156" s="240">
        <f t="shared" si="39"/>
        <v>0</v>
      </c>
      <c r="Q156" s="240">
        <f t="shared" si="39"/>
        <v>0</v>
      </c>
      <c r="R156" s="242">
        <f t="shared" ca="1" si="39"/>
        <v>457.83315155688149</v>
      </c>
      <c r="S156" s="241">
        <f t="shared" ca="1" si="39"/>
        <v>2401.9436503237416</v>
      </c>
      <c r="T156" s="88"/>
      <c r="U156" s="240">
        <f ca="1">SUM(U139,U144,U149,U153:U155)</f>
        <v>101.19393787381088</v>
      </c>
    </row>
    <row r="157" spans="1:23" s="36" customFormat="1" ht="15" customHeight="1">
      <c r="B157" s="36" t="s">
        <v>6</v>
      </c>
      <c r="E157" s="232">
        <f>Acquirer!S117</f>
        <v>0</v>
      </c>
      <c r="F157" s="126">
        <f>Target!S117</f>
        <v>0</v>
      </c>
      <c r="G157" s="235"/>
      <c r="H157" s="233"/>
      <c r="I157" s="233"/>
      <c r="J157" s="141">
        <f>SUM(F157:I157)</f>
        <v>0</v>
      </c>
      <c r="K157" s="233"/>
      <c r="L157" s="141">
        <f>SUM(J157:K157)</f>
        <v>0</v>
      </c>
      <c r="M157" s="233"/>
      <c r="N157" s="233"/>
      <c r="O157" s="233"/>
      <c r="P157" s="233"/>
      <c r="Q157" s="233"/>
      <c r="R157" s="234">
        <f t="shared" ref="R157:R165" si="40">SUM(L157:Q157)</f>
        <v>0</v>
      </c>
      <c r="S157" s="141">
        <f t="shared" ref="S157:S165" si="41">R157+E157</f>
        <v>0</v>
      </c>
      <c r="T157" s="88"/>
      <c r="U157" s="244">
        <f t="shared" ref="U157:U165" si="42">SUM(G157:I157,K157,M157:Q157)</f>
        <v>0</v>
      </c>
    </row>
    <row r="158" spans="1:23" s="36" customFormat="1" ht="15" customHeight="1">
      <c r="B158" s="188" t="str">
        <f>Acquirer!B118</f>
        <v>Preferred stock 1</v>
      </c>
      <c r="E158" s="232">
        <f>Acquirer!S118</f>
        <v>0</v>
      </c>
      <c r="F158" s="98">
        <v>0</v>
      </c>
      <c r="G158" s="233"/>
      <c r="H158" s="233"/>
      <c r="I158" s="226"/>
      <c r="J158" s="141">
        <f>SUM(F158:I158)</f>
        <v>0</v>
      </c>
      <c r="K158" s="233"/>
      <c r="L158" s="141">
        <f t="shared" ref="L158" si="43">SUM(J158:K158)</f>
        <v>0</v>
      </c>
      <c r="M158" s="226"/>
      <c r="N158" s="235"/>
      <c r="O158" s="235"/>
      <c r="P158" s="235"/>
      <c r="Q158" s="226"/>
      <c r="R158" s="234">
        <f t="shared" si="40"/>
        <v>0</v>
      </c>
      <c r="S158" s="245">
        <f t="shared" si="41"/>
        <v>0</v>
      </c>
      <c r="T158" s="88"/>
      <c r="U158" s="244">
        <f t="shared" si="42"/>
        <v>0</v>
      </c>
    </row>
    <row r="159" spans="1:23" s="36" customFormat="1" ht="15" customHeight="1">
      <c r="B159" s="188" t="str">
        <f>Target!B118</f>
        <v>Preferred stock 2</v>
      </c>
      <c r="E159" s="252">
        <v>0</v>
      </c>
      <c r="F159" s="126">
        <f>Target!S118</f>
        <v>0</v>
      </c>
      <c r="G159" s="233"/>
      <c r="H159" s="266">
        <v>0</v>
      </c>
      <c r="I159" s="226"/>
      <c r="J159" s="141">
        <f>SUM(F159:I159)</f>
        <v>0</v>
      </c>
      <c r="K159" s="233">
        <f ca="1">M100-D100</f>
        <v>0</v>
      </c>
      <c r="L159" s="141">
        <f ca="1">SUM(J159:K159)</f>
        <v>0</v>
      </c>
      <c r="M159" s="226"/>
      <c r="N159" s="235">
        <f ca="1">-J26</f>
        <v>0</v>
      </c>
      <c r="O159" s="235"/>
      <c r="P159" s="235"/>
      <c r="Q159" s="226"/>
      <c r="R159" s="234">
        <f t="shared" ca="1" si="40"/>
        <v>0</v>
      </c>
      <c r="S159" s="245">
        <f t="shared" ca="1" si="41"/>
        <v>0</v>
      </c>
      <c r="T159" s="88"/>
      <c r="U159" s="244">
        <f t="shared" ca="1" si="42"/>
        <v>0</v>
      </c>
    </row>
    <row r="160" spans="1:23" s="36" customFormat="1" ht="15" customHeight="1">
      <c r="B160" s="188" t="str">
        <f>Inputs!B22</f>
        <v>Preferred stock 3</v>
      </c>
      <c r="E160" s="252">
        <v>0</v>
      </c>
      <c r="F160" s="98">
        <v>0</v>
      </c>
      <c r="G160" s="233"/>
      <c r="H160" s="233"/>
      <c r="I160" s="226"/>
      <c r="J160" s="141">
        <f t="shared" ref="J160" si="44">SUM(F160:I160)</f>
        <v>0</v>
      </c>
      <c r="K160" s="233"/>
      <c r="L160" s="141">
        <f t="shared" ref="L160" si="45">SUM(J160:K160)</f>
        <v>0</v>
      </c>
      <c r="M160" s="226"/>
      <c r="N160" s="235"/>
      <c r="O160" s="235"/>
      <c r="P160" s="233">
        <f ca="1">E89</f>
        <v>125</v>
      </c>
      <c r="Q160" s="233"/>
      <c r="R160" s="234">
        <f t="shared" ca="1" si="40"/>
        <v>125</v>
      </c>
      <c r="S160" s="245">
        <f t="shared" ca="1" si="41"/>
        <v>125</v>
      </c>
      <c r="T160" s="88"/>
      <c r="U160" s="244">
        <f t="shared" ca="1" si="42"/>
        <v>125</v>
      </c>
    </row>
    <row r="161" spans="2:23" s="36" customFormat="1" ht="15" customHeight="1">
      <c r="B161" s="36" t="s">
        <v>124</v>
      </c>
      <c r="E161" s="232">
        <f>Acquirer!S119</f>
        <v>3.871</v>
      </c>
      <c r="F161" s="126">
        <f>Target!S119</f>
        <v>0.629</v>
      </c>
      <c r="G161" s="233"/>
      <c r="H161" s="233"/>
      <c r="I161" s="226"/>
      <c r="J161" s="141">
        <f>SUM(F161:I161)</f>
        <v>0.629</v>
      </c>
      <c r="K161" s="233">
        <f>-F161</f>
        <v>-0.629</v>
      </c>
      <c r="L161" s="141">
        <f>SUM(J161:K161)</f>
        <v>0</v>
      </c>
      <c r="M161" s="226"/>
      <c r="N161" s="226"/>
      <c r="O161" s="226"/>
      <c r="P161" s="226"/>
      <c r="Q161" s="226"/>
      <c r="R161" s="234">
        <f t="shared" si="40"/>
        <v>0</v>
      </c>
      <c r="S161" s="245">
        <f t="shared" si="41"/>
        <v>3.871</v>
      </c>
      <c r="T161" s="88"/>
      <c r="U161" s="244">
        <f t="shared" si="42"/>
        <v>-0.629</v>
      </c>
    </row>
    <row r="162" spans="2:23" s="36" customFormat="1" ht="15" customHeight="1">
      <c r="B162" s="57" t="s">
        <v>443</v>
      </c>
      <c r="E162" s="232">
        <f>Acquirer!S120</f>
        <v>2239.5499999999997</v>
      </c>
      <c r="F162" s="126">
        <f>Target!S120</f>
        <v>371.44399999999985</v>
      </c>
      <c r="G162" s="233"/>
      <c r="H162" s="233"/>
      <c r="I162" s="226"/>
      <c r="J162" s="141">
        <f>SUM(F162:I162)</f>
        <v>371.44399999999985</v>
      </c>
      <c r="K162" s="233">
        <f ca="1">-F162+J10+J12+L101</f>
        <v>-166.13404999999986</v>
      </c>
      <c r="L162" s="141">
        <f ca="1">SUM(J162:K162)</f>
        <v>205.30994999999999</v>
      </c>
      <c r="M162" s="226"/>
      <c r="N162" s="226"/>
      <c r="O162" s="226"/>
      <c r="P162" s="233">
        <f ca="1">-I89</f>
        <v>-3.75</v>
      </c>
      <c r="Q162" s="233">
        <f ca="1">E90-I90</f>
        <v>72.75</v>
      </c>
      <c r="R162" s="234">
        <f t="shared" ca="1" si="40"/>
        <v>274.30994999999996</v>
      </c>
      <c r="S162" s="245">
        <f t="shared" ca="1" si="41"/>
        <v>2513.8599499999996</v>
      </c>
      <c r="T162" s="88"/>
      <c r="U162" s="244">
        <f t="shared" ca="1" si="42"/>
        <v>-97.13404999999986</v>
      </c>
    </row>
    <row r="163" spans="2:23" s="36" customFormat="1" ht="15" customHeight="1">
      <c r="B163" s="57" t="s">
        <v>125</v>
      </c>
      <c r="E163" s="232">
        <f>Acquirer!S121</f>
        <v>-774.67</v>
      </c>
      <c r="F163" s="126">
        <f>Target!S121</f>
        <v>-667.85799999999995</v>
      </c>
      <c r="G163" s="233"/>
      <c r="H163" s="233"/>
      <c r="I163" s="226"/>
      <c r="J163" s="141">
        <f>SUM(F163:I163)</f>
        <v>-667.85799999999995</v>
      </c>
      <c r="K163" s="233">
        <f>-F163</f>
        <v>667.85799999999995</v>
      </c>
      <c r="L163" s="141">
        <f>SUM(J163:K163)</f>
        <v>0</v>
      </c>
      <c r="M163" s="226"/>
      <c r="N163" s="226"/>
      <c r="O163" s="226"/>
      <c r="P163" s="226"/>
      <c r="Q163" s="226"/>
      <c r="R163" s="234">
        <f t="shared" si="40"/>
        <v>0</v>
      </c>
      <c r="S163" s="245">
        <f t="shared" si="41"/>
        <v>-774.67</v>
      </c>
      <c r="T163" s="88"/>
      <c r="U163" s="244">
        <f t="shared" si="42"/>
        <v>667.85799999999995</v>
      </c>
    </row>
    <row r="164" spans="2:23" s="36" customFormat="1" ht="15" customHeight="1">
      <c r="B164" s="57" t="s">
        <v>126</v>
      </c>
      <c r="E164" s="232">
        <f>Acquirer!S122</f>
        <v>6.5709999999999997</v>
      </c>
      <c r="F164" s="126">
        <f>Target!S122</f>
        <v>-0.40899999999999997</v>
      </c>
      <c r="G164" s="233"/>
      <c r="H164" s="233"/>
      <c r="I164" s="226"/>
      <c r="J164" s="141">
        <f>SUM(F164:I164)</f>
        <v>-0.40899999999999997</v>
      </c>
      <c r="K164" s="233">
        <f>-F164</f>
        <v>0.40899999999999997</v>
      </c>
      <c r="L164" s="141">
        <f>SUM(J164:K164)</f>
        <v>0</v>
      </c>
      <c r="M164" s="226"/>
      <c r="N164" s="226"/>
      <c r="O164" s="226"/>
      <c r="P164" s="226"/>
      <c r="Q164" s="226"/>
      <c r="R164" s="234">
        <f t="shared" si="40"/>
        <v>0</v>
      </c>
      <c r="S164" s="245">
        <f t="shared" si="41"/>
        <v>6.5709999999999997</v>
      </c>
      <c r="T164" s="88"/>
      <c r="U164" s="244">
        <f t="shared" si="42"/>
        <v>0.40899999999999997</v>
      </c>
    </row>
    <row r="165" spans="2:23" s="36" customFormat="1" ht="15" customHeight="1">
      <c r="B165" s="57" t="s">
        <v>127</v>
      </c>
      <c r="E165" s="232">
        <f ca="1">Acquirer!S123</f>
        <v>1427.5898448436012</v>
      </c>
      <c r="F165" s="126">
        <f ca="1">Target!S123</f>
        <v>434.8964485869422</v>
      </c>
      <c r="G165" s="233"/>
      <c r="H165" s="233"/>
      <c r="I165" s="233"/>
      <c r="J165" s="141">
        <f ca="1">SUM(F165:I165)</f>
        <v>434.8964485869422</v>
      </c>
      <c r="K165" s="233">
        <f ca="1">-F165+O40</f>
        <v>-434.8964485869422</v>
      </c>
      <c r="L165" s="141">
        <f ca="1">SUM(J165:K165)</f>
        <v>0</v>
      </c>
      <c r="M165" s="233">
        <f>-O46*(1-tax)-J31*(1-tax)</f>
        <v>-51.999759999999995</v>
      </c>
      <c r="N165" s="233">
        <f ca="1">-J29*(1-tax)-N154</f>
        <v>-3.1201480992499997</v>
      </c>
      <c r="O165" s="233"/>
      <c r="P165" s="233"/>
      <c r="Q165" s="233"/>
      <c r="R165" s="234">
        <f t="shared" ca="1" si="40"/>
        <v>-55.119908099249997</v>
      </c>
      <c r="S165" s="245">
        <f t="shared" ca="1" si="41"/>
        <v>1372.4699367443511</v>
      </c>
      <c r="T165" s="88"/>
      <c r="U165" s="244">
        <f t="shared" ca="1" si="42"/>
        <v>-490.01635668619218</v>
      </c>
      <c r="W165" s="163"/>
    </row>
    <row r="166" spans="2:23" s="193" customFormat="1" ht="15" customHeight="1">
      <c r="B166" s="253" t="s">
        <v>21</v>
      </c>
      <c r="C166" s="253"/>
      <c r="D166" s="254"/>
      <c r="E166" s="255">
        <f t="shared" ref="E166:N166" ca="1" si="46">SUM(E156:E165)</f>
        <v>4847.0223436104598</v>
      </c>
      <c r="F166" s="256">
        <f t="shared" ca="1" si="46"/>
        <v>495.34166227001282</v>
      </c>
      <c r="G166" s="257">
        <f t="shared" si="46"/>
        <v>0</v>
      </c>
      <c r="H166" s="257">
        <f t="shared" si="46"/>
        <v>0</v>
      </c>
      <c r="I166" s="257">
        <f t="shared" ca="1" si="46"/>
        <v>28.617609540336119</v>
      </c>
      <c r="J166" s="258">
        <f t="shared" ca="1" si="46"/>
        <v>523.95927181034892</v>
      </c>
      <c r="K166" s="257">
        <f t="shared" ca="1" si="46"/>
        <v>66.607501413057889</v>
      </c>
      <c r="L166" s="258">
        <f t="shared" ca="1" si="46"/>
        <v>590.56677322340681</v>
      </c>
      <c r="M166" s="257">
        <f t="shared" si="46"/>
        <v>-51.999759999999995</v>
      </c>
      <c r="N166" s="257">
        <f t="shared" ca="1" si="46"/>
        <v>-6.3313265157752285</v>
      </c>
      <c r="O166" s="257">
        <f t="shared" ref="O166" ca="1" si="47">SUM(O156:O165)</f>
        <v>75.787506750000006</v>
      </c>
      <c r="P166" s="257">
        <f ca="1">SUM(P156:P165)</f>
        <v>121.25</v>
      </c>
      <c r="Q166" s="257">
        <f ca="1">SUM(Q156:Q165)</f>
        <v>72.75</v>
      </c>
      <c r="R166" s="259">
        <f ca="1">SUM(R156:R165)</f>
        <v>802.02319345763146</v>
      </c>
      <c r="S166" s="258">
        <f ca="1">SUM(S156:S165)</f>
        <v>5649.045537068092</v>
      </c>
      <c r="T166" s="260"/>
      <c r="U166" s="257">
        <f ca="1">SUM(U156:U165)</f>
        <v>306.68153118761876</v>
      </c>
    </row>
    <row r="167" spans="2:23" s="36" customFormat="1" ht="5.0999999999999996" customHeight="1">
      <c r="G167" s="88"/>
      <c r="H167" s="88"/>
      <c r="I167" s="88"/>
      <c r="J167" s="88"/>
      <c r="K167" s="88"/>
      <c r="L167" s="88"/>
      <c r="M167" s="88"/>
      <c r="N167" s="88"/>
      <c r="O167" s="88"/>
      <c r="P167" s="88"/>
      <c r="Q167" s="88"/>
      <c r="R167" s="88"/>
      <c r="S167" s="88"/>
      <c r="T167" s="88"/>
      <c r="U167" s="88"/>
    </row>
    <row r="168" spans="2:23" s="88" customFormat="1" ht="15" customHeight="1">
      <c r="B168" s="108" t="s">
        <v>299</v>
      </c>
      <c r="C168" s="109"/>
      <c r="D168" s="109"/>
      <c r="E168" s="109"/>
      <c r="F168" s="109"/>
      <c r="G168" s="109"/>
      <c r="H168" s="109"/>
      <c r="I168" s="109"/>
      <c r="J168" s="109"/>
      <c r="K168" s="109"/>
      <c r="L168" s="109"/>
      <c r="M168" s="109"/>
      <c r="N168" s="109"/>
      <c r="O168" s="109"/>
      <c r="P168" s="109"/>
      <c r="Q168" s="109"/>
      <c r="R168" s="109"/>
      <c r="S168" s="109"/>
      <c r="T168" s="109"/>
      <c r="U168" s="178"/>
    </row>
    <row r="169" spans="2:23" s="36" customFormat="1" ht="5.0999999999999996" customHeight="1">
      <c r="B169" s="267"/>
      <c r="C169" s="267"/>
      <c r="G169" s="88"/>
      <c r="H169" s="88"/>
      <c r="I169" s="88"/>
      <c r="J169" s="88"/>
      <c r="K169" s="88"/>
      <c r="L169" s="88"/>
      <c r="M169" s="88"/>
      <c r="N169" s="88"/>
      <c r="O169" s="88"/>
      <c r="P169" s="88"/>
      <c r="Q169" s="88"/>
      <c r="R169" s="88"/>
      <c r="S169" s="88"/>
      <c r="T169" s="88"/>
      <c r="U169" s="88"/>
    </row>
    <row r="170" spans="2:23" s="36" customFormat="1" ht="15" customHeight="1">
      <c r="B170" s="36" t="s">
        <v>20</v>
      </c>
      <c r="E170" s="268">
        <f>Acquirer!S548</f>
        <v>216.44300000000001</v>
      </c>
      <c r="F170" s="173">
        <f>Target!S548</f>
        <v>35.340000000000003</v>
      </c>
      <c r="G170" s="264"/>
      <c r="H170" s="269"/>
      <c r="I170" s="269"/>
      <c r="J170" s="136">
        <f>SUM(F170:I170)</f>
        <v>35.340000000000003</v>
      </c>
      <c r="K170" s="270">
        <f ca="1">-J170+$J$10/$E$11</f>
        <v>-28.865387890255445</v>
      </c>
      <c r="L170" s="136">
        <f ca="1">SUM(J170:K170)</f>
        <v>6.4746121097445588</v>
      </c>
      <c r="M170" s="270"/>
      <c r="N170" s="270"/>
      <c r="O170" s="270"/>
      <c r="P170" s="270"/>
      <c r="Q170" s="270"/>
      <c r="R170" s="271">
        <f ca="1">SUM(L170:M170)</f>
        <v>6.4746121097445588</v>
      </c>
      <c r="S170" s="136">
        <f ca="1">R170+E170</f>
        <v>222.91761210974457</v>
      </c>
      <c r="T170" s="88"/>
      <c r="U170" s="270"/>
    </row>
    <row r="171" spans="2:23" s="36" customFormat="1" ht="15" customHeight="1">
      <c r="B171" s="36" t="s">
        <v>243</v>
      </c>
      <c r="E171" s="268">
        <f ca="1">Acquirer!S552</f>
        <v>219.33003090507728</v>
      </c>
      <c r="F171" s="173">
        <f ca="1">Target!S552</f>
        <v>35.342737991266382</v>
      </c>
      <c r="G171" s="264"/>
      <c r="H171" s="269"/>
      <c r="I171" s="269"/>
      <c r="J171" s="136">
        <f ca="1">SUM(F171:I171)</f>
        <v>35.342737991266382</v>
      </c>
      <c r="K171" s="270">
        <f ca="1">-J171+$J$10/$E$11</f>
        <v>-28.868125881521824</v>
      </c>
      <c r="L171" s="136">
        <f ca="1">SUM(J171:K171)</f>
        <v>6.4746121097445588</v>
      </c>
      <c r="M171" s="270"/>
      <c r="N171" s="270"/>
      <c r="O171" s="270"/>
      <c r="P171" s="270"/>
      <c r="Q171" s="270"/>
      <c r="R171" s="271">
        <f ca="1">SUM(L171:M171)</f>
        <v>6.4746121097445588</v>
      </c>
      <c r="S171" s="136">
        <f ca="1">R171+E171</f>
        <v>225.80464301482183</v>
      </c>
      <c r="T171" s="88"/>
      <c r="U171" s="270"/>
    </row>
    <row r="172" spans="2:23" s="36" customFormat="1" ht="5.0999999999999996" customHeight="1" thickBot="1">
      <c r="B172" s="272"/>
      <c r="C172" s="272"/>
      <c r="D172" s="272"/>
      <c r="E172" s="272"/>
      <c r="F172" s="272"/>
      <c r="G172" s="272"/>
      <c r="H172" s="272"/>
      <c r="I172" s="272"/>
      <c r="J172" s="272"/>
      <c r="K172" s="272"/>
      <c r="L172" s="272"/>
      <c r="M172" s="272"/>
      <c r="N172" s="272"/>
      <c r="O172" s="272"/>
      <c r="P172" s="272"/>
      <c r="Q172" s="272"/>
      <c r="R172" s="272"/>
      <c r="S172" s="272"/>
      <c r="U172" s="272"/>
    </row>
    <row r="173" spans="2:23" s="36" customFormat="1" ht="15" customHeight="1"/>
    <row r="174" spans="2:23" s="273" customFormat="1" ht="15" customHeight="1">
      <c r="B174" s="273" t="s">
        <v>5</v>
      </c>
      <c r="E174" s="274">
        <f ca="1">ROUND(E128-E166,9)</f>
        <v>0</v>
      </c>
      <c r="F174" s="274">
        <f ca="1">ROUND(F128-F166,9)</f>
        <v>0</v>
      </c>
      <c r="G174" s="274"/>
      <c r="H174" s="274"/>
      <c r="I174" s="274"/>
      <c r="J174" s="274"/>
      <c r="K174" s="274"/>
      <c r="L174" s="274">
        <f ca="1">ROUND(L128-L166,9)</f>
        <v>0</v>
      </c>
      <c r="M174" s="274"/>
      <c r="N174" s="274"/>
      <c r="R174" s="274">
        <f ca="1">ROUND(R128-R166,9)</f>
        <v>0</v>
      </c>
      <c r="S174" s="274">
        <f ca="1">ROUND(S128-S166,9)</f>
        <v>0</v>
      </c>
      <c r="U174" s="274">
        <f ca="1">ROUND(U128-U166,9)</f>
        <v>0</v>
      </c>
    </row>
    <row r="175" spans="2:23" s="36" customFormat="1" ht="15" customHeight="1"/>
    <row r="176" spans="2:23" s="36" customFormat="1" ht="15" customHeight="1"/>
    <row r="177" s="36" customFormat="1" ht="15" customHeight="1"/>
    <row r="178" s="36" customFormat="1" ht="15" customHeight="1"/>
    <row r="179" s="36" customFormat="1" ht="15" customHeight="1"/>
  </sheetData>
  <conditionalFormatting sqref="L174:N174 R174:S174 E174:J174">
    <cfRule type="cellIs" dxfId="2" priority="9" stopIfTrue="1" operator="equal">
      <formula>0</formula>
    </cfRule>
  </conditionalFormatting>
  <conditionalFormatting sqref="K174">
    <cfRule type="cellIs" dxfId="1" priority="5" stopIfTrue="1" operator="equal">
      <formula>0</formula>
    </cfRule>
  </conditionalFormatting>
  <conditionalFormatting sqref="U174">
    <cfRule type="cellIs" dxfId="0" priority="1" stopIfTrue="1" operator="equal">
      <formula>0</formula>
    </cfRule>
  </conditionalFormatting>
  <dataValidations count="2">
    <dataValidation type="whole" showErrorMessage="1" errorTitle="Validation Error" error="Turn off the Section 338 election before selecting Asset Purchase." prompt="Enter either a 0 or 1." sqref="E14 I51" xr:uid="{00000000-0002-0000-0300-000000000000}">
      <formula1>0</formula1>
      <formula2>1</formula2>
    </dataValidation>
    <dataValidation type="whole" allowBlank="1" showInputMessage="1" showErrorMessage="1" sqref="D58:E59 E60:E63" xr:uid="{00000000-0002-0000-0300-000001000000}">
      <formula1>0</formula1>
      <formula2>1</formula2>
    </dataValidation>
  </dataValidations>
  <pageMargins left="0.75" right="0.75" top="1" bottom="1" header="0.5" footer="0.5"/>
  <pageSetup scale="53" orientation="landscape" r:id="rId1"/>
  <headerFooter alignWithMargins="0">
    <oddHeader>&amp;A</oddHeader>
    <oddFooter>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tabColor rgb="FF91877D"/>
    <outlinePr summaryBelow="0"/>
    <pageSetUpPr fitToPage="1"/>
  </sheetPr>
  <dimension ref="A1:AV829"/>
  <sheetViews>
    <sheetView showGridLines="0" zoomScale="85" zoomScaleNormal="85" zoomScaleSheetLayoutView="85" workbookViewId="0"/>
  </sheetViews>
  <sheetFormatPr defaultColWidth="9.1640625" defaultRowHeight="13.5" customHeight="1" outlineLevelRow="1"/>
  <cols>
    <col min="1" max="1" width="2.71875" style="36" customWidth="1"/>
    <col min="2" max="18" width="11.71875" style="36" customWidth="1"/>
    <col min="19" max="46" width="14.71875" style="36" customWidth="1"/>
    <col min="47" max="47" width="2.71875" style="36" customWidth="1"/>
    <col min="48" max="16384" width="9.1640625" style="36"/>
  </cols>
  <sheetData>
    <row r="1" spans="1:48" s="1" customFormat="1" ht="50.1" customHeight="1">
      <c r="B1" s="10"/>
      <c r="C1" s="10"/>
      <c r="D1" s="10"/>
      <c r="E1" s="10"/>
      <c r="F1" s="10"/>
      <c r="G1" s="10"/>
      <c r="H1" s="10"/>
      <c r="I1" s="10"/>
      <c r="J1" s="10"/>
      <c r="K1" s="10"/>
      <c r="L1" s="10"/>
      <c r="M1" s="10"/>
      <c r="N1" s="10"/>
      <c r="O1" s="10"/>
      <c r="P1" s="10"/>
      <c r="Q1" s="10"/>
    </row>
    <row r="2" spans="1:48" ht="13.5" customHeight="1">
      <c r="B2" s="193"/>
      <c r="D2" s="275"/>
      <c r="E2" s="275"/>
      <c r="F2" s="275"/>
    </row>
    <row r="3" spans="1:48" ht="13.5" customHeight="1" outlineLevel="1">
      <c r="A3" s="276"/>
      <c r="B3" s="59" t="s">
        <v>209</v>
      </c>
      <c r="C3" s="276"/>
      <c r="D3" s="277"/>
      <c r="E3" s="277"/>
      <c r="F3" s="277"/>
      <c r="G3" s="276"/>
      <c r="H3" s="278">
        <f>ROUND((H8-close)/365,2)</f>
        <v>0.5</v>
      </c>
      <c r="I3" s="279">
        <f>ROUND((I8-H8)/365,2)</f>
        <v>1</v>
      </c>
      <c r="J3" s="279">
        <f t="shared" ref="J3:Q3" si="0">ROUND((J8-I8)/365,2)</f>
        <v>1</v>
      </c>
      <c r="K3" s="279">
        <f t="shared" si="0"/>
        <v>1</v>
      </c>
      <c r="L3" s="279">
        <f t="shared" si="0"/>
        <v>1</v>
      </c>
      <c r="M3" s="279">
        <f t="shared" si="0"/>
        <v>1</v>
      </c>
      <c r="N3" s="279">
        <f t="shared" si="0"/>
        <v>1</v>
      </c>
      <c r="O3" s="279">
        <f t="shared" si="0"/>
        <v>1</v>
      </c>
      <c r="P3" s="279">
        <f t="shared" si="0"/>
        <v>1</v>
      </c>
      <c r="Q3" s="279">
        <f t="shared" si="0"/>
        <v>1</v>
      </c>
      <c r="S3" s="276"/>
      <c r="T3" s="276"/>
      <c r="U3" s="276"/>
      <c r="V3" s="276"/>
      <c r="W3" s="276"/>
      <c r="X3" s="276"/>
      <c r="Y3" s="276"/>
      <c r="Z3" s="276"/>
      <c r="AA3" s="276"/>
      <c r="AB3" s="276"/>
      <c r="AC3" s="276"/>
      <c r="AD3" s="276"/>
      <c r="AE3" s="276"/>
      <c r="AF3" s="276"/>
      <c r="AG3" s="276"/>
      <c r="AH3" s="276"/>
      <c r="AI3" s="276"/>
      <c r="AJ3" s="276"/>
      <c r="AK3" s="276"/>
      <c r="AL3" s="276"/>
      <c r="AM3" s="276"/>
      <c r="AN3" s="276"/>
      <c r="AO3" s="276"/>
      <c r="AP3" s="276"/>
      <c r="AQ3" s="276"/>
      <c r="AR3" s="276"/>
      <c r="AS3" s="276"/>
      <c r="AT3" s="276"/>
      <c r="AU3" s="276"/>
      <c r="AV3" s="276"/>
    </row>
    <row r="4" spans="1:48" ht="13.5" customHeight="1" outlineLevel="1" thickBot="1">
      <c r="B4" s="193"/>
      <c r="D4" s="275"/>
      <c r="E4" s="275"/>
      <c r="F4" s="275"/>
      <c r="H4" s="280"/>
    </row>
    <row r="5" spans="1:48" ht="20.7" thickTop="1">
      <c r="A5" s="281" t="s">
        <v>631</v>
      </c>
      <c r="B5" s="282" t="s">
        <v>433</v>
      </c>
      <c r="C5" s="283"/>
      <c r="D5" s="284"/>
      <c r="E5" s="284"/>
      <c r="F5" s="284"/>
      <c r="G5" s="284"/>
      <c r="H5" s="284"/>
      <c r="I5" s="284"/>
      <c r="J5" s="284"/>
      <c r="K5" s="284"/>
      <c r="L5" s="284"/>
      <c r="M5" s="284"/>
      <c r="N5" s="284"/>
      <c r="O5" s="284"/>
      <c r="P5" s="284"/>
      <c r="Q5" s="284"/>
    </row>
    <row r="6" spans="1:48" ht="5.0999999999999996" customHeight="1" outlineLevel="1">
      <c r="B6" s="107"/>
      <c r="C6" s="285"/>
      <c r="G6" s="285"/>
      <c r="N6" s="57"/>
    </row>
    <row r="7" spans="1:48" ht="13.5" customHeight="1" outlineLevel="1">
      <c r="B7" s="286"/>
      <c r="C7" s="286"/>
      <c r="D7" s="286"/>
      <c r="E7" s="42"/>
      <c r="F7" s="42"/>
      <c r="G7" s="42"/>
      <c r="H7" s="42" t="str">
        <f>12*H3&amp;" mo. Ending"</f>
        <v>6 mo. Ending</v>
      </c>
      <c r="I7" s="287" t="s">
        <v>629</v>
      </c>
      <c r="J7" s="287"/>
      <c r="K7" s="287"/>
      <c r="L7" s="287"/>
      <c r="M7" s="287"/>
      <c r="N7" s="287"/>
      <c r="O7" s="287"/>
      <c r="P7" s="287"/>
      <c r="Q7" s="287"/>
    </row>
    <row r="8" spans="1:48" ht="13.5" customHeight="1" outlineLevel="1" thickBot="1">
      <c r="B8" s="288" t="str">
        <f>"("&amp;curr&amp;" in millions)"</f>
        <v>($ in millions)</v>
      </c>
      <c r="C8" s="289"/>
      <c r="D8" s="289"/>
      <c r="E8" s="290"/>
      <c r="F8" s="290"/>
      <c r="G8" s="291"/>
      <c r="H8" s="291">
        <f>Acquirer!T8</f>
        <v>45291</v>
      </c>
      <c r="I8" s="292">
        <f t="shared" ref="I8" si="1">EOMONTH(H8,12)</f>
        <v>45657</v>
      </c>
      <c r="J8" s="292">
        <f t="shared" ref="J8" si="2">EOMONTH(I8,12)</f>
        <v>46022</v>
      </c>
      <c r="K8" s="292">
        <f t="shared" ref="K8" si="3">EOMONTH(J8,12)</f>
        <v>46387</v>
      </c>
      <c r="L8" s="292">
        <f t="shared" ref="L8" si="4">EOMONTH(K8,12)</f>
        <v>46752</v>
      </c>
      <c r="M8" s="292">
        <f t="shared" ref="M8" si="5">EOMONTH(L8,12)</f>
        <v>47118</v>
      </c>
      <c r="N8" s="292">
        <f t="shared" ref="N8" si="6">EOMONTH(M8,12)</f>
        <v>47483</v>
      </c>
      <c r="O8" s="292">
        <f t="shared" ref="O8" si="7">EOMONTH(N8,12)</f>
        <v>47848</v>
      </c>
      <c r="P8" s="292">
        <f t="shared" ref="P8" si="8">EOMONTH(O8,12)</f>
        <v>48213</v>
      </c>
      <c r="Q8" s="292">
        <f t="shared" ref="Q8" si="9">EOMONTH(P8,12)</f>
        <v>48579</v>
      </c>
    </row>
    <row r="9" spans="1:48" ht="5.0999999999999996" customHeight="1" outlineLevel="1"/>
    <row r="10" spans="1:48" ht="13.5" customHeight="1" outlineLevel="1">
      <c r="B10" s="57" t="s">
        <v>479</v>
      </c>
      <c r="C10" s="57"/>
      <c r="D10" s="57"/>
      <c r="E10" s="293"/>
      <c r="F10" s="293"/>
      <c r="G10" s="245"/>
      <c r="H10" s="114">
        <f ca="1">H726</f>
        <v>1971.5</v>
      </c>
      <c r="I10" s="114">
        <f t="shared" ref="I10:Q10" ca="1" si="10">I726</f>
        <v>4334</v>
      </c>
      <c r="J10" s="114">
        <f t="shared" ca="1" si="10"/>
        <v>4726.8050000000003</v>
      </c>
      <c r="K10" s="114">
        <f t="shared" ca="1" si="10"/>
        <v>5155.7170500000011</v>
      </c>
      <c r="L10" s="114">
        <f t="shared" ca="1" si="10"/>
        <v>5627.0926205000023</v>
      </c>
      <c r="M10" s="114">
        <f t="shared" ca="1" si="10"/>
        <v>6145.1737867050024</v>
      </c>
      <c r="N10" s="114">
        <f t="shared" ca="1" si="10"/>
        <v>6714.6267885720536</v>
      </c>
      <c r="O10" s="114">
        <f t="shared" ca="1" si="10"/>
        <v>7340.5844468577743</v>
      </c>
      <c r="P10" s="114">
        <f t="shared" ca="1" si="10"/>
        <v>8028.6928207663532</v>
      </c>
      <c r="Q10" s="114">
        <f t="shared" ca="1" si="10"/>
        <v>8785.1625313580189</v>
      </c>
    </row>
    <row r="11" spans="1:48" ht="13.5" customHeight="1" outlineLevel="1">
      <c r="B11" s="57" t="s">
        <v>89</v>
      </c>
      <c r="C11" s="57"/>
      <c r="D11" s="57"/>
      <c r="E11" s="293"/>
      <c r="F11" s="293"/>
      <c r="G11" s="245"/>
      <c r="H11" s="245">
        <f ca="1">H740</f>
        <v>1178.5275000000001</v>
      </c>
      <c r="I11" s="245">
        <f t="shared" ref="I11:Q11" ca="1" si="11">I740</f>
        <v>2590.5725000000002</v>
      </c>
      <c r="J11" s="245">
        <f t="shared" ca="1" si="11"/>
        <v>2824.6289500000007</v>
      </c>
      <c r="K11" s="245">
        <f t="shared" ca="1" si="11"/>
        <v>3085.3074395000012</v>
      </c>
      <c r="L11" s="245">
        <f t="shared" ca="1" si="11"/>
        <v>3371.8359338950013</v>
      </c>
      <c r="M11" s="245">
        <f t="shared" ca="1" si="11"/>
        <v>3686.797255233952</v>
      </c>
      <c r="N11" s="245">
        <f t="shared" ca="1" si="11"/>
        <v>4033.0324859862917</v>
      </c>
      <c r="O11" s="245">
        <f t="shared" ca="1" si="11"/>
        <v>4413.6667948661552</v>
      </c>
      <c r="P11" s="245">
        <f t="shared" ca="1" si="11"/>
        <v>4832.1378452368172</v>
      </c>
      <c r="Q11" s="245">
        <f t="shared" ca="1" si="11"/>
        <v>5292.2270443533862</v>
      </c>
    </row>
    <row r="12" spans="1:48" ht="13.5" customHeight="1" outlineLevel="1">
      <c r="B12" s="248" t="s">
        <v>91</v>
      </c>
      <c r="C12" s="248"/>
      <c r="D12" s="248"/>
      <c r="E12" s="294"/>
      <c r="F12" s="294"/>
      <c r="G12" s="241"/>
      <c r="H12" s="241">
        <f t="shared" ref="H12:Q12" ca="1" si="12">H10-H11</f>
        <v>792.97249999999985</v>
      </c>
      <c r="I12" s="241">
        <f t="shared" ca="1" si="12"/>
        <v>1743.4274999999998</v>
      </c>
      <c r="J12" s="241">
        <f t="shared" ca="1" si="12"/>
        <v>1902.1760499999996</v>
      </c>
      <c r="K12" s="241">
        <f t="shared" ca="1" si="12"/>
        <v>2070.4096104999999</v>
      </c>
      <c r="L12" s="241">
        <f t="shared" ca="1" si="12"/>
        <v>2255.2566866050011</v>
      </c>
      <c r="M12" s="241">
        <f t="shared" ca="1" si="12"/>
        <v>2458.3765314710504</v>
      </c>
      <c r="N12" s="241">
        <f t="shared" ca="1" si="12"/>
        <v>2681.5943025857619</v>
      </c>
      <c r="O12" s="241">
        <f t="shared" ca="1" si="12"/>
        <v>2926.9176519916191</v>
      </c>
      <c r="P12" s="241">
        <f t="shared" ca="1" si="12"/>
        <v>3196.554975529536</v>
      </c>
      <c r="Q12" s="241">
        <f t="shared" ca="1" si="12"/>
        <v>3492.9354870046327</v>
      </c>
    </row>
    <row r="13" spans="1:48" ht="13.5" customHeight="1" outlineLevel="1">
      <c r="B13" s="57" t="s">
        <v>92</v>
      </c>
      <c r="C13" s="57"/>
      <c r="D13" s="57"/>
      <c r="E13" s="293"/>
      <c r="F13" s="293"/>
      <c r="G13" s="245"/>
      <c r="H13" s="245">
        <f ca="1">H754</f>
        <v>352.41500000000002</v>
      </c>
      <c r="I13" s="245">
        <f t="shared" ref="I13:Q13" ca="1" si="13">I754</f>
        <v>754.07499999999993</v>
      </c>
      <c r="J13" s="245">
        <f t="shared" ca="1" si="13"/>
        <v>817.80160000000001</v>
      </c>
      <c r="K13" s="245">
        <f t="shared" ca="1" si="13"/>
        <v>892.8541160000002</v>
      </c>
      <c r="L13" s="245">
        <f t="shared" ca="1" si="13"/>
        <v>975.34460716000024</v>
      </c>
      <c r="M13" s="245">
        <f t="shared" ca="1" si="13"/>
        <v>1066.0161982316004</v>
      </c>
      <c r="N13" s="245">
        <f t="shared" ca="1" si="13"/>
        <v>1165.6863197139164</v>
      </c>
      <c r="O13" s="245">
        <f t="shared" ca="1" si="13"/>
        <v>1275.2541383610558</v>
      </c>
      <c r="P13" s="245">
        <f t="shared" ca="1" si="13"/>
        <v>1395.7087307396666</v>
      </c>
      <c r="Q13" s="245">
        <f t="shared" ca="1" si="13"/>
        <v>1528.1380741415635</v>
      </c>
    </row>
    <row r="14" spans="1:48" s="193" customFormat="1" ht="13.5" customHeight="1" outlineLevel="1">
      <c r="B14" s="295" t="s">
        <v>93</v>
      </c>
      <c r="C14" s="295"/>
      <c r="D14" s="295"/>
      <c r="E14" s="295"/>
      <c r="F14" s="295"/>
      <c r="G14" s="295"/>
      <c r="H14" s="296">
        <f t="shared" ref="H14:Q14" ca="1" si="14">H12-H13</f>
        <v>440.55749999999983</v>
      </c>
      <c r="I14" s="296">
        <f t="shared" ca="1" si="14"/>
        <v>989.35249999999985</v>
      </c>
      <c r="J14" s="296">
        <f t="shared" ca="1" si="14"/>
        <v>1084.3744499999996</v>
      </c>
      <c r="K14" s="296">
        <f t="shared" ca="1" si="14"/>
        <v>1177.5554944999997</v>
      </c>
      <c r="L14" s="296">
        <f t="shared" ca="1" si="14"/>
        <v>1279.9120794450009</v>
      </c>
      <c r="M14" s="296">
        <f t="shared" ca="1" si="14"/>
        <v>1392.36033323945</v>
      </c>
      <c r="N14" s="296">
        <f t="shared" ca="1" si="14"/>
        <v>1515.9079828718454</v>
      </c>
      <c r="O14" s="296">
        <f t="shared" ca="1" si="14"/>
        <v>1651.6635136305633</v>
      </c>
      <c r="P14" s="296">
        <f t="shared" ca="1" si="14"/>
        <v>1800.8462447898694</v>
      </c>
      <c r="Q14" s="296">
        <f t="shared" ca="1" si="14"/>
        <v>1964.7974128630692</v>
      </c>
      <c r="R14" s="36"/>
    </row>
    <row r="15" spans="1:48" ht="13.5" customHeight="1" outlineLevel="1">
      <c r="B15" s="57" t="s">
        <v>94</v>
      </c>
      <c r="C15" s="57"/>
      <c r="D15" s="57"/>
      <c r="E15" s="293"/>
      <c r="F15" s="293"/>
      <c r="G15" s="245"/>
      <c r="H15" s="245">
        <f>H533</f>
        <v>46.274999999999999</v>
      </c>
      <c r="I15" s="245">
        <f>I533</f>
        <v>102.98214285714286</v>
      </c>
      <c r="J15" s="245">
        <f t="shared" ref="J15:Q15" si="15">J533</f>
        <v>111.12742857142858</v>
      </c>
      <c r="K15" s="245">
        <f t="shared" si="15"/>
        <v>120.12812428571432</v>
      </c>
      <c r="L15" s="245">
        <f t="shared" si="15"/>
        <v>130.06964410000006</v>
      </c>
      <c r="M15" s="245">
        <f t="shared" si="15"/>
        <v>141.04594225528578</v>
      </c>
      <c r="N15" s="245">
        <f t="shared" si="15"/>
        <v>153.1603671349815</v>
      </c>
      <c r="O15" s="245">
        <f t="shared" si="15"/>
        <v>166.52660066633135</v>
      </c>
      <c r="P15" s="245">
        <f t="shared" si="15"/>
        <v>181.53754880470896</v>
      </c>
      <c r="Q15" s="245">
        <f t="shared" si="15"/>
        <v>198.33076392335607</v>
      </c>
    </row>
    <row r="16" spans="1:48" ht="13.5" customHeight="1" outlineLevel="1">
      <c r="B16" s="57" t="s">
        <v>95</v>
      </c>
      <c r="C16" s="57"/>
      <c r="D16" s="57"/>
      <c r="E16" s="293"/>
      <c r="F16" s="293"/>
      <c r="G16" s="245"/>
      <c r="H16" s="245">
        <f t="shared" ref="H16:Q16" ca="1" si="16">H580</f>
        <v>47.927316308877401</v>
      </c>
      <c r="I16" s="245">
        <f t="shared" ca="1" si="16"/>
        <v>93.629169355979329</v>
      </c>
      <c r="J16" s="245">
        <f t="shared" ca="1" si="16"/>
        <v>89.178242832428367</v>
      </c>
      <c r="K16" s="245">
        <f t="shared" ca="1" si="16"/>
        <v>75.818316308877414</v>
      </c>
      <c r="L16" s="245">
        <f t="shared" ca="1" si="16"/>
        <v>43.39638978532647</v>
      </c>
      <c r="M16" s="245">
        <f t="shared" ca="1" si="16"/>
        <v>2.2254632617754813</v>
      </c>
      <c r="N16" s="245">
        <f t="shared" ca="1" si="16"/>
        <v>0</v>
      </c>
      <c r="O16" s="245">
        <f t="shared" ca="1" si="16"/>
        <v>0</v>
      </c>
      <c r="P16" s="245">
        <f t="shared" ca="1" si="16"/>
        <v>0</v>
      </c>
      <c r="Q16" s="245">
        <f t="shared" ca="1" si="16"/>
        <v>0</v>
      </c>
    </row>
    <row r="17" spans="2:18" ht="13.5" customHeight="1" outlineLevel="1">
      <c r="B17" s="57" t="s">
        <v>96</v>
      </c>
      <c r="C17" s="57"/>
      <c r="D17" s="57"/>
      <c r="E17" s="293"/>
      <c r="F17" s="293"/>
      <c r="G17" s="245"/>
      <c r="H17" s="297">
        <f>Acquirer!T17+Target!T17</f>
        <v>32.15</v>
      </c>
      <c r="I17" s="200">
        <f>Acquirer!H17+Target!H17</f>
        <v>70.3</v>
      </c>
      <c r="J17" s="200">
        <f>Acquirer!I17+Target!I17</f>
        <v>76.367000000000004</v>
      </c>
      <c r="K17" s="200">
        <f>Acquirer!J17+Target!J17</f>
        <v>83.031070000000014</v>
      </c>
      <c r="L17" s="200">
        <f>Acquirer!K17+Target!K17</f>
        <v>90.351820700000033</v>
      </c>
      <c r="M17" s="200">
        <f>Acquirer!L17+Target!L17</f>
        <v>98.394822907000048</v>
      </c>
      <c r="N17" s="200">
        <f>Acquirer!M17+Target!M17</f>
        <v>107.23220353607006</v>
      </c>
      <c r="O17" s="200">
        <f>Acquirer!N17+Target!N17</f>
        <v>116.94330121143076</v>
      </c>
      <c r="P17" s="200">
        <f>Acquirer!O17+Target!O17</f>
        <v>127.6153874275451</v>
      </c>
      <c r="Q17" s="200">
        <f>Acquirer!P17+Target!P17</f>
        <v>139.34445982622057</v>
      </c>
    </row>
    <row r="18" spans="2:18" s="193" customFormat="1" ht="13.5" customHeight="1" outlineLevel="1">
      <c r="B18" s="295" t="s">
        <v>97</v>
      </c>
      <c r="C18" s="295"/>
      <c r="D18" s="295"/>
      <c r="E18" s="295"/>
      <c r="F18" s="295"/>
      <c r="G18" s="295"/>
      <c r="H18" s="296">
        <f ca="1">H14-SUM(H15:H17)</f>
        <v>314.20518369112244</v>
      </c>
      <c r="I18" s="296">
        <f t="shared" ref="I18:Q18" ca="1" si="17">I14-SUM(I15:I17)</f>
        <v>722.44118778687766</v>
      </c>
      <c r="J18" s="296">
        <f t="shared" ca="1" si="17"/>
        <v>807.70177859614262</v>
      </c>
      <c r="K18" s="296">
        <f t="shared" ca="1" si="17"/>
        <v>898.5779839054079</v>
      </c>
      <c r="L18" s="296">
        <f t="shared" ca="1" si="17"/>
        <v>1016.0942248596743</v>
      </c>
      <c r="M18" s="296">
        <f t="shared" ca="1" si="17"/>
        <v>1150.6941048153888</v>
      </c>
      <c r="N18" s="296">
        <f t="shared" ca="1" si="17"/>
        <v>1255.5154122007939</v>
      </c>
      <c r="O18" s="296">
        <f t="shared" ca="1" si="17"/>
        <v>1368.1936117528012</v>
      </c>
      <c r="P18" s="296">
        <f t="shared" ca="1" si="17"/>
        <v>1491.6933085576152</v>
      </c>
      <c r="Q18" s="296">
        <f t="shared" ca="1" si="17"/>
        <v>1627.1221891134926</v>
      </c>
      <c r="R18" s="36"/>
    </row>
    <row r="19" spans="2:18" s="193" customFormat="1" ht="13.5" customHeight="1" outlineLevel="1">
      <c r="B19" s="193" t="s">
        <v>98</v>
      </c>
      <c r="H19" s="298">
        <f t="shared" ref="H19:Q19" ca="1" si="18">H18+H17+H16</f>
        <v>394.2824999999998</v>
      </c>
      <c r="I19" s="298">
        <f t="shared" ca="1" si="18"/>
        <v>886.37035714285696</v>
      </c>
      <c r="J19" s="298">
        <f t="shared" ca="1" si="18"/>
        <v>973.24702142857097</v>
      </c>
      <c r="K19" s="298">
        <f t="shared" ca="1" si="18"/>
        <v>1057.4273702142852</v>
      </c>
      <c r="L19" s="298">
        <f t="shared" ca="1" si="18"/>
        <v>1149.8424353450007</v>
      </c>
      <c r="M19" s="298">
        <f t="shared" ca="1" si="18"/>
        <v>1251.3143909841642</v>
      </c>
      <c r="N19" s="298">
        <f t="shared" ca="1" si="18"/>
        <v>1362.747615736864</v>
      </c>
      <c r="O19" s="298">
        <f t="shared" ca="1" si="18"/>
        <v>1485.1369129642319</v>
      </c>
      <c r="P19" s="298">
        <f t="shared" ca="1" si="18"/>
        <v>1619.3086959851603</v>
      </c>
      <c r="Q19" s="298">
        <f t="shared" ca="1" si="18"/>
        <v>1766.4666489397132</v>
      </c>
      <c r="R19" s="36"/>
    </row>
    <row r="20" spans="2:18" s="193" customFormat="1" ht="13.5" customHeight="1" outlineLevel="1">
      <c r="B20" s="299" t="s">
        <v>99</v>
      </c>
      <c r="H20" s="298"/>
      <c r="I20" s="298"/>
      <c r="J20" s="298"/>
      <c r="K20" s="298"/>
      <c r="L20" s="298"/>
      <c r="M20" s="298"/>
      <c r="N20" s="298"/>
      <c r="O20" s="298"/>
      <c r="P20" s="298"/>
      <c r="Q20" s="298"/>
      <c r="R20" s="36"/>
    </row>
    <row r="21" spans="2:18" s="193" customFormat="1" ht="13.5" customHeight="1" outlineLevel="1">
      <c r="B21" s="300" t="s">
        <v>30</v>
      </c>
      <c r="H21" s="90">
        <f t="shared" ref="H21:Q21" ca="1" si="19">-H430*IF(avg_int,AVERAGE(G103:H103),G103)*H$3</f>
        <v>-1.7880848108134375</v>
      </c>
      <c r="I21" s="90">
        <f t="shared" ca="1" si="19"/>
        <v>-3.5588128213736896</v>
      </c>
      <c r="J21" s="90">
        <f t="shared" ca="1" si="19"/>
        <v>-4.6474287668409966</v>
      </c>
      <c r="K21" s="90">
        <f t="shared" ca="1" si="19"/>
        <v>-5.8995248955916768</v>
      </c>
      <c r="L21" s="90">
        <f t="shared" ca="1" si="19"/>
        <v>-6.9938397860837789</v>
      </c>
      <c r="M21" s="90">
        <f t="shared" ca="1" si="19"/>
        <v>-8.3764955208505896</v>
      </c>
      <c r="N21" s="90">
        <f t="shared" ca="1" si="19"/>
        <v>-9.8531402676787572</v>
      </c>
      <c r="O21" s="90">
        <f t="shared" ca="1" si="19"/>
        <v>-11.468270516270207</v>
      </c>
      <c r="P21" s="90">
        <f t="shared" ca="1" si="19"/>
        <v>-13.23554636474341</v>
      </c>
      <c r="Q21" s="90">
        <f t="shared" ca="1" si="19"/>
        <v>-15.169993946948976</v>
      </c>
      <c r="R21" s="36"/>
    </row>
    <row r="22" spans="2:18" s="193" customFormat="1" ht="13.5" customHeight="1" outlineLevel="1">
      <c r="B22" s="300" t="s">
        <v>416</v>
      </c>
      <c r="H22" s="245">
        <f t="shared" ref="H22:Q22" ca="1" si="20">H451</f>
        <v>9.45988719544264</v>
      </c>
      <c r="I22" s="245">
        <f t="shared" ca="1" si="20"/>
        <v>0</v>
      </c>
      <c r="J22" s="245">
        <f t="shared" ca="1" si="20"/>
        <v>0</v>
      </c>
      <c r="K22" s="245">
        <f t="shared" ca="1" si="20"/>
        <v>0</v>
      </c>
      <c r="L22" s="245">
        <f t="shared" ca="1" si="20"/>
        <v>0</v>
      </c>
      <c r="M22" s="245">
        <f t="shared" ca="1" si="20"/>
        <v>0</v>
      </c>
      <c r="N22" s="245">
        <f t="shared" ca="1" si="20"/>
        <v>0</v>
      </c>
      <c r="O22" s="245">
        <f t="shared" ca="1" si="20"/>
        <v>0</v>
      </c>
      <c r="P22" s="245">
        <f t="shared" ca="1" si="20"/>
        <v>0</v>
      </c>
      <c r="Q22" s="245">
        <f t="shared" ca="1" si="20"/>
        <v>0</v>
      </c>
      <c r="R22" s="36"/>
    </row>
    <row r="23" spans="2:18" s="193" customFormat="1" ht="13.5" customHeight="1" outlineLevel="1">
      <c r="B23" s="300" t="s">
        <v>417</v>
      </c>
      <c r="H23" s="245">
        <f t="shared" ref="H23:Q23" ca="1" si="21">H449</f>
        <v>4.4079966960413133</v>
      </c>
      <c r="I23" s="245">
        <f t="shared" ca="1" si="21"/>
        <v>10</v>
      </c>
      <c r="J23" s="245">
        <f t="shared" ca="1" si="21"/>
        <v>10</v>
      </c>
      <c r="K23" s="245">
        <f t="shared" ca="1" si="21"/>
        <v>10</v>
      </c>
      <c r="L23" s="245">
        <f t="shared" ca="1" si="21"/>
        <v>10</v>
      </c>
      <c r="M23" s="245">
        <f t="shared" ca="1" si="21"/>
        <v>10</v>
      </c>
      <c r="N23" s="245">
        <f t="shared" ca="1" si="21"/>
        <v>10</v>
      </c>
      <c r="O23" s="245">
        <f t="shared" ca="1" si="21"/>
        <v>10</v>
      </c>
      <c r="P23" s="245">
        <f t="shared" ca="1" si="21"/>
        <v>10</v>
      </c>
      <c r="Q23" s="245">
        <f t="shared" ca="1" si="21"/>
        <v>10</v>
      </c>
      <c r="R23" s="36"/>
    </row>
    <row r="24" spans="2:18" s="193" customFormat="1" ht="13.5" customHeight="1" outlineLevel="1">
      <c r="B24" s="300" t="str">
        <f>B355</f>
        <v>Senior credit facility 1</v>
      </c>
      <c r="H24" s="245">
        <f t="shared" ref="H24:Q24" ca="1" si="22">H452</f>
        <v>0</v>
      </c>
      <c r="I24" s="245">
        <f t="shared" ca="1" si="22"/>
        <v>0</v>
      </c>
      <c r="J24" s="245">
        <f t="shared" ca="1" si="22"/>
        <v>0</v>
      </c>
      <c r="K24" s="245">
        <f t="shared" ca="1" si="22"/>
        <v>0</v>
      </c>
      <c r="L24" s="245">
        <f t="shared" ca="1" si="22"/>
        <v>0</v>
      </c>
      <c r="M24" s="245">
        <f t="shared" ca="1" si="22"/>
        <v>0</v>
      </c>
      <c r="N24" s="245">
        <f t="shared" ca="1" si="22"/>
        <v>0</v>
      </c>
      <c r="O24" s="245">
        <f t="shared" ca="1" si="22"/>
        <v>0</v>
      </c>
      <c r="P24" s="245">
        <f t="shared" ca="1" si="22"/>
        <v>0</v>
      </c>
      <c r="Q24" s="245">
        <f t="shared" ca="1" si="22"/>
        <v>0</v>
      </c>
      <c r="R24" s="36"/>
    </row>
    <row r="25" spans="2:18" s="193" customFormat="1" ht="13.5" customHeight="1" outlineLevel="1">
      <c r="B25" s="300" t="str">
        <f>B361</f>
        <v>Senior credit facility 2</v>
      </c>
      <c r="H25" s="245">
        <f t="shared" ref="H25:Q25" ca="1" si="23">H453</f>
        <v>0</v>
      </c>
      <c r="I25" s="245">
        <f t="shared" ca="1" si="23"/>
        <v>0</v>
      </c>
      <c r="J25" s="245">
        <f t="shared" ca="1" si="23"/>
        <v>0</v>
      </c>
      <c r="K25" s="245">
        <f t="shared" ca="1" si="23"/>
        <v>0</v>
      </c>
      <c r="L25" s="245">
        <f t="shared" ca="1" si="23"/>
        <v>0</v>
      </c>
      <c r="M25" s="245">
        <f t="shared" ca="1" si="23"/>
        <v>0</v>
      </c>
      <c r="N25" s="245">
        <f t="shared" ca="1" si="23"/>
        <v>0</v>
      </c>
      <c r="O25" s="245">
        <f t="shared" ca="1" si="23"/>
        <v>0</v>
      </c>
      <c r="P25" s="245">
        <f t="shared" ca="1" si="23"/>
        <v>0</v>
      </c>
      <c r="Q25" s="245">
        <f t="shared" ca="1" si="23"/>
        <v>0</v>
      </c>
      <c r="R25" s="36"/>
    </row>
    <row r="26" spans="2:18" s="193" customFormat="1" ht="13.5" customHeight="1" outlineLevel="1">
      <c r="B26" s="300" t="str">
        <f>B367</f>
        <v>Senior credit facility 3</v>
      </c>
      <c r="H26" s="245">
        <f t="shared" ref="H26:Q26" ca="1" si="24">H454</f>
        <v>3.418021875</v>
      </c>
      <c r="I26" s="245">
        <f t="shared" ca="1" si="24"/>
        <v>7.1515499999999994</v>
      </c>
      <c r="J26" s="245">
        <f t="shared" ca="1" si="24"/>
        <v>7.4615062500000011</v>
      </c>
      <c r="K26" s="245">
        <f t="shared" ca="1" si="24"/>
        <v>7.6548750000000005</v>
      </c>
      <c r="L26" s="245">
        <f t="shared" ca="1" si="24"/>
        <v>0</v>
      </c>
      <c r="M26" s="245">
        <f t="shared" ca="1" si="24"/>
        <v>0</v>
      </c>
      <c r="N26" s="245">
        <f t="shared" ca="1" si="24"/>
        <v>0</v>
      </c>
      <c r="O26" s="245">
        <f t="shared" ca="1" si="24"/>
        <v>0</v>
      </c>
      <c r="P26" s="245">
        <f t="shared" ca="1" si="24"/>
        <v>0</v>
      </c>
      <c r="Q26" s="245">
        <f t="shared" ca="1" si="24"/>
        <v>0</v>
      </c>
      <c r="R26" s="36"/>
    </row>
    <row r="27" spans="2:18" s="193" customFormat="1" ht="13.5" customHeight="1" outlineLevel="1">
      <c r="B27" s="300" t="str">
        <f>B373</f>
        <v>Subordinated note 1</v>
      </c>
      <c r="H27" s="245">
        <f t="shared" ref="H27:Q27" ca="1" si="25">H455</f>
        <v>0</v>
      </c>
      <c r="I27" s="245">
        <f t="shared" ca="1" si="25"/>
        <v>0</v>
      </c>
      <c r="J27" s="245">
        <f t="shared" ca="1" si="25"/>
        <v>0</v>
      </c>
      <c r="K27" s="245">
        <f t="shared" ca="1" si="25"/>
        <v>0</v>
      </c>
      <c r="L27" s="245">
        <f t="shared" ca="1" si="25"/>
        <v>0</v>
      </c>
      <c r="M27" s="245">
        <f t="shared" ca="1" si="25"/>
        <v>0</v>
      </c>
      <c r="N27" s="245">
        <f t="shared" ca="1" si="25"/>
        <v>0</v>
      </c>
      <c r="O27" s="245">
        <f t="shared" ca="1" si="25"/>
        <v>0</v>
      </c>
      <c r="P27" s="245">
        <f t="shared" ca="1" si="25"/>
        <v>0</v>
      </c>
      <c r="Q27" s="245">
        <f t="shared" ca="1" si="25"/>
        <v>0</v>
      </c>
      <c r="R27" s="36"/>
    </row>
    <row r="28" spans="2:18" s="193" customFormat="1" ht="13.5" customHeight="1" outlineLevel="1">
      <c r="B28" s="300" t="str">
        <f>B379</f>
        <v>Subordinated note 2</v>
      </c>
      <c r="H28" s="245">
        <f t="shared" ref="H28:Q28" ca="1" si="26">H456</f>
        <v>0</v>
      </c>
      <c r="I28" s="245">
        <f t="shared" ca="1" si="26"/>
        <v>0</v>
      </c>
      <c r="J28" s="245">
        <f t="shared" ca="1" si="26"/>
        <v>0</v>
      </c>
      <c r="K28" s="245">
        <f t="shared" ca="1" si="26"/>
        <v>0</v>
      </c>
      <c r="L28" s="245">
        <f t="shared" ca="1" si="26"/>
        <v>0</v>
      </c>
      <c r="M28" s="245">
        <f t="shared" ca="1" si="26"/>
        <v>0</v>
      </c>
      <c r="N28" s="245">
        <f t="shared" ca="1" si="26"/>
        <v>0</v>
      </c>
      <c r="O28" s="245">
        <f t="shared" ca="1" si="26"/>
        <v>0</v>
      </c>
      <c r="P28" s="245">
        <f t="shared" ca="1" si="26"/>
        <v>0</v>
      </c>
      <c r="Q28" s="245">
        <f t="shared" ca="1" si="26"/>
        <v>0</v>
      </c>
      <c r="R28" s="36"/>
    </row>
    <row r="29" spans="2:18" s="193" customFormat="1" ht="13.5" customHeight="1" outlineLevel="1">
      <c r="B29" s="300" t="str">
        <f>B385</f>
        <v>Subordinated note 3</v>
      </c>
      <c r="H29" s="245">
        <f t="shared" ref="H29:Q29" ca="1" si="27">H457</f>
        <v>0</v>
      </c>
      <c r="I29" s="245">
        <f t="shared" ca="1" si="27"/>
        <v>0</v>
      </c>
      <c r="J29" s="245">
        <f t="shared" ca="1" si="27"/>
        <v>0</v>
      </c>
      <c r="K29" s="245">
        <f t="shared" ca="1" si="27"/>
        <v>0</v>
      </c>
      <c r="L29" s="245">
        <f t="shared" ca="1" si="27"/>
        <v>0</v>
      </c>
      <c r="M29" s="245">
        <f t="shared" ca="1" si="27"/>
        <v>0</v>
      </c>
      <c r="N29" s="245">
        <f t="shared" ca="1" si="27"/>
        <v>0</v>
      </c>
      <c r="O29" s="245">
        <f t="shared" ca="1" si="27"/>
        <v>0</v>
      </c>
      <c r="P29" s="245">
        <f t="shared" ca="1" si="27"/>
        <v>0</v>
      </c>
      <c r="Q29" s="245">
        <f t="shared" ca="1" si="27"/>
        <v>0</v>
      </c>
      <c r="R29" s="36"/>
    </row>
    <row r="30" spans="2:18" s="193" customFormat="1" ht="13.5" customHeight="1" outlineLevel="1">
      <c r="B30" s="300" t="str">
        <f>B391</f>
        <v>Convertible bond 1</v>
      </c>
      <c r="H30" s="245">
        <f t="shared" ref="H30:Q30" si="28">H458</f>
        <v>22.3903125</v>
      </c>
      <c r="I30" s="245">
        <f t="shared" si="28"/>
        <v>46.907704687500001</v>
      </c>
      <c r="J30" s="245">
        <f t="shared" si="28"/>
        <v>51.363936632812504</v>
      </c>
      <c r="K30" s="245">
        <f t="shared" si="28"/>
        <v>55.023617117900393</v>
      </c>
      <c r="L30" s="245">
        <f t="shared" si="28"/>
        <v>55.023617117900393</v>
      </c>
      <c r="M30" s="245">
        <f t="shared" si="28"/>
        <v>55.023617117900393</v>
      </c>
      <c r="N30" s="245">
        <f t="shared" si="28"/>
        <v>55.023617117900393</v>
      </c>
      <c r="O30" s="245">
        <f t="shared" si="28"/>
        <v>55.023617117900393</v>
      </c>
      <c r="P30" s="245">
        <f t="shared" si="28"/>
        <v>55.023617117900393</v>
      </c>
      <c r="Q30" s="245">
        <f t="shared" si="28"/>
        <v>55.023617117900393</v>
      </c>
      <c r="R30" s="36"/>
    </row>
    <row r="31" spans="2:18" s="193" customFormat="1" ht="13.5" customHeight="1" outlineLevel="1">
      <c r="B31" s="300" t="str">
        <f>B397</f>
        <v>Convertible bond 2</v>
      </c>
      <c r="H31" s="245">
        <f t="shared" ref="H31:Q31" ca="1" si="29">H459</f>
        <v>0</v>
      </c>
      <c r="I31" s="245">
        <f t="shared" ca="1" si="29"/>
        <v>0</v>
      </c>
      <c r="J31" s="245">
        <f t="shared" ca="1" si="29"/>
        <v>0</v>
      </c>
      <c r="K31" s="245">
        <f t="shared" ca="1" si="29"/>
        <v>0</v>
      </c>
      <c r="L31" s="245">
        <f t="shared" ca="1" si="29"/>
        <v>0</v>
      </c>
      <c r="M31" s="245">
        <f t="shared" ca="1" si="29"/>
        <v>0</v>
      </c>
      <c r="N31" s="245">
        <f t="shared" ca="1" si="29"/>
        <v>0</v>
      </c>
      <c r="O31" s="245">
        <f t="shared" ca="1" si="29"/>
        <v>0</v>
      </c>
      <c r="P31" s="245">
        <f t="shared" ca="1" si="29"/>
        <v>0</v>
      </c>
      <c r="Q31" s="245">
        <f t="shared" ca="1" si="29"/>
        <v>0</v>
      </c>
      <c r="R31" s="36"/>
    </row>
    <row r="32" spans="2:18" s="193" customFormat="1" ht="13.5" customHeight="1" outlineLevel="1">
      <c r="B32" s="300" t="str">
        <f>B403</f>
        <v>Convertible bond 3</v>
      </c>
      <c r="H32" s="245">
        <f t="shared" ref="H32:Q32" ca="1" si="30">H460</f>
        <v>0</v>
      </c>
      <c r="I32" s="245">
        <f t="shared" ca="1" si="30"/>
        <v>0</v>
      </c>
      <c r="J32" s="245">
        <f t="shared" ca="1" si="30"/>
        <v>0</v>
      </c>
      <c r="K32" s="245">
        <f t="shared" ca="1" si="30"/>
        <v>0</v>
      </c>
      <c r="L32" s="245">
        <f t="shared" ca="1" si="30"/>
        <v>0</v>
      </c>
      <c r="M32" s="245">
        <f t="shared" ca="1" si="30"/>
        <v>0</v>
      </c>
      <c r="N32" s="245">
        <f t="shared" ca="1" si="30"/>
        <v>0</v>
      </c>
      <c r="O32" s="245">
        <f t="shared" ca="1" si="30"/>
        <v>0</v>
      </c>
      <c r="P32" s="245">
        <f t="shared" ca="1" si="30"/>
        <v>0</v>
      </c>
      <c r="Q32" s="245">
        <f t="shared" ca="1" si="30"/>
        <v>0</v>
      </c>
      <c r="R32" s="36"/>
    </row>
    <row r="33" spans="2:18" ht="13.5" customHeight="1" outlineLevel="1">
      <c r="B33" s="248" t="s">
        <v>99</v>
      </c>
      <c r="C33" s="248"/>
      <c r="D33" s="248"/>
      <c r="E33" s="294"/>
      <c r="F33" s="294"/>
      <c r="G33" s="241"/>
      <c r="H33" s="241">
        <f ca="1">SUM(H21:OFFSET(H33,-1,0))</f>
        <v>37.888133455670513</v>
      </c>
      <c r="I33" s="241">
        <f ca="1">SUM(I21:OFFSET(I33,-1,0))</f>
        <v>60.500441866126309</v>
      </c>
      <c r="J33" s="241">
        <f ca="1">SUM(J21:OFFSET(J33,-1,0))</f>
        <v>64.178014115971507</v>
      </c>
      <c r="K33" s="241">
        <f ca="1">SUM(K21:OFFSET(K33,-1,0))</f>
        <v>66.778967222308722</v>
      </c>
      <c r="L33" s="241">
        <f ca="1">SUM(L21:OFFSET(L33,-1,0))</f>
        <v>58.029777331816618</v>
      </c>
      <c r="M33" s="241">
        <f ca="1">SUM(M21:OFFSET(M33,-1,0))</f>
        <v>56.647121597049804</v>
      </c>
      <c r="N33" s="241">
        <f ca="1">SUM(N21:OFFSET(N33,-1,0))</f>
        <v>55.170476850221633</v>
      </c>
      <c r="O33" s="241">
        <f ca="1">SUM(O21:OFFSET(O33,-1,0))</f>
        <v>53.555346601630184</v>
      </c>
      <c r="P33" s="241">
        <f ca="1">SUM(P21:OFFSET(P33,-1,0))</f>
        <v>51.788070753156987</v>
      </c>
      <c r="Q33" s="241">
        <f ca="1">SUM(Q21:OFFSET(Q33,-1,0))</f>
        <v>49.853623170951415</v>
      </c>
    </row>
    <row r="34" spans="2:18" ht="13.5" customHeight="1" outlineLevel="1">
      <c r="B34" s="88" t="s">
        <v>435</v>
      </c>
      <c r="H34" s="118">
        <f>H275+H287</f>
        <v>0</v>
      </c>
      <c r="I34" s="118">
        <f>I275+I287</f>
        <v>0</v>
      </c>
      <c r="J34" s="118">
        <f>J275+J287</f>
        <v>0</v>
      </c>
      <c r="K34" s="118">
        <f t="shared" ref="K34:Q34" si="31">K275+K287</f>
        <v>0</v>
      </c>
      <c r="L34" s="118">
        <f t="shared" si="31"/>
        <v>0</v>
      </c>
      <c r="M34" s="118">
        <f t="shared" si="31"/>
        <v>0</v>
      </c>
      <c r="N34" s="118">
        <f t="shared" si="31"/>
        <v>0</v>
      </c>
      <c r="O34" s="118">
        <f t="shared" si="31"/>
        <v>0</v>
      </c>
      <c r="P34" s="118">
        <f t="shared" si="31"/>
        <v>0</v>
      </c>
      <c r="Q34" s="118">
        <f t="shared" si="31"/>
        <v>0</v>
      </c>
    </row>
    <row r="35" spans="2:18" ht="13.5" customHeight="1" outlineLevel="1">
      <c r="B35" s="301" t="s">
        <v>100</v>
      </c>
      <c r="H35" s="126">
        <f>Acquirer!T29+Target!T29</f>
        <v>0</v>
      </c>
      <c r="I35" s="126">
        <f>Acquirer!G29+Target!G29</f>
        <v>0</v>
      </c>
      <c r="J35" s="126">
        <f>Acquirer!H29+Target!H29</f>
        <v>0</v>
      </c>
      <c r="K35" s="126">
        <f>Acquirer!I29+Target!I29</f>
        <v>0</v>
      </c>
      <c r="L35" s="126">
        <f>Acquirer!J29+Target!J29</f>
        <v>0</v>
      </c>
      <c r="M35" s="126">
        <f>Acquirer!K29+Target!K29</f>
        <v>0</v>
      </c>
      <c r="N35" s="126">
        <f>Acquirer!L29+Target!L29</f>
        <v>0</v>
      </c>
      <c r="O35" s="126">
        <f>Acquirer!M29+Target!M29</f>
        <v>0</v>
      </c>
      <c r="P35" s="126">
        <f>Acquirer!N29+Target!N29</f>
        <v>0</v>
      </c>
      <c r="Q35" s="126">
        <f>Acquirer!O29+Target!O29</f>
        <v>0</v>
      </c>
    </row>
    <row r="36" spans="2:18" ht="13.5" customHeight="1" outlineLevel="1">
      <c r="B36" s="147" t="s">
        <v>432</v>
      </c>
      <c r="H36" s="98">
        <v>0</v>
      </c>
      <c r="I36" s="98">
        <v>0</v>
      </c>
      <c r="J36" s="98">
        <v>0</v>
      </c>
      <c r="K36" s="98">
        <v>0</v>
      </c>
      <c r="L36" s="98">
        <v>0</v>
      </c>
      <c r="M36" s="98">
        <v>0</v>
      </c>
      <c r="N36" s="98">
        <v>0</v>
      </c>
      <c r="O36" s="98">
        <v>0</v>
      </c>
      <c r="P36" s="98">
        <v>0</v>
      </c>
      <c r="Q36" s="98">
        <v>0</v>
      </c>
    </row>
    <row r="37" spans="2:18" ht="13.5" customHeight="1" outlineLevel="1">
      <c r="B37" s="301" t="s">
        <v>129</v>
      </c>
      <c r="H37" s="163">
        <f ca="1">H776</f>
        <v>0.22500000000000001</v>
      </c>
      <c r="I37" s="163">
        <f t="shared" ref="I37:Q37" ca="1" si="32">I776</f>
        <v>0.45</v>
      </c>
      <c r="J37" s="163">
        <f t="shared" ca="1" si="32"/>
        <v>0.45</v>
      </c>
      <c r="K37" s="163">
        <f t="shared" ca="1" si="32"/>
        <v>0.45</v>
      </c>
      <c r="L37" s="163">
        <f t="shared" ca="1" si="32"/>
        <v>0.45</v>
      </c>
      <c r="M37" s="163">
        <f t="shared" ca="1" si="32"/>
        <v>0.22500000000000009</v>
      </c>
      <c r="N37" s="163">
        <f t="shared" ca="1" si="32"/>
        <v>0</v>
      </c>
      <c r="O37" s="163">
        <f t="shared" ca="1" si="32"/>
        <v>0</v>
      </c>
      <c r="P37" s="163">
        <f t="shared" ca="1" si="32"/>
        <v>0</v>
      </c>
      <c r="Q37" s="163">
        <f t="shared" ca="1" si="32"/>
        <v>0</v>
      </c>
    </row>
    <row r="38" spans="2:18" ht="13.5" customHeight="1" outlineLevel="1">
      <c r="B38" s="301" t="s">
        <v>238</v>
      </c>
      <c r="H38" s="163">
        <f>H764</f>
        <v>50</v>
      </c>
      <c r="I38" s="163">
        <f t="shared" ref="I38:Q38" si="33">I764</f>
        <v>75</v>
      </c>
      <c r="J38" s="163">
        <f t="shared" si="33"/>
        <v>25</v>
      </c>
      <c r="K38" s="163">
        <f t="shared" si="33"/>
        <v>0</v>
      </c>
      <c r="L38" s="163">
        <f t="shared" si="33"/>
        <v>0</v>
      </c>
      <c r="M38" s="163">
        <f t="shared" si="33"/>
        <v>0</v>
      </c>
      <c r="N38" s="163">
        <f t="shared" si="33"/>
        <v>0</v>
      </c>
      <c r="O38" s="163">
        <f t="shared" si="33"/>
        <v>0</v>
      </c>
      <c r="P38" s="163">
        <f t="shared" si="33"/>
        <v>0</v>
      </c>
      <c r="Q38" s="163">
        <f t="shared" si="33"/>
        <v>0</v>
      </c>
    </row>
    <row r="39" spans="2:18" ht="13.5" customHeight="1" outlineLevel="1">
      <c r="B39" s="248" t="s">
        <v>101</v>
      </c>
      <c r="C39" s="248"/>
      <c r="D39" s="248"/>
      <c r="E39" s="294"/>
      <c r="F39" s="294"/>
      <c r="G39" s="241"/>
      <c r="H39" s="241">
        <f t="shared" ref="H39:Q39" ca="1" si="34">H18-H33+H34-SUM(H35:H38)</f>
        <v>226.09205023545192</v>
      </c>
      <c r="I39" s="241">
        <f t="shared" ca="1" si="34"/>
        <v>586.49074592075135</v>
      </c>
      <c r="J39" s="241">
        <f t="shared" ca="1" si="34"/>
        <v>718.07376448017112</v>
      </c>
      <c r="K39" s="241">
        <f t="shared" ca="1" si="34"/>
        <v>831.34901668309908</v>
      </c>
      <c r="L39" s="241">
        <f t="shared" ca="1" si="34"/>
        <v>957.61444752785769</v>
      </c>
      <c r="M39" s="241">
        <f t="shared" ca="1" si="34"/>
        <v>1093.821983218339</v>
      </c>
      <c r="N39" s="241">
        <f t="shared" ca="1" si="34"/>
        <v>1200.3449353505723</v>
      </c>
      <c r="O39" s="241">
        <f t="shared" ca="1" si="34"/>
        <v>1314.638265151171</v>
      </c>
      <c r="P39" s="241">
        <f t="shared" ca="1" si="34"/>
        <v>1439.9052378044582</v>
      </c>
      <c r="Q39" s="241">
        <f t="shared" ca="1" si="34"/>
        <v>1577.2685659425413</v>
      </c>
    </row>
    <row r="40" spans="2:18" ht="13.5" customHeight="1" outlineLevel="1">
      <c r="B40" s="36" t="s">
        <v>102</v>
      </c>
      <c r="H40" s="163">
        <f t="shared" ref="H40:Q40" ca="1" si="35">H39*H92-H299</f>
        <v>79.132895858558896</v>
      </c>
      <c r="I40" s="163">
        <f t="shared" ca="1" si="35"/>
        <v>205.27352054450077</v>
      </c>
      <c r="J40" s="163">
        <f t="shared" ca="1" si="35"/>
        <v>251.32797178935337</v>
      </c>
      <c r="K40" s="163">
        <f t="shared" ca="1" si="35"/>
        <v>290.97464988613478</v>
      </c>
      <c r="L40" s="163">
        <f t="shared" ca="1" si="35"/>
        <v>335.16792947809284</v>
      </c>
      <c r="M40" s="163">
        <f t="shared" ca="1" si="35"/>
        <v>382.84097559236841</v>
      </c>
      <c r="N40" s="163">
        <f t="shared" ca="1" si="35"/>
        <v>420.12432840750643</v>
      </c>
      <c r="O40" s="163">
        <f t="shared" ca="1" si="35"/>
        <v>460.12733671770542</v>
      </c>
      <c r="P40" s="163">
        <f t="shared" ca="1" si="35"/>
        <v>503.97115294727388</v>
      </c>
      <c r="Q40" s="163">
        <f t="shared" ca="1" si="35"/>
        <v>552.04872988558736</v>
      </c>
    </row>
    <row r="41" spans="2:18" s="193" customFormat="1" ht="13.5" customHeight="1" outlineLevel="1">
      <c r="B41" s="295" t="s">
        <v>104</v>
      </c>
      <c r="C41" s="295"/>
      <c r="D41" s="295"/>
      <c r="E41" s="295"/>
      <c r="F41" s="295"/>
      <c r="G41" s="295"/>
      <c r="H41" s="296">
        <f t="shared" ref="H41:Q41" ca="1" si="36">H39-H40</f>
        <v>146.95915437689303</v>
      </c>
      <c r="I41" s="296">
        <f t="shared" ca="1" si="36"/>
        <v>381.21722537625055</v>
      </c>
      <c r="J41" s="296">
        <f t="shared" ca="1" si="36"/>
        <v>466.74579269081778</v>
      </c>
      <c r="K41" s="296">
        <f t="shared" ca="1" si="36"/>
        <v>540.3743667969643</v>
      </c>
      <c r="L41" s="296">
        <f t="shared" ca="1" si="36"/>
        <v>622.44651804976479</v>
      </c>
      <c r="M41" s="296">
        <f t="shared" ca="1" si="36"/>
        <v>710.98100762597062</v>
      </c>
      <c r="N41" s="296">
        <f t="shared" ca="1" si="36"/>
        <v>780.22060694306583</v>
      </c>
      <c r="O41" s="296">
        <f t="shared" ca="1" si="36"/>
        <v>854.51092843346555</v>
      </c>
      <c r="P41" s="296">
        <f t="shared" ca="1" si="36"/>
        <v>935.93408485718442</v>
      </c>
      <c r="Q41" s="296">
        <f t="shared" ca="1" si="36"/>
        <v>1025.2198360569539</v>
      </c>
      <c r="R41" s="36"/>
    </row>
    <row r="42" spans="2:18" ht="13.5" customHeight="1" outlineLevel="1">
      <c r="B42" s="88" t="s">
        <v>429</v>
      </c>
      <c r="H42" s="126">
        <f>Acquirer!T33+Target!T33</f>
        <v>0</v>
      </c>
      <c r="I42" s="126">
        <f>Acquirer!G33+Target!G33</f>
        <v>0</v>
      </c>
      <c r="J42" s="126">
        <f>Acquirer!H33+Target!H33</f>
        <v>0</v>
      </c>
      <c r="K42" s="126">
        <f>Acquirer!I33+Target!I33</f>
        <v>0</v>
      </c>
      <c r="L42" s="126">
        <f>Acquirer!J33+Target!J33</f>
        <v>0</v>
      </c>
      <c r="M42" s="126">
        <f>Acquirer!K33+Target!K33</f>
        <v>0</v>
      </c>
      <c r="N42" s="126">
        <f>Acquirer!L33+Target!L33</f>
        <v>0</v>
      </c>
      <c r="O42" s="126">
        <f>Acquirer!M33+Target!M33</f>
        <v>0</v>
      </c>
      <c r="P42" s="126">
        <f>Acquirer!N33+Target!N33</f>
        <v>0</v>
      </c>
      <c r="Q42" s="126">
        <f>Acquirer!O33+Target!O33</f>
        <v>0</v>
      </c>
    </row>
    <row r="43" spans="2:18" ht="13.5" customHeight="1" outlineLevel="1">
      <c r="B43" s="170" t="s">
        <v>583</v>
      </c>
      <c r="H43" s="245">
        <f ca="1">H470</f>
        <v>6.40625</v>
      </c>
      <c r="I43" s="245">
        <f t="shared" ref="I43:Q43" ca="1" si="37">I470</f>
        <v>13.140820312499999</v>
      </c>
      <c r="J43" s="245">
        <f t="shared" ca="1" si="37"/>
        <v>13.814287353515624</v>
      </c>
      <c r="K43" s="245">
        <f t="shared" ca="1" si="37"/>
        <v>14.5222695803833</v>
      </c>
      <c r="L43" s="245">
        <f t="shared" ca="1" si="37"/>
        <v>15.266535896377944</v>
      </c>
      <c r="M43" s="245">
        <f t="shared" ca="1" si="37"/>
        <v>16.048945861067313</v>
      </c>
      <c r="N43" s="245">
        <f t="shared" ca="1" si="37"/>
        <v>16.871454336447012</v>
      </c>
      <c r="O43" s="245">
        <f t="shared" ca="1" si="37"/>
        <v>17.736116371189922</v>
      </c>
      <c r="P43" s="245">
        <f t="shared" ca="1" si="37"/>
        <v>18.645092335213405</v>
      </c>
      <c r="Q43" s="245">
        <f t="shared" ca="1" si="37"/>
        <v>19.600653317393093</v>
      </c>
    </row>
    <row r="44" spans="2:18" s="193" customFormat="1" ht="13.5" customHeight="1" outlineLevel="1">
      <c r="B44" s="302" t="s">
        <v>141</v>
      </c>
      <c r="C44" s="302"/>
      <c r="D44" s="302"/>
      <c r="E44" s="302"/>
      <c r="F44" s="302"/>
      <c r="G44" s="302"/>
      <c r="H44" s="157">
        <f ca="1">H41-H42-H43</f>
        <v>140.55290437689303</v>
      </c>
      <c r="I44" s="157">
        <f t="shared" ref="I44:Q44" ca="1" si="38">I41-I42-I43</f>
        <v>368.07640506375054</v>
      </c>
      <c r="J44" s="157">
        <f t="shared" ca="1" si="38"/>
        <v>452.93150533730216</v>
      </c>
      <c r="K44" s="157">
        <f t="shared" ca="1" si="38"/>
        <v>525.852097216581</v>
      </c>
      <c r="L44" s="157">
        <f t="shared" ca="1" si="38"/>
        <v>607.17998215338685</v>
      </c>
      <c r="M44" s="157">
        <f t="shared" ca="1" si="38"/>
        <v>694.93206176490332</v>
      </c>
      <c r="N44" s="157">
        <f t="shared" ca="1" si="38"/>
        <v>763.34915260661887</v>
      </c>
      <c r="O44" s="157">
        <f t="shared" ca="1" si="38"/>
        <v>836.7748120622756</v>
      </c>
      <c r="P44" s="157">
        <f t="shared" ca="1" si="38"/>
        <v>917.28899252197107</v>
      </c>
      <c r="Q44" s="157">
        <f t="shared" ca="1" si="38"/>
        <v>1005.6191827395609</v>
      </c>
      <c r="R44" s="36"/>
    </row>
    <row r="45" spans="2:18" ht="13.5" customHeight="1" outlineLevel="1"/>
    <row r="46" spans="2:18" ht="13.5" customHeight="1" outlineLevel="1">
      <c r="B46" s="53" t="s">
        <v>142</v>
      </c>
    </row>
    <row r="47" spans="2:18" ht="13.5" customHeight="1" outlineLevel="1">
      <c r="B47" s="88" t="s">
        <v>95</v>
      </c>
      <c r="H47" s="114">
        <f t="shared" ref="H47:Q47" ca="1" si="39">H16*(1-H92)</f>
        <v>31.152611818821381</v>
      </c>
      <c r="I47" s="114">
        <f t="shared" ca="1" si="39"/>
        <v>60.858679193878487</v>
      </c>
      <c r="J47" s="114">
        <f t="shared" ca="1" si="39"/>
        <v>57.965590306349938</v>
      </c>
      <c r="K47" s="114">
        <f t="shared" ca="1" si="39"/>
        <v>49.281678145821388</v>
      </c>
      <c r="L47" s="114">
        <f t="shared" ca="1" si="39"/>
        <v>28.207523171292845</v>
      </c>
      <c r="M47" s="114">
        <f t="shared" ca="1" si="39"/>
        <v>1.4465444437642774</v>
      </c>
      <c r="N47" s="114">
        <f t="shared" ca="1" si="39"/>
        <v>0</v>
      </c>
      <c r="O47" s="114">
        <f t="shared" ca="1" si="39"/>
        <v>0</v>
      </c>
      <c r="P47" s="114">
        <f t="shared" ca="1" si="39"/>
        <v>0</v>
      </c>
      <c r="Q47" s="114">
        <f t="shared" ca="1" si="39"/>
        <v>0</v>
      </c>
    </row>
    <row r="48" spans="2:18" ht="13.5" customHeight="1" outlineLevel="1">
      <c r="B48" s="88" t="s">
        <v>96</v>
      </c>
      <c r="H48" s="118">
        <f t="shared" ref="H48:Q48" si="40">H17*(1-H92)</f>
        <v>20.897403549999996</v>
      </c>
      <c r="I48" s="118">
        <f t="shared" si="40"/>
        <v>45.694789099999994</v>
      </c>
      <c r="J48" s="118">
        <f t="shared" si="40"/>
        <v>49.638320899</v>
      </c>
      <c r="K48" s="118">
        <f t="shared" si="40"/>
        <v>53.969946406790001</v>
      </c>
      <c r="L48" s="118">
        <f t="shared" si="40"/>
        <v>58.728412399537916</v>
      </c>
      <c r="M48" s="118">
        <f t="shared" si="40"/>
        <v>63.956339705081305</v>
      </c>
      <c r="N48" s="118">
        <f t="shared" si="40"/>
        <v>69.700610601834924</v>
      </c>
      <c r="O48" s="118">
        <f t="shared" si="40"/>
        <v>76.012794957526353</v>
      </c>
      <c r="P48" s="118">
        <f t="shared" si="40"/>
        <v>82.94961898174202</v>
      </c>
      <c r="Q48" s="118">
        <f t="shared" si="40"/>
        <v>90.573480853663881</v>
      </c>
    </row>
    <row r="49" spans="2:18" ht="13.5" customHeight="1" outlineLevel="1">
      <c r="B49" s="88" t="s">
        <v>103</v>
      </c>
      <c r="H49" s="126">
        <f>Acquirer!T40+Target!T40/(1-Target!T73)*(1-H92)</f>
        <v>0</v>
      </c>
      <c r="I49" s="126">
        <f>Acquirer!G40+Target!G40/(1-Target!G73)*(1-I92)</f>
        <v>0</v>
      </c>
      <c r="J49" s="126">
        <f>Acquirer!H40+Target!H40/(1-Target!H73)*(1-J92)</f>
        <v>0</v>
      </c>
      <c r="K49" s="126">
        <f>Acquirer!I40+Target!I40/(1-Target!I73)*(1-K92)</f>
        <v>0</v>
      </c>
      <c r="L49" s="126">
        <f>Acquirer!J40+Target!J40/(1-Target!J73)*(1-L92)</f>
        <v>0</v>
      </c>
      <c r="M49" s="126">
        <f>Acquirer!K40+Target!K40/(1-Target!K73)*(1-M92)</f>
        <v>0</v>
      </c>
      <c r="N49" s="126">
        <f>Acquirer!L40+Target!L40/(1-Target!L73)*(1-N92)</f>
        <v>0</v>
      </c>
      <c r="O49" s="126">
        <f>Acquirer!M40+Target!M40/(1-Target!M73)*(1-O92)</f>
        <v>0</v>
      </c>
      <c r="P49" s="126">
        <f>Acquirer!N40+Target!N40/(1-Target!N73)*(1-P92)</f>
        <v>0</v>
      </c>
      <c r="Q49" s="126">
        <f>Acquirer!O40+Target!O40/(1-Target!O73)*(1-Q92)</f>
        <v>0</v>
      </c>
    </row>
    <row r="50" spans="2:18" ht="13.5" customHeight="1" outlineLevel="1">
      <c r="B50" s="88" t="s">
        <v>238</v>
      </c>
      <c r="H50" s="163">
        <f t="shared" ref="H50:Q50" si="41">H38*(1-H92)</f>
        <v>32.499849999999995</v>
      </c>
      <c r="I50" s="163">
        <f t="shared" si="41"/>
        <v>48.749774999999993</v>
      </c>
      <c r="J50" s="163">
        <f t="shared" si="41"/>
        <v>16.249924999999998</v>
      </c>
      <c r="K50" s="163">
        <f t="shared" si="41"/>
        <v>0</v>
      </c>
      <c r="L50" s="163">
        <f t="shared" si="41"/>
        <v>0</v>
      </c>
      <c r="M50" s="163">
        <f t="shared" si="41"/>
        <v>0</v>
      </c>
      <c r="N50" s="163">
        <f t="shared" si="41"/>
        <v>0</v>
      </c>
      <c r="O50" s="163">
        <f t="shared" si="41"/>
        <v>0</v>
      </c>
      <c r="P50" s="163">
        <f t="shared" si="41"/>
        <v>0</v>
      </c>
      <c r="Q50" s="163">
        <f t="shared" si="41"/>
        <v>0</v>
      </c>
    </row>
    <row r="51" spans="2:18" s="193" customFormat="1" ht="13.5" customHeight="1" outlineLevel="1">
      <c r="B51" s="302" t="s">
        <v>148</v>
      </c>
      <c r="C51" s="302"/>
      <c r="D51" s="302"/>
      <c r="E51" s="302"/>
      <c r="F51" s="302"/>
      <c r="G51" s="302"/>
      <c r="H51" s="303">
        <f ca="1">H44+SUM(H47:H50)</f>
        <v>225.1027697457144</v>
      </c>
      <c r="I51" s="303">
        <f t="shared" ref="I51:Q51" ca="1" si="42">I44+SUM(I47:I50)</f>
        <v>523.37964835762898</v>
      </c>
      <c r="J51" s="303">
        <f t="shared" ca="1" si="42"/>
        <v>576.78534154265208</v>
      </c>
      <c r="K51" s="303">
        <f t="shared" ca="1" si="42"/>
        <v>629.10372176919236</v>
      </c>
      <c r="L51" s="303">
        <f t="shared" ca="1" si="42"/>
        <v>694.11591772421764</v>
      </c>
      <c r="M51" s="303">
        <f t="shared" ca="1" si="42"/>
        <v>760.33494591374892</v>
      </c>
      <c r="N51" s="303">
        <f t="shared" ca="1" si="42"/>
        <v>833.04976320845378</v>
      </c>
      <c r="O51" s="303">
        <f t="shared" ca="1" si="42"/>
        <v>912.78760701980195</v>
      </c>
      <c r="P51" s="303">
        <f t="shared" ca="1" si="42"/>
        <v>1000.2386115037131</v>
      </c>
      <c r="Q51" s="303">
        <f t="shared" ca="1" si="42"/>
        <v>1096.1926635932248</v>
      </c>
      <c r="R51" s="36"/>
    </row>
    <row r="52" spans="2:18" ht="13.5" customHeight="1" outlineLevel="1"/>
    <row r="53" spans="2:18" ht="13.5" customHeight="1" outlineLevel="1">
      <c r="B53" s="57" t="s">
        <v>107</v>
      </c>
      <c r="H53" s="304">
        <f>Acquirer!T46+Target!T46</f>
        <v>108.85</v>
      </c>
      <c r="I53" s="196">
        <f>Acquirer!H46+Target!H46</f>
        <v>241.3</v>
      </c>
      <c r="J53" s="196">
        <f>Acquirer!I46+Target!I46</f>
        <v>264.08</v>
      </c>
      <c r="K53" s="196">
        <f>Acquirer!J46+Target!J46</f>
        <v>289.12450000000007</v>
      </c>
      <c r="L53" s="196">
        <f>Acquirer!K46+Target!K46</f>
        <v>316.65981500000015</v>
      </c>
      <c r="M53" s="196">
        <f>Acquirer!L46+Target!L46</f>
        <v>346.93489015000017</v>
      </c>
      <c r="N53" s="196">
        <f>Acquirer!M46+Target!M46</f>
        <v>380.22356375150019</v>
      </c>
      <c r="O53" s="196">
        <f>Acquirer!N46+Target!N46</f>
        <v>416.8270565590152</v>
      </c>
      <c r="P53" s="196">
        <f>Acquirer!O46+Target!O46</f>
        <v>457.07671001160548</v>
      </c>
      <c r="Q53" s="196">
        <f>Acquirer!P46+Target!P46</f>
        <v>501.33699828742158</v>
      </c>
    </row>
    <row r="54" spans="2:18" ht="13.5" customHeight="1" outlineLevel="1">
      <c r="B54" s="36" t="s">
        <v>245</v>
      </c>
      <c r="H54" s="305">
        <f>Acquirer!T47</f>
        <v>0.02</v>
      </c>
      <c r="I54" s="189">
        <f>Acquirer!H47</f>
        <v>0.04</v>
      </c>
      <c r="J54" s="189">
        <f>Acquirer!I47</f>
        <v>0.04</v>
      </c>
      <c r="K54" s="189">
        <f>Acquirer!J47</f>
        <v>0.04</v>
      </c>
      <c r="L54" s="189">
        <f>Acquirer!K47</f>
        <v>0.04</v>
      </c>
      <c r="M54" s="189">
        <f>Acquirer!L47</f>
        <v>0.04</v>
      </c>
      <c r="N54" s="189">
        <f>Acquirer!M47</f>
        <v>0.04</v>
      </c>
      <c r="O54" s="189">
        <f>Acquirer!N47</f>
        <v>0.04</v>
      </c>
      <c r="P54" s="189">
        <f>Acquirer!O47</f>
        <v>0.04</v>
      </c>
      <c r="Q54" s="189">
        <f>Acquirer!P47</f>
        <v>0.04</v>
      </c>
    </row>
    <row r="55" spans="2:18" ht="13.5" customHeight="1" outlineLevel="1"/>
    <row r="56" spans="2:18" ht="13.5" customHeight="1" outlineLevel="1">
      <c r="B56" s="108" t="s">
        <v>149</v>
      </c>
      <c r="C56" s="109"/>
      <c r="D56" s="109"/>
      <c r="E56" s="306"/>
      <c r="F56" s="306"/>
      <c r="G56" s="306"/>
      <c r="H56" s="306"/>
      <c r="I56" s="109"/>
      <c r="J56" s="306"/>
      <c r="K56" s="306"/>
      <c r="L56" s="306"/>
      <c r="M56" s="306"/>
      <c r="N56" s="306"/>
      <c r="O56" s="306"/>
      <c r="P56" s="306"/>
      <c r="Q56" s="110"/>
    </row>
    <row r="57" spans="2:18" ht="13.5" customHeight="1" outlineLevel="1">
      <c r="B57" s="50"/>
      <c r="C57" s="50"/>
      <c r="D57" s="50"/>
      <c r="G57" s="50"/>
      <c r="N57" s="57"/>
    </row>
    <row r="58" spans="2:18" ht="13.5" customHeight="1" outlineLevel="1">
      <c r="B58" s="36" t="str">
        <f>"Standalone "&amp;acquirer&amp;" GAAP EPS"</f>
        <v>Standalone BuyerCo GAAP EPS</v>
      </c>
      <c r="H58" s="305">
        <f ca="1">Acquirer!T43</f>
        <v>0.71443342344403904</v>
      </c>
      <c r="I58" s="189">
        <f ca="1">Acquirer!H43</f>
        <v>1.6963180741909378</v>
      </c>
      <c r="J58" s="189">
        <f ca="1">Acquirer!I43</f>
        <v>1.8898546808576471</v>
      </c>
      <c r="K58" s="189">
        <f ca="1">Acquirer!J43</f>
        <v>2.1063211487139415</v>
      </c>
      <c r="L58" s="189">
        <f ca="1">Acquirer!K43</f>
        <v>2.4309505126453579</v>
      </c>
      <c r="M58" s="189">
        <f ca="1">Acquirer!L43</f>
        <v>2.6523137225454128</v>
      </c>
      <c r="N58" s="189">
        <f ca="1">Acquirer!M43</f>
        <v>2.9369568828828148</v>
      </c>
      <c r="O58" s="189">
        <f ca="1">Acquirer!N43</f>
        <v>3.2501019482311495</v>
      </c>
      <c r="P58" s="189">
        <f ca="1">Acquirer!O43</f>
        <v>3.594599170173316</v>
      </c>
      <c r="Q58" s="189">
        <f ca="1">Acquirer!P43</f>
        <v>3.9735838255497606</v>
      </c>
    </row>
    <row r="59" spans="2:18" ht="13.5" customHeight="1" outlineLevel="1">
      <c r="B59" s="36" t="s">
        <v>150</v>
      </c>
      <c r="H59" s="307">
        <f t="shared" ref="H59:Q59" ca="1" si="43">H44/H160</f>
        <v>0.62245356207164937</v>
      </c>
      <c r="I59" s="307">
        <f t="shared" ca="1" si="43"/>
        <v>1.6300657070173263</v>
      </c>
      <c r="J59" s="307">
        <f t="shared" ca="1" si="43"/>
        <v>2.0058555895485801</v>
      </c>
      <c r="K59" s="307">
        <f t="shared" ca="1" si="43"/>
        <v>2.3287922258625304</v>
      </c>
      <c r="L59" s="307">
        <f t="shared" ca="1" si="43"/>
        <v>2.6889614582173649</v>
      </c>
      <c r="M59" s="307">
        <f t="shared" ca="1" si="43"/>
        <v>3.0775809234325084</v>
      </c>
      <c r="N59" s="307">
        <f t="shared" ca="1" si="43"/>
        <v>3.3805733239794922</v>
      </c>
      <c r="O59" s="307">
        <f t="shared" ca="1" si="43"/>
        <v>3.7057467060469151</v>
      </c>
      <c r="P59" s="307">
        <f t="shared" ca="1" si="43"/>
        <v>4.0623123611402452</v>
      </c>
      <c r="Q59" s="307">
        <f t="shared" ca="1" si="43"/>
        <v>4.4534920509741331</v>
      </c>
    </row>
    <row r="60" spans="2:18" ht="13.5" customHeight="1" outlineLevel="1">
      <c r="B60" s="308" t="s">
        <v>152</v>
      </c>
      <c r="C60" s="308"/>
      <c r="D60" s="308"/>
      <c r="E60" s="308"/>
      <c r="F60" s="308"/>
      <c r="G60" s="308"/>
      <c r="H60" s="309">
        <f t="shared" ref="H60:Q60" ca="1" si="44">H59-H58</f>
        <v>-9.1979861372389671E-2</v>
      </c>
      <c r="I60" s="309">
        <f t="shared" ca="1" si="44"/>
        <v>-6.6252367173611493E-2</v>
      </c>
      <c r="J60" s="309">
        <f t="shared" ca="1" si="44"/>
        <v>0.11600090869093305</v>
      </c>
      <c r="K60" s="309">
        <f t="shared" ca="1" si="44"/>
        <v>0.22247107714858894</v>
      </c>
      <c r="L60" s="309">
        <f t="shared" ca="1" si="44"/>
        <v>0.25801094557200699</v>
      </c>
      <c r="M60" s="309">
        <f t="shared" ca="1" si="44"/>
        <v>0.42526720088709569</v>
      </c>
      <c r="N60" s="309">
        <f t="shared" ca="1" si="44"/>
        <v>0.44361644109667742</v>
      </c>
      <c r="O60" s="309">
        <f t="shared" ca="1" si="44"/>
        <v>0.45564475781576563</v>
      </c>
      <c r="P60" s="309">
        <f t="shared" ca="1" si="44"/>
        <v>0.4677131909669292</v>
      </c>
      <c r="Q60" s="309">
        <f t="shared" ca="1" si="44"/>
        <v>0.4799082254243725</v>
      </c>
    </row>
    <row r="61" spans="2:18" s="59" customFormat="1" ht="13.5" customHeight="1" outlineLevel="1">
      <c r="B61" s="308" t="s">
        <v>153</v>
      </c>
      <c r="C61" s="310"/>
      <c r="D61" s="310"/>
      <c r="E61" s="310"/>
      <c r="F61" s="310"/>
      <c r="G61" s="310"/>
      <c r="H61" s="311">
        <f t="shared" ref="H61:Q61" ca="1" si="45">IFERROR(H59/H58-1,"NA")</f>
        <v>-0.12874518234181465</v>
      </c>
      <c r="I61" s="311">
        <f t="shared" ca="1" si="45"/>
        <v>-3.905657092359327E-2</v>
      </c>
      <c r="J61" s="311">
        <f t="shared" ca="1" si="45"/>
        <v>6.1380861642912121E-2</v>
      </c>
      <c r="K61" s="311">
        <f t="shared" ca="1" si="45"/>
        <v>0.10562068243222233</v>
      </c>
      <c r="L61" s="311">
        <f t="shared" ca="1" si="45"/>
        <v>0.10613582803511701</v>
      </c>
      <c r="M61" s="311">
        <f t="shared" ca="1" si="45"/>
        <v>0.16033819727742049</v>
      </c>
      <c r="N61" s="311">
        <f t="shared" ca="1" si="45"/>
        <v>0.15104629001609271</v>
      </c>
      <c r="O61" s="311">
        <f t="shared" ca="1" si="45"/>
        <v>0.14019398931893434</v>
      </c>
      <c r="P61" s="311">
        <f t="shared" ca="1" si="45"/>
        <v>0.13011553411791899</v>
      </c>
      <c r="Q61" s="311">
        <f t="shared" ca="1" si="45"/>
        <v>0.12077465746125915</v>
      </c>
      <c r="R61" s="36"/>
    </row>
    <row r="62" spans="2:18" ht="13.5" customHeight="1" outlineLevel="1"/>
    <row r="63" spans="2:18" ht="13.5" customHeight="1" outlineLevel="1">
      <c r="B63" s="36" t="str">
        <f>"Standalone "&amp;acquirer&amp;" cash EPS"</f>
        <v>Standalone BuyerCo cash EPS</v>
      </c>
      <c r="H63" s="305">
        <f ca="1">Acquirer!T44</f>
        <v>0.88587518312843772</v>
      </c>
      <c r="I63" s="189">
        <f ca="1">Acquirer!H44</f>
        <v>2.0566865785577986</v>
      </c>
      <c r="J63" s="189">
        <f ca="1">Acquirer!I44</f>
        <v>2.2678859836293306</v>
      </c>
      <c r="K63" s="189">
        <f ca="1">Acquirer!J44</f>
        <v>2.5037815297309307</v>
      </c>
      <c r="L63" s="189">
        <f ca="1">Acquirer!K44</f>
        <v>2.7748641643506518</v>
      </c>
      <c r="M63" s="189">
        <f ca="1">Acquirer!L44</f>
        <v>2.8960203840827607</v>
      </c>
      <c r="N63" s="189">
        <f ca="1">Acquirer!M44</f>
        <v>3.2050342105738974</v>
      </c>
      <c r="O63" s="189">
        <f ca="1">Acquirer!N44</f>
        <v>3.5449870086913404</v>
      </c>
      <c r="P63" s="189">
        <f ca="1">Acquirer!O44</f>
        <v>3.9189727366795259</v>
      </c>
      <c r="Q63" s="189">
        <f ca="1">Acquirer!P44</f>
        <v>4.3303947487065919</v>
      </c>
    </row>
    <row r="64" spans="2:18" ht="13.5" customHeight="1" outlineLevel="1">
      <c r="B64" s="36" t="s">
        <v>151</v>
      </c>
      <c r="H64" s="307">
        <f t="shared" ref="H64:Q64" ca="1" si="46">H51/H160</f>
        <v>0.99689167919783928</v>
      </c>
      <c r="I64" s="307">
        <f t="shared" ca="1" si="46"/>
        <v>2.3178427217870552</v>
      </c>
      <c r="J64" s="307">
        <f t="shared" ca="1" si="46"/>
        <v>2.5543555431001117</v>
      </c>
      <c r="K64" s="307">
        <f t="shared" ca="1" si="46"/>
        <v>2.7860530827432894</v>
      </c>
      <c r="L64" s="307">
        <f t="shared" ca="1" si="46"/>
        <v>3.0739665423029225</v>
      </c>
      <c r="M64" s="307">
        <f t="shared" ca="1" si="46"/>
        <v>3.3672245874228568</v>
      </c>
      <c r="N64" s="307">
        <f t="shared" ca="1" si="46"/>
        <v>3.6892499289918157</v>
      </c>
      <c r="O64" s="307">
        <f t="shared" ca="1" si="46"/>
        <v>4.0423774942479218</v>
      </c>
      <c r="P64" s="307">
        <f t="shared" ca="1" si="46"/>
        <v>4.4296636160756773</v>
      </c>
      <c r="Q64" s="307">
        <f t="shared" ca="1" si="46"/>
        <v>4.8546063931965762</v>
      </c>
    </row>
    <row r="65" spans="2:18" ht="13.5" customHeight="1" outlineLevel="1">
      <c r="B65" s="308" t="s">
        <v>152</v>
      </c>
      <c r="C65" s="308"/>
      <c r="D65" s="308"/>
      <c r="E65" s="308"/>
      <c r="F65" s="308"/>
      <c r="G65" s="308"/>
      <c r="H65" s="309">
        <f t="shared" ref="H65:Q65" ca="1" si="47">H64-H63</f>
        <v>0.11101649606940156</v>
      </c>
      <c r="I65" s="309">
        <f t="shared" ca="1" si="47"/>
        <v>0.26115614322925662</v>
      </c>
      <c r="J65" s="309">
        <f t="shared" ca="1" si="47"/>
        <v>0.28646955947078112</v>
      </c>
      <c r="K65" s="309">
        <f t="shared" ca="1" si="47"/>
        <v>0.28227155301235873</v>
      </c>
      <c r="L65" s="309">
        <f t="shared" ca="1" si="47"/>
        <v>0.29910237795227079</v>
      </c>
      <c r="M65" s="309">
        <f t="shared" ca="1" si="47"/>
        <v>0.47120420334009605</v>
      </c>
      <c r="N65" s="309">
        <f t="shared" ca="1" si="47"/>
        <v>0.48421571841791833</v>
      </c>
      <c r="O65" s="309">
        <f t="shared" ca="1" si="47"/>
        <v>0.49739048555658139</v>
      </c>
      <c r="P65" s="309">
        <f t="shared" ca="1" si="47"/>
        <v>0.51069087939615132</v>
      </c>
      <c r="Q65" s="309">
        <f t="shared" ca="1" si="47"/>
        <v>0.52421164448998425</v>
      </c>
    </row>
    <row r="66" spans="2:18" s="59" customFormat="1" ht="13.5" customHeight="1" outlineLevel="1">
      <c r="B66" s="308" t="s">
        <v>153</v>
      </c>
      <c r="C66" s="310"/>
      <c r="D66" s="310"/>
      <c r="E66" s="310"/>
      <c r="F66" s="310"/>
      <c r="G66" s="310"/>
      <c r="H66" s="311">
        <f t="shared" ref="H66:Q66" ca="1" si="48">IFERROR(H64/H63-1,"NA")</f>
        <v>0.12531844009598569</v>
      </c>
      <c r="I66" s="311">
        <f t="shared" ca="1" si="48"/>
        <v>0.12697906718114815</v>
      </c>
      <c r="J66" s="311">
        <f t="shared" ca="1" si="48"/>
        <v>0.12631567968524582</v>
      </c>
      <c r="K66" s="311">
        <f t="shared" ca="1" si="48"/>
        <v>0.11273809222591913</v>
      </c>
      <c r="L66" s="311">
        <f t="shared" ca="1" si="48"/>
        <v>0.10778991699662677</v>
      </c>
      <c r="M66" s="311">
        <f t="shared" ca="1" si="48"/>
        <v>0.16270748850040917</v>
      </c>
      <c r="N66" s="311">
        <f t="shared" ca="1" si="48"/>
        <v>0.15107973475615855</v>
      </c>
      <c r="O66" s="311">
        <f t="shared" ca="1" si="48"/>
        <v>0.14030812647186464</v>
      </c>
      <c r="P66" s="311">
        <f t="shared" ca="1" si="48"/>
        <v>0.13031243484200661</v>
      </c>
      <c r="Q66" s="311">
        <f t="shared" ca="1" si="48"/>
        <v>0.12105400890913165</v>
      </c>
      <c r="R66" s="36"/>
    </row>
    <row r="67" spans="2:18" ht="13.5" customHeight="1" outlineLevel="1"/>
    <row r="68" spans="2:18" ht="13.5" customHeight="1" outlineLevel="1">
      <c r="B68" s="108" t="s">
        <v>437</v>
      </c>
      <c r="C68" s="109"/>
      <c r="D68" s="109"/>
      <c r="E68" s="306"/>
      <c r="F68" s="306"/>
      <c r="G68" s="306"/>
      <c r="H68" s="306"/>
      <c r="I68" s="109"/>
      <c r="J68" s="306"/>
      <c r="K68" s="306"/>
      <c r="L68" s="306"/>
      <c r="M68" s="306"/>
      <c r="N68" s="306"/>
      <c r="O68" s="306"/>
      <c r="P68" s="306"/>
      <c r="Q68" s="110"/>
    </row>
    <row r="69" spans="2:18" ht="13.5" customHeight="1" outlineLevel="1">
      <c r="B69" s="50"/>
      <c r="C69" s="50"/>
      <c r="D69" s="50"/>
      <c r="G69" s="50"/>
      <c r="N69" s="57"/>
    </row>
    <row r="70" spans="2:18" ht="13.5" customHeight="1" outlineLevel="1">
      <c r="B70" s="88" t="s">
        <v>108</v>
      </c>
      <c r="C70" s="312"/>
      <c r="D70" s="312"/>
      <c r="H70" s="179" t="s">
        <v>15</v>
      </c>
      <c r="I70" s="313">
        <f t="shared" ref="I70:Q70" ca="1" si="49">IFERROR((I10/I$3)/(H10/H$3)-1,"NA")</f>
        <v>9.9163073801673773E-2</v>
      </c>
      <c r="J70" s="313">
        <f t="shared" ca="1" si="49"/>
        <v>9.0633364097831182E-2</v>
      </c>
      <c r="K70" s="313">
        <f t="shared" ca="1" si="49"/>
        <v>9.0740373254238449E-2</v>
      </c>
      <c r="L70" s="313">
        <f t="shared" ca="1" si="49"/>
        <v>9.1427742432063974E-2</v>
      </c>
      <c r="M70" s="313">
        <f t="shared" ca="1" si="49"/>
        <v>9.2069066771281571E-2</v>
      </c>
      <c r="N70" s="313">
        <f t="shared" ca="1" si="49"/>
        <v>9.2666704251563203E-2</v>
      </c>
      <c r="O70" s="313">
        <f t="shared" ca="1" si="49"/>
        <v>9.3223000770656039E-2</v>
      </c>
      <c r="P70" s="313">
        <f t="shared" ca="1" si="49"/>
        <v>9.3740270804068215E-2</v>
      </c>
      <c r="Q70" s="313">
        <f t="shared" ca="1" si="49"/>
        <v>9.4220781325079939E-2</v>
      </c>
    </row>
    <row r="71" spans="2:18" ht="13.5" customHeight="1" outlineLevel="1">
      <c r="B71" s="88" t="s">
        <v>143</v>
      </c>
      <c r="C71" s="312"/>
      <c r="D71" s="312"/>
      <c r="H71" s="179" t="s">
        <v>15</v>
      </c>
      <c r="I71" s="313">
        <f t="shared" ref="I71:Q71" ca="1" si="50">IFERROR((I41/I$3)/(H41/H$3)-1,"NA")</f>
        <v>0.29701762027895429</v>
      </c>
      <c r="J71" s="313">
        <f t="shared" ca="1" si="50"/>
        <v>0.22435651282586444</v>
      </c>
      <c r="K71" s="313">
        <f t="shared" ca="1" si="50"/>
        <v>0.15774876872841914</v>
      </c>
      <c r="L71" s="313">
        <f t="shared" ca="1" si="50"/>
        <v>0.15188017103638374</v>
      </c>
      <c r="M71" s="313">
        <f t="shared" ca="1" si="50"/>
        <v>0.1422362998408282</v>
      </c>
      <c r="N71" s="313">
        <f t="shared" ca="1" si="50"/>
        <v>9.7386004090731504E-2</v>
      </c>
      <c r="O71" s="313">
        <f t="shared" ca="1" si="50"/>
        <v>9.5217071722152991E-2</v>
      </c>
      <c r="P71" s="313">
        <f t="shared" ca="1" si="50"/>
        <v>9.5286266932815167E-2</v>
      </c>
      <c r="Q71" s="313">
        <f t="shared" ca="1" si="50"/>
        <v>9.5397477925375229E-2</v>
      </c>
    </row>
    <row r="72" spans="2:18" ht="13.5" customHeight="1" outlineLevel="1">
      <c r="B72" s="88" t="s">
        <v>144</v>
      </c>
      <c r="C72" s="312"/>
      <c r="D72" s="312"/>
      <c r="H72" s="179" t="s">
        <v>15</v>
      </c>
      <c r="I72" s="313">
        <f t="shared" ref="I72:Q72" ca="1" si="51">IFERROR((I51/I$3)/(H51/H$3)-1,"NA")</f>
        <v>0.16253489228244677</v>
      </c>
      <c r="J72" s="313">
        <f t="shared" ca="1" si="51"/>
        <v>0.10204006470754212</v>
      </c>
      <c r="K72" s="313">
        <f t="shared" ca="1" si="51"/>
        <v>9.0706847865812845E-2</v>
      </c>
      <c r="L72" s="313">
        <f t="shared" ca="1" si="51"/>
        <v>0.10334098131258096</v>
      </c>
      <c r="M72" s="313">
        <f t="shared" ca="1" si="51"/>
        <v>9.5400532531572102E-2</v>
      </c>
      <c r="N72" s="313">
        <f t="shared" ca="1" si="51"/>
        <v>9.5635242974815959E-2</v>
      </c>
      <c r="O72" s="313">
        <f t="shared" ca="1" si="51"/>
        <v>9.5717983886390412E-2</v>
      </c>
      <c r="P72" s="313">
        <f t="shared" ca="1" si="51"/>
        <v>9.5806520390250949E-2</v>
      </c>
      <c r="Q72" s="313">
        <f t="shared" ca="1" si="51"/>
        <v>9.5931161810739018E-2</v>
      </c>
    </row>
    <row r="73" spans="2:18" ht="13.5" customHeight="1" outlineLevel="1">
      <c r="B73" s="88"/>
      <c r="C73" s="312"/>
      <c r="D73" s="312"/>
    </row>
    <row r="74" spans="2:18" ht="13.5" customHeight="1" outlineLevel="1">
      <c r="B74" s="88" t="s">
        <v>109</v>
      </c>
      <c r="C74" s="312"/>
      <c r="D74" s="312"/>
      <c r="H74" s="313">
        <f t="shared" ref="H74:Q74" ca="1" si="52">IFERROR(H11/H$10,"NA")</f>
        <v>0.59778214557443576</v>
      </c>
      <c r="I74" s="313">
        <f t="shared" ca="1" si="52"/>
        <v>0.59773246423627135</v>
      </c>
      <c r="J74" s="313">
        <f t="shared" ca="1" si="52"/>
        <v>0.59757678812644066</v>
      </c>
      <c r="K74" s="313">
        <f t="shared" ca="1" si="52"/>
        <v>0.59842450809048964</v>
      </c>
      <c r="L74" s="313">
        <f t="shared" ca="1" si="52"/>
        <v>0.59921457869932704</v>
      </c>
      <c r="M74" s="313">
        <f t="shared" ca="1" si="52"/>
        <v>0.59995003936427094</v>
      </c>
      <c r="N74" s="313">
        <f t="shared" ca="1" si="52"/>
        <v>0.60063390162656605</v>
      </c>
      <c r="O74" s="313">
        <f t="shared" ca="1" si="52"/>
        <v>0.60126912602381111</v>
      </c>
      <c r="P74" s="313">
        <f t="shared" ca="1" si="52"/>
        <v>0.60185860302668559</v>
      </c>
      <c r="Q74" s="313">
        <f t="shared" ca="1" si="52"/>
        <v>0.60240513769246207</v>
      </c>
    </row>
    <row r="75" spans="2:18" ht="13.5" customHeight="1" outlineLevel="1">
      <c r="B75" s="88" t="s">
        <v>110</v>
      </c>
      <c r="C75" s="312"/>
      <c r="D75" s="312"/>
      <c r="H75" s="313">
        <f t="shared" ref="H75:Q75" ca="1" si="53">IFERROR(H13/H$10,"NA")</f>
        <v>0.17875475526249049</v>
      </c>
      <c r="I75" s="313">
        <f t="shared" ca="1" si="53"/>
        <v>0.17399053991693583</v>
      </c>
      <c r="J75" s="313">
        <f t="shared" ca="1" si="53"/>
        <v>0.17301361067359453</v>
      </c>
      <c r="K75" s="313">
        <f t="shared" ca="1" si="53"/>
        <v>0.17317748575826131</v>
      </c>
      <c r="L75" s="313">
        <f t="shared" ca="1" si="53"/>
        <v>0.17333011431280382</v>
      </c>
      <c r="M75" s="313">
        <f t="shared" ca="1" si="53"/>
        <v>0.17347209944459366</v>
      </c>
      <c r="N75" s="313">
        <f t="shared" ca="1" si="53"/>
        <v>0.17360403733798788</v>
      </c>
      <c r="O75" s="313">
        <f t="shared" ca="1" si="53"/>
        <v>0.17372651286737034</v>
      </c>
      <c r="P75" s="313">
        <f t="shared" ca="1" si="53"/>
        <v>0.17384009600288128</v>
      </c>
      <c r="Q75" s="313">
        <f t="shared" ca="1" si="53"/>
        <v>0.17394533893789468</v>
      </c>
    </row>
    <row r="76" spans="2:18" ht="13.5" customHeight="1" outlineLevel="1">
      <c r="B76" s="88" t="s">
        <v>111</v>
      </c>
      <c r="C76" s="312"/>
      <c r="D76" s="312"/>
      <c r="H76" s="313">
        <f t="shared" ref="H76:Q76" ca="1" si="54">IFERROR(H15/H$10,"NA")</f>
        <v>2.3471975653056049E-2</v>
      </c>
      <c r="I76" s="313">
        <f t="shared" ca="1" si="54"/>
        <v>2.376145428175885E-2</v>
      </c>
      <c r="J76" s="313">
        <f t="shared" ca="1" si="54"/>
        <v>2.3510051413466088E-2</v>
      </c>
      <c r="K76" s="313">
        <f t="shared" ca="1" si="54"/>
        <v>2.329998390538408E-2</v>
      </c>
      <c r="L76" s="313">
        <f t="shared" ca="1" si="54"/>
        <v>2.3114893049057821E-2</v>
      </c>
      <c r="M76" s="313">
        <f t="shared" ca="1" si="54"/>
        <v>2.2952311383029833E-2</v>
      </c>
      <c r="N76" s="313">
        <f t="shared" ca="1" si="54"/>
        <v>2.280995980233071E-2</v>
      </c>
      <c r="O76" s="313">
        <f t="shared" ca="1" si="54"/>
        <v>2.2685741424528543E-2</v>
      </c>
      <c r="P76" s="313">
        <f t="shared" ca="1" si="54"/>
        <v>2.2611096582890674E-2</v>
      </c>
      <c r="Q76" s="313">
        <f t="shared" ca="1" si="54"/>
        <v>2.2575651072524655E-2</v>
      </c>
    </row>
    <row r="77" spans="2:18" ht="13.5" customHeight="1" outlineLevel="1">
      <c r="B77" s="88" t="s">
        <v>112</v>
      </c>
      <c r="C77" s="312"/>
      <c r="D77" s="312"/>
      <c r="H77" s="313">
        <f t="shared" ref="H77:Q77" ca="1" si="55">IFERROR(H16/H$10,"NA")</f>
        <v>2.4310076748099114E-2</v>
      </c>
      <c r="I77" s="313">
        <f t="shared" ca="1" si="55"/>
        <v>2.1603407788643132E-2</v>
      </c>
      <c r="J77" s="313">
        <f t="shared" ca="1" si="55"/>
        <v>1.8866494986027212E-2</v>
      </c>
      <c r="K77" s="313">
        <f t="shared" ca="1" si="55"/>
        <v>1.470567829335735E-2</v>
      </c>
      <c r="L77" s="313">
        <f t="shared" ca="1" si="55"/>
        <v>7.7120446937783711E-3</v>
      </c>
      <c r="M77" s="313">
        <f t="shared" ca="1" si="55"/>
        <v>3.6214814080445372E-4</v>
      </c>
      <c r="N77" s="313">
        <f t="shared" ca="1" si="55"/>
        <v>0</v>
      </c>
      <c r="O77" s="313">
        <f t="shared" ca="1" si="55"/>
        <v>0</v>
      </c>
      <c r="P77" s="313">
        <f t="shared" ca="1" si="55"/>
        <v>0</v>
      </c>
      <c r="Q77" s="313">
        <f t="shared" ca="1" si="55"/>
        <v>0</v>
      </c>
    </row>
    <row r="78" spans="2:18" ht="13.5" customHeight="1" outlineLevel="1">
      <c r="B78" s="88" t="s">
        <v>113</v>
      </c>
      <c r="C78" s="88"/>
      <c r="D78" s="88"/>
      <c r="H78" s="313">
        <f t="shared" ref="H78:Q78" ca="1" si="56">IFERROR(H17/H$10,"NA")</f>
        <v>1.6307380167385237E-2</v>
      </c>
      <c r="I78" s="313">
        <f t="shared" ca="1" si="56"/>
        <v>1.6220581449007843E-2</v>
      </c>
      <c r="J78" s="313">
        <f t="shared" ca="1" si="56"/>
        <v>1.6156156219687506E-2</v>
      </c>
      <c r="K78" s="313">
        <f t="shared" ca="1" si="56"/>
        <v>1.6104659971594056E-2</v>
      </c>
      <c r="L78" s="313">
        <f t="shared" ca="1" si="56"/>
        <v>1.6056572513279816E-2</v>
      </c>
      <c r="M78" s="313">
        <f t="shared" ca="1" si="56"/>
        <v>1.6011723398266762E-2</v>
      </c>
      <c r="N78" s="313">
        <f t="shared" ca="1" si="56"/>
        <v>1.5969942472241899E-2</v>
      </c>
      <c r="O78" s="313">
        <f t="shared" ca="1" si="56"/>
        <v>1.5931061355950991E-2</v>
      </c>
      <c r="P78" s="313">
        <f t="shared" ca="1" si="56"/>
        <v>1.5894914686169794E-2</v>
      </c>
      <c r="Q78" s="313">
        <f t="shared" ca="1" si="56"/>
        <v>1.5861341133853853E-2</v>
      </c>
    </row>
    <row r="79" spans="2:18" ht="13.5" customHeight="1" outlineLevel="1">
      <c r="B79" s="88" t="s">
        <v>114</v>
      </c>
      <c r="C79" s="312"/>
      <c r="D79" s="312"/>
      <c r="H79" s="313">
        <f t="shared" ref="H79:Q79" ca="1" si="57">IFERROR(H53/H$10,"NA")</f>
        <v>5.521176768957646E-2</v>
      </c>
      <c r="I79" s="313">
        <f t="shared" ca="1" si="57"/>
        <v>5.567604983848639E-2</v>
      </c>
      <c r="J79" s="313">
        <f t="shared" ca="1" si="57"/>
        <v>5.5868604691752664E-2</v>
      </c>
      <c r="K79" s="313">
        <f t="shared" ca="1" si="57"/>
        <v>5.60784265692005E-2</v>
      </c>
      <c r="L79" s="313">
        <f t="shared" ca="1" si="57"/>
        <v>5.6274143035495827E-2</v>
      </c>
      <c r="M79" s="313">
        <f t="shared" ca="1" si="57"/>
        <v>5.6456481491310946E-2</v>
      </c>
      <c r="N79" s="313">
        <f t="shared" ca="1" si="57"/>
        <v>5.6626164897000827E-2</v>
      </c>
      <c r="O79" s="313">
        <f t="shared" ca="1" si="57"/>
        <v>5.678390591057679E-2</v>
      </c>
      <c r="P79" s="313">
        <f t="shared" ca="1" si="57"/>
        <v>5.6930402023772621E-2</v>
      </c>
      <c r="Q79" s="313">
        <f t="shared" ca="1" si="57"/>
        <v>5.7066331612868226E-2</v>
      </c>
    </row>
    <row r="80" spans="2:18" ht="13.5" customHeight="1" outlineLevel="1">
      <c r="B80" s="88"/>
      <c r="C80" s="88"/>
      <c r="D80" s="88"/>
    </row>
    <row r="81" spans="1:17" ht="13.5" customHeight="1" outlineLevel="1">
      <c r="B81" s="88" t="s">
        <v>115</v>
      </c>
      <c r="C81" s="312"/>
      <c r="D81" s="312"/>
      <c r="H81" s="313">
        <f t="shared" ref="H81:Q81" ca="1" si="58">IFERROR(H12/H$10,"NA")</f>
        <v>0.40221785442556424</v>
      </c>
      <c r="I81" s="313">
        <f t="shared" ca="1" si="58"/>
        <v>0.40226753576372859</v>
      </c>
      <c r="J81" s="313">
        <f t="shared" ca="1" si="58"/>
        <v>0.40242321187355928</v>
      </c>
      <c r="K81" s="313">
        <f t="shared" ca="1" si="58"/>
        <v>0.40157549190951031</v>
      </c>
      <c r="L81" s="313">
        <f t="shared" ca="1" si="58"/>
        <v>0.40078542130067291</v>
      </c>
      <c r="M81" s="313">
        <f t="shared" ca="1" si="58"/>
        <v>0.40004996063572906</v>
      </c>
      <c r="N81" s="313">
        <f t="shared" ca="1" si="58"/>
        <v>0.39936609837343401</v>
      </c>
      <c r="O81" s="313">
        <f t="shared" ca="1" si="58"/>
        <v>0.39873087397618884</v>
      </c>
      <c r="P81" s="313">
        <f t="shared" ca="1" si="58"/>
        <v>0.39814139697331441</v>
      </c>
      <c r="Q81" s="313">
        <f t="shared" ca="1" si="58"/>
        <v>0.39759486230753793</v>
      </c>
    </row>
    <row r="82" spans="1:17" ht="13.5" customHeight="1" outlineLevel="1">
      <c r="B82" s="88" t="s">
        <v>116</v>
      </c>
      <c r="C82" s="312"/>
      <c r="D82" s="312"/>
      <c r="H82" s="313">
        <f t="shared" ref="H82:Q82" ca="1" si="59">IFERROR(H14/H$10,"NA")</f>
        <v>0.22346309916307372</v>
      </c>
      <c r="I82" s="313">
        <f t="shared" ca="1" si="59"/>
        <v>0.22827699584679276</v>
      </c>
      <c r="J82" s="313">
        <f t="shared" ca="1" si="59"/>
        <v>0.22940960119996479</v>
      </c>
      <c r="K82" s="313">
        <f t="shared" ca="1" si="59"/>
        <v>0.228398006151249</v>
      </c>
      <c r="L82" s="313">
        <f t="shared" ca="1" si="59"/>
        <v>0.22745530698786912</v>
      </c>
      <c r="M82" s="313">
        <f t="shared" ca="1" si="59"/>
        <v>0.2265778611911354</v>
      </c>
      <c r="N82" s="313">
        <f t="shared" ca="1" si="59"/>
        <v>0.2257620610354461</v>
      </c>
      <c r="O82" s="313">
        <f t="shared" ca="1" si="59"/>
        <v>0.2250043611088185</v>
      </c>
      <c r="P82" s="313">
        <f t="shared" ca="1" si="59"/>
        <v>0.2243013009704331</v>
      </c>
      <c r="Q82" s="313">
        <f t="shared" ca="1" si="59"/>
        <v>0.22364952336964322</v>
      </c>
    </row>
    <row r="83" spans="1:17" ht="13.5" customHeight="1" outlineLevel="1">
      <c r="B83" s="88" t="s">
        <v>117</v>
      </c>
      <c r="C83" s="312"/>
      <c r="D83" s="312"/>
      <c r="H83" s="313">
        <f t="shared" ref="H83:Q83" ca="1" si="60">IFERROR(H18/H$10,"NA")</f>
        <v>0.15937366659453331</v>
      </c>
      <c r="I83" s="313">
        <f t="shared" ca="1" si="60"/>
        <v>0.16669155232738295</v>
      </c>
      <c r="J83" s="313">
        <f t="shared" ca="1" si="60"/>
        <v>0.17087689858078398</v>
      </c>
      <c r="K83" s="313">
        <f t="shared" ca="1" si="60"/>
        <v>0.17428768398091352</v>
      </c>
      <c r="L83" s="313">
        <f t="shared" ca="1" si="60"/>
        <v>0.18057179673175311</v>
      </c>
      <c r="M83" s="313">
        <f t="shared" ca="1" si="60"/>
        <v>0.18725167826903438</v>
      </c>
      <c r="N83" s="313">
        <f t="shared" ca="1" si="60"/>
        <v>0.18698215876087351</v>
      </c>
      <c r="O83" s="313">
        <f t="shared" ca="1" si="60"/>
        <v>0.18638755832833895</v>
      </c>
      <c r="P83" s="313">
        <f t="shared" ca="1" si="60"/>
        <v>0.18579528970137263</v>
      </c>
      <c r="Q83" s="313">
        <f t="shared" ca="1" si="60"/>
        <v>0.18521253116326472</v>
      </c>
    </row>
    <row r="84" spans="1:17" ht="13.5" customHeight="1" outlineLevel="1">
      <c r="B84" s="88" t="s">
        <v>118</v>
      </c>
      <c r="C84" s="312"/>
      <c r="D84" s="312"/>
      <c r="H84" s="313">
        <f t="shared" ref="H84:Q84" ca="1" si="61">IFERROR(H19/H$10,"NA")</f>
        <v>0.19999112351001766</v>
      </c>
      <c r="I84" s="313">
        <f t="shared" ca="1" si="61"/>
        <v>0.2045155415650339</v>
      </c>
      <c r="J84" s="313">
        <f t="shared" ca="1" si="61"/>
        <v>0.20589954978649869</v>
      </c>
      <c r="K84" s="313">
        <f t="shared" ca="1" si="61"/>
        <v>0.2050980222458649</v>
      </c>
      <c r="L84" s="313">
        <f t="shared" ca="1" si="61"/>
        <v>0.20434041393881128</v>
      </c>
      <c r="M84" s="313">
        <f t="shared" ca="1" si="61"/>
        <v>0.20362554980810557</v>
      </c>
      <c r="N84" s="313">
        <f t="shared" ca="1" si="61"/>
        <v>0.20295210123311541</v>
      </c>
      <c r="O84" s="313">
        <f t="shared" ca="1" si="61"/>
        <v>0.20231861968428994</v>
      </c>
      <c r="P84" s="313">
        <f t="shared" ca="1" si="61"/>
        <v>0.20169020438754243</v>
      </c>
      <c r="Q84" s="313">
        <f t="shared" ca="1" si="61"/>
        <v>0.20107387229711857</v>
      </c>
    </row>
    <row r="85" spans="1:17" ht="13.5" customHeight="1" outlineLevel="1">
      <c r="B85" s="88" t="s">
        <v>120</v>
      </c>
      <c r="C85" s="312"/>
      <c r="D85" s="312"/>
      <c r="H85" s="313">
        <f t="shared" ref="H85:Q85" ca="1" si="62">IFERROR(H44/H$10,"NA")</f>
        <v>7.1292368438697962E-2</v>
      </c>
      <c r="I85" s="313">
        <f t="shared" ca="1" si="62"/>
        <v>8.4927643069624026E-2</v>
      </c>
      <c r="J85" s="313">
        <f t="shared" ca="1" si="62"/>
        <v>9.5821914662716598E-2</v>
      </c>
      <c r="K85" s="313">
        <f t="shared" ca="1" si="62"/>
        <v>0.10199397913362621</v>
      </c>
      <c r="L85" s="313">
        <f t="shared" ca="1" si="62"/>
        <v>0.10790296572360934</v>
      </c>
      <c r="M85" s="313">
        <f t="shared" ca="1" si="62"/>
        <v>0.11308582733142213</v>
      </c>
      <c r="N85" s="313">
        <f t="shared" ca="1" si="62"/>
        <v>0.11368452434404835</v>
      </c>
      <c r="O85" s="313">
        <f t="shared" ca="1" si="62"/>
        <v>0.11399294131415751</v>
      </c>
      <c r="P85" s="313">
        <f t="shared" ca="1" si="62"/>
        <v>0.11425134987720383</v>
      </c>
      <c r="Q85" s="313">
        <f t="shared" ca="1" si="62"/>
        <v>0.11446790872110493</v>
      </c>
    </row>
    <row r="86" spans="1:17" ht="13.5" customHeight="1" outlineLevel="1">
      <c r="B86" s="88" t="s">
        <v>119</v>
      </c>
      <c r="C86" s="312"/>
      <c r="D86" s="312"/>
      <c r="H86" s="313">
        <f t="shared" ref="H86:Q86" ca="1" si="63">IFERROR(H51/H$10,"NA")</f>
        <v>0.11417842746422237</v>
      </c>
      <c r="I86" s="313">
        <f t="shared" ca="1" si="63"/>
        <v>0.12076134018403992</v>
      </c>
      <c r="J86" s="313">
        <f t="shared" ca="1" si="63"/>
        <v>0.12202435715936072</v>
      </c>
      <c r="K86" s="313">
        <f t="shared" ca="1" si="63"/>
        <v>0.12202060657482983</v>
      </c>
      <c r="L86" s="313">
        <f t="shared" ca="1" si="63"/>
        <v>0.12335249560234555</v>
      </c>
      <c r="M86" s="313">
        <f t="shared" ca="1" si="63"/>
        <v>0.1237287947102038</v>
      </c>
      <c r="N86" s="313">
        <f t="shared" ca="1" si="63"/>
        <v>0.12406493904117817</v>
      </c>
      <c r="O86" s="313">
        <f t="shared" ca="1" si="63"/>
        <v>0.12434808340234157</v>
      </c>
      <c r="P86" s="313">
        <f t="shared" ca="1" si="63"/>
        <v>0.12458299673847012</v>
      </c>
      <c r="Q86" s="313">
        <f t="shared" ca="1" si="63"/>
        <v>0.12477773287408654</v>
      </c>
    </row>
    <row r="87" spans="1:17" ht="13.5" customHeight="1" outlineLevel="1">
      <c r="B87" s="88"/>
      <c r="C87" s="88"/>
      <c r="D87" s="88"/>
    </row>
    <row r="88" spans="1:17" ht="13.5" customHeight="1" outlineLevel="1">
      <c r="B88" s="36" t="s">
        <v>613</v>
      </c>
      <c r="H88" s="313">
        <f t="shared" ref="H88:Q88" ca="1" si="64">IFERROR((H18+H34-SUM(H35:H38)-H40)/SUM(H140,H144:H152)/H$3,"NA")</f>
        <v>9.2717677717204322E-2</v>
      </c>
      <c r="I88" s="313">
        <f t="shared" ca="1" si="64"/>
        <v>9.8812684135826917E-2</v>
      </c>
      <c r="J88" s="313">
        <f t="shared" ca="1" si="64"/>
        <v>0.10542434423634341</v>
      </c>
      <c r="K88" s="313">
        <f t="shared" ca="1" si="64"/>
        <v>0.10903762117762889</v>
      </c>
      <c r="L88" s="313">
        <f t="shared" ca="1" si="64"/>
        <v>0.10862349595520818</v>
      </c>
      <c r="M88" s="313">
        <f t="shared" ca="1" si="64"/>
        <v>0.10877580079862412</v>
      </c>
      <c r="N88" s="313">
        <f t="shared" ca="1" si="64"/>
        <v>0.10538452357098776</v>
      </c>
      <c r="O88" s="313">
        <f t="shared" ca="1" si="64"/>
        <v>0.1022511365614558</v>
      </c>
      <c r="P88" s="313">
        <f t="shared" ca="1" si="64"/>
        <v>9.950802493285861E-2</v>
      </c>
      <c r="Q88" s="313">
        <f t="shared" ca="1" si="64"/>
        <v>9.7099252413406251E-2</v>
      </c>
    </row>
    <row r="89" spans="1:17" ht="13.5" customHeight="1" outlineLevel="1">
      <c r="B89" s="36" t="s">
        <v>614</v>
      </c>
      <c r="H89" s="313">
        <f t="shared" ref="H89:Q89" ca="1" si="65">IFERROR(H$44/SUM(H148:H152)/H$3,"NA")</f>
        <v>8.5433498865716037E-2</v>
      </c>
      <c r="I89" s="313">
        <f t="shared" ca="1" si="65"/>
        <v>9.8950426786848927E-2</v>
      </c>
      <c r="J89" s="313">
        <f t="shared" ca="1" si="65"/>
        <v>0.10681873344134059</v>
      </c>
      <c r="K89" s="313">
        <f t="shared" ca="1" si="65"/>
        <v>0.10864366163317485</v>
      </c>
      <c r="L89" s="313">
        <f t="shared" ca="1" si="65"/>
        <v>0.10982190196177688</v>
      </c>
      <c r="M89" s="313">
        <f t="shared" ca="1" si="65"/>
        <v>0.11007639522605484</v>
      </c>
      <c r="N89" s="313">
        <f t="shared" ca="1" si="65"/>
        <v>0.10639243405855997</v>
      </c>
      <c r="O89" s="313">
        <f t="shared" ca="1" si="65"/>
        <v>0.10305558132038097</v>
      </c>
      <c r="P89" s="313">
        <f t="shared" ca="1" si="65"/>
        <v>0.10018847967060297</v>
      </c>
      <c r="Q89" s="313">
        <f t="shared" ca="1" si="65"/>
        <v>9.7711855401042005E-2</v>
      </c>
    </row>
    <row r="90" spans="1:17" ht="13.5" customHeight="1" outlineLevel="1">
      <c r="B90" s="36" t="s">
        <v>615</v>
      </c>
      <c r="H90" s="313">
        <f t="shared" ref="H90:Q90" ca="1" si="66">IFERROR(H$44/H118/H$3,"NA")</f>
        <v>5.0023191544993101E-2</v>
      </c>
      <c r="I90" s="313">
        <f t="shared" ca="1" si="66"/>
        <v>5.931426939059202E-2</v>
      </c>
      <c r="J90" s="313">
        <f t="shared" ca="1" si="66"/>
        <v>6.5866769386383403E-2</v>
      </c>
      <c r="K90" s="313">
        <f t="shared" ca="1" si="66"/>
        <v>6.9891025191543582E-2</v>
      </c>
      <c r="L90" s="313">
        <f t="shared" ca="1" si="66"/>
        <v>7.2731621839989727E-2</v>
      </c>
      <c r="M90" s="313">
        <f t="shared" ca="1" si="66"/>
        <v>7.4855930236466292E-2</v>
      </c>
      <c r="N90" s="313">
        <f t="shared" ca="1" si="66"/>
        <v>7.4025379167041244E-2</v>
      </c>
      <c r="O90" s="313">
        <f t="shared" ca="1" si="66"/>
        <v>7.3145306099353102E-2</v>
      </c>
      <c r="P90" s="313">
        <f t="shared" ca="1" si="66"/>
        <v>7.2359314965809746E-2</v>
      </c>
      <c r="Q90" s="313">
        <f t="shared" ca="1" si="66"/>
        <v>7.1658896412326395E-2</v>
      </c>
    </row>
    <row r="91" spans="1:17" ht="13.5" customHeight="1" outlineLevel="1">
      <c r="B91" s="88"/>
      <c r="C91" s="88"/>
      <c r="D91" s="88"/>
    </row>
    <row r="92" spans="1:17" ht="13.5" customHeight="1" outlineLevel="1">
      <c r="B92" s="88" t="s">
        <v>16</v>
      </c>
      <c r="C92" s="312"/>
      <c r="D92" s="312"/>
      <c r="H92" s="314">
        <f>Acquirer!T73</f>
        <v>0.35000300000000006</v>
      </c>
      <c r="I92" s="122">
        <f>Acquirer!H73</f>
        <v>0.35000300000000006</v>
      </c>
      <c r="J92" s="122">
        <f>Acquirer!I73</f>
        <v>0.35000300000000006</v>
      </c>
      <c r="K92" s="122">
        <f>Acquirer!J73</f>
        <v>0.35000300000000006</v>
      </c>
      <c r="L92" s="122">
        <f>Acquirer!K73</f>
        <v>0.35000300000000006</v>
      </c>
      <c r="M92" s="122">
        <f>Acquirer!L73</f>
        <v>0.35000300000000006</v>
      </c>
      <c r="N92" s="122">
        <f>Acquirer!M73</f>
        <v>0.35000300000000006</v>
      </c>
      <c r="O92" s="122">
        <f>Acquirer!N73</f>
        <v>0.35000300000000006</v>
      </c>
      <c r="P92" s="122">
        <f>Acquirer!O73</f>
        <v>0.35000300000000006</v>
      </c>
      <c r="Q92" s="122">
        <f>Acquirer!P73</f>
        <v>0.35000300000000006</v>
      </c>
    </row>
    <row r="93" spans="1:17" ht="5.0999999999999996" customHeight="1" outlineLevel="1" thickBot="1">
      <c r="B93" s="209"/>
      <c r="C93" s="209"/>
      <c r="D93" s="209"/>
      <c r="E93" s="209"/>
      <c r="F93" s="209"/>
      <c r="G93" s="209"/>
      <c r="H93" s="209"/>
      <c r="I93" s="209"/>
      <c r="J93" s="209"/>
      <c r="K93" s="209"/>
      <c r="L93" s="209"/>
      <c r="M93" s="209"/>
      <c r="N93" s="209"/>
      <c r="O93" s="209"/>
      <c r="P93" s="209"/>
      <c r="Q93" s="209"/>
    </row>
    <row r="94" spans="1:17" ht="13.5" customHeight="1" outlineLevel="1"/>
    <row r="95" spans="1:17" ht="13.5" customHeight="1" outlineLevel="1" thickBot="1"/>
    <row r="96" spans="1:17" ht="20.7" thickTop="1">
      <c r="A96" s="281" t="s">
        <v>631</v>
      </c>
      <c r="B96" s="282" t="s">
        <v>12</v>
      </c>
      <c r="C96" s="283"/>
      <c r="D96" s="284"/>
      <c r="E96" s="284"/>
      <c r="F96" s="284"/>
      <c r="G96" s="284"/>
      <c r="H96" s="284"/>
      <c r="I96" s="284"/>
      <c r="J96" s="284"/>
      <c r="K96" s="284"/>
      <c r="L96" s="284"/>
      <c r="M96" s="284"/>
      <c r="N96" s="284"/>
      <c r="O96" s="284"/>
      <c r="P96" s="284"/>
      <c r="Q96" s="284"/>
    </row>
    <row r="97" spans="2:17" ht="5.0999999999999996" customHeight="1" outlineLevel="1">
      <c r="B97" s="107"/>
      <c r="C97" s="285"/>
      <c r="G97" s="285"/>
      <c r="N97" s="57"/>
    </row>
    <row r="98" spans="2:17" ht="13.5" customHeight="1" outlineLevel="1">
      <c r="B98" s="286"/>
      <c r="C98" s="286"/>
      <c r="D98" s="286"/>
      <c r="E98" s="42"/>
      <c r="F98" s="42"/>
      <c r="G98" s="42" t="s">
        <v>38</v>
      </c>
      <c r="H98" s="287" t="s">
        <v>629</v>
      </c>
      <c r="I98" s="287"/>
      <c r="J98" s="287"/>
      <c r="K98" s="287"/>
      <c r="L98" s="287"/>
      <c r="M98" s="287"/>
      <c r="N98" s="287"/>
      <c r="O98" s="287"/>
      <c r="P98" s="287"/>
      <c r="Q98" s="287"/>
    </row>
    <row r="99" spans="2:17" ht="13.5" customHeight="1" outlineLevel="1" thickBot="1">
      <c r="B99" s="288" t="str">
        <f>"("&amp;curr&amp;" in millions)"</f>
        <v>($ in millions)</v>
      </c>
      <c r="C99" s="289"/>
      <c r="D99" s="289"/>
      <c r="E99" s="290"/>
      <c r="F99" s="290"/>
      <c r="G99" s="291">
        <f>close</f>
        <v>45107</v>
      </c>
      <c r="H99" s="292">
        <f>H$8</f>
        <v>45291</v>
      </c>
      <c r="I99" s="292">
        <f t="shared" ref="I99:Q99" si="67">I$8</f>
        <v>45657</v>
      </c>
      <c r="J99" s="292">
        <f t="shared" si="67"/>
        <v>46022</v>
      </c>
      <c r="K99" s="292">
        <f t="shared" si="67"/>
        <v>46387</v>
      </c>
      <c r="L99" s="292">
        <f t="shared" si="67"/>
        <v>46752</v>
      </c>
      <c r="M99" s="292">
        <f t="shared" si="67"/>
        <v>47118</v>
      </c>
      <c r="N99" s="292">
        <f t="shared" si="67"/>
        <v>47483</v>
      </c>
      <c r="O99" s="292">
        <f t="shared" si="67"/>
        <v>47848</v>
      </c>
      <c r="P99" s="292">
        <f t="shared" si="67"/>
        <v>48213</v>
      </c>
      <c r="Q99" s="292">
        <f t="shared" si="67"/>
        <v>48579</v>
      </c>
    </row>
    <row r="100" spans="2:17" ht="5.0999999999999996" customHeight="1" outlineLevel="1"/>
    <row r="101" spans="2:17" ht="13.5" customHeight="1" outlineLevel="1">
      <c r="B101" s="108" t="s">
        <v>4</v>
      </c>
      <c r="C101" s="109"/>
      <c r="D101" s="109"/>
      <c r="E101" s="306"/>
      <c r="F101" s="306"/>
      <c r="G101" s="306"/>
      <c r="H101" s="306"/>
      <c r="I101" s="109"/>
      <c r="J101" s="306"/>
      <c r="K101" s="306"/>
      <c r="L101" s="306"/>
      <c r="M101" s="306"/>
      <c r="N101" s="306"/>
      <c r="O101" s="306"/>
      <c r="P101" s="306"/>
      <c r="Q101" s="110"/>
    </row>
    <row r="102" spans="2:17" ht="13.5" customHeight="1" outlineLevel="1">
      <c r="B102" s="50"/>
      <c r="C102" s="50"/>
      <c r="D102" s="50"/>
      <c r="G102" s="50"/>
      <c r="N102" s="57"/>
    </row>
    <row r="103" spans="2:17" ht="13.5" customHeight="1" outlineLevel="1">
      <c r="B103" s="85" t="s">
        <v>51</v>
      </c>
      <c r="G103" s="315">
        <f ca="1">Close!S112</f>
        <v>1430.4678486507501</v>
      </c>
      <c r="H103" s="316">
        <f t="shared" ref="H103:Q103" ca="1" si="68">MAX(0,G103+H218)</f>
        <v>1423.5251285494758</v>
      </c>
      <c r="I103" s="316">
        <f t="shared" ca="1" si="68"/>
        <v>1858.9715067363986</v>
      </c>
      <c r="J103" s="316">
        <f t="shared" ca="1" si="68"/>
        <v>2359.8099582366708</v>
      </c>
      <c r="K103" s="316">
        <f t="shared" ca="1" si="68"/>
        <v>2797.5359144335116</v>
      </c>
      <c r="L103" s="316">
        <f t="shared" ca="1" si="68"/>
        <v>3350.5982083402359</v>
      </c>
      <c r="M103" s="316">
        <f t="shared" ca="1" si="68"/>
        <v>3941.2561070715028</v>
      </c>
      <c r="N103" s="316">
        <f t="shared" ca="1" si="68"/>
        <v>4587.3082065080825</v>
      </c>
      <c r="O103" s="316">
        <f t="shared" ca="1" si="68"/>
        <v>5294.2185458973636</v>
      </c>
      <c r="P103" s="316">
        <f t="shared" ca="1" si="68"/>
        <v>6067.9975787795902</v>
      </c>
      <c r="Q103" s="316">
        <f t="shared" ca="1" si="68"/>
        <v>6915.2568581466903</v>
      </c>
    </row>
    <row r="104" spans="2:17" ht="13.5" customHeight="1" outlineLevel="1">
      <c r="B104" s="85" t="s">
        <v>52</v>
      </c>
      <c r="G104" s="90">
        <f t="shared" ref="G104:Q104" si="69">G229</f>
        <v>818.32452765854953</v>
      </c>
      <c r="H104" s="90">
        <f t="shared" ca="1" si="69"/>
        <v>765.26264133551831</v>
      </c>
      <c r="I104" s="90">
        <f t="shared" ca="1" si="69"/>
        <v>841.14843711593619</v>
      </c>
      <c r="J104" s="90">
        <f t="shared" ca="1" si="69"/>
        <v>917.38454967738653</v>
      </c>
      <c r="K104" s="90">
        <f t="shared" ca="1" si="69"/>
        <v>1000.628366132784</v>
      </c>
      <c r="L104" s="90">
        <f t="shared" ca="1" si="69"/>
        <v>1092.1135586617893</v>
      </c>
      <c r="M104" s="90">
        <f t="shared" ca="1" si="69"/>
        <v>1192.6634348160435</v>
      </c>
      <c r="N104" s="90">
        <f t="shared" ca="1" si="69"/>
        <v>1303.1836246017951</v>
      </c>
      <c r="O104" s="90">
        <f t="shared" ca="1" si="69"/>
        <v>1424.6703126423549</v>
      </c>
      <c r="P104" s="90">
        <f t="shared" ca="1" si="69"/>
        <v>1558.2192935559656</v>
      </c>
      <c r="Q104" s="90">
        <f t="shared" ca="1" si="69"/>
        <v>1705.0359328706229</v>
      </c>
    </row>
    <row r="105" spans="2:17" ht="13.5" customHeight="1" outlineLevel="1">
      <c r="B105" s="85" t="s">
        <v>53</v>
      </c>
      <c r="G105" s="90">
        <f t="shared" ref="G105:Q105" si="70">G230</f>
        <v>0</v>
      </c>
      <c r="H105" s="90">
        <f t="shared" ca="1" si="70"/>
        <v>0</v>
      </c>
      <c r="I105" s="90">
        <f t="shared" ca="1" si="70"/>
        <v>0</v>
      </c>
      <c r="J105" s="90">
        <f t="shared" ca="1" si="70"/>
        <v>0</v>
      </c>
      <c r="K105" s="90">
        <f t="shared" ca="1" si="70"/>
        <v>0</v>
      </c>
      <c r="L105" s="90">
        <f t="shared" ca="1" si="70"/>
        <v>0</v>
      </c>
      <c r="M105" s="90">
        <f t="shared" ca="1" si="70"/>
        <v>0</v>
      </c>
      <c r="N105" s="90">
        <f t="shared" ca="1" si="70"/>
        <v>0</v>
      </c>
      <c r="O105" s="90">
        <f t="shared" ca="1" si="70"/>
        <v>0</v>
      </c>
      <c r="P105" s="90">
        <f t="shared" ca="1" si="70"/>
        <v>0</v>
      </c>
      <c r="Q105" s="90">
        <f t="shared" ca="1" si="70"/>
        <v>0</v>
      </c>
    </row>
    <row r="106" spans="2:17" ht="13.5" customHeight="1" outlineLevel="1">
      <c r="B106" s="139" t="s">
        <v>84</v>
      </c>
      <c r="G106" s="90">
        <f t="shared" ref="G106:Q106" si="71">G231</f>
        <v>138.44816379564372</v>
      </c>
      <c r="H106" s="90">
        <f t="shared" ca="1" si="71"/>
        <v>146.66985422640994</v>
      </c>
      <c r="I106" s="90">
        <f t="shared" ca="1" si="71"/>
        <v>161.21408780554418</v>
      </c>
      <c r="J106" s="90">
        <f t="shared" ca="1" si="71"/>
        <v>175.82546292332378</v>
      </c>
      <c r="K106" s="90">
        <f t="shared" ca="1" si="71"/>
        <v>191.77993105658547</v>
      </c>
      <c r="L106" s="90">
        <f t="shared" ca="1" si="71"/>
        <v>209.31393719686596</v>
      </c>
      <c r="M106" s="90">
        <f t="shared" ca="1" si="71"/>
        <v>228.58527605680402</v>
      </c>
      <c r="N106" s="90">
        <f t="shared" ca="1" si="71"/>
        <v>249.76752022942182</v>
      </c>
      <c r="O106" s="90">
        <f t="shared" ca="1" si="71"/>
        <v>273.05159796025407</v>
      </c>
      <c r="P106" s="90">
        <f t="shared" ca="1" si="71"/>
        <v>298.64752869653182</v>
      </c>
      <c r="Q106" s="90">
        <f t="shared" ca="1" si="71"/>
        <v>326.78633219112328</v>
      </c>
    </row>
    <row r="107" spans="2:17" ht="13.5" customHeight="1" outlineLevel="1">
      <c r="B107" s="85" t="s">
        <v>54</v>
      </c>
      <c r="G107" s="90">
        <f t="shared" ref="G107:Q107" si="72">G232</f>
        <v>152.70579600975543</v>
      </c>
      <c r="H107" s="90">
        <f t="shared" ca="1" si="72"/>
        <v>160.53016409146073</v>
      </c>
      <c r="I107" s="90">
        <f t="shared" ca="1" si="72"/>
        <v>176.43416403767654</v>
      </c>
      <c r="J107" s="90">
        <f t="shared" ca="1" si="72"/>
        <v>192.37486984435685</v>
      </c>
      <c r="K107" s="90">
        <f t="shared" ca="1" si="72"/>
        <v>210.12870278187813</v>
      </c>
      <c r="L107" s="90">
        <f t="shared" ca="1" si="72"/>
        <v>229.64308247268235</v>
      </c>
      <c r="M107" s="90">
        <f t="shared" ca="1" si="72"/>
        <v>251.09391522669318</v>
      </c>
      <c r="N107" s="90">
        <f t="shared" ca="1" si="72"/>
        <v>274.67469650117249</v>
      </c>
      <c r="O107" s="90">
        <f t="shared" ca="1" si="72"/>
        <v>300.59826980061791</v>
      </c>
      <c r="P107" s="90">
        <f t="shared" ca="1" si="72"/>
        <v>329.09876146650106</v>
      </c>
      <c r="Q107" s="90">
        <f t="shared" ca="1" si="72"/>
        <v>360.4337089458308</v>
      </c>
    </row>
    <row r="108" spans="2:17" ht="13.5" customHeight="1" outlineLevel="1">
      <c r="B108" s="248" t="s">
        <v>50</v>
      </c>
      <c r="C108" s="248"/>
      <c r="D108" s="248"/>
      <c r="E108" s="294"/>
      <c r="F108" s="294"/>
      <c r="G108" s="241">
        <f t="shared" ref="G108:Q108" ca="1" si="73">SUM(G103:G107)</f>
        <v>2539.9463361146986</v>
      </c>
      <c r="H108" s="241">
        <f t="shared" ca="1" si="73"/>
        <v>2495.987788202865</v>
      </c>
      <c r="I108" s="241">
        <f t="shared" ca="1" si="73"/>
        <v>3037.7681956955557</v>
      </c>
      <c r="J108" s="241">
        <f t="shared" ca="1" si="73"/>
        <v>3645.3948406817381</v>
      </c>
      <c r="K108" s="241">
        <f t="shared" ca="1" si="73"/>
        <v>4200.0729144047591</v>
      </c>
      <c r="L108" s="241">
        <f t="shared" ca="1" si="73"/>
        <v>4881.6687866715738</v>
      </c>
      <c r="M108" s="241">
        <f t="shared" ca="1" si="73"/>
        <v>5613.598733171043</v>
      </c>
      <c r="N108" s="241">
        <f t="shared" ca="1" si="73"/>
        <v>6414.934047840472</v>
      </c>
      <c r="O108" s="241">
        <f t="shared" ca="1" si="73"/>
        <v>7292.5387263005905</v>
      </c>
      <c r="P108" s="241">
        <f t="shared" ca="1" si="73"/>
        <v>8253.9631624985886</v>
      </c>
      <c r="Q108" s="241">
        <f t="shared" ca="1" si="73"/>
        <v>9307.512832154267</v>
      </c>
    </row>
    <row r="109" spans="2:17" ht="13.5" customHeight="1" outlineLevel="1">
      <c r="B109" s="85" t="s">
        <v>47</v>
      </c>
      <c r="C109" s="57"/>
      <c r="D109" s="57"/>
      <c r="E109" s="57"/>
      <c r="F109" s="57"/>
      <c r="G109" s="200">
        <f>Close!S118</f>
        <v>583.6149999999999</v>
      </c>
      <c r="H109" s="199">
        <f t="shared" ref="H109:Q109" si="74">G109+H53</f>
        <v>692.46499999999992</v>
      </c>
      <c r="I109" s="199">
        <f t="shared" si="74"/>
        <v>933.76499999999987</v>
      </c>
      <c r="J109" s="199">
        <f t="shared" si="74"/>
        <v>1197.8449999999998</v>
      </c>
      <c r="K109" s="199">
        <f t="shared" si="74"/>
        <v>1486.9694999999999</v>
      </c>
      <c r="L109" s="199">
        <f t="shared" si="74"/>
        <v>1803.6293150000001</v>
      </c>
      <c r="M109" s="199">
        <f t="shared" si="74"/>
        <v>2150.5642051500004</v>
      </c>
      <c r="N109" s="199">
        <f t="shared" si="74"/>
        <v>2530.7877689015004</v>
      </c>
      <c r="O109" s="199">
        <f t="shared" si="74"/>
        <v>2947.6148254605155</v>
      </c>
      <c r="P109" s="199">
        <f t="shared" si="74"/>
        <v>3404.6915354721209</v>
      </c>
      <c r="Q109" s="199">
        <f t="shared" si="74"/>
        <v>3906.0285337595424</v>
      </c>
    </row>
    <row r="110" spans="2:17" ht="13.5" customHeight="1" outlineLevel="1">
      <c r="B110" s="85" t="s">
        <v>48</v>
      </c>
      <c r="C110" s="57"/>
      <c r="D110" s="57"/>
      <c r="E110" s="57"/>
      <c r="F110" s="57"/>
      <c r="G110" s="200">
        <f>Close!S119</f>
        <v>-69.906999999999982</v>
      </c>
      <c r="H110" s="199">
        <f t="shared" ref="H110:Q110" si="75">G110-H15</f>
        <v>-116.18199999999999</v>
      </c>
      <c r="I110" s="199">
        <f t="shared" si="75"/>
        <v>-219.16414285714285</v>
      </c>
      <c r="J110" s="199">
        <f t="shared" si="75"/>
        <v>-330.29157142857144</v>
      </c>
      <c r="K110" s="199">
        <f t="shared" si="75"/>
        <v>-450.41969571428575</v>
      </c>
      <c r="L110" s="199">
        <f t="shared" si="75"/>
        <v>-580.48933981428581</v>
      </c>
      <c r="M110" s="199">
        <f t="shared" si="75"/>
        <v>-721.53528206957162</v>
      </c>
      <c r="N110" s="199">
        <f t="shared" si="75"/>
        <v>-874.69564920455309</v>
      </c>
      <c r="O110" s="199">
        <f t="shared" si="75"/>
        <v>-1041.2222498708845</v>
      </c>
      <c r="P110" s="199">
        <f t="shared" si="75"/>
        <v>-1222.7597986755934</v>
      </c>
      <c r="Q110" s="199">
        <f t="shared" si="75"/>
        <v>-1421.0905625989494</v>
      </c>
    </row>
    <row r="111" spans="2:17" ht="13.5" customHeight="1" outlineLevel="1">
      <c r="B111" s="248" t="s">
        <v>49</v>
      </c>
      <c r="C111" s="248"/>
      <c r="D111" s="248"/>
      <c r="E111" s="248"/>
      <c r="F111" s="248"/>
      <c r="G111" s="239">
        <f t="shared" ref="G111:Q111" si="76">SUM(G109:G110)</f>
        <v>513.70799999999986</v>
      </c>
      <c r="H111" s="239">
        <f t="shared" si="76"/>
        <v>576.2829999999999</v>
      </c>
      <c r="I111" s="239">
        <f t="shared" si="76"/>
        <v>714.60085714285697</v>
      </c>
      <c r="J111" s="239">
        <f t="shared" si="76"/>
        <v>867.55342857142841</v>
      </c>
      <c r="K111" s="239">
        <f t="shared" si="76"/>
        <v>1036.5498042857141</v>
      </c>
      <c r="L111" s="239">
        <f t="shared" si="76"/>
        <v>1223.1399751857143</v>
      </c>
      <c r="M111" s="239">
        <f t="shared" si="76"/>
        <v>1429.0289230804287</v>
      </c>
      <c r="N111" s="239">
        <f t="shared" si="76"/>
        <v>1656.0921196969473</v>
      </c>
      <c r="O111" s="239">
        <f t="shared" si="76"/>
        <v>1906.392575589631</v>
      </c>
      <c r="P111" s="239">
        <f t="shared" si="76"/>
        <v>2181.9317367965277</v>
      </c>
      <c r="Q111" s="239">
        <f t="shared" si="76"/>
        <v>2484.937971160593</v>
      </c>
    </row>
    <row r="112" spans="2:17" ht="13.5" customHeight="1" outlineLevel="1">
      <c r="B112" s="57" t="s">
        <v>11</v>
      </c>
      <c r="C112" s="57"/>
      <c r="D112" s="57"/>
      <c r="E112" s="57"/>
      <c r="F112" s="57"/>
      <c r="G112" s="200">
        <f ca="1">Close!S121</f>
        <v>1762.6293031001294</v>
      </c>
      <c r="H112" s="90">
        <f t="shared" ref="H112:Q112" ca="1" si="77">G112</f>
        <v>1762.6293031001294</v>
      </c>
      <c r="I112" s="90">
        <f t="shared" ca="1" si="77"/>
        <v>1762.6293031001294</v>
      </c>
      <c r="J112" s="90">
        <f t="shared" ca="1" si="77"/>
        <v>1762.6293031001294</v>
      </c>
      <c r="K112" s="90">
        <f t="shared" ca="1" si="77"/>
        <v>1762.6293031001294</v>
      </c>
      <c r="L112" s="90">
        <f t="shared" ca="1" si="77"/>
        <v>1762.6293031001294</v>
      </c>
      <c r="M112" s="90">
        <f t="shared" ca="1" si="77"/>
        <v>1762.6293031001294</v>
      </c>
      <c r="N112" s="90">
        <f t="shared" ca="1" si="77"/>
        <v>1762.6293031001294</v>
      </c>
      <c r="O112" s="90">
        <f t="shared" ca="1" si="77"/>
        <v>1762.6293031001294</v>
      </c>
      <c r="P112" s="90">
        <f t="shared" ca="1" si="77"/>
        <v>1762.6293031001294</v>
      </c>
      <c r="Q112" s="90">
        <f t="shared" ca="1" si="77"/>
        <v>1762.6293031001294</v>
      </c>
    </row>
    <row r="113" spans="2:18" ht="13.5" customHeight="1" outlineLevel="1">
      <c r="B113" s="57" t="s">
        <v>56</v>
      </c>
      <c r="C113" s="57"/>
      <c r="D113" s="57"/>
      <c r="E113" s="57"/>
      <c r="F113" s="57"/>
      <c r="G113" s="200">
        <f ca="1">Close!S122+Close!S123</f>
        <v>352.17489785326444</v>
      </c>
      <c r="H113" s="199">
        <f t="shared" ref="H113:Q113" ca="1" si="78">MAX(0,G113-H16)</f>
        <v>304.24758154438706</v>
      </c>
      <c r="I113" s="199">
        <f t="shared" ca="1" si="78"/>
        <v>210.61841218840772</v>
      </c>
      <c r="J113" s="199">
        <f t="shared" ca="1" si="78"/>
        <v>121.44016935597935</v>
      </c>
      <c r="K113" s="199">
        <f t="shared" ca="1" si="78"/>
        <v>45.621853047101936</v>
      </c>
      <c r="L113" s="199">
        <f t="shared" ca="1" si="78"/>
        <v>2.2254632617754666</v>
      </c>
      <c r="M113" s="199">
        <f t="shared" ca="1" si="78"/>
        <v>0</v>
      </c>
      <c r="N113" s="199">
        <f t="shared" ca="1" si="78"/>
        <v>0</v>
      </c>
      <c r="O113" s="199">
        <f t="shared" ca="1" si="78"/>
        <v>0</v>
      </c>
      <c r="P113" s="199">
        <f t="shared" ca="1" si="78"/>
        <v>0</v>
      </c>
      <c r="Q113" s="199">
        <f t="shared" ca="1" si="78"/>
        <v>0</v>
      </c>
    </row>
    <row r="114" spans="2:18" ht="13.5" customHeight="1" outlineLevel="1">
      <c r="B114" s="57" t="s">
        <v>436</v>
      </c>
      <c r="C114" s="57"/>
      <c r="D114" s="57"/>
      <c r="E114" s="57"/>
      <c r="F114" s="57"/>
      <c r="G114" s="200">
        <f>Close!S124</f>
        <v>0</v>
      </c>
      <c r="H114" s="90">
        <f t="shared" ref="H114:Q114" si="79">G114+H277+H289</f>
        <v>0</v>
      </c>
      <c r="I114" s="90">
        <f t="shared" si="79"/>
        <v>0</v>
      </c>
      <c r="J114" s="90">
        <f t="shared" si="79"/>
        <v>0</v>
      </c>
      <c r="K114" s="90">
        <f t="shared" si="79"/>
        <v>0</v>
      </c>
      <c r="L114" s="90">
        <f t="shared" si="79"/>
        <v>0</v>
      </c>
      <c r="M114" s="90">
        <f t="shared" si="79"/>
        <v>0</v>
      </c>
      <c r="N114" s="90">
        <f t="shared" si="79"/>
        <v>0</v>
      </c>
      <c r="O114" s="90">
        <f t="shared" si="79"/>
        <v>0</v>
      </c>
      <c r="P114" s="90">
        <f t="shared" si="79"/>
        <v>0</v>
      </c>
      <c r="Q114" s="90">
        <f t="shared" si="79"/>
        <v>0</v>
      </c>
    </row>
    <row r="115" spans="2:18" ht="13.5" customHeight="1" outlineLevel="1">
      <c r="B115" s="57" t="s">
        <v>55</v>
      </c>
      <c r="C115" s="57"/>
      <c r="D115" s="57"/>
      <c r="E115" s="57"/>
      <c r="F115" s="57"/>
      <c r="G115" s="297">
        <f>Close!S125</f>
        <v>0</v>
      </c>
      <c r="H115" s="200">
        <f>Target!T96+Target!T96+Close!$U125</f>
        <v>0</v>
      </c>
      <c r="I115" s="200">
        <f>Target!G96+Target!G96+Close!$U125</f>
        <v>0</v>
      </c>
      <c r="J115" s="200">
        <f>Target!H96+Target!H96+Close!$U125</f>
        <v>0</v>
      </c>
      <c r="K115" s="200">
        <f>Target!I96+Target!I96+Close!$U125</f>
        <v>0</v>
      </c>
      <c r="L115" s="200">
        <f>Target!J96+Target!J96+Close!$U125</f>
        <v>0</v>
      </c>
      <c r="M115" s="200">
        <f>Target!K96+Target!K96+Close!$U125</f>
        <v>0</v>
      </c>
      <c r="N115" s="200">
        <f>Target!L96+Target!L96+Close!$U125</f>
        <v>0</v>
      </c>
      <c r="O115" s="200">
        <f>Target!M96+Target!M96+Close!$U125</f>
        <v>0</v>
      </c>
      <c r="P115" s="200">
        <f>Target!N96+Target!N96+Close!$U125</f>
        <v>0</v>
      </c>
      <c r="Q115" s="200">
        <f>Target!O96+Target!O96+Close!$U125</f>
        <v>0</v>
      </c>
    </row>
    <row r="116" spans="2:18" ht="13.5" customHeight="1" outlineLevel="1">
      <c r="B116" s="57" t="s">
        <v>314</v>
      </c>
      <c r="C116" s="57"/>
      <c r="D116" s="57"/>
      <c r="E116" s="57"/>
      <c r="F116" s="57"/>
      <c r="G116" s="200">
        <f ca="1">Close!S126</f>
        <v>2.25</v>
      </c>
      <c r="H116" s="199">
        <f t="shared" ref="H116:Q116" ca="1" si="80">G116-H776</f>
        <v>2.0249999999999999</v>
      </c>
      <c r="I116" s="199">
        <f t="shared" ca="1" si="80"/>
        <v>1.575</v>
      </c>
      <c r="J116" s="199">
        <f t="shared" ca="1" si="80"/>
        <v>1.125</v>
      </c>
      <c r="K116" s="199">
        <f t="shared" ca="1" si="80"/>
        <v>0.67500000000000004</v>
      </c>
      <c r="L116" s="199">
        <f t="shared" ca="1" si="80"/>
        <v>0.22500000000000003</v>
      </c>
      <c r="M116" s="199">
        <f t="shared" ca="1" si="80"/>
        <v>0</v>
      </c>
      <c r="N116" s="199">
        <f t="shared" ca="1" si="80"/>
        <v>0</v>
      </c>
      <c r="O116" s="199">
        <f t="shared" ca="1" si="80"/>
        <v>0</v>
      </c>
      <c r="P116" s="199">
        <f t="shared" ca="1" si="80"/>
        <v>0</v>
      </c>
      <c r="Q116" s="199">
        <f t="shared" ca="1" si="80"/>
        <v>0</v>
      </c>
    </row>
    <row r="117" spans="2:18" ht="13.5" customHeight="1" outlineLevel="1">
      <c r="B117" s="36" t="s">
        <v>10</v>
      </c>
      <c r="G117" s="297">
        <f>Close!S127</f>
        <v>478.33700000000005</v>
      </c>
      <c r="H117" s="200">
        <f>Acquirer!G97+Target!G97+Close!$U127</f>
        <v>478.33700000000005</v>
      </c>
      <c r="I117" s="200">
        <f>Acquirer!H97+Target!H97+Close!$U127</f>
        <v>478.33700000000005</v>
      </c>
      <c r="J117" s="200">
        <f>Acquirer!I97+Target!I97+Close!$U127</f>
        <v>478.33700000000005</v>
      </c>
      <c r="K117" s="200">
        <f>Acquirer!J97+Target!J97+Close!$U127</f>
        <v>478.33700000000005</v>
      </c>
      <c r="L117" s="200">
        <f>Acquirer!K97+Target!K97+Close!$U127</f>
        <v>478.33700000000005</v>
      </c>
      <c r="M117" s="200">
        <f>Acquirer!L97+Target!L97+Close!$U127</f>
        <v>478.33700000000005</v>
      </c>
      <c r="N117" s="200">
        <f>Acquirer!M97+Target!M97+Close!$U127</f>
        <v>478.33700000000005</v>
      </c>
      <c r="O117" s="200">
        <f>Acquirer!N97+Target!N97+Close!$U127</f>
        <v>478.33700000000005</v>
      </c>
      <c r="P117" s="200">
        <f>Acquirer!O97+Target!O97+Close!$U127</f>
        <v>478.33700000000005</v>
      </c>
      <c r="Q117" s="200">
        <f>Acquirer!P97+Target!P97+Close!$U127</f>
        <v>478.33700000000005</v>
      </c>
    </row>
    <row r="118" spans="2:18" ht="13.5" customHeight="1" outlineLevel="1">
      <c r="B118" s="253" t="s">
        <v>9</v>
      </c>
      <c r="C118" s="253"/>
      <c r="D118" s="253"/>
      <c r="E118" s="253"/>
      <c r="F118" s="253"/>
      <c r="G118" s="256">
        <f t="shared" ref="G118:Q118" ca="1" si="81">SUM(G108,G111:G117)</f>
        <v>5649.0455370680929</v>
      </c>
      <c r="H118" s="256">
        <f t="shared" ca="1" si="81"/>
        <v>5619.5096728473809</v>
      </c>
      <c r="I118" s="256">
        <f t="shared" ca="1" si="81"/>
        <v>6205.5287681269501</v>
      </c>
      <c r="J118" s="256">
        <f t="shared" ca="1" si="81"/>
        <v>6876.4797417092759</v>
      </c>
      <c r="K118" s="256">
        <f t="shared" ca="1" si="81"/>
        <v>7523.8858748377061</v>
      </c>
      <c r="L118" s="256">
        <f t="shared" ca="1" si="81"/>
        <v>8348.2255282191927</v>
      </c>
      <c r="M118" s="256">
        <f t="shared" ca="1" si="81"/>
        <v>9283.5939593516014</v>
      </c>
      <c r="N118" s="256">
        <f t="shared" ca="1" si="81"/>
        <v>10311.992470637548</v>
      </c>
      <c r="O118" s="256">
        <f t="shared" ca="1" si="81"/>
        <v>11439.89760499035</v>
      </c>
      <c r="P118" s="256">
        <f t="shared" ca="1" si="81"/>
        <v>12676.861202395245</v>
      </c>
      <c r="Q118" s="256">
        <f t="shared" ca="1" si="81"/>
        <v>14033.417106414989</v>
      </c>
    </row>
    <row r="119" spans="2:18" ht="13.5" customHeight="1" outlineLevel="1">
      <c r="G119" s="317"/>
      <c r="H119" s="317"/>
      <c r="I119" s="317"/>
      <c r="J119" s="317"/>
      <c r="K119" s="317"/>
      <c r="L119" s="317"/>
      <c r="M119" s="317"/>
      <c r="N119" s="317"/>
      <c r="O119" s="317"/>
      <c r="P119" s="317"/>
      <c r="Q119" s="317"/>
      <c r="R119" s="317"/>
    </row>
    <row r="120" spans="2:18" ht="13.5" customHeight="1" outlineLevel="1">
      <c r="B120" s="108" t="s">
        <v>64</v>
      </c>
      <c r="C120" s="109"/>
      <c r="D120" s="109"/>
      <c r="E120" s="306"/>
      <c r="F120" s="306"/>
      <c r="G120" s="306"/>
      <c r="H120" s="306"/>
      <c r="I120" s="109"/>
      <c r="J120" s="306"/>
      <c r="K120" s="306"/>
      <c r="L120" s="306"/>
      <c r="M120" s="306"/>
      <c r="N120" s="306"/>
      <c r="O120" s="306"/>
      <c r="P120" s="306"/>
      <c r="Q120" s="110"/>
    </row>
    <row r="121" spans="2:18" ht="13.5" customHeight="1" outlineLevel="1">
      <c r="B121" s="50"/>
      <c r="C121" s="50"/>
      <c r="D121" s="50"/>
      <c r="G121" s="50"/>
      <c r="N121" s="57"/>
      <c r="R121" s="317"/>
    </row>
    <row r="122" spans="2:18" ht="13.5" customHeight="1" outlineLevel="1">
      <c r="B122" s="85" t="s">
        <v>57</v>
      </c>
      <c r="C122" s="318"/>
      <c r="D122" s="318"/>
      <c r="E122" s="319"/>
      <c r="F122" s="319"/>
      <c r="G122" s="316">
        <f t="shared" ref="G122:Q122" si="82">G234</f>
        <v>239.033311921821</v>
      </c>
      <c r="H122" s="316">
        <f t="shared" ca="1" si="82"/>
        <v>242.02201213040604</v>
      </c>
      <c r="I122" s="316">
        <f t="shared" ca="1" si="82"/>
        <v>265.99954987036631</v>
      </c>
      <c r="J122" s="316">
        <f t="shared" ca="1" si="82"/>
        <v>290.03242690594669</v>
      </c>
      <c r="K122" s="316">
        <f t="shared" ca="1" si="82"/>
        <v>316.79885049296735</v>
      </c>
      <c r="L122" s="316">
        <f t="shared" ca="1" si="82"/>
        <v>346.2195482476543</v>
      </c>
      <c r="M122" s="316">
        <f t="shared" ca="1" si="82"/>
        <v>378.55972390486397</v>
      </c>
      <c r="N122" s="316">
        <f t="shared" ca="1" si="82"/>
        <v>414.11109933611891</v>
      </c>
      <c r="O122" s="316">
        <f t="shared" ca="1" si="82"/>
        <v>453.1945663409071</v>
      </c>
      <c r="P122" s="316">
        <f t="shared" ca="1" si="82"/>
        <v>496.16310361688585</v>
      </c>
      <c r="Q122" s="316">
        <f t="shared" ca="1" si="82"/>
        <v>543.40498542688135</v>
      </c>
      <c r="R122" s="317"/>
    </row>
    <row r="123" spans="2:18" ht="13.5" customHeight="1" outlineLevel="1">
      <c r="B123" s="85" t="s">
        <v>58</v>
      </c>
      <c r="C123" s="318"/>
      <c r="D123" s="318"/>
      <c r="E123" s="319"/>
      <c r="F123" s="319"/>
      <c r="G123" s="90">
        <f t="shared" ref="G123:Q123" si="83">G235</f>
        <v>477.2600748836864</v>
      </c>
      <c r="H123" s="90">
        <f t="shared" ca="1" si="83"/>
        <v>513.97919486154012</v>
      </c>
      <c r="I123" s="90">
        <f t="shared" ca="1" si="83"/>
        <v>564.89999927046563</v>
      </c>
      <c r="J123" s="90">
        <f t="shared" ca="1" si="83"/>
        <v>615.93832706644423</v>
      </c>
      <c r="K123" s="90">
        <f t="shared" ca="1" si="83"/>
        <v>672.78185432861369</v>
      </c>
      <c r="L123" s="90">
        <f t="shared" ca="1" si="83"/>
        <v>735.26223126255513</v>
      </c>
      <c r="M123" s="90">
        <f t="shared" ca="1" si="83"/>
        <v>803.9426678049017</v>
      </c>
      <c r="N123" s="90">
        <f t="shared" ca="1" si="83"/>
        <v>879.44269013564372</v>
      </c>
      <c r="O123" s="90">
        <f t="shared" ca="1" si="83"/>
        <v>962.4437722549626</v>
      </c>
      <c r="P123" s="90">
        <f t="shared" ca="1" si="83"/>
        <v>1053.6955307172707</v>
      </c>
      <c r="Q123" s="90">
        <f t="shared" ca="1" si="83"/>
        <v>1154.022538838178</v>
      </c>
      <c r="R123" s="317"/>
    </row>
    <row r="124" spans="2:18" ht="13.5" customHeight="1" outlineLevel="1">
      <c r="B124" s="85" t="s">
        <v>85</v>
      </c>
      <c r="C124" s="318"/>
      <c r="D124" s="318"/>
      <c r="E124" s="319"/>
      <c r="F124" s="319"/>
      <c r="G124" s="90">
        <f t="shared" ref="G124:Q124" si="84">G236</f>
        <v>0</v>
      </c>
      <c r="H124" s="90">
        <f t="shared" ca="1" si="84"/>
        <v>0</v>
      </c>
      <c r="I124" s="90">
        <f t="shared" ca="1" si="84"/>
        <v>0</v>
      </c>
      <c r="J124" s="90">
        <f t="shared" ca="1" si="84"/>
        <v>0</v>
      </c>
      <c r="K124" s="90">
        <f t="shared" ca="1" si="84"/>
        <v>0</v>
      </c>
      <c r="L124" s="90">
        <f t="shared" ca="1" si="84"/>
        <v>0</v>
      </c>
      <c r="M124" s="90">
        <f t="shared" ca="1" si="84"/>
        <v>0</v>
      </c>
      <c r="N124" s="90">
        <f t="shared" ca="1" si="84"/>
        <v>0</v>
      </c>
      <c r="O124" s="90">
        <f t="shared" ca="1" si="84"/>
        <v>0</v>
      </c>
      <c r="P124" s="90">
        <f t="shared" ca="1" si="84"/>
        <v>0</v>
      </c>
      <c r="Q124" s="90">
        <f t="shared" ca="1" si="84"/>
        <v>0</v>
      </c>
      <c r="R124" s="317"/>
    </row>
    <row r="125" spans="2:18" ht="13.5" customHeight="1" outlineLevel="1">
      <c r="B125" s="85" t="s">
        <v>59</v>
      </c>
      <c r="C125" s="318"/>
      <c r="D125" s="318"/>
      <c r="E125" s="319"/>
      <c r="F125" s="319"/>
      <c r="G125" s="90">
        <f t="shared" ref="G125:Q125" si="85">G237</f>
        <v>44.962856576592991</v>
      </c>
      <c r="H125" s="90">
        <f t="shared" ca="1" si="85"/>
        <v>46.654814381067965</v>
      </c>
      <c r="I125" s="90">
        <f t="shared" ca="1" si="85"/>
        <v>51.276987226941749</v>
      </c>
      <c r="J125" s="90">
        <f t="shared" ca="1" si="85"/>
        <v>55.909827881674765</v>
      </c>
      <c r="K125" s="90">
        <f t="shared" ca="1" si="85"/>
        <v>61.06961691534589</v>
      </c>
      <c r="L125" s="90">
        <f t="shared" ca="1" si="85"/>
        <v>66.741072914839151</v>
      </c>
      <c r="M125" s="90">
        <f t="shared" ca="1" si="85"/>
        <v>72.975319457361351</v>
      </c>
      <c r="N125" s="90">
        <f t="shared" ca="1" si="85"/>
        <v>79.828592046646136</v>
      </c>
      <c r="O125" s="90">
        <f t="shared" ca="1" si="85"/>
        <v>87.362749301294883</v>
      </c>
      <c r="P125" s="90">
        <f t="shared" ca="1" si="85"/>
        <v>95.645835261908346</v>
      </c>
      <c r="Q125" s="90">
        <f t="shared" ca="1" si="85"/>
        <v>104.75269792888801</v>
      </c>
      <c r="R125" s="317"/>
    </row>
    <row r="126" spans="2:18" ht="13.5" customHeight="1" outlineLevel="1">
      <c r="B126" s="85" t="s">
        <v>60</v>
      </c>
      <c r="C126" s="318"/>
      <c r="D126" s="318"/>
      <c r="E126" s="319"/>
      <c r="F126" s="319"/>
      <c r="G126" s="90">
        <f t="shared" ref="G126:Q126" si="86">G238</f>
        <v>269.10201864176042</v>
      </c>
      <c r="H126" s="90">
        <f t="shared" ca="1" si="86"/>
        <v>281.63939573945106</v>
      </c>
      <c r="I126" s="90">
        <f t="shared" ca="1" si="86"/>
        <v>309.5676239246211</v>
      </c>
      <c r="J126" s="90">
        <f t="shared" ca="1" si="86"/>
        <v>337.62477909668172</v>
      </c>
      <c r="K126" s="90">
        <f t="shared" ca="1" si="86"/>
        <v>368.26097757179446</v>
      </c>
      <c r="L126" s="90">
        <f t="shared" ca="1" si="86"/>
        <v>401.93024737700858</v>
      </c>
      <c r="M126" s="90">
        <f t="shared" ca="1" si="86"/>
        <v>438.93559016016007</v>
      </c>
      <c r="N126" s="90">
        <f t="shared" ca="1" si="86"/>
        <v>479.61030467901702</v>
      </c>
      <c r="O126" s="90">
        <f t="shared" ca="1" si="86"/>
        <v>524.32101648172363</v>
      </c>
      <c r="P126" s="90">
        <f t="shared" ca="1" si="86"/>
        <v>573.47101055498467</v>
      </c>
      <c r="Q126" s="90">
        <f t="shared" ca="1" si="86"/>
        <v>627.50389723675846</v>
      </c>
      <c r="R126" s="317"/>
    </row>
    <row r="127" spans="2:18" ht="13.5" customHeight="1" outlineLevel="1">
      <c r="B127" s="85" t="s">
        <v>61</v>
      </c>
      <c r="C127" s="318"/>
      <c r="D127" s="318"/>
      <c r="E127" s="319"/>
      <c r="F127" s="319"/>
      <c r="G127" s="90">
        <f t="shared" ref="G127:Q127" si="87">G239</f>
        <v>38.56127645051194</v>
      </c>
      <c r="H127" s="90">
        <f t="shared" ca="1" si="87"/>
        <v>0</v>
      </c>
      <c r="I127" s="90">
        <f t="shared" ca="1" si="87"/>
        <v>0</v>
      </c>
      <c r="J127" s="90">
        <f t="shared" ca="1" si="87"/>
        <v>0</v>
      </c>
      <c r="K127" s="90">
        <f t="shared" ca="1" si="87"/>
        <v>0</v>
      </c>
      <c r="L127" s="90">
        <f t="shared" ca="1" si="87"/>
        <v>0</v>
      </c>
      <c r="M127" s="90">
        <f t="shared" ca="1" si="87"/>
        <v>0</v>
      </c>
      <c r="N127" s="90">
        <f t="shared" ca="1" si="87"/>
        <v>0</v>
      </c>
      <c r="O127" s="90">
        <f t="shared" ca="1" si="87"/>
        <v>0</v>
      </c>
      <c r="P127" s="90">
        <f t="shared" ca="1" si="87"/>
        <v>0</v>
      </c>
      <c r="Q127" s="90">
        <f t="shared" ca="1" si="87"/>
        <v>0</v>
      </c>
      <c r="R127" s="317"/>
    </row>
    <row r="128" spans="2:18" ht="13.5" customHeight="1" outlineLevel="1">
      <c r="B128" s="85" t="s">
        <v>62</v>
      </c>
      <c r="C128" s="318"/>
      <c r="D128" s="318"/>
      <c r="E128" s="319"/>
      <c r="F128" s="319"/>
      <c r="G128" s="297">
        <f>Close!S138</f>
        <v>2.1779999999999999</v>
      </c>
      <c r="H128" s="200">
        <f>Acquirer!G108+Target!G108+Close!$U138</f>
        <v>2.1779999999999999</v>
      </c>
      <c r="I128" s="200">
        <f>Acquirer!H108+Target!H108+Close!$U138</f>
        <v>2.1779999999999999</v>
      </c>
      <c r="J128" s="200">
        <f>Acquirer!I108+Target!I108+Close!$U138</f>
        <v>2.1779999999999999</v>
      </c>
      <c r="K128" s="200">
        <f>Acquirer!J108+Target!J108+Close!$U138</f>
        <v>2.1779999999999999</v>
      </c>
      <c r="L128" s="200">
        <f>Acquirer!K108+Target!K108+Close!$U138</f>
        <v>2.1779999999999999</v>
      </c>
      <c r="M128" s="200">
        <f>Acquirer!L108+Target!L108+Close!$U138</f>
        <v>2.1779999999999999</v>
      </c>
      <c r="N128" s="200">
        <f>Acquirer!M108+Target!M108+Close!$U138</f>
        <v>2.1779999999999999</v>
      </c>
      <c r="O128" s="200">
        <f>Acquirer!N108+Target!N108+Close!$U138</f>
        <v>2.1779999999999999</v>
      </c>
      <c r="P128" s="200">
        <f>Acquirer!O108+Target!O108+Close!$U138</f>
        <v>2.1779999999999999</v>
      </c>
      <c r="Q128" s="200">
        <f>Acquirer!P108+Target!P108+Close!$U138</f>
        <v>2.1779999999999999</v>
      </c>
      <c r="R128" s="317"/>
    </row>
    <row r="129" spans="2:18" ht="13.5" customHeight="1" outlineLevel="1">
      <c r="B129" s="248" t="s">
        <v>63</v>
      </c>
      <c r="C129" s="248"/>
      <c r="D129" s="248"/>
      <c r="E129" s="294"/>
      <c r="F129" s="294"/>
      <c r="G129" s="241">
        <f t="shared" ref="G129:Q129" si="88">SUM(G122:G128)</f>
        <v>1071.0975384743729</v>
      </c>
      <c r="H129" s="241">
        <f t="shared" ca="1" si="88"/>
        <v>1086.4734171124653</v>
      </c>
      <c r="I129" s="241">
        <f t="shared" ca="1" si="88"/>
        <v>1193.9221602923949</v>
      </c>
      <c r="J129" s="241">
        <f t="shared" ca="1" si="88"/>
        <v>1301.6833609507476</v>
      </c>
      <c r="K129" s="241">
        <f t="shared" ca="1" si="88"/>
        <v>1421.0892993087216</v>
      </c>
      <c r="L129" s="241">
        <f t="shared" ca="1" si="88"/>
        <v>1552.3310998020572</v>
      </c>
      <c r="M129" s="241">
        <f t="shared" ca="1" si="88"/>
        <v>1696.5913013272871</v>
      </c>
      <c r="N129" s="241">
        <f t="shared" ca="1" si="88"/>
        <v>1855.170686197426</v>
      </c>
      <c r="O129" s="241">
        <f t="shared" ca="1" si="88"/>
        <v>2029.5001043788882</v>
      </c>
      <c r="P129" s="241">
        <f t="shared" ca="1" si="88"/>
        <v>2221.1534801510493</v>
      </c>
      <c r="Q129" s="241">
        <f t="shared" ca="1" si="88"/>
        <v>2431.8621194307057</v>
      </c>
      <c r="R129" s="317"/>
    </row>
    <row r="130" spans="2:18" ht="13.5" customHeight="1" outlineLevel="1">
      <c r="B130" s="85" t="s">
        <v>66</v>
      </c>
      <c r="C130" s="57"/>
      <c r="D130" s="57"/>
      <c r="E130" s="57"/>
      <c r="F130" s="57"/>
      <c r="G130" s="90">
        <f ca="1">G350</f>
        <v>236.80132158347476</v>
      </c>
      <c r="H130" s="90">
        <f ca="1">H350</f>
        <v>0</v>
      </c>
      <c r="I130" s="90">
        <f ca="1">I350</f>
        <v>0</v>
      </c>
      <c r="J130" s="90">
        <f t="shared" ref="J130:Q130" ca="1" si="89">J350</f>
        <v>0</v>
      </c>
      <c r="K130" s="90">
        <f t="shared" ca="1" si="89"/>
        <v>0</v>
      </c>
      <c r="L130" s="90">
        <f t="shared" ca="1" si="89"/>
        <v>0</v>
      </c>
      <c r="M130" s="90">
        <f t="shared" ca="1" si="89"/>
        <v>0</v>
      </c>
      <c r="N130" s="90">
        <f t="shared" ca="1" si="89"/>
        <v>0</v>
      </c>
      <c r="O130" s="90">
        <f t="shared" ca="1" si="89"/>
        <v>0</v>
      </c>
      <c r="P130" s="90">
        <f t="shared" ca="1" si="89"/>
        <v>0</v>
      </c>
      <c r="Q130" s="90">
        <f t="shared" ca="1" si="89"/>
        <v>0</v>
      </c>
      <c r="R130" s="317"/>
    </row>
    <row r="131" spans="2:18" ht="13.5" customHeight="1" outlineLevel="1">
      <c r="B131" s="262" t="str">
        <f>Acquirer!$B$111</f>
        <v>Senior credit facility 1</v>
      </c>
      <c r="C131" s="57"/>
      <c r="D131" s="57"/>
      <c r="E131" s="57"/>
      <c r="F131" s="57"/>
      <c r="G131" s="90">
        <f ca="1">G359</f>
        <v>0</v>
      </c>
      <c r="H131" s="90">
        <f t="shared" ref="H131:Q131" ca="1" si="90">H359</f>
        <v>0</v>
      </c>
      <c r="I131" s="90">
        <f t="shared" ca="1" si="90"/>
        <v>0</v>
      </c>
      <c r="J131" s="90">
        <f t="shared" ca="1" si="90"/>
        <v>0</v>
      </c>
      <c r="K131" s="90">
        <f t="shared" ca="1" si="90"/>
        <v>0</v>
      </c>
      <c r="L131" s="90">
        <f t="shared" ca="1" si="90"/>
        <v>0</v>
      </c>
      <c r="M131" s="90">
        <f t="shared" ca="1" si="90"/>
        <v>0</v>
      </c>
      <c r="N131" s="90">
        <f t="shared" ca="1" si="90"/>
        <v>0</v>
      </c>
      <c r="O131" s="90">
        <f t="shared" ca="1" si="90"/>
        <v>0</v>
      </c>
      <c r="P131" s="90">
        <f t="shared" ca="1" si="90"/>
        <v>0</v>
      </c>
      <c r="Q131" s="90">
        <f t="shared" ca="1" si="90"/>
        <v>0</v>
      </c>
      <c r="R131" s="317"/>
    </row>
    <row r="132" spans="2:18" ht="13.5" customHeight="1" outlineLevel="1">
      <c r="B132" s="262" t="str">
        <f>Target!$B$111</f>
        <v>Senior credit facility 2</v>
      </c>
      <c r="C132" s="57"/>
      <c r="D132" s="57"/>
      <c r="E132" s="57"/>
      <c r="F132" s="57"/>
      <c r="G132" s="90">
        <f ca="1">G365</f>
        <v>0</v>
      </c>
      <c r="H132" s="90">
        <f t="shared" ref="H132:Q132" ca="1" si="91">H365</f>
        <v>0</v>
      </c>
      <c r="I132" s="90">
        <f t="shared" ca="1" si="91"/>
        <v>0</v>
      </c>
      <c r="J132" s="90">
        <f t="shared" ca="1" si="91"/>
        <v>0</v>
      </c>
      <c r="K132" s="90">
        <f t="shared" ca="1" si="91"/>
        <v>0</v>
      </c>
      <c r="L132" s="90">
        <f t="shared" ca="1" si="91"/>
        <v>0</v>
      </c>
      <c r="M132" s="90">
        <f t="shared" ca="1" si="91"/>
        <v>0</v>
      </c>
      <c r="N132" s="90">
        <f t="shared" ca="1" si="91"/>
        <v>0</v>
      </c>
      <c r="O132" s="90">
        <f t="shared" ca="1" si="91"/>
        <v>0</v>
      </c>
      <c r="P132" s="90">
        <f t="shared" ca="1" si="91"/>
        <v>0</v>
      </c>
      <c r="Q132" s="90">
        <f t="shared" ca="1" si="91"/>
        <v>0</v>
      </c>
      <c r="R132" s="317"/>
    </row>
    <row r="133" spans="2:18" ht="13.5" customHeight="1" outlineLevel="1">
      <c r="B133" s="262" t="str">
        <f>Close!B86</f>
        <v>Senior credit facility 3</v>
      </c>
      <c r="C133" s="57"/>
      <c r="D133" s="57"/>
      <c r="E133" s="57"/>
      <c r="F133" s="57"/>
      <c r="G133" s="90">
        <f ca="1">G371</f>
        <v>75</v>
      </c>
      <c r="H133" s="90">
        <f t="shared" ref="H133:Q133" ca="1" si="92">H371</f>
        <v>75</v>
      </c>
      <c r="I133" s="90">
        <f t="shared" ca="1" si="92"/>
        <v>75</v>
      </c>
      <c r="J133" s="90">
        <f t="shared" ca="1" si="92"/>
        <v>75</v>
      </c>
      <c r="K133" s="90">
        <f t="shared" ca="1" si="92"/>
        <v>0</v>
      </c>
      <c r="L133" s="90">
        <f t="shared" ca="1" si="92"/>
        <v>0</v>
      </c>
      <c r="M133" s="90">
        <f t="shared" ca="1" si="92"/>
        <v>0</v>
      </c>
      <c r="N133" s="90">
        <f t="shared" ca="1" si="92"/>
        <v>0</v>
      </c>
      <c r="O133" s="90">
        <f t="shared" ca="1" si="92"/>
        <v>0</v>
      </c>
      <c r="P133" s="90">
        <f t="shared" ca="1" si="92"/>
        <v>0</v>
      </c>
      <c r="Q133" s="90">
        <f t="shared" ca="1" si="92"/>
        <v>0</v>
      </c>
      <c r="R133" s="317"/>
    </row>
    <row r="134" spans="2:18" ht="13.5" customHeight="1" outlineLevel="1">
      <c r="B134" s="262" t="str">
        <f>Acquirer!$B$112</f>
        <v>Subordinated note 1</v>
      </c>
      <c r="C134" s="57"/>
      <c r="D134" s="57"/>
      <c r="E134" s="57"/>
      <c r="F134" s="57"/>
      <c r="G134" s="90">
        <f ca="1">G377</f>
        <v>0</v>
      </c>
      <c r="H134" s="90">
        <f t="shared" ref="H134:Q134" ca="1" si="93">H377</f>
        <v>0</v>
      </c>
      <c r="I134" s="90">
        <f t="shared" ca="1" si="93"/>
        <v>0</v>
      </c>
      <c r="J134" s="90">
        <f t="shared" ca="1" si="93"/>
        <v>0</v>
      </c>
      <c r="K134" s="90">
        <f t="shared" ca="1" si="93"/>
        <v>0</v>
      </c>
      <c r="L134" s="90">
        <f t="shared" ca="1" si="93"/>
        <v>0</v>
      </c>
      <c r="M134" s="90">
        <f t="shared" ca="1" si="93"/>
        <v>0</v>
      </c>
      <c r="N134" s="90">
        <f t="shared" ca="1" si="93"/>
        <v>0</v>
      </c>
      <c r="O134" s="90">
        <f t="shared" ca="1" si="93"/>
        <v>0</v>
      </c>
      <c r="P134" s="90">
        <f t="shared" ca="1" si="93"/>
        <v>0</v>
      </c>
      <c r="Q134" s="90">
        <f t="shared" ca="1" si="93"/>
        <v>0</v>
      </c>
      <c r="R134" s="317"/>
    </row>
    <row r="135" spans="2:18" ht="13.5" customHeight="1" outlineLevel="1">
      <c r="B135" s="262" t="str">
        <f>Target!$B$112</f>
        <v>Subordinated note 2</v>
      </c>
      <c r="C135" s="57"/>
      <c r="D135" s="57"/>
      <c r="E135" s="57"/>
      <c r="F135" s="57"/>
      <c r="G135" s="90">
        <f ca="1">G383</f>
        <v>0</v>
      </c>
      <c r="H135" s="90">
        <f ca="1">H383</f>
        <v>0</v>
      </c>
      <c r="I135" s="90">
        <f t="shared" ref="I135:Q135" ca="1" si="94">I383</f>
        <v>0</v>
      </c>
      <c r="J135" s="90">
        <f t="shared" ca="1" si="94"/>
        <v>0</v>
      </c>
      <c r="K135" s="90">
        <f t="shared" ca="1" si="94"/>
        <v>0</v>
      </c>
      <c r="L135" s="90">
        <f t="shared" ca="1" si="94"/>
        <v>0</v>
      </c>
      <c r="M135" s="90">
        <f t="shared" ca="1" si="94"/>
        <v>0</v>
      </c>
      <c r="N135" s="90">
        <f t="shared" ca="1" si="94"/>
        <v>0</v>
      </c>
      <c r="O135" s="90">
        <f t="shared" ca="1" si="94"/>
        <v>0</v>
      </c>
      <c r="P135" s="90">
        <f t="shared" ca="1" si="94"/>
        <v>0</v>
      </c>
      <c r="Q135" s="90">
        <f t="shared" ca="1" si="94"/>
        <v>0</v>
      </c>
      <c r="R135" s="317"/>
    </row>
    <row r="136" spans="2:18" ht="13.5" customHeight="1" outlineLevel="1">
      <c r="B136" s="262" t="str">
        <f>Close!B87</f>
        <v>Subordinated note 3</v>
      </c>
      <c r="C136" s="57"/>
      <c r="D136" s="57"/>
      <c r="E136" s="57"/>
      <c r="F136" s="57"/>
      <c r="G136" s="90">
        <f ca="1">G389</f>
        <v>0</v>
      </c>
      <c r="H136" s="90">
        <f t="shared" ref="H136:Q136" ca="1" si="95">H389</f>
        <v>0</v>
      </c>
      <c r="I136" s="90">
        <f t="shared" ca="1" si="95"/>
        <v>0</v>
      </c>
      <c r="J136" s="90">
        <f t="shared" ca="1" si="95"/>
        <v>0</v>
      </c>
      <c r="K136" s="90">
        <f t="shared" ca="1" si="95"/>
        <v>0</v>
      </c>
      <c r="L136" s="90">
        <f t="shared" ca="1" si="95"/>
        <v>0</v>
      </c>
      <c r="M136" s="90">
        <f t="shared" ca="1" si="95"/>
        <v>0</v>
      </c>
      <c r="N136" s="90">
        <f t="shared" ca="1" si="95"/>
        <v>0</v>
      </c>
      <c r="O136" s="90">
        <f t="shared" ca="1" si="95"/>
        <v>0</v>
      </c>
      <c r="P136" s="90">
        <f t="shared" ca="1" si="95"/>
        <v>0</v>
      </c>
      <c r="Q136" s="90">
        <f t="shared" ca="1" si="95"/>
        <v>0</v>
      </c>
      <c r="R136" s="317"/>
    </row>
    <row r="137" spans="2:18" ht="13.5" customHeight="1" outlineLevel="1">
      <c r="B137" s="262" t="str">
        <f>Acquirer!$B$113</f>
        <v>Convertible bond 1</v>
      </c>
      <c r="C137" s="57"/>
      <c r="D137" s="57"/>
      <c r="E137" s="57"/>
      <c r="F137" s="57"/>
      <c r="G137" s="90">
        <f>G395</f>
        <v>471.375</v>
      </c>
      <c r="H137" s="90">
        <f t="shared" ref="H137:Q137" si="96">H395</f>
        <v>493.76531249999999</v>
      </c>
      <c r="I137" s="90">
        <f t="shared" si="96"/>
        <v>540.67301718750002</v>
      </c>
      <c r="J137" s="90">
        <f t="shared" si="96"/>
        <v>579.19596966210941</v>
      </c>
      <c r="K137" s="90">
        <f t="shared" si="96"/>
        <v>579.19596966210941</v>
      </c>
      <c r="L137" s="90">
        <f t="shared" si="96"/>
        <v>579.19596966210941</v>
      </c>
      <c r="M137" s="90">
        <f t="shared" si="96"/>
        <v>579.19596966210941</v>
      </c>
      <c r="N137" s="90">
        <f t="shared" si="96"/>
        <v>579.19596966210941</v>
      </c>
      <c r="O137" s="90">
        <f t="shared" si="96"/>
        <v>579.19596966210941</v>
      </c>
      <c r="P137" s="90">
        <f t="shared" si="96"/>
        <v>579.19596966210941</v>
      </c>
      <c r="Q137" s="90">
        <f t="shared" si="96"/>
        <v>579.19596966210941</v>
      </c>
      <c r="R137" s="317"/>
    </row>
    <row r="138" spans="2:18" ht="13.5" customHeight="1" outlineLevel="1">
      <c r="B138" s="262" t="str">
        <f>Target!$B$113</f>
        <v>Convertible bond 2</v>
      </c>
      <c r="C138" s="57"/>
      <c r="D138" s="57"/>
      <c r="E138" s="57"/>
      <c r="F138" s="57"/>
      <c r="G138" s="90">
        <f ca="1">G401</f>
        <v>0</v>
      </c>
      <c r="H138" s="90">
        <f t="shared" ref="H138:Q138" ca="1" si="97">H401</f>
        <v>0</v>
      </c>
      <c r="I138" s="90">
        <f t="shared" ca="1" si="97"/>
        <v>0</v>
      </c>
      <c r="J138" s="90">
        <f t="shared" ca="1" si="97"/>
        <v>0</v>
      </c>
      <c r="K138" s="90">
        <f t="shared" ca="1" si="97"/>
        <v>0</v>
      </c>
      <c r="L138" s="90">
        <f t="shared" ca="1" si="97"/>
        <v>0</v>
      </c>
      <c r="M138" s="90">
        <f t="shared" ca="1" si="97"/>
        <v>0</v>
      </c>
      <c r="N138" s="90">
        <f t="shared" ca="1" si="97"/>
        <v>0</v>
      </c>
      <c r="O138" s="90">
        <f t="shared" ca="1" si="97"/>
        <v>0</v>
      </c>
      <c r="P138" s="90">
        <f t="shared" ca="1" si="97"/>
        <v>0</v>
      </c>
      <c r="Q138" s="90">
        <f t="shared" ca="1" si="97"/>
        <v>0</v>
      </c>
      <c r="R138" s="317"/>
    </row>
    <row r="139" spans="2:18" ht="13.5" customHeight="1" outlineLevel="1">
      <c r="B139" s="262" t="str">
        <f>Close!B88</f>
        <v>Convertible bond 3</v>
      </c>
      <c r="C139" s="57"/>
      <c r="D139" s="57"/>
      <c r="E139" s="57"/>
      <c r="F139" s="57"/>
      <c r="G139" s="90">
        <f ca="1">G407</f>
        <v>0</v>
      </c>
      <c r="H139" s="90">
        <f t="shared" ref="H139:Q139" ca="1" si="98">H407</f>
        <v>0</v>
      </c>
      <c r="I139" s="90">
        <f t="shared" ca="1" si="98"/>
        <v>0</v>
      </c>
      <c r="J139" s="90">
        <f t="shared" ca="1" si="98"/>
        <v>0</v>
      </c>
      <c r="K139" s="90">
        <f t="shared" ca="1" si="98"/>
        <v>0</v>
      </c>
      <c r="L139" s="90">
        <f t="shared" ca="1" si="98"/>
        <v>0</v>
      </c>
      <c r="M139" s="90">
        <f t="shared" ca="1" si="98"/>
        <v>0</v>
      </c>
      <c r="N139" s="90">
        <f t="shared" ca="1" si="98"/>
        <v>0</v>
      </c>
      <c r="O139" s="90">
        <f t="shared" ca="1" si="98"/>
        <v>0</v>
      </c>
      <c r="P139" s="90">
        <f t="shared" ca="1" si="98"/>
        <v>0</v>
      </c>
      <c r="Q139" s="90">
        <f t="shared" ca="1" si="98"/>
        <v>0</v>
      </c>
      <c r="R139" s="317"/>
    </row>
    <row r="140" spans="2:18" ht="13.5" customHeight="1" outlineLevel="1">
      <c r="B140" s="248" t="s">
        <v>298</v>
      </c>
      <c r="C140" s="248"/>
      <c r="D140" s="248"/>
      <c r="E140" s="294"/>
      <c r="F140" s="294"/>
      <c r="G140" s="241">
        <f ca="1">SUM(G130:OFFSET(G140,-1,0))</f>
        <v>783.17632158347476</v>
      </c>
      <c r="H140" s="241">
        <f ca="1">SUM(H130:OFFSET(H140,-1,0))</f>
        <v>568.76531249999994</v>
      </c>
      <c r="I140" s="241">
        <f ca="1">SUM(I130:OFFSET(I140,-1,0))</f>
        <v>615.67301718750002</v>
      </c>
      <c r="J140" s="241">
        <f ca="1">SUM(J130:OFFSET(J140,-1,0))</f>
        <v>654.19596966210941</v>
      </c>
      <c r="K140" s="241">
        <f ca="1">SUM(K130:OFFSET(K140,-1,0))</f>
        <v>579.19596966210941</v>
      </c>
      <c r="L140" s="241">
        <f ca="1">SUM(L130:OFFSET(L140,-1,0))</f>
        <v>579.19596966210941</v>
      </c>
      <c r="M140" s="241">
        <f ca="1">SUM(M130:OFFSET(M140,-1,0))</f>
        <v>579.19596966210941</v>
      </c>
      <c r="N140" s="241">
        <f ca="1">SUM(N130:OFFSET(N140,-1,0))</f>
        <v>579.19596966210941</v>
      </c>
      <c r="O140" s="241">
        <f ca="1">SUM(O130:OFFSET(O140,-1,0))</f>
        <v>579.19596966210941</v>
      </c>
      <c r="P140" s="241">
        <f ca="1">SUM(P130:OFFSET(P140,-1,0))</f>
        <v>579.19596966210941</v>
      </c>
      <c r="Q140" s="241">
        <f ca="1">SUM(Q130:OFFSET(Q140,-1,0))</f>
        <v>579.19596966210941</v>
      </c>
      <c r="R140" s="317"/>
    </row>
    <row r="141" spans="2:18" ht="13.5" customHeight="1" outlineLevel="1">
      <c r="B141" s="36" t="s">
        <v>524</v>
      </c>
      <c r="G141" s="90">
        <f ca="1">G643</f>
        <v>26.766790265893928</v>
      </c>
      <c r="H141" s="90">
        <f t="shared" ref="H141:Q141" ca="1" si="99">H643</f>
        <v>24.818379355866721</v>
      </c>
      <c r="I141" s="90">
        <f t="shared" ca="1" si="99"/>
        <v>20.450916032394911</v>
      </c>
      <c r="J141" s="90">
        <f t="shared" ca="1" si="99"/>
        <v>17.828791952088363</v>
      </c>
      <c r="K141" s="90">
        <f t="shared" ca="1" si="99"/>
        <v>13.601389200161076</v>
      </c>
      <c r="L141" s="90">
        <f t="shared" ca="1" si="99"/>
        <v>10.450875771127425</v>
      </c>
      <c r="M141" s="90">
        <f t="shared" ca="1" si="99"/>
        <v>9.1244522602592149</v>
      </c>
      <c r="N141" s="90">
        <f t="shared" ca="1" si="99"/>
        <v>8.8431998495449982</v>
      </c>
      <c r="O141" s="90">
        <f t="shared" ca="1" si="99"/>
        <v>8.7494490459736305</v>
      </c>
      <c r="P141" s="90">
        <f t="shared" ca="1" si="99"/>
        <v>8.7494490459736305</v>
      </c>
      <c r="Q141" s="90">
        <f t="shared" ca="1" si="99"/>
        <v>8.7494490459736305</v>
      </c>
      <c r="R141" s="317"/>
    </row>
    <row r="142" spans="2:18" ht="13.5" customHeight="1" outlineLevel="1">
      <c r="B142" s="57" t="s">
        <v>8</v>
      </c>
      <c r="C142" s="57"/>
      <c r="D142" s="57"/>
      <c r="E142" s="57"/>
      <c r="F142" s="57"/>
      <c r="G142" s="297">
        <f>Close!S155</f>
        <v>520.90300000000002</v>
      </c>
      <c r="H142" s="200">
        <f>Acquirer!G115+Target!G115+Close!$U155</f>
        <v>520.90300000000002</v>
      </c>
      <c r="I142" s="200">
        <f>Acquirer!H115+Target!H115+Close!$U155</f>
        <v>520.90300000000002</v>
      </c>
      <c r="J142" s="200">
        <f>Acquirer!I115+Target!I115+Close!$U155</f>
        <v>520.90300000000002</v>
      </c>
      <c r="K142" s="200">
        <f>Acquirer!J115+Target!J115+Close!$U155</f>
        <v>520.90300000000002</v>
      </c>
      <c r="L142" s="200">
        <f>Acquirer!K115+Target!K115+Close!$U155</f>
        <v>520.90300000000002</v>
      </c>
      <c r="M142" s="200">
        <f>Acquirer!L115+Target!L115+Close!$U155</f>
        <v>520.90300000000002</v>
      </c>
      <c r="N142" s="200">
        <f>Acquirer!M115+Target!M115+Close!$U155</f>
        <v>520.90300000000002</v>
      </c>
      <c r="O142" s="200">
        <f>Acquirer!N115+Target!N115+Close!$U155</f>
        <v>520.90300000000002</v>
      </c>
      <c r="P142" s="200">
        <f>Acquirer!O115+Target!O115+Close!$U155</f>
        <v>520.90300000000002</v>
      </c>
      <c r="Q142" s="200">
        <f>Acquirer!P115+Target!P115+Close!$U155</f>
        <v>520.90300000000002</v>
      </c>
      <c r="R142" s="317"/>
    </row>
    <row r="143" spans="2:18" ht="13.5" customHeight="1" outlineLevel="1">
      <c r="B143" s="320" t="s">
        <v>7</v>
      </c>
      <c r="C143" s="320"/>
      <c r="D143" s="320"/>
      <c r="E143" s="320"/>
      <c r="F143" s="320"/>
      <c r="G143" s="239">
        <f t="shared" ref="G143:Q143" ca="1" si="100">SUM(G129,G140:G142)</f>
        <v>2401.9436503237416</v>
      </c>
      <c r="H143" s="239">
        <f t="shared" ca="1" si="100"/>
        <v>2200.960108968332</v>
      </c>
      <c r="I143" s="239">
        <f t="shared" ca="1" si="100"/>
        <v>2350.9490935122899</v>
      </c>
      <c r="J143" s="239">
        <f t="shared" ca="1" si="100"/>
        <v>2494.6111225649452</v>
      </c>
      <c r="K143" s="239">
        <f t="shared" ca="1" si="100"/>
        <v>2534.789658170992</v>
      </c>
      <c r="L143" s="239">
        <f t="shared" ca="1" si="100"/>
        <v>2662.8809452352943</v>
      </c>
      <c r="M143" s="239">
        <f t="shared" ca="1" si="100"/>
        <v>2805.8147232496558</v>
      </c>
      <c r="N143" s="239">
        <f t="shared" ca="1" si="100"/>
        <v>2964.1128557090806</v>
      </c>
      <c r="O143" s="239">
        <f t="shared" ca="1" si="100"/>
        <v>3138.348523086971</v>
      </c>
      <c r="P143" s="239">
        <f t="shared" ca="1" si="100"/>
        <v>3330.0018988591319</v>
      </c>
      <c r="Q143" s="239">
        <f t="shared" ca="1" si="100"/>
        <v>3540.7105381387883</v>
      </c>
      <c r="R143" s="317"/>
    </row>
    <row r="144" spans="2:18" ht="13.5" customHeight="1" outlineLevel="1">
      <c r="B144" s="36" t="s">
        <v>39</v>
      </c>
      <c r="G144" s="297">
        <f>Close!S157</f>
        <v>0</v>
      </c>
      <c r="H144" s="200">
        <f>Acquirer!T117+Target!T117+Close!$U157</f>
        <v>0</v>
      </c>
      <c r="I144" s="200">
        <f>Acquirer!G117+Target!G117+Close!$U157</f>
        <v>0</v>
      </c>
      <c r="J144" s="200">
        <f>Acquirer!H117+Target!H117+Close!$U157</f>
        <v>0</v>
      </c>
      <c r="K144" s="200">
        <f>Acquirer!I117+Target!I117+Close!$U157</f>
        <v>0</v>
      </c>
      <c r="L144" s="200">
        <f>Acquirer!J117+Target!J117+Close!$U157</f>
        <v>0</v>
      </c>
      <c r="M144" s="200">
        <f>Acquirer!K117+Target!K117+Close!$U157</f>
        <v>0</v>
      </c>
      <c r="N144" s="200">
        <f>Acquirer!L117+Target!L117+Close!$U157</f>
        <v>0</v>
      </c>
      <c r="O144" s="200">
        <f>Acquirer!M117+Target!M117+Close!$U157</f>
        <v>0</v>
      </c>
      <c r="P144" s="200">
        <f>Acquirer!N117+Target!N117+Close!$U157</f>
        <v>0</v>
      </c>
      <c r="Q144" s="200">
        <f>Acquirer!O117+Target!O117+Close!$U157</f>
        <v>0</v>
      </c>
      <c r="R144" s="317"/>
    </row>
    <row r="145" spans="2:48" ht="13.5" customHeight="1" outlineLevel="1">
      <c r="B145" s="75" t="str">
        <f>Acquirer!$B$118</f>
        <v>Preferred stock 1</v>
      </c>
      <c r="G145" s="90">
        <f>G413</f>
        <v>0</v>
      </c>
      <c r="H145" s="90">
        <f t="shared" ref="H145:Q145" si="101">H413</f>
        <v>0</v>
      </c>
      <c r="I145" s="90">
        <f t="shared" si="101"/>
        <v>0</v>
      </c>
      <c r="J145" s="90">
        <f t="shared" si="101"/>
        <v>0</v>
      </c>
      <c r="K145" s="90">
        <f t="shared" si="101"/>
        <v>0</v>
      </c>
      <c r="L145" s="90">
        <f t="shared" si="101"/>
        <v>0</v>
      </c>
      <c r="M145" s="90">
        <f t="shared" si="101"/>
        <v>0</v>
      </c>
      <c r="N145" s="90">
        <f t="shared" si="101"/>
        <v>0</v>
      </c>
      <c r="O145" s="90">
        <f t="shared" si="101"/>
        <v>0</v>
      </c>
      <c r="P145" s="90">
        <f t="shared" si="101"/>
        <v>0</v>
      </c>
      <c r="Q145" s="90">
        <f t="shared" si="101"/>
        <v>0</v>
      </c>
      <c r="R145" s="317"/>
    </row>
    <row r="146" spans="2:48" ht="13.5" customHeight="1" outlineLevel="1">
      <c r="B146" s="75" t="str">
        <f>Target!$B$118</f>
        <v>Preferred stock 2</v>
      </c>
      <c r="G146" s="90">
        <f ca="1">G419</f>
        <v>0</v>
      </c>
      <c r="H146" s="90">
        <f t="shared" ref="H146:Q146" ca="1" si="102">H419</f>
        <v>0</v>
      </c>
      <c r="I146" s="90">
        <f t="shared" ca="1" si="102"/>
        <v>0</v>
      </c>
      <c r="J146" s="90">
        <f t="shared" ca="1" si="102"/>
        <v>0</v>
      </c>
      <c r="K146" s="90">
        <f t="shared" ca="1" si="102"/>
        <v>0</v>
      </c>
      <c r="L146" s="90">
        <f t="shared" ca="1" si="102"/>
        <v>0</v>
      </c>
      <c r="M146" s="90">
        <f t="shared" ca="1" si="102"/>
        <v>0</v>
      </c>
      <c r="N146" s="90">
        <f t="shared" ca="1" si="102"/>
        <v>0</v>
      </c>
      <c r="O146" s="90">
        <f t="shared" ca="1" si="102"/>
        <v>0</v>
      </c>
      <c r="P146" s="90">
        <f t="shared" ca="1" si="102"/>
        <v>0</v>
      </c>
      <c r="Q146" s="90">
        <f t="shared" ca="1" si="102"/>
        <v>0</v>
      </c>
      <c r="R146" s="317"/>
    </row>
    <row r="147" spans="2:48" ht="13.5" customHeight="1" outlineLevel="1">
      <c r="B147" s="75" t="str">
        <f>Close!B160</f>
        <v>Preferred stock 3</v>
      </c>
      <c r="G147" s="90">
        <f ca="1">G425</f>
        <v>125</v>
      </c>
      <c r="H147" s="90">
        <f t="shared" ref="H147:Q147" ca="1" si="103">H425</f>
        <v>128.203125</v>
      </c>
      <c r="I147" s="90">
        <f t="shared" ca="1" si="103"/>
        <v>134.77353515625001</v>
      </c>
      <c r="J147" s="90">
        <f t="shared" ca="1" si="103"/>
        <v>141.68067883300782</v>
      </c>
      <c r="K147" s="90">
        <f t="shared" ca="1" si="103"/>
        <v>148.94181362319947</v>
      </c>
      <c r="L147" s="90">
        <f t="shared" ca="1" si="103"/>
        <v>156.57508157138844</v>
      </c>
      <c r="M147" s="90">
        <f t="shared" ca="1" si="103"/>
        <v>164.59955450192209</v>
      </c>
      <c r="N147" s="90">
        <f t="shared" ca="1" si="103"/>
        <v>173.03528167014559</v>
      </c>
      <c r="O147" s="90">
        <f t="shared" ca="1" si="103"/>
        <v>181.90333985574057</v>
      </c>
      <c r="P147" s="90">
        <f t="shared" ca="1" si="103"/>
        <v>191.22588602334727</v>
      </c>
      <c r="Q147" s="90">
        <f t="shared" ca="1" si="103"/>
        <v>201.02621268204382</v>
      </c>
      <c r="R147" s="317"/>
    </row>
    <row r="148" spans="2:48" ht="13.5" customHeight="1" outlineLevel="1">
      <c r="B148" s="57" t="s">
        <v>124</v>
      </c>
      <c r="G148" s="200">
        <f>Close!S161</f>
        <v>3.871</v>
      </c>
      <c r="H148" s="90">
        <f>G148</f>
        <v>3.871</v>
      </c>
      <c r="I148" s="90">
        <f t="shared" ref="I148:Q148" si="104">H148</f>
        <v>3.871</v>
      </c>
      <c r="J148" s="90">
        <f t="shared" si="104"/>
        <v>3.871</v>
      </c>
      <c r="K148" s="90">
        <f t="shared" si="104"/>
        <v>3.871</v>
      </c>
      <c r="L148" s="90">
        <f t="shared" si="104"/>
        <v>3.871</v>
      </c>
      <c r="M148" s="90">
        <f t="shared" si="104"/>
        <v>3.871</v>
      </c>
      <c r="N148" s="90">
        <f t="shared" si="104"/>
        <v>3.871</v>
      </c>
      <c r="O148" s="90">
        <f t="shared" si="104"/>
        <v>3.871</v>
      </c>
      <c r="P148" s="90">
        <f t="shared" si="104"/>
        <v>3.871</v>
      </c>
      <c r="Q148" s="90">
        <f t="shared" si="104"/>
        <v>3.871</v>
      </c>
      <c r="R148" s="317"/>
    </row>
    <row r="149" spans="2:48" ht="13.5" customHeight="1" outlineLevel="1">
      <c r="B149" s="57" t="s">
        <v>443</v>
      </c>
      <c r="G149" s="200">
        <f ca="1">Close!S162</f>
        <v>2513.8599499999996</v>
      </c>
      <c r="H149" s="90">
        <f t="shared" ref="H149:Q149" ca="1" si="105">G149+H17</f>
        <v>2546.0099499999997</v>
      </c>
      <c r="I149" s="90">
        <f t="shared" ca="1" si="105"/>
        <v>2616.3099499999998</v>
      </c>
      <c r="J149" s="90">
        <f t="shared" ca="1" si="105"/>
        <v>2692.67695</v>
      </c>
      <c r="K149" s="90">
        <f t="shared" ca="1" si="105"/>
        <v>2775.70802</v>
      </c>
      <c r="L149" s="90">
        <f t="shared" ca="1" si="105"/>
        <v>2866.0598407000002</v>
      </c>
      <c r="M149" s="90">
        <f t="shared" ca="1" si="105"/>
        <v>2964.4546636070004</v>
      </c>
      <c r="N149" s="90">
        <f t="shared" ca="1" si="105"/>
        <v>3071.6868671430702</v>
      </c>
      <c r="O149" s="90">
        <f t="shared" ca="1" si="105"/>
        <v>3188.6301683545012</v>
      </c>
      <c r="P149" s="90">
        <f t="shared" ca="1" si="105"/>
        <v>3316.2455557820463</v>
      </c>
      <c r="Q149" s="90">
        <f t="shared" ca="1" si="105"/>
        <v>3455.5900156082666</v>
      </c>
      <c r="R149" s="317"/>
    </row>
    <row r="150" spans="2:48" ht="13.5" customHeight="1" outlineLevel="1">
      <c r="B150" s="57" t="s">
        <v>125</v>
      </c>
      <c r="G150" s="200">
        <f>Close!S163</f>
        <v>-774.67</v>
      </c>
      <c r="H150" s="90">
        <f>G150</f>
        <v>-774.67</v>
      </c>
      <c r="I150" s="90">
        <f t="shared" ref="I150:Q150" si="106">H150</f>
        <v>-774.67</v>
      </c>
      <c r="J150" s="90">
        <f t="shared" si="106"/>
        <v>-774.67</v>
      </c>
      <c r="K150" s="90">
        <f t="shared" si="106"/>
        <v>-774.67</v>
      </c>
      <c r="L150" s="90">
        <f t="shared" si="106"/>
        <v>-774.67</v>
      </c>
      <c r="M150" s="90">
        <f t="shared" si="106"/>
        <v>-774.67</v>
      </c>
      <c r="N150" s="90">
        <f t="shared" si="106"/>
        <v>-774.67</v>
      </c>
      <c r="O150" s="90">
        <f t="shared" si="106"/>
        <v>-774.67</v>
      </c>
      <c r="P150" s="90">
        <f t="shared" si="106"/>
        <v>-774.67</v>
      </c>
      <c r="Q150" s="90">
        <f t="shared" si="106"/>
        <v>-774.67</v>
      </c>
      <c r="R150" s="317"/>
    </row>
    <row r="151" spans="2:48" ht="13.5" customHeight="1" outlineLevel="1">
      <c r="B151" s="57" t="s">
        <v>126</v>
      </c>
      <c r="G151" s="297">
        <f>Close!S164</f>
        <v>6.5709999999999997</v>
      </c>
      <c r="H151" s="200">
        <f>Acquirer!G122+Target!G122+Close!$U164</f>
        <v>6.5709999999999997</v>
      </c>
      <c r="I151" s="200">
        <f>Acquirer!H122+Target!H122+Close!$U164</f>
        <v>6.5709999999999997</v>
      </c>
      <c r="J151" s="200">
        <f>Acquirer!I122+Target!I122+Close!$U164</f>
        <v>6.5709999999999997</v>
      </c>
      <c r="K151" s="200">
        <f>Acquirer!J122+Target!J122+Close!$U164</f>
        <v>6.5709999999999997</v>
      </c>
      <c r="L151" s="200">
        <f>Acquirer!K122+Target!K122+Close!$U164</f>
        <v>6.5709999999999997</v>
      </c>
      <c r="M151" s="200">
        <f>Acquirer!L122+Target!L122+Close!$U164</f>
        <v>6.5709999999999997</v>
      </c>
      <c r="N151" s="200">
        <f>Acquirer!M122+Target!M122+Close!$U164</f>
        <v>6.5709999999999997</v>
      </c>
      <c r="O151" s="200">
        <f>Acquirer!N122+Target!N122+Close!$U164</f>
        <v>6.5709999999999997</v>
      </c>
      <c r="P151" s="200">
        <f>Acquirer!O122+Target!O122+Close!$U164</f>
        <v>6.5709999999999997</v>
      </c>
      <c r="Q151" s="200">
        <f>Acquirer!P122+Target!P122+Close!$U164</f>
        <v>6.5709999999999997</v>
      </c>
      <c r="R151" s="317"/>
    </row>
    <row r="152" spans="2:48" ht="13.5" customHeight="1" outlineLevel="1">
      <c r="B152" s="57" t="s">
        <v>127</v>
      </c>
      <c r="G152" s="200">
        <f ca="1">Close!S165</f>
        <v>1372.4699367443511</v>
      </c>
      <c r="H152" s="199">
        <f t="shared" ref="H152:Q152" ca="1" si="107">G152+H44-H54*H159</f>
        <v>1508.5644888790493</v>
      </c>
      <c r="I152" s="199">
        <f t="shared" ca="1" si="107"/>
        <v>1867.7241894584101</v>
      </c>
      <c r="J152" s="199">
        <f t="shared" ca="1" si="107"/>
        <v>2311.7389903113226</v>
      </c>
      <c r="K152" s="199">
        <f t="shared" ca="1" si="107"/>
        <v>2828.6743830435139</v>
      </c>
      <c r="L152" s="199">
        <f t="shared" ca="1" si="107"/>
        <v>3426.9376607125109</v>
      </c>
      <c r="M152" s="199">
        <f t="shared" ca="1" si="107"/>
        <v>4112.9530179930243</v>
      </c>
      <c r="N152" s="199">
        <f t="shared" ca="1" si="107"/>
        <v>4867.3854661152536</v>
      </c>
      <c r="O152" s="199">
        <f t="shared" ca="1" si="107"/>
        <v>5695.2435736931393</v>
      </c>
      <c r="P152" s="199">
        <f t="shared" ca="1" si="107"/>
        <v>6603.6158617307201</v>
      </c>
      <c r="Q152" s="199">
        <f t="shared" ca="1" si="107"/>
        <v>7600.3183399858908</v>
      </c>
      <c r="R152" s="317"/>
    </row>
    <row r="153" spans="2:48" ht="13.5" customHeight="1" outlineLevel="1">
      <c r="B153" s="253" t="s">
        <v>21</v>
      </c>
      <c r="C153" s="253"/>
      <c r="D153" s="253"/>
      <c r="E153" s="253"/>
      <c r="F153" s="253"/>
      <c r="G153" s="256">
        <f t="shared" ref="G153:Q153" ca="1" si="108">SUM(G143:G152)</f>
        <v>5649.045537068092</v>
      </c>
      <c r="H153" s="256">
        <f t="shared" ca="1" si="108"/>
        <v>5619.5096728473809</v>
      </c>
      <c r="I153" s="256">
        <f t="shared" ca="1" si="108"/>
        <v>6205.5287681269501</v>
      </c>
      <c r="J153" s="256">
        <f t="shared" ca="1" si="108"/>
        <v>6876.479741709275</v>
      </c>
      <c r="K153" s="256">
        <f t="shared" ca="1" si="108"/>
        <v>7523.8858748377043</v>
      </c>
      <c r="L153" s="256">
        <f t="shared" ca="1" si="108"/>
        <v>8348.2255282191945</v>
      </c>
      <c r="M153" s="256">
        <f t="shared" ca="1" si="108"/>
        <v>9283.5939593516032</v>
      </c>
      <c r="N153" s="256">
        <f t="shared" ca="1" si="108"/>
        <v>10311.99247063755</v>
      </c>
      <c r="O153" s="256">
        <f t="shared" ca="1" si="108"/>
        <v>11439.89760499035</v>
      </c>
      <c r="P153" s="256">
        <f t="shared" ca="1" si="108"/>
        <v>12676.861202395245</v>
      </c>
      <c r="Q153" s="256">
        <f t="shared" ca="1" si="108"/>
        <v>14033.417106414989</v>
      </c>
      <c r="R153" s="317"/>
    </row>
    <row r="154" spans="2:48" ht="13.5" customHeight="1" outlineLevel="1">
      <c r="B154" s="321"/>
      <c r="C154" s="321"/>
      <c r="D154" s="321"/>
      <c r="E154" s="321"/>
      <c r="F154" s="321"/>
      <c r="G154" s="322"/>
      <c r="H154" s="322"/>
      <c r="I154" s="322"/>
      <c r="J154" s="322"/>
      <c r="K154" s="322"/>
      <c r="L154" s="322"/>
      <c r="M154" s="322"/>
      <c r="N154" s="322"/>
      <c r="O154" s="322"/>
      <c r="P154" s="322"/>
      <c r="Q154" s="322"/>
      <c r="R154" s="317"/>
    </row>
    <row r="155" spans="2:48" s="273" customFormat="1" ht="13.5" customHeight="1" outlineLevel="1">
      <c r="B155" s="323" t="s">
        <v>5</v>
      </c>
      <c r="C155" s="323"/>
      <c r="D155" s="175"/>
      <c r="E155" s="175"/>
      <c r="F155" s="175"/>
      <c r="G155" s="274">
        <f t="shared" ref="G155:Q155" ca="1" si="109">G118-G153</f>
        <v>0</v>
      </c>
      <c r="H155" s="274">
        <f t="shared" ca="1" si="109"/>
        <v>0</v>
      </c>
      <c r="I155" s="274">
        <f t="shared" ca="1" si="109"/>
        <v>0</v>
      </c>
      <c r="J155" s="274">
        <f t="shared" ca="1" si="109"/>
        <v>0</v>
      </c>
      <c r="K155" s="274">
        <f t="shared" ca="1" si="109"/>
        <v>0</v>
      </c>
      <c r="L155" s="274">
        <f t="shared" ca="1" si="109"/>
        <v>0</v>
      </c>
      <c r="M155" s="274">
        <f t="shared" ca="1" si="109"/>
        <v>0</v>
      </c>
      <c r="N155" s="274">
        <f t="shared" ca="1" si="109"/>
        <v>0</v>
      </c>
      <c r="O155" s="274">
        <f t="shared" ca="1" si="109"/>
        <v>0</v>
      </c>
      <c r="P155" s="274">
        <f t="shared" ca="1" si="109"/>
        <v>0</v>
      </c>
      <c r="Q155" s="274">
        <f t="shared" ca="1" si="109"/>
        <v>0</v>
      </c>
      <c r="R155" s="317"/>
      <c r="S155" s="324"/>
      <c r="T155" s="324"/>
      <c r="U155" s="324"/>
      <c r="V155" s="324"/>
      <c r="W155" s="324"/>
      <c r="X155" s="324"/>
      <c r="Y155" s="324"/>
      <c r="Z155" s="324"/>
      <c r="AA155" s="324"/>
      <c r="AB155" s="324"/>
      <c r="AC155" s="324"/>
      <c r="AD155" s="324"/>
      <c r="AE155" s="324"/>
      <c r="AF155" s="324"/>
      <c r="AG155" s="324"/>
      <c r="AH155" s="324"/>
      <c r="AI155" s="324"/>
      <c r="AJ155" s="324"/>
      <c r="AK155" s="324"/>
      <c r="AL155" s="324"/>
      <c r="AM155" s="324"/>
      <c r="AN155" s="324"/>
      <c r="AO155" s="324"/>
      <c r="AP155" s="324"/>
      <c r="AQ155" s="324"/>
      <c r="AR155" s="324"/>
      <c r="AS155" s="324"/>
      <c r="AT155" s="324"/>
      <c r="AU155" s="324"/>
      <c r="AV155" s="324"/>
    </row>
    <row r="156" spans="2:48" s="273" customFormat="1" ht="13.5" customHeight="1" outlineLevel="1">
      <c r="B156" s="323"/>
      <c r="C156" s="323"/>
      <c r="D156" s="175"/>
      <c r="E156" s="175"/>
      <c r="F156" s="175"/>
      <c r="G156" s="274"/>
      <c r="H156" s="274"/>
      <c r="I156" s="274"/>
      <c r="J156" s="274"/>
      <c r="K156" s="274"/>
      <c r="L156" s="274"/>
      <c r="M156" s="274"/>
      <c r="N156" s="274"/>
      <c r="O156" s="274"/>
      <c r="P156" s="274"/>
      <c r="Q156" s="274"/>
      <c r="R156" s="317"/>
      <c r="S156" s="324"/>
      <c r="T156" s="324"/>
      <c r="U156" s="324"/>
      <c r="V156" s="324"/>
      <c r="W156" s="324"/>
      <c r="X156" s="324"/>
      <c r="Y156" s="324"/>
      <c r="Z156" s="324"/>
      <c r="AA156" s="324"/>
      <c r="AB156" s="324"/>
      <c r="AC156" s="324"/>
      <c r="AD156" s="324"/>
      <c r="AE156" s="324"/>
      <c r="AF156" s="324"/>
      <c r="AG156" s="324"/>
      <c r="AH156" s="324"/>
      <c r="AI156" s="324"/>
      <c r="AJ156" s="324"/>
      <c r="AK156" s="324"/>
      <c r="AL156" s="324"/>
      <c r="AM156" s="324"/>
      <c r="AN156" s="324"/>
      <c r="AO156" s="324"/>
      <c r="AP156" s="324"/>
      <c r="AQ156" s="324"/>
      <c r="AR156" s="324"/>
      <c r="AS156" s="324"/>
      <c r="AT156" s="324"/>
      <c r="AU156" s="324"/>
      <c r="AV156" s="324"/>
    </row>
    <row r="157" spans="2:48" ht="13.5" customHeight="1" outlineLevel="1">
      <c r="B157" s="108" t="s">
        <v>299</v>
      </c>
      <c r="C157" s="109"/>
      <c r="D157" s="109"/>
      <c r="E157" s="306"/>
      <c r="F157" s="306"/>
      <c r="G157" s="306"/>
      <c r="H157" s="306"/>
      <c r="I157" s="109"/>
      <c r="J157" s="306"/>
      <c r="K157" s="306"/>
      <c r="L157" s="306"/>
      <c r="M157" s="306"/>
      <c r="N157" s="306"/>
      <c r="O157" s="306"/>
      <c r="P157" s="306"/>
      <c r="Q157" s="110"/>
    </row>
    <row r="158" spans="2:48" ht="13.5" customHeight="1" outlineLevel="1">
      <c r="B158" s="50"/>
      <c r="C158" s="50"/>
      <c r="D158" s="50"/>
      <c r="G158" s="50"/>
      <c r="N158" s="57"/>
      <c r="R158" s="317"/>
    </row>
    <row r="159" spans="2:48" ht="13.5" customHeight="1" outlineLevel="1">
      <c r="B159" s="88" t="s">
        <v>123</v>
      </c>
      <c r="C159" s="260"/>
      <c r="G159" s="325">
        <f ca="1">Close!S170</f>
        <v>222.91761210974457</v>
      </c>
      <c r="H159" s="171">
        <f t="shared" ref="H159:Q159" ca="1" si="110">G159</f>
        <v>222.91761210974457</v>
      </c>
      <c r="I159" s="171">
        <f t="shared" ca="1" si="110"/>
        <v>222.91761210974457</v>
      </c>
      <c r="J159" s="171">
        <f t="shared" ca="1" si="110"/>
        <v>222.91761210974457</v>
      </c>
      <c r="K159" s="171">
        <f t="shared" ca="1" si="110"/>
        <v>222.91761210974457</v>
      </c>
      <c r="L159" s="171">
        <f t="shared" ca="1" si="110"/>
        <v>222.91761210974457</v>
      </c>
      <c r="M159" s="171">
        <f t="shared" ca="1" si="110"/>
        <v>222.91761210974457</v>
      </c>
      <c r="N159" s="171">
        <f t="shared" ca="1" si="110"/>
        <v>222.91761210974457</v>
      </c>
      <c r="O159" s="171">
        <f t="shared" ca="1" si="110"/>
        <v>222.91761210974457</v>
      </c>
      <c r="P159" s="171">
        <f t="shared" ca="1" si="110"/>
        <v>222.91761210974457</v>
      </c>
      <c r="Q159" s="171">
        <f t="shared" ca="1" si="110"/>
        <v>222.91761210974457</v>
      </c>
      <c r="R159" s="317"/>
    </row>
    <row r="160" spans="2:48" ht="13.5" customHeight="1" outlineLevel="1">
      <c r="B160" s="88" t="s">
        <v>122</v>
      </c>
      <c r="C160" s="88"/>
      <c r="G160" s="325">
        <f ca="1">Close!S171</f>
        <v>225.80464301482183</v>
      </c>
      <c r="H160" s="171">
        <f t="shared" ref="H160:Q160" ca="1" si="111">G160</f>
        <v>225.80464301482183</v>
      </c>
      <c r="I160" s="171">
        <f t="shared" ca="1" si="111"/>
        <v>225.80464301482183</v>
      </c>
      <c r="J160" s="171">
        <f t="shared" ca="1" si="111"/>
        <v>225.80464301482183</v>
      </c>
      <c r="K160" s="171">
        <f t="shared" ca="1" si="111"/>
        <v>225.80464301482183</v>
      </c>
      <c r="L160" s="171">
        <f t="shared" ca="1" si="111"/>
        <v>225.80464301482183</v>
      </c>
      <c r="M160" s="171">
        <f t="shared" ca="1" si="111"/>
        <v>225.80464301482183</v>
      </c>
      <c r="N160" s="171">
        <f t="shared" ca="1" si="111"/>
        <v>225.80464301482183</v>
      </c>
      <c r="O160" s="171">
        <f t="shared" ca="1" si="111"/>
        <v>225.80464301482183</v>
      </c>
      <c r="P160" s="171">
        <f t="shared" ca="1" si="111"/>
        <v>225.80464301482183</v>
      </c>
      <c r="Q160" s="171">
        <f t="shared" ca="1" si="111"/>
        <v>225.80464301482183</v>
      </c>
      <c r="R160" s="317"/>
    </row>
    <row r="161" spans="1:18" ht="5.0999999999999996" customHeight="1" outlineLevel="1" thickBot="1">
      <c r="B161" s="77"/>
      <c r="C161" s="77"/>
      <c r="D161" s="77"/>
      <c r="E161" s="77"/>
      <c r="F161" s="77"/>
      <c r="G161" s="77"/>
      <c r="H161" s="77"/>
      <c r="I161" s="77"/>
      <c r="J161" s="77"/>
      <c r="K161" s="77"/>
      <c r="L161" s="77"/>
      <c r="M161" s="77"/>
      <c r="N161" s="77"/>
      <c r="O161" s="77"/>
      <c r="P161" s="77"/>
      <c r="Q161" s="77"/>
      <c r="R161" s="317"/>
    </row>
    <row r="162" spans="1:18" ht="13.5" customHeight="1" outlineLevel="1">
      <c r="R162" s="317"/>
    </row>
    <row r="163" spans="1:18" ht="13.5" customHeight="1" outlineLevel="1" thickBot="1">
      <c r="B163" s="57"/>
      <c r="C163" s="57"/>
      <c r="D163" s="57"/>
      <c r="E163" s="57"/>
      <c r="F163" s="57"/>
      <c r="G163" s="57"/>
      <c r="H163" s="57"/>
      <c r="I163" s="57"/>
      <c r="J163" s="57"/>
      <c r="K163" s="57"/>
      <c r="L163" s="57"/>
      <c r="M163" s="57"/>
      <c r="R163" s="317"/>
    </row>
    <row r="164" spans="1:18" ht="20.7" thickTop="1">
      <c r="A164" s="281" t="s">
        <v>631</v>
      </c>
      <c r="B164" s="282" t="s">
        <v>434</v>
      </c>
      <c r="C164" s="283"/>
      <c r="D164" s="284"/>
      <c r="E164" s="284"/>
      <c r="F164" s="284"/>
      <c r="G164" s="284"/>
      <c r="H164" s="284"/>
      <c r="I164" s="284"/>
      <c r="J164" s="284"/>
      <c r="K164" s="284"/>
      <c r="L164" s="284"/>
      <c r="M164" s="284"/>
      <c r="N164" s="284"/>
      <c r="O164" s="284"/>
      <c r="P164" s="284"/>
      <c r="Q164" s="284"/>
    </row>
    <row r="165" spans="1:18" ht="5.0999999999999996" customHeight="1" outlineLevel="1">
      <c r="B165" s="107"/>
      <c r="C165" s="285"/>
      <c r="G165" s="285"/>
      <c r="N165" s="57"/>
      <c r="R165" s="317"/>
    </row>
    <row r="166" spans="1:18" ht="13.5" customHeight="1" outlineLevel="1">
      <c r="B166" s="286"/>
      <c r="C166" s="286"/>
      <c r="D166" s="286"/>
      <c r="E166" s="42"/>
      <c r="F166" s="42"/>
      <c r="G166" s="42"/>
      <c r="H166" s="42" t="s">
        <v>632</v>
      </c>
      <c r="I166" s="287" t="s">
        <v>629</v>
      </c>
      <c r="J166" s="287"/>
      <c r="K166" s="287"/>
      <c r="L166" s="287"/>
      <c r="M166" s="287"/>
      <c r="N166" s="287"/>
      <c r="O166" s="287"/>
      <c r="P166" s="287"/>
      <c r="Q166" s="287"/>
      <c r="R166" s="317"/>
    </row>
    <row r="167" spans="1:18" ht="13.5" customHeight="1" outlineLevel="1" thickBot="1">
      <c r="B167" s="288" t="str">
        <f>"("&amp;curr&amp;" in millions)"</f>
        <v>($ in millions)</v>
      </c>
      <c r="C167" s="289"/>
      <c r="D167" s="289"/>
      <c r="E167" s="290"/>
      <c r="F167" s="290"/>
      <c r="G167" s="291"/>
      <c r="H167" s="291">
        <f>H$8</f>
        <v>45291</v>
      </c>
      <c r="I167" s="292">
        <f t="shared" ref="I167:Q167" si="112">I$8</f>
        <v>45657</v>
      </c>
      <c r="J167" s="292">
        <f t="shared" si="112"/>
        <v>46022</v>
      </c>
      <c r="K167" s="292">
        <f t="shared" si="112"/>
        <v>46387</v>
      </c>
      <c r="L167" s="292">
        <f t="shared" si="112"/>
        <v>46752</v>
      </c>
      <c r="M167" s="292">
        <f t="shared" si="112"/>
        <v>47118</v>
      </c>
      <c r="N167" s="292">
        <f t="shared" si="112"/>
        <v>47483</v>
      </c>
      <c r="O167" s="292">
        <f t="shared" si="112"/>
        <v>47848</v>
      </c>
      <c r="P167" s="292">
        <f t="shared" si="112"/>
        <v>48213</v>
      </c>
      <c r="Q167" s="292">
        <f t="shared" si="112"/>
        <v>48579</v>
      </c>
      <c r="R167" s="317"/>
    </row>
    <row r="168" spans="1:18" ht="5.0999999999999996" customHeight="1" outlineLevel="1">
      <c r="B168" s="318"/>
      <c r="C168" s="318"/>
      <c r="D168" s="318"/>
      <c r="E168" s="319"/>
      <c r="F168" s="319"/>
      <c r="G168" s="326"/>
      <c r="H168" s="319"/>
      <c r="I168" s="319"/>
      <c r="J168" s="319"/>
      <c r="K168" s="319"/>
      <c r="L168" s="319"/>
      <c r="M168" s="319"/>
      <c r="N168" s="327"/>
      <c r="R168" s="317"/>
    </row>
    <row r="169" spans="1:18" ht="13.5" customHeight="1" outlineLevel="1">
      <c r="B169" s="108" t="s">
        <v>128</v>
      </c>
      <c r="C169" s="109"/>
      <c r="D169" s="109"/>
      <c r="E169" s="306"/>
      <c r="F169" s="306"/>
      <c r="G169" s="306"/>
      <c r="H169" s="306"/>
      <c r="I169" s="109"/>
      <c r="J169" s="306"/>
      <c r="K169" s="306"/>
      <c r="L169" s="306"/>
      <c r="M169" s="306"/>
      <c r="N169" s="306"/>
      <c r="O169" s="306"/>
      <c r="P169" s="306"/>
      <c r="Q169" s="110"/>
    </row>
    <row r="170" spans="1:18" ht="13.5" customHeight="1" outlineLevel="1">
      <c r="B170" s="50"/>
      <c r="C170" s="50"/>
      <c r="D170" s="50"/>
      <c r="G170" s="50"/>
      <c r="N170" s="57"/>
      <c r="R170" s="317"/>
    </row>
    <row r="171" spans="1:18" ht="13.5" customHeight="1" outlineLevel="1">
      <c r="B171" s="88" t="s">
        <v>37</v>
      </c>
      <c r="C171" s="88"/>
      <c r="D171" s="88"/>
      <c r="E171" s="88"/>
      <c r="F171" s="328"/>
      <c r="G171" s="50"/>
      <c r="H171" s="328">
        <f t="shared" ref="H171:Q171" ca="1" si="113">H44</f>
        <v>140.55290437689303</v>
      </c>
      <c r="I171" s="328">
        <f t="shared" ca="1" si="113"/>
        <v>368.07640506375054</v>
      </c>
      <c r="J171" s="328">
        <f t="shared" ca="1" si="113"/>
        <v>452.93150533730216</v>
      </c>
      <c r="K171" s="328">
        <f t="shared" ca="1" si="113"/>
        <v>525.852097216581</v>
      </c>
      <c r="L171" s="328">
        <f t="shared" ca="1" si="113"/>
        <v>607.17998215338685</v>
      </c>
      <c r="M171" s="328">
        <f t="shared" ca="1" si="113"/>
        <v>694.93206176490332</v>
      </c>
      <c r="N171" s="328">
        <f t="shared" ca="1" si="113"/>
        <v>763.34915260661887</v>
      </c>
      <c r="O171" s="328">
        <f t="shared" ca="1" si="113"/>
        <v>836.7748120622756</v>
      </c>
      <c r="P171" s="328">
        <f t="shared" ca="1" si="113"/>
        <v>917.28899252197107</v>
      </c>
      <c r="Q171" s="328">
        <f t="shared" ca="1" si="113"/>
        <v>1005.6191827395609</v>
      </c>
      <c r="R171" s="317"/>
    </row>
    <row r="172" spans="1:18" ht="13.5" customHeight="1" outlineLevel="1">
      <c r="B172" s="139" t="s">
        <v>94</v>
      </c>
      <c r="C172" s="88"/>
      <c r="D172" s="88"/>
      <c r="E172" s="88"/>
      <c r="F172" s="141"/>
      <c r="G172" s="50"/>
      <c r="H172" s="141">
        <f t="shared" ref="H172:Q172" si="114">H15</f>
        <v>46.274999999999999</v>
      </c>
      <c r="I172" s="141">
        <f t="shared" si="114"/>
        <v>102.98214285714286</v>
      </c>
      <c r="J172" s="141">
        <f t="shared" si="114"/>
        <v>111.12742857142858</v>
      </c>
      <c r="K172" s="141">
        <f t="shared" si="114"/>
        <v>120.12812428571432</v>
      </c>
      <c r="L172" s="141">
        <f t="shared" si="114"/>
        <v>130.06964410000006</v>
      </c>
      <c r="M172" s="141">
        <f t="shared" si="114"/>
        <v>141.04594225528578</v>
      </c>
      <c r="N172" s="141">
        <f t="shared" si="114"/>
        <v>153.1603671349815</v>
      </c>
      <c r="O172" s="141">
        <f t="shared" si="114"/>
        <v>166.52660066633135</v>
      </c>
      <c r="P172" s="141">
        <f t="shared" si="114"/>
        <v>181.53754880470896</v>
      </c>
      <c r="Q172" s="141">
        <f t="shared" si="114"/>
        <v>198.33076392335607</v>
      </c>
      <c r="R172" s="317"/>
    </row>
    <row r="173" spans="1:18" ht="13.5" customHeight="1" outlineLevel="1">
      <c r="B173" s="139" t="s">
        <v>46</v>
      </c>
      <c r="C173" s="88"/>
      <c r="D173" s="88"/>
      <c r="E173" s="88"/>
      <c r="F173" s="141"/>
      <c r="G173" s="50"/>
      <c r="H173" s="141">
        <f t="shared" ref="H173:Q173" ca="1" si="115">H16</f>
        <v>47.927316308877401</v>
      </c>
      <c r="I173" s="141">
        <f t="shared" ca="1" si="115"/>
        <v>93.629169355979329</v>
      </c>
      <c r="J173" s="141">
        <f t="shared" ca="1" si="115"/>
        <v>89.178242832428367</v>
      </c>
      <c r="K173" s="141">
        <f t="shared" ca="1" si="115"/>
        <v>75.818316308877414</v>
      </c>
      <c r="L173" s="141">
        <f t="shared" ca="1" si="115"/>
        <v>43.39638978532647</v>
      </c>
      <c r="M173" s="141">
        <f t="shared" ca="1" si="115"/>
        <v>2.2254632617754813</v>
      </c>
      <c r="N173" s="141">
        <f t="shared" ca="1" si="115"/>
        <v>0</v>
      </c>
      <c r="O173" s="141">
        <f t="shared" ca="1" si="115"/>
        <v>0</v>
      </c>
      <c r="P173" s="141">
        <f t="shared" ca="1" si="115"/>
        <v>0</v>
      </c>
      <c r="Q173" s="141">
        <f t="shared" ca="1" si="115"/>
        <v>0</v>
      </c>
      <c r="R173" s="317"/>
    </row>
    <row r="174" spans="1:18" ht="13.5" customHeight="1" outlineLevel="1">
      <c r="B174" s="139" t="s">
        <v>129</v>
      </c>
      <c r="C174" s="88"/>
      <c r="D174" s="88"/>
      <c r="E174" s="88"/>
      <c r="F174" s="329"/>
      <c r="G174" s="50"/>
      <c r="H174" s="141">
        <f ca="1">H776</f>
        <v>0.22500000000000001</v>
      </c>
      <c r="I174" s="141">
        <f ca="1">I776</f>
        <v>0.45</v>
      </c>
      <c r="J174" s="141">
        <f t="shared" ref="J174:Q174" ca="1" si="116">J776</f>
        <v>0.45</v>
      </c>
      <c r="K174" s="141">
        <f t="shared" ca="1" si="116"/>
        <v>0.45</v>
      </c>
      <c r="L174" s="141">
        <f t="shared" ca="1" si="116"/>
        <v>0.45</v>
      </c>
      <c r="M174" s="141">
        <f t="shared" ca="1" si="116"/>
        <v>0.22500000000000009</v>
      </c>
      <c r="N174" s="141">
        <f t="shared" ca="1" si="116"/>
        <v>0</v>
      </c>
      <c r="O174" s="141">
        <f t="shared" ca="1" si="116"/>
        <v>0</v>
      </c>
      <c r="P174" s="141">
        <f t="shared" ca="1" si="116"/>
        <v>0</v>
      </c>
      <c r="Q174" s="141">
        <f t="shared" ca="1" si="116"/>
        <v>0</v>
      </c>
      <c r="R174" s="317"/>
    </row>
    <row r="175" spans="1:18" ht="13.5" customHeight="1" outlineLevel="1">
      <c r="B175" s="139" t="s">
        <v>130</v>
      </c>
      <c r="C175" s="88"/>
      <c r="D175" s="88"/>
      <c r="E175" s="88"/>
      <c r="F175" s="141"/>
      <c r="G175" s="50"/>
      <c r="H175" s="141">
        <f t="shared" ref="H175:Q175" si="117">H17</f>
        <v>32.15</v>
      </c>
      <c r="I175" s="141">
        <f t="shared" si="117"/>
        <v>70.3</v>
      </c>
      <c r="J175" s="141">
        <f t="shared" si="117"/>
        <v>76.367000000000004</v>
      </c>
      <c r="K175" s="141">
        <f t="shared" si="117"/>
        <v>83.031070000000014</v>
      </c>
      <c r="L175" s="141">
        <f t="shared" si="117"/>
        <v>90.351820700000033</v>
      </c>
      <c r="M175" s="141">
        <f t="shared" si="117"/>
        <v>98.394822907000048</v>
      </c>
      <c r="N175" s="141">
        <f t="shared" si="117"/>
        <v>107.23220353607006</v>
      </c>
      <c r="O175" s="141">
        <f t="shared" si="117"/>
        <v>116.94330121143076</v>
      </c>
      <c r="P175" s="141">
        <f t="shared" si="117"/>
        <v>127.6153874275451</v>
      </c>
      <c r="Q175" s="141">
        <f t="shared" si="117"/>
        <v>139.34445982622057</v>
      </c>
      <c r="R175" s="317"/>
    </row>
    <row r="176" spans="1:18" ht="13.5" customHeight="1" outlineLevel="1">
      <c r="B176" s="139" t="s">
        <v>435</v>
      </c>
      <c r="C176" s="88"/>
      <c r="D176" s="88"/>
      <c r="E176" s="88"/>
      <c r="F176" s="141"/>
      <c r="G176" s="50"/>
      <c r="H176" s="141">
        <f>-(H275+H287)</f>
        <v>0</v>
      </c>
      <c r="I176" s="141">
        <f t="shared" ref="I176:Q176" si="118">-(I275+I287)</f>
        <v>0</v>
      </c>
      <c r="J176" s="141">
        <f t="shared" si="118"/>
        <v>0</v>
      </c>
      <c r="K176" s="141">
        <f t="shared" si="118"/>
        <v>0</v>
      </c>
      <c r="L176" s="141">
        <f t="shared" si="118"/>
        <v>0</v>
      </c>
      <c r="M176" s="141">
        <f t="shared" si="118"/>
        <v>0</v>
      </c>
      <c r="N176" s="141">
        <f t="shared" si="118"/>
        <v>0</v>
      </c>
      <c r="O176" s="141">
        <f t="shared" si="118"/>
        <v>0</v>
      </c>
      <c r="P176" s="141">
        <f t="shared" si="118"/>
        <v>0</v>
      </c>
      <c r="Q176" s="141">
        <f t="shared" si="118"/>
        <v>0</v>
      </c>
      <c r="R176" s="317"/>
    </row>
    <row r="177" spans="2:18" ht="13.5" customHeight="1" outlineLevel="1">
      <c r="B177" s="139" t="s">
        <v>642</v>
      </c>
      <c r="C177" s="88"/>
      <c r="D177" s="88"/>
      <c r="E177" s="88"/>
      <c r="F177" s="141"/>
      <c r="G177" s="50"/>
      <c r="H177" s="118">
        <f>-(H276+H288)</f>
        <v>0</v>
      </c>
      <c r="I177" s="118">
        <f t="shared" ref="I177:Q177" si="119">-(I276+I288)</f>
        <v>0</v>
      </c>
      <c r="J177" s="118">
        <f t="shared" si="119"/>
        <v>0</v>
      </c>
      <c r="K177" s="118">
        <f t="shared" si="119"/>
        <v>0</v>
      </c>
      <c r="L177" s="118">
        <f t="shared" si="119"/>
        <v>0</v>
      </c>
      <c r="M177" s="118">
        <f t="shared" si="119"/>
        <v>0</v>
      </c>
      <c r="N177" s="118">
        <f t="shared" si="119"/>
        <v>0</v>
      </c>
      <c r="O177" s="118">
        <f t="shared" si="119"/>
        <v>0</v>
      </c>
      <c r="P177" s="118">
        <f t="shared" si="119"/>
        <v>0</v>
      </c>
      <c r="Q177" s="118">
        <f t="shared" si="119"/>
        <v>0</v>
      </c>
      <c r="R177" s="317"/>
    </row>
    <row r="178" spans="2:18" ht="13.5" customHeight="1" outlineLevel="1">
      <c r="B178" s="139" t="s">
        <v>431</v>
      </c>
      <c r="C178" s="88"/>
      <c r="D178" s="88"/>
      <c r="E178" s="88"/>
      <c r="F178" s="329"/>
      <c r="G178" s="50"/>
      <c r="H178" s="330">
        <v>0</v>
      </c>
      <c r="I178" s="330">
        <v>0</v>
      </c>
      <c r="J178" s="330">
        <v>0</v>
      </c>
      <c r="K178" s="330">
        <v>0</v>
      </c>
      <c r="L178" s="330">
        <v>0</v>
      </c>
      <c r="M178" s="330">
        <v>0</v>
      </c>
      <c r="N178" s="330">
        <v>0</v>
      </c>
      <c r="O178" s="330">
        <v>0</v>
      </c>
      <c r="P178" s="330">
        <v>0</v>
      </c>
      <c r="Q178" s="330">
        <v>0</v>
      </c>
      <c r="R178" s="317"/>
    </row>
    <row r="179" spans="2:18" ht="13.5" customHeight="1" outlineLevel="1">
      <c r="B179" s="139" t="s">
        <v>432</v>
      </c>
      <c r="C179" s="88"/>
      <c r="D179" s="88"/>
      <c r="E179" s="88"/>
      <c r="F179" s="329"/>
      <c r="G179" s="50"/>
      <c r="H179" s="330">
        <v>0</v>
      </c>
      <c r="I179" s="330">
        <v>0</v>
      </c>
      <c r="J179" s="330">
        <v>0</v>
      </c>
      <c r="K179" s="330">
        <v>0</v>
      </c>
      <c r="L179" s="330">
        <v>0</v>
      </c>
      <c r="M179" s="330">
        <v>0</v>
      </c>
      <c r="N179" s="330">
        <v>0</v>
      </c>
      <c r="O179" s="330">
        <v>0</v>
      </c>
      <c r="P179" s="330">
        <v>0</v>
      </c>
      <c r="Q179" s="330">
        <v>0</v>
      </c>
      <c r="R179" s="317"/>
    </row>
    <row r="180" spans="2:18" ht="13.5" customHeight="1" outlineLevel="1">
      <c r="B180" s="139" t="str">
        <f>"PIK accrual – "&amp;B209</f>
        <v>PIK accrual – Convertible bond 1</v>
      </c>
      <c r="C180" s="88"/>
      <c r="D180" s="88"/>
      <c r="E180" s="88"/>
      <c r="F180" s="329"/>
      <c r="G180" s="50"/>
      <c r="H180" s="163">
        <f t="shared" ref="H180:Q180" si="120">H393</f>
        <v>22.3903125</v>
      </c>
      <c r="I180" s="163">
        <f t="shared" si="120"/>
        <v>46.907704687500001</v>
      </c>
      <c r="J180" s="163">
        <f t="shared" si="120"/>
        <v>38.522952474609376</v>
      </c>
      <c r="K180" s="163">
        <f t="shared" si="120"/>
        <v>0</v>
      </c>
      <c r="L180" s="163">
        <f t="shared" si="120"/>
        <v>0</v>
      </c>
      <c r="M180" s="163">
        <f t="shared" si="120"/>
        <v>0</v>
      </c>
      <c r="N180" s="163">
        <f t="shared" si="120"/>
        <v>0</v>
      </c>
      <c r="O180" s="163">
        <f t="shared" si="120"/>
        <v>0</v>
      </c>
      <c r="P180" s="163">
        <f t="shared" si="120"/>
        <v>0</v>
      </c>
      <c r="Q180" s="163">
        <f t="shared" si="120"/>
        <v>0</v>
      </c>
      <c r="R180" s="317"/>
    </row>
    <row r="181" spans="2:18" ht="13.5" customHeight="1" outlineLevel="1">
      <c r="B181" s="139" t="str">
        <f t="shared" ref="B181:B185" si="121">"PIK accrual – "&amp;B210</f>
        <v>PIK accrual – Convertible bond 2</v>
      </c>
      <c r="C181" s="88"/>
      <c r="D181" s="88"/>
      <c r="E181" s="88"/>
      <c r="F181" s="329"/>
      <c r="G181" s="50"/>
      <c r="H181" s="163">
        <f t="shared" ref="H181:Q181" ca="1" si="122">H399</f>
        <v>0</v>
      </c>
      <c r="I181" s="163">
        <f t="shared" ca="1" si="122"/>
        <v>0</v>
      </c>
      <c r="J181" s="163">
        <f t="shared" ca="1" si="122"/>
        <v>0</v>
      </c>
      <c r="K181" s="163">
        <f t="shared" ca="1" si="122"/>
        <v>0</v>
      </c>
      <c r="L181" s="163">
        <f t="shared" ca="1" si="122"/>
        <v>0</v>
      </c>
      <c r="M181" s="163">
        <f t="shared" ca="1" si="122"/>
        <v>0</v>
      </c>
      <c r="N181" s="163">
        <f t="shared" ca="1" si="122"/>
        <v>0</v>
      </c>
      <c r="O181" s="163">
        <f t="shared" ca="1" si="122"/>
        <v>0</v>
      </c>
      <c r="P181" s="163">
        <f t="shared" ca="1" si="122"/>
        <v>0</v>
      </c>
      <c r="Q181" s="163">
        <f t="shared" ca="1" si="122"/>
        <v>0</v>
      </c>
      <c r="R181" s="317"/>
    </row>
    <row r="182" spans="2:18" ht="13.5" customHeight="1" outlineLevel="1">
      <c r="B182" s="139" t="str">
        <f t="shared" si="121"/>
        <v>PIK accrual – Convertible bond 3</v>
      </c>
      <c r="C182" s="88"/>
      <c r="D182" s="88"/>
      <c r="E182" s="88"/>
      <c r="F182" s="329"/>
      <c r="G182" s="50"/>
      <c r="H182" s="163">
        <f t="shared" ref="H182:Q182" ca="1" si="123">H405</f>
        <v>0</v>
      </c>
      <c r="I182" s="163">
        <f t="shared" ca="1" si="123"/>
        <v>0</v>
      </c>
      <c r="J182" s="163">
        <f t="shared" ca="1" si="123"/>
        <v>0</v>
      </c>
      <c r="K182" s="163">
        <f t="shared" ca="1" si="123"/>
        <v>0</v>
      </c>
      <c r="L182" s="163">
        <f t="shared" ca="1" si="123"/>
        <v>0</v>
      </c>
      <c r="M182" s="163">
        <f t="shared" ca="1" si="123"/>
        <v>0</v>
      </c>
      <c r="N182" s="163">
        <f t="shared" ca="1" si="123"/>
        <v>0</v>
      </c>
      <c r="O182" s="163">
        <f t="shared" ca="1" si="123"/>
        <v>0</v>
      </c>
      <c r="P182" s="163">
        <f t="shared" ca="1" si="123"/>
        <v>0</v>
      </c>
      <c r="Q182" s="163">
        <f t="shared" ca="1" si="123"/>
        <v>0</v>
      </c>
      <c r="R182" s="317"/>
    </row>
    <row r="183" spans="2:18" ht="13.5" customHeight="1" outlineLevel="1">
      <c r="B183" s="139" t="str">
        <f t="shared" si="121"/>
        <v>PIK accrual – Preferred stock 1</v>
      </c>
      <c r="C183" s="88"/>
      <c r="D183" s="88"/>
      <c r="E183" s="88"/>
      <c r="F183" s="329"/>
      <c r="G183" s="50"/>
      <c r="H183" s="163">
        <f t="shared" ref="H183:Q183" si="124">H411</f>
        <v>0</v>
      </c>
      <c r="I183" s="163">
        <f t="shared" si="124"/>
        <v>0</v>
      </c>
      <c r="J183" s="163">
        <f t="shared" si="124"/>
        <v>0</v>
      </c>
      <c r="K183" s="163">
        <f t="shared" si="124"/>
        <v>0</v>
      </c>
      <c r="L183" s="163">
        <f t="shared" si="124"/>
        <v>0</v>
      </c>
      <c r="M183" s="163">
        <f t="shared" si="124"/>
        <v>0</v>
      </c>
      <c r="N183" s="163">
        <f t="shared" si="124"/>
        <v>0</v>
      </c>
      <c r="O183" s="163">
        <f t="shared" si="124"/>
        <v>0</v>
      </c>
      <c r="P183" s="163">
        <f t="shared" si="124"/>
        <v>0</v>
      </c>
      <c r="Q183" s="163">
        <f t="shared" si="124"/>
        <v>0</v>
      </c>
      <c r="R183" s="317"/>
    </row>
    <row r="184" spans="2:18" ht="13.5" customHeight="1" outlineLevel="1">
      <c r="B184" s="139" t="str">
        <f t="shared" si="121"/>
        <v>PIK accrual – Preferred stock 2</v>
      </c>
      <c r="C184" s="88"/>
      <c r="D184" s="88"/>
      <c r="E184" s="88"/>
      <c r="F184" s="329"/>
      <c r="G184" s="50"/>
      <c r="H184" s="163">
        <f t="shared" ref="H184:Q184" ca="1" si="125">H417</f>
        <v>0</v>
      </c>
      <c r="I184" s="163">
        <f t="shared" ca="1" si="125"/>
        <v>0</v>
      </c>
      <c r="J184" s="163">
        <f t="shared" ca="1" si="125"/>
        <v>0</v>
      </c>
      <c r="K184" s="163">
        <f t="shared" ca="1" si="125"/>
        <v>0</v>
      </c>
      <c r="L184" s="163">
        <f t="shared" ca="1" si="125"/>
        <v>0</v>
      </c>
      <c r="M184" s="163">
        <f t="shared" ca="1" si="125"/>
        <v>0</v>
      </c>
      <c r="N184" s="163">
        <f t="shared" ca="1" si="125"/>
        <v>0</v>
      </c>
      <c r="O184" s="163">
        <f t="shared" ca="1" si="125"/>
        <v>0</v>
      </c>
      <c r="P184" s="163">
        <f t="shared" ca="1" si="125"/>
        <v>0</v>
      </c>
      <c r="Q184" s="163">
        <f t="shared" ca="1" si="125"/>
        <v>0</v>
      </c>
      <c r="R184" s="317"/>
    </row>
    <row r="185" spans="2:18" ht="13.5" customHeight="1" outlineLevel="1">
      <c r="B185" s="139" t="str">
        <f t="shared" si="121"/>
        <v>PIK accrual – Preferred stock 3</v>
      </c>
      <c r="C185" s="88"/>
      <c r="D185" s="88"/>
      <c r="E185" s="88"/>
      <c r="F185" s="329"/>
      <c r="G185" s="50"/>
      <c r="H185" s="163">
        <f t="shared" ref="H185:Q185" ca="1" si="126">H423</f>
        <v>3.203125</v>
      </c>
      <c r="I185" s="163">
        <f t="shared" ca="1" si="126"/>
        <v>6.5704101562499995</v>
      </c>
      <c r="J185" s="163">
        <f t="shared" ca="1" si="126"/>
        <v>6.907143676757812</v>
      </c>
      <c r="K185" s="163">
        <f t="shared" ca="1" si="126"/>
        <v>7.2611347901916501</v>
      </c>
      <c r="L185" s="163">
        <f t="shared" ca="1" si="126"/>
        <v>7.6332679481889718</v>
      </c>
      <c r="M185" s="163">
        <f t="shared" ca="1" si="126"/>
        <v>8.0244729305336566</v>
      </c>
      <c r="N185" s="163">
        <f t="shared" ca="1" si="126"/>
        <v>8.4357271682235062</v>
      </c>
      <c r="O185" s="163">
        <f t="shared" ca="1" si="126"/>
        <v>8.8680581855949612</v>
      </c>
      <c r="P185" s="163">
        <f t="shared" ca="1" si="126"/>
        <v>9.3225461676067027</v>
      </c>
      <c r="Q185" s="163">
        <f t="shared" ca="1" si="126"/>
        <v>9.8003266586965463</v>
      </c>
      <c r="R185" s="317"/>
    </row>
    <row r="186" spans="2:18" ht="13.5" customHeight="1" outlineLevel="1">
      <c r="B186" s="119" t="s">
        <v>131</v>
      </c>
      <c r="C186" s="119"/>
      <c r="D186" s="119"/>
      <c r="E186" s="119"/>
      <c r="F186" s="331"/>
      <c r="G186" s="331"/>
      <c r="H186" s="331">
        <f ca="1">SUM(H172:OFFSET(H186,-1,0))</f>
        <v>152.17075380887738</v>
      </c>
      <c r="I186" s="331">
        <f ca="1">SUM(I172:OFFSET(I186,-1,0))</f>
        <v>320.83942705687218</v>
      </c>
      <c r="J186" s="331">
        <f ca="1">SUM(J172:OFFSET(J186,-1,0))</f>
        <v>322.55276755522414</v>
      </c>
      <c r="K186" s="331">
        <f ca="1">SUM(K172:OFFSET(K186,-1,0))</f>
        <v>286.6886453847834</v>
      </c>
      <c r="L186" s="331">
        <f ca="1">SUM(L172:OFFSET(L186,-1,0))</f>
        <v>271.90112253351555</v>
      </c>
      <c r="M186" s="331">
        <f ca="1">SUM(M172:OFFSET(M186,-1,0))</f>
        <v>249.91570135459494</v>
      </c>
      <c r="N186" s="331">
        <f ca="1">SUM(N172:OFFSET(N186,-1,0))</f>
        <v>268.82829783927502</v>
      </c>
      <c r="O186" s="331">
        <f ca="1">SUM(O172:OFFSET(O186,-1,0))</f>
        <v>292.33796006335712</v>
      </c>
      <c r="P186" s="331">
        <f ca="1">SUM(P172:OFFSET(P186,-1,0))</f>
        <v>318.47548239986077</v>
      </c>
      <c r="Q186" s="331">
        <f ca="1">SUM(Q172:OFFSET(Q186,-1,0))</f>
        <v>347.47555040827314</v>
      </c>
      <c r="R186" s="317"/>
    </row>
    <row r="187" spans="2:18" ht="13.5" customHeight="1" outlineLevel="1">
      <c r="B187" s="139" t="s">
        <v>132</v>
      </c>
      <c r="C187" s="88"/>
      <c r="D187" s="88"/>
      <c r="E187" s="88"/>
      <c r="F187" s="141"/>
      <c r="G187" s="141"/>
      <c r="H187" s="141">
        <f ca="1">G241-H241</f>
        <v>52.39170644865203</v>
      </c>
      <c r="I187" s="141">
        <f t="shared" ref="I187:Q187" ca="1" si="127">H241-I241</f>
        <v>1.11471387416168</v>
      </c>
      <c r="J187" s="141">
        <f t="shared" ca="1" si="127"/>
        <v>0.97300717244229418</v>
      </c>
      <c r="K187" s="141">
        <f t="shared" ca="1" si="127"/>
        <v>2.4538208317937915</v>
      </c>
      <c r="L187" s="141">
        <f t="shared" ca="1" si="127"/>
        <v>2.7082221332454992</v>
      </c>
      <c r="M187" s="141">
        <f t="shared" ca="1" si="127"/>
        <v>2.9881537570267938</v>
      </c>
      <c r="N187" s="141">
        <f t="shared" ca="1" si="127"/>
        <v>3.296169637290177</v>
      </c>
      <c r="O187" s="141">
        <f t="shared" ca="1" si="127"/>
        <v>3.6350791106247016</v>
      </c>
      <c r="P187" s="141">
        <f t="shared" ca="1" si="127"/>
        <v>4.0079724563897798</v>
      </c>
      <c r="Q187" s="141">
        <f t="shared" ca="1" si="127"/>
        <v>4.4182489910776894</v>
      </c>
      <c r="R187" s="317"/>
    </row>
    <row r="188" spans="2:18" ht="13.5" customHeight="1" outlineLevel="1">
      <c r="B188" s="139" t="s">
        <v>525</v>
      </c>
      <c r="C188" s="88"/>
      <c r="D188" s="88"/>
      <c r="E188" s="88"/>
      <c r="F188" s="88"/>
      <c r="G188" s="118"/>
      <c r="H188" s="118">
        <f t="shared" ref="H188:Q188" ca="1" si="128">H141-G141</f>
        <v>-1.9484109100272065</v>
      </c>
      <c r="I188" s="118">
        <f t="shared" ca="1" si="128"/>
        <v>-4.3674633234718101</v>
      </c>
      <c r="J188" s="118">
        <f t="shared" ca="1" si="128"/>
        <v>-2.6221240803065484</v>
      </c>
      <c r="K188" s="118">
        <f t="shared" ca="1" si="128"/>
        <v>-4.2274027519272863</v>
      </c>
      <c r="L188" s="118">
        <f t="shared" ca="1" si="128"/>
        <v>-3.1505134290336514</v>
      </c>
      <c r="M188" s="118">
        <f t="shared" ca="1" si="128"/>
        <v>-1.3264235108682101</v>
      </c>
      <c r="N188" s="118">
        <f t="shared" ca="1" si="128"/>
        <v>-0.28125241071421669</v>
      </c>
      <c r="O188" s="118">
        <f t="shared" ca="1" si="128"/>
        <v>-9.3750803571367669E-2</v>
      </c>
      <c r="P188" s="118">
        <f t="shared" ca="1" si="128"/>
        <v>0</v>
      </c>
      <c r="Q188" s="118">
        <f t="shared" ca="1" si="128"/>
        <v>0</v>
      </c>
      <c r="R188" s="317"/>
    </row>
    <row r="189" spans="2:18" ht="13.5" customHeight="1" outlineLevel="1">
      <c r="B189" s="139" t="s">
        <v>648</v>
      </c>
      <c r="C189" s="88"/>
      <c r="D189" s="88"/>
      <c r="E189" s="88"/>
      <c r="F189" s="88"/>
      <c r="G189" s="118"/>
      <c r="H189" s="118">
        <f t="shared" ref="H189:Q189" si="129">G117-H117</f>
        <v>0</v>
      </c>
      <c r="I189" s="118">
        <f t="shared" si="129"/>
        <v>0</v>
      </c>
      <c r="J189" s="118">
        <f t="shared" si="129"/>
        <v>0</v>
      </c>
      <c r="K189" s="118">
        <f t="shared" si="129"/>
        <v>0</v>
      </c>
      <c r="L189" s="118">
        <f t="shared" si="129"/>
        <v>0</v>
      </c>
      <c r="M189" s="118">
        <f t="shared" si="129"/>
        <v>0</v>
      </c>
      <c r="N189" s="118">
        <f t="shared" si="129"/>
        <v>0</v>
      </c>
      <c r="O189" s="118">
        <f t="shared" si="129"/>
        <v>0</v>
      </c>
      <c r="P189" s="118">
        <f t="shared" si="129"/>
        <v>0</v>
      </c>
      <c r="Q189" s="118">
        <f t="shared" si="129"/>
        <v>0</v>
      </c>
      <c r="R189" s="317"/>
    </row>
    <row r="190" spans="2:18" ht="13.5" customHeight="1" outlineLevel="1">
      <c r="B190" s="139" t="s">
        <v>649</v>
      </c>
      <c r="C190" s="88"/>
      <c r="D190" s="88"/>
      <c r="E190" s="88"/>
      <c r="F190" s="141"/>
      <c r="G190" s="141"/>
      <c r="H190" s="141">
        <f t="shared" ref="H190:Q190" si="130">H142-G142</f>
        <v>0</v>
      </c>
      <c r="I190" s="141">
        <f t="shared" si="130"/>
        <v>0</v>
      </c>
      <c r="J190" s="141">
        <f t="shared" si="130"/>
        <v>0</v>
      </c>
      <c r="K190" s="141">
        <f t="shared" si="130"/>
        <v>0</v>
      </c>
      <c r="L190" s="141">
        <f t="shared" si="130"/>
        <v>0</v>
      </c>
      <c r="M190" s="141">
        <f t="shared" si="130"/>
        <v>0</v>
      </c>
      <c r="N190" s="141">
        <f t="shared" si="130"/>
        <v>0</v>
      </c>
      <c r="O190" s="141">
        <f t="shared" si="130"/>
        <v>0</v>
      </c>
      <c r="P190" s="141">
        <f t="shared" si="130"/>
        <v>0</v>
      </c>
      <c r="Q190" s="141">
        <f t="shared" si="130"/>
        <v>0</v>
      </c>
      <c r="R190" s="317"/>
    </row>
    <row r="191" spans="2:18" ht="13.5" customHeight="1" outlineLevel="1">
      <c r="B191" s="332" t="s">
        <v>133</v>
      </c>
      <c r="C191" s="332"/>
      <c r="D191" s="332"/>
      <c r="E191" s="332"/>
      <c r="F191" s="333"/>
      <c r="G191" s="333"/>
      <c r="H191" s="333">
        <f ca="1">SUM(H187:OFFSET(H191,-1,0))</f>
        <v>50.443295538624824</v>
      </c>
      <c r="I191" s="333">
        <f ca="1">SUM(I187:OFFSET(I191,-1,0))</f>
        <v>-3.2527494493101301</v>
      </c>
      <c r="J191" s="333">
        <f ca="1">SUM(J187:OFFSET(J191,-1,0))</f>
        <v>-1.6491169078642542</v>
      </c>
      <c r="K191" s="333">
        <f ca="1">SUM(K187:OFFSET(K191,-1,0))</f>
        <v>-1.7735819201334948</v>
      </c>
      <c r="L191" s="333">
        <f ca="1">SUM(L187:OFFSET(L191,-1,0))</f>
        <v>-0.44229129578815218</v>
      </c>
      <c r="M191" s="333">
        <f ca="1">SUM(M187:OFFSET(M191,-1,0))</f>
        <v>1.6617302461585837</v>
      </c>
      <c r="N191" s="333">
        <f ca="1">SUM(N187:OFFSET(N191,-1,0))</f>
        <v>3.0149172265759603</v>
      </c>
      <c r="O191" s="333">
        <f ca="1">SUM(O187:OFFSET(O191,-1,0))</f>
        <v>3.5413283070533339</v>
      </c>
      <c r="P191" s="333">
        <f ca="1">SUM(P187:OFFSET(P191,-1,0))</f>
        <v>4.0079724563897798</v>
      </c>
      <c r="Q191" s="333">
        <f ca="1">SUM(Q187:OFFSET(Q191,-1,0))</f>
        <v>4.4182489910776894</v>
      </c>
      <c r="R191" s="317"/>
    </row>
    <row r="192" spans="2:18" ht="13.5" customHeight="1" outlineLevel="1">
      <c r="B192" s="164" t="s">
        <v>134</v>
      </c>
      <c r="C192" s="164"/>
      <c r="D192" s="164"/>
      <c r="E192" s="164"/>
      <c r="F192" s="334"/>
      <c r="G192" s="166"/>
      <c r="H192" s="166">
        <f t="shared" ref="H192:Q192" ca="1" si="131">H171+H186+H191</f>
        <v>343.16695372439528</v>
      </c>
      <c r="I192" s="166">
        <f t="shared" ca="1" si="131"/>
        <v>685.66308267131262</v>
      </c>
      <c r="J192" s="166">
        <f t="shared" ca="1" si="131"/>
        <v>773.83515598466204</v>
      </c>
      <c r="K192" s="166">
        <f t="shared" ca="1" si="131"/>
        <v>810.76716068123096</v>
      </c>
      <c r="L192" s="166">
        <f t="shared" ca="1" si="131"/>
        <v>878.63881339111413</v>
      </c>
      <c r="M192" s="166">
        <f t="shared" ca="1" si="131"/>
        <v>946.50949336565691</v>
      </c>
      <c r="N192" s="166">
        <f t="shared" ca="1" si="131"/>
        <v>1035.19236767247</v>
      </c>
      <c r="O192" s="166">
        <f t="shared" ca="1" si="131"/>
        <v>1132.6541004326862</v>
      </c>
      <c r="P192" s="166">
        <f t="shared" ca="1" si="131"/>
        <v>1239.7724473782216</v>
      </c>
      <c r="Q192" s="166">
        <f t="shared" ca="1" si="131"/>
        <v>1357.5129821389116</v>
      </c>
      <c r="R192" s="317"/>
    </row>
    <row r="193" spans="2:18" ht="13.5" customHeight="1" outlineLevel="1">
      <c r="B193" s="50"/>
      <c r="C193" s="50"/>
      <c r="D193" s="50"/>
      <c r="G193" s="50"/>
      <c r="R193" s="317"/>
    </row>
    <row r="194" spans="2:18" ht="13.5" customHeight="1" outlineLevel="1">
      <c r="B194" s="108" t="s">
        <v>135</v>
      </c>
      <c r="C194" s="109"/>
      <c r="D194" s="109"/>
      <c r="E194" s="306"/>
      <c r="F194" s="306"/>
      <c r="G194" s="306"/>
      <c r="H194" s="306"/>
      <c r="I194" s="109"/>
      <c r="J194" s="306"/>
      <c r="K194" s="306"/>
      <c r="L194" s="306"/>
      <c r="M194" s="306"/>
      <c r="N194" s="306"/>
      <c r="O194" s="306"/>
      <c r="P194" s="306"/>
      <c r="Q194" s="110"/>
    </row>
    <row r="195" spans="2:18" ht="13.5" customHeight="1" outlineLevel="1">
      <c r="B195" s="50"/>
      <c r="C195" s="50"/>
      <c r="D195" s="50"/>
      <c r="G195" s="50"/>
      <c r="R195" s="317"/>
    </row>
    <row r="196" spans="2:18" ht="13.5" customHeight="1" outlineLevel="1">
      <c r="B196" s="88" t="s">
        <v>107</v>
      </c>
      <c r="C196" s="88"/>
      <c r="D196" s="88"/>
      <c r="E196" s="88"/>
      <c r="F196" s="114"/>
      <c r="G196" s="50"/>
      <c r="H196" s="335">
        <f t="shared" ref="H196:Q196" si="132">-H53</f>
        <v>-108.85</v>
      </c>
      <c r="I196" s="335">
        <f t="shared" si="132"/>
        <v>-241.3</v>
      </c>
      <c r="J196" s="335">
        <f t="shared" si="132"/>
        <v>-264.08</v>
      </c>
      <c r="K196" s="335">
        <f t="shared" si="132"/>
        <v>-289.12450000000007</v>
      </c>
      <c r="L196" s="335">
        <f t="shared" si="132"/>
        <v>-316.65981500000015</v>
      </c>
      <c r="M196" s="335">
        <f t="shared" si="132"/>
        <v>-346.93489015000017</v>
      </c>
      <c r="N196" s="335">
        <f t="shared" si="132"/>
        <v>-380.22356375150019</v>
      </c>
      <c r="O196" s="335">
        <f t="shared" si="132"/>
        <v>-416.8270565590152</v>
      </c>
      <c r="P196" s="335">
        <f t="shared" si="132"/>
        <v>-457.07671001160548</v>
      </c>
      <c r="Q196" s="335">
        <f t="shared" si="132"/>
        <v>-501.33699828742158</v>
      </c>
      <c r="R196" s="317"/>
    </row>
    <row r="197" spans="2:18" ht="13.5" customHeight="1" outlineLevel="1">
      <c r="B197" s="88" t="s">
        <v>136</v>
      </c>
      <c r="C197" s="88"/>
      <c r="D197" s="88"/>
      <c r="E197" s="88"/>
      <c r="F197" s="329"/>
      <c r="G197" s="50"/>
      <c r="H197" s="330">
        <v>0</v>
      </c>
      <c r="I197" s="330">
        <v>0</v>
      </c>
      <c r="J197" s="330">
        <v>0</v>
      </c>
      <c r="K197" s="330">
        <v>0</v>
      </c>
      <c r="L197" s="330">
        <v>0</v>
      </c>
      <c r="M197" s="330">
        <v>0</v>
      </c>
      <c r="N197" s="330">
        <v>0</v>
      </c>
      <c r="O197" s="330">
        <v>0</v>
      </c>
      <c r="P197" s="330">
        <v>0</v>
      </c>
      <c r="Q197" s="330">
        <v>0</v>
      </c>
      <c r="R197" s="317"/>
    </row>
    <row r="198" spans="2:18" ht="13.5" customHeight="1" outlineLevel="1">
      <c r="B198" s="164" t="s">
        <v>137</v>
      </c>
      <c r="C198" s="164"/>
      <c r="D198" s="164"/>
      <c r="E198" s="164"/>
      <c r="F198" s="334"/>
      <c r="G198" s="166"/>
      <c r="H198" s="166">
        <f ca="1">SUM(H196:OFFSET(H198,-1,0))</f>
        <v>-108.85</v>
      </c>
      <c r="I198" s="166">
        <f ca="1">SUM(I196:OFFSET(I198,-1,0))</f>
        <v>-241.3</v>
      </c>
      <c r="J198" s="166">
        <f ca="1">SUM(J196:OFFSET(J198,-1,0))</f>
        <v>-264.08</v>
      </c>
      <c r="K198" s="166">
        <f ca="1">SUM(K196:OFFSET(K198,-1,0))</f>
        <v>-289.12450000000007</v>
      </c>
      <c r="L198" s="166">
        <f ca="1">SUM(L196:OFFSET(L198,-1,0))</f>
        <v>-316.65981500000015</v>
      </c>
      <c r="M198" s="166">
        <f ca="1">SUM(M196:OFFSET(M198,-1,0))</f>
        <v>-346.93489015000017</v>
      </c>
      <c r="N198" s="166">
        <f ca="1">SUM(N196:OFFSET(N198,-1,0))</f>
        <v>-380.22356375150019</v>
      </c>
      <c r="O198" s="166">
        <f ca="1">SUM(O196:OFFSET(O198,-1,0))</f>
        <v>-416.8270565590152</v>
      </c>
      <c r="P198" s="166">
        <f ca="1">SUM(P196:OFFSET(P198,-1,0))</f>
        <v>-457.07671001160548</v>
      </c>
      <c r="Q198" s="166">
        <f ca="1">SUM(Q196:OFFSET(Q198,-1,0))</f>
        <v>-501.33699828742158</v>
      </c>
      <c r="R198" s="317"/>
    </row>
    <row r="199" spans="2:18" ht="13.5" customHeight="1" outlineLevel="1">
      <c r="B199" s="50"/>
      <c r="C199" s="50"/>
      <c r="D199" s="50"/>
      <c r="G199" s="50"/>
      <c r="R199" s="317"/>
    </row>
    <row r="200" spans="2:18" ht="13.5" customHeight="1" outlineLevel="1">
      <c r="B200" s="108" t="s">
        <v>138</v>
      </c>
      <c r="C200" s="109"/>
      <c r="D200" s="109"/>
      <c r="E200" s="306"/>
      <c r="F200" s="306"/>
      <c r="G200" s="306"/>
      <c r="H200" s="306"/>
      <c r="I200" s="109"/>
      <c r="J200" s="306"/>
      <c r="K200" s="306"/>
      <c r="L200" s="306"/>
      <c r="M200" s="306"/>
      <c r="N200" s="306"/>
      <c r="O200" s="306"/>
      <c r="P200" s="306"/>
      <c r="Q200" s="110"/>
    </row>
    <row r="201" spans="2:18" ht="13.5" customHeight="1" outlineLevel="1">
      <c r="B201" s="50"/>
      <c r="C201" s="50"/>
      <c r="D201" s="50"/>
      <c r="G201" s="50"/>
      <c r="R201" s="317"/>
    </row>
    <row r="202" spans="2:18" ht="13.5" customHeight="1" outlineLevel="1">
      <c r="B202" s="88" t="str">
        <f>B130</f>
        <v>Revolver</v>
      </c>
      <c r="C202" s="50"/>
      <c r="D202" s="50"/>
      <c r="G202" s="50"/>
      <c r="H202" s="114">
        <f t="shared" ref="H202:Q202" ca="1" si="133">H130-G130</f>
        <v>-236.80132158347476</v>
      </c>
      <c r="I202" s="114">
        <f t="shared" ca="1" si="133"/>
        <v>0</v>
      </c>
      <c r="J202" s="114">
        <f t="shared" ca="1" si="133"/>
        <v>0</v>
      </c>
      <c r="K202" s="114">
        <f t="shared" ca="1" si="133"/>
        <v>0</v>
      </c>
      <c r="L202" s="114">
        <f t="shared" ca="1" si="133"/>
        <v>0</v>
      </c>
      <c r="M202" s="114">
        <f t="shared" ca="1" si="133"/>
        <v>0</v>
      </c>
      <c r="N202" s="114">
        <f t="shared" ca="1" si="133"/>
        <v>0</v>
      </c>
      <c r="O202" s="114">
        <f t="shared" ca="1" si="133"/>
        <v>0</v>
      </c>
      <c r="P202" s="114">
        <f t="shared" ca="1" si="133"/>
        <v>0</v>
      </c>
      <c r="Q202" s="114">
        <f t="shared" ca="1" si="133"/>
        <v>0</v>
      </c>
      <c r="R202" s="317"/>
    </row>
    <row r="203" spans="2:18" ht="13.5" customHeight="1" outlineLevel="1">
      <c r="B203" s="75" t="str">
        <f>Acquirer!$B$111</f>
        <v>Senior credit facility 1</v>
      </c>
      <c r="C203" s="50"/>
      <c r="D203" s="50"/>
      <c r="G203" s="50"/>
      <c r="H203" s="118">
        <f ca="1">H313+H327</f>
        <v>0</v>
      </c>
      <c r="I203" s="118">
        <f t="shared" ref="I203:Q203" ca="1" si="134">I313+I327</f>
        <v>0</v>
      </c>
      <c r="J203" s="118">
        <f t="shared" ca="1" si="134"/>
        <v>0</v>
      </c>
      <c r="K203" s="118">
        <f t="shared" ca="1" si="134"/>
        <v>0</v>
      </c>
      <c r="L203" s="118">
        <f t="shared" ca="1" si="134"/>
        <v>0</v>
      </c>
      <c r="M203" s="118">
        <f t="shared" ca="1" si="134"/>
        <v>0</v>
      </c>
      <c r="N203" s="118">
        <f t="shared" ca="1" si="134"/>
        <v>0</v>
      </c>
      <c r="O203" s="118">
        <f t="shared" ca="1" si="134"/>
        <v>0</v>
      </c>
      <c r="P203" s="118">
        <f t="shared" ca="1" si="134"/>
        <v>0</v>
      </c>
      <c r="Q203" s="118">
        <f t="shared" ca="1" si="134"/>
        <v>0</v>
      </c>
      <c r="R203" s="317"/>
    </row>
    <row r="204" spans="2:18" ht="13.5" customHeight="1" outlineLevel="1">
      <c r="B204" s="75" t="str">
        <f>Target!$B$111</f>
        <v>Senior credit facility 2</v>
      </c>
      <c r="C204" s="50"/>
      <c r="D204" s="50"/>
      <c r="G204" s="50"/>
      <c r="H204" s="118">
        <f t="shared" ref="H204:Q208" ca="1" si="135">H314+H328</f>
        <v>0</v>
      </c>
      <c r="I204" s="118">
        <f t="shared" ca="1" si="135"/>
        <v>0</v>
      </c>
      <c r="J204" s="118">
        <f t="shared" ca="1" si="135"/>
        <v>0</v>
      </c>
      <c r="K204" s="118">
        <f t="shared" ca="1" si="135"/>
        <v>0</v>
      </c>
      <c r="L204" s="118">
        <f t="shared" ca="1" si="135"/>
        <v>0</v>
      </c>
      <c r="M204" s="118">
        <f t="shared" ca="1" si="135"/>
        <v>0</v>
      </c>
      <c r="N204" s="118">
        <f t="shared" ca="1" si="135"/>
        <v>0</v>
      </c>
      <c r="O204" s="118">
        <f t="shared" ca="1" si="135"/>
        <v>0</v>
      </c>
      <c r="P204" s="118">
        <f t="shared" ca="1" si="135"/>
        <v>0</v>
      </c>
      <c r="Q204" s="118">
        <f t="shared" ca="1" si="135"/>
        <v>0</v>
      </c>
      <c r="R204" s="317"/>
    </row>
    <row r="205" spans="2:18" ht="13.5" customHeight="1" outlineLevel="1">
      <c r="B205" s="188" t="str">
        <f>Inputs!$B$19</f>
        <v>Senior credit facility 3</v>
      </c>
      <c r="C205" s="50"/>
      <c r="D205" s="50"/>
      <c r="G205" s="50"/>
      <c r="H205" s="118">
        <f t="shared" ca="1" si="135"/>
        <v>0</v>
      </c>
      <c r="I205" s="118">
        <f t="shared" ca="1" si="135"/>
        <v>0</v>
      </c>
      <c r="J205" s="118">
        <f t="shared" ca="1" si="135"/>
        <v>0</v>
      </c>
      <c r="K205" s="118">
        <f t="shared" ca="1" si="135"/>
        <v>-75</v>
      </c>
      <c r="L205" s="118">
        <f t="shared" ca="1" si="135"/>
        <v>0</v>
      </c>
      <c r="M205" s="118">
        <f t="shared" ca="1" si="135"/>
        <v>0</v>
      </c>
      <c r="N205" s="118">
        <f t="shared" ca="1" si="135"/>
        <v>0</v>
      </c>
      <c r="O205" s="118">
        <f t="shared" ca="1" si="135"/>
        <v>0</v>
      </c>
      <c r="P205" s="118">
        <f t="shared" ca="1" si="135"/>
        <v>0</v>
      </c>
      <c r="Q205" s="118">
        <f t="shared" ca="1" si="135"/>
        <v>0</v>
      </c>
      <c r="R205" s="317"/>
    </row>
    <row r="206" spans="2:18" ht="13.5" customHeight="1" outlineLevel="1">
      <c r="B206" s="75" t="str">
        <f>Acquirer!B112</f>
        <v>Subordinated note 1</v>
      </c>
      <c r="C206" s="50"/>
      <c r="D206" s="50"/>
      <c r="G206" s="50"/>
      <c r="H206" s="118">
        <f t="shared" ca="1" si="135"/>
        <v>0</v>
      </c>
      <c r="I206" s="118">
        <f t="shared" ca="1" si="135"/>
        <v>0</v>
      </c>
      <c r="J206" s="118">
        <f t="shared" ca="1" si="135"/>
        <v>0</v>
      </c>
      <c r="K206" s="118">
        <f t="shared" ca="1" si="135"/>
        <v>0</v>
      </c>
      <c r="L206" s="118">
        <f t="shared" ca="1" si="135"/>
        <v>0</v>
      </c>
      <c r="M206" s="118">
        <f t="shared" ca="1" si="135"/>
        <v>0</v>
      </c>
      <c r="N206" s="118">
        <f t="shared" ca="1" si="135"/>
        <v>0</v>
      </c>
      <c r="O206" s="118">
        <f t="shared" ca="1" si="135"/>
        <v>0</v>
      </c>
      <c r="P206" s="118">
        <f t="shared" ca="1" si="135"/>
        <v>0</v>
      </c>
      <c r="Q206" s="118">
        <f t="shared" ca="1" si="135"/>
        <v>0</v>
      </c>
      <c r="R206" s="317"/>
    </row>
    <row r="207" spans="2:18" ht="13.5" customHeight="1" outlineLevel="1">
      <c r="B207" s="75" t="str">
        <f>Target!$B$112</f>
        <v>Subordinated note 2</v>
      </c>
      <c r="C207" s="50"/>
      <c r="D207" s="50"/>
      <c r="G207" s="50"/>
      <c r="H207" s="118">
        <f t="shared" ca="1" si="135"/>
        <v>0</v>
      </c>
      <c r="I207" s="118">
        <f t="shared" ca="1" si="135"/>
        <v>0</v>
      </c>
      <c r="J207" s="118">
        <f t="shared" ca="1" si="135"/>
        <v>0</v>
      </c>
      <c r="K207" s="118">
        <f t="shared" ca="1" si="135"/>
        <v>0</v>
      </c>
      <c r="L207" s="118">
        <f t="shared" ca="1" si="135"/>
        <v>0</v>
      </c>
      <c r="M207" s="118">
        <f t="shared" ca="1" si="135"/>
        <v>0</v>
      </c>
      <c r="N207" s="118">
        <f t="shared" ca="1" si="135"/>
        <v>0</v>
      </c>
      <c r="O207" s="118">
        <f t="shared" ca="1" si="135"/>
        <v>0</v>
      </c>
      <c r="P207" s="118">
        <f t="shared" ca="1" si="135"/>
        <v>0</v>
      </c>
      <c r="Q207" s="118">
        <f t="shared" ca="1" si="135"/>
        <v>0</v>
      </c>
      <c r="R207" s="317"/>
    </row>
    <row r="208" spans="2:18" ht="13.5" customHeight="1" outlineLevel="1">
      <c r="B208" s="75" t="str">
        <f>Inputs!$B$20</f>
        <v>Subordinated note 3</v>
      </c>
      <c r="C208" s="50"/>
      <c r="D208" s="50"/>
      <c r="G208" s="50"/>
      <c r="H208" s="118">
        <f t="shared" ca="1" si="135"/>
        <v>0</v>
      </c>
      <c r="I208" s="118">
        <f t="shared" ca="1" si="135"/>
        <v>0</v>
      </c>
      <c r="J208" s="118">
        <f t="shared" ca="1" si="135"/>
        <v>0</v>
      </c>
      <c r="K208" s="118">
        <f t="shared" ca="1" si="135"/>
        <v>0</v>
      </c>
      <c r="L208" s="118">
        <f t="shared" ca="1" si="135"/>
        <v>0</v>
      </c>
      <c r="M208" s="118">
        <f t="shared" ca="1" si="135"/>
        <v>0</v>
      </c>
      <c r="N208" s="118">
        <f t="shared" ca="1" si="135"/>
        <v>0</v>
      </c>
      <c r="O208" s="118">
        <f t="shared" ca="1" si="135"/>
        <v>0</v>
      </c>
      <c r="P208" s="118">
        <f t="shared" ca="1" si="135"/>
        <v>0</v>
      </c>
      <c r="Q208" s="118">
        <f t="shared" ca="1" si="135"/>
        <v>0</v>
      </c>
      <c r="R208" s="317"/>
    </row>
    <row r="209" spans="1:18" ht="13.5" customHeight="1" outlineLevel="1">
      <c r="B209" s="75" t="str">
        <f>Acquirer!B113</f>
        <v>Convertible bond 1</v>
      </c>
      <c r="C209" s="50"/>
      <c r="D209" s="50"/>
      <c r="G209" s="50"/>
      <c r="H209" s="118">
        <f>H319</f>
        <v>0</v>
      </c>
      <c r="I209" s="118">
        <f t="shared" ref="I209:Q209" si="136">I319</f>
        <v>0</v>
      </c>
      <c r="J209" s="118">
        <f t="shared" si="136"/>
        <v>0</v>
      </c>
      <c r="K209" s="118">
        <f t="shared" si="136"/>
        <v>0</v>
      </c>
      <c r="L209" s="118">
        <f t="shared" si="136"/>
        <v>0</v>
      </c>
      <c r="M209" s="118">
        <f t="shared" si="136"/>
        <v>0</v>
      </c>
      <c r="N209" s="118">
        <f t="shared" si="136"/>
        <v>0</v>
      </c>
      <c r="O209" s="118">
        <f t="shared" si="136"/>
        <v>0</v>
      </c>
      <c r="P209" s="118">
        <f t="shared" si="136"/>
        <v>0</v>
      </c>
      <c r="Q209" s="118">
        <f t="shared" si="136"/>
        <v>0</v>
      </c>
      <c r="R209" s="317"/>
    </row>
    <row r="210" spans="1:18" ht="13.5" customHeight="1" outlineLevel="1">
      <c r="B210" s="75" t="str">
        <f>Target!$B$113</f>
        <v>Convertible bond 2</v>
      </c>
      <c r="C210" s="50"/>
      <c r="D210" s="50"/>
      <c r="G210" s="50"/>
      <c r="H210" s="118">
        <f t="shared" ref="H210:Q210" si="137">H320</f>
        <v>0</v>
      </c>
      <c r="I210" s="118">
        <f t="shared" si="137"/>
        <v>0</v>
      </c>
      <c r="J210" s="118">
        <f t="shared" si="137"/>
        <v>0</v>
      </c>
      <c r="K210" s="118">
        <f t="shared" si="137"/>
        <v>0</v>
      </c>
      <c r="L210" s="118">
        <f t="shared" si="137"/>
        <v>0</v>
      </c>
      <c r="M210" s="118">
        <f t="shared" si="137"/>
        <v>0</v>
      </c>
      <c r="N210" s="118">
        <f t="shared" si="137"/>
        <v>0</v>
      </c>
      <c r="O210" s="118">
        <f t="shared" si="137"/>
        <v>0</v>
      </c>
      <c r="P210" s="118">
        <f t="shared" si="137"/>
        <v>0</v>
      </c>
      <c r="Q210" s="118">
        <f t="shared" si="137"/>
        <v>0</v>
      </c>
      <c r="R210" s="317"/>
    </row>
    <row r="211" spans="1:18" ht="13.5" customHeight="1" outlineLevel="1">
      <c r="B211" s="75" t="str">
        <f>Inputs!B$21</f>
        <v>Convertible bond 3</v>
      </c>
      <c r="C211" s="50"/>
      <c r="D211" s="50"/>
      <c r="G211" s="50"/>
      <c r="H211" s="118">
        <f t="shared" ref="H211:Q211" si="138">H321</f>
        <v>0</v>
      </c>
      <c r="I211" s="118">
        <f t="shared" si="138"/>
        <v>0</v>
      </c>
      <c r="J211" s="118">
        <f t="shared" si="138"/>
        <v>0</v>
      </c>
      <c r="K211" s="118">
        <f t="shared" si="138"/>
        <v>0</v>
      </c>
      <c r="L211" s="118">
        <f t="shared" si="138"/>
        <v>0</v>
      </c>
      <c r="M211" s="118">
        <f t="shared" si="138"/>
        <v>0</v>
      </c>
      <c r="N211" s="118">
        <f t="shared" si="138"/>
        <v>0</v>
      </c>
      <c r="O211" s="118">
        <f t="shared" si="138"/>
        <v>0</v>
      </c>
      <c r="P211" s="118">
        <f t="shared" si="138"/>
        <v>0</v>
      </c>
      <c r="Q211" s="118">
        <f t="shared" si="138"/>
        <v>0</v>
      </c>
      <c r="R211" s="317"/>
    </row>
    <row r="212" spans="1:18" ht="13.5" customHeight="1" outlineLevel="1">
      <c r="B212" s="75" t="str">
        <f>Acquirer!B118</f>
        <v>Preferred stock 1</v>
      </c>
      <c r="C212" s="50"/>
      <c r="D212" s="50"/>
      <c r="G212" s="50"/>
      <c r="H212" s="118">
        <f>H412</f>
        <v>0</v>
      </c>
      <c r="I212" s="118">
        <f t="shared" ref="I212:Q212" si="139">I412</f>
        <v>0</v>
      </c>
      <c r="J212" s="118">
        <f t="shared" si="139"/>
        <v>0</v>
      </c>
      <c r="K212" s="118">
        <f t="shared" si="139"/>
        <v>0</v>
      </c>
      <c r="L212" s="118">
        <f t="shared" si="139"/>
        <v>0</v>
      </c>
      <c r="M212" s="118">
        <f t="shared" si="139"/>
        <v>0</v>
      </c>
      <c r="N212" s="118">
        <f t="shared" si="139"/>
        <v>0</v>
      </c>
      <c r="O212" s="118">
        <f t="shared" si="139"/>
        <v>0</v>
      </c>
      <c r="P212" s="118">
        <f t="shared" si="139"/>
        <v>0</v>
      </c>
      <c r="Q212" s="118">
        <f t="shared" si="139"/>
        <v>0</v>
      </c>
      <c r="R212" s="317"/>
    </row>
    <row r="213" spans="1:18" ht="13.5" customHeight="1" outlineLevel="1">
      <c r="B213" s="75" t="str">
        <f>Target!$B$118</f>
        <v>Preferred stock 2</v>
      </c>
      <c r="C213" s="50"/>
      <c r="D213" s="50"/>
      <c r="G213" s="50"/>
      <c r="H213" s="118">
        <f>H418</f>
        <v>0</v>
      </c>
      <c r="I213" s="118">
        <f t="shared" ref="I213:Q213" si="140">I418</f>
        <v>0</v>
      </c>
      <c r="J213" s="118">
        <f t="shared" si="140"/>
        <v>0</v>
      </c>
      <c r="K213" s="118">
        <f t="shared" si="140"/>
        <v>0</v>
      </c>
      <c r="L213" s="118">
        <f t="shared" si="140"/>
        <v>0</v>
      </c>
      <c r="M213" s="118">
        <f t="shared" si="140"/>
        <v>0</v>
      </c>
      <c r="N213" s="118">
        <f t="shared" si="140"/>
        <v>0</v>
      </c>
      <c r="O213" s="118">
        <f t="shared" si="140"/>
        <v>0</v>
      </c>
      <c r="P213" s="118">
        <f t="shared" si="140"/>
        <v>0</v>
      </c>
      <c r="Q213" s="118">
        <f t="shared" si="140"/>
        <v>0</v>
      </c>
      <c r="R213" s="317"/>
    </row>
    <row r="214" spans="1:18" ht="13.5" customHeight="1" outlineLevel="1">
      <c r="B214" s="75" t="str">
        <f>Inputs!B$22</f>
        <v>Preferred stock 3</v>
      </c>
      <c r="C214" s="50"/>
      <c r="D214" s="50"/>
      <c r="G214" s="50"/>
      <c r="H214" s="118">
        <f>H424</f>
        <v>0</v>
      </c>
      <c r="I214" s="118">
        <f t="shared" ref="I214:Q214" si="141">I424</f>
        <v>0</v>
      </c>
      <c r="J214" s="118">
        <f t="shared" si="141"/>
        <v>0</v>
      </c>
      <c r="K214" s="118">
        <f t="shared" si="141"/>
        <v>0</v>
      </c>
      <c r="L214" s="118">
        <f t="shared" si="141"/>
        <v>0</v>
      </c>
      <c r="M214" s="118">
        <f t="shared" si="141"/>
        <v>0</v>
      </c>
      <c r="N214" s="118">
        <f t="shared" si="141"/>
        <v>0</v>
      </c>
      <c r="O214" s="118">
        <f t="shared" si="141"/>
        <v>0</v>
      </c>
      <c r="P214" s="118">
        <f t="shared" si="141"/>
        <v>0</v>
      </c>
      <c r="Q214" s="118">
        <f t="shared" si="141"/>
        <v>0</v>
      </c>
      <c r="R214" s="317"/>
    </row>
    <row r="215" spans="1:18" ht="13.5" customHeight="1" outlineLevel="1">
      <c r="B215" s="88" t="s">
        <v>246</v>
      </c>
      <c r="C215" s="50"/>
      <c r="D215" s="50"/>
      <c r="G215" s="50"/>
      <c r="H215" s="118">
        <f t="shared" ref="H215:Q215" ca="1" si="142">-H54*H159</f>
        <v>-4.4583522421948913</v>
      </c>
      <c r="I215" s="118">
        <f t="shared" ca="1" si="142"/>
        <v>-8.9167044843897827</v>
      </c>
      <c r="J215" s="118">
        <f t="shared" ca="1" si="142"/>
        <v>-8.9167044843897827</v>
      </c>
      <c r="K215" s="118">
        <f t="shared" ca="1" si="142"/>
        <v>-8.9167044843897827</v>
      </c>
      <c r="L215" s="118">
        <f t="shared" ca="1" si="142"/>
        <v>-8.9167044843897827</v>
      </c>
      <c r="M215" s="118">
        <f t="shared" ca="1" si="142"/>
        <v>-8.9167044843897827</v>
      </c>
      <c r="N215" s="118">
        <f t="shared" ca="1" si="142"/>
        <v>-8.9167044843897827</v>
      </c>
      <c r="O215" s="118">
        <f t="shared" ca="1" si="142"/>
        <v>-8.9167044843897827</v>
      </c>
      <c r="P215" s="118">
        <f t="shared" ca="1" si="142"/>
        <v>-8.9167044843897827</v>
      </c>
      <c r="Q215" s="118">
        <f t="shared" ca="1" si="142"/>
        <v>-8.9167044843897827</v>
      </c>
      <c r="R215" s="317"/>
    </row>
    <row r="216" spans="1:18" ht="13.5" customHeight="1" outlineLevel="1">
      <c r="B216" s="164" t="s">
        <v>139</v>
      </c>
      <c r="C216" s="164"/>
      <c r="D216" s="164"/>
      <c r="E216" s="164"/>
      <c r="F216" s="334"/>
      <c r="G216" s="166"/>
      <c r="H216" s="166">
        <f ca="1">SUM(H202:OFFSET(H216,-1,0))</f>
        <v>-241.25967382566967</v>
      </c>
      <c r="I216" s="166">
        <f ca="1">SUM(I202:OFFSET(I216,-1,0))</f>
        <v>-8.9167044843897827</v>
      </c>
      <c r="J216" s="166">
        <f ca="1">SUM(J202:OFFSET(J216,-1,0))</f>
        <v>-8.9167044843897827</v>
      </c>
      <c r="K216" s="166">
        <f ca="1">SUM(K202:OFFSET(K216,-1,0))</f>
        <v>-83.916704484389783</v>
      </c>
      <c r="L216" s="166">
        <f ca="1">SUM(L202:OFFSET(L216,-1,0))</f>
        <v>-8.9167044843897827</v>
      </c>
      <c r="M216" s="166">
        <f ca="1">SUM(M202:OFFSET(M216,-1,0))</f>
        <v>-8.9167044843897827</v>
      </c>
      <c r="N216" s="166">
        <f ca="1">SUM(N202:OFFSET(N216,-1,0))</f>
        <v>-8.9167044843897827</v>
      </c>
      <c r="O216" s="166">
        <f ca="1">SUM(O202:OFFSET(O216,-1,0))</f>
        <v>-8.9167044843897827</v>
      </c>
      <c r="P216" s="166">
        <f ca="1">SUM(P202:OFFSET(P216,-1,0))</f>
        <v>-8.9167044843897827</v>
      </c>
      <c r="Q216" s="166">
        <f ca="1">SUM(Q202:OFFSET(Q216,-1,0))</f>
        <v>-8.9167044843897827</v>
      </c>
      <c r="R216" s="317"/>
    </row>
    <row r="217" spans="1:18" ht="13.5" customHeight="1" outlineLevel="1">
      <c r="B217" s="50"/>
      <c r="C217" s="50"/>
      <c r="D217" s="50"/>
      <c r="G217" s="50"/>
      <c r="N217" s="57"/>
      <c r="R217" s="317"/>
    </row>
    <row r="218" spans="1:18" ht="13.5" customHeight="1" outlineLevel="1">
      <c r="B218" s="88" t="s">
        <v>140</v>
      </c>
      <c r="C218" s="50"/>
      <c r="D218" s="50"/>
      <c r="G218" s="50"/>
      <c r="H218" s="114">
        <f t="shared" ref="H218:Q218" ca="1" si="143">H192+H198+H216</f>
        <v>-6.9427201012743751</v>
      </c>
      <c r="I218" s="114">
        <f t="shared" ca="1" si="143"/>
        <v>435.44637818692286</v>
      </c>
      <c r="J218" s="114">
        <f t="shared" ca="1" si="143"/>
        <v>500.8384515002723</v>
      </c>
      <c r="K218" s="114">
        <f t="shared" ca="1" si="143"/>
        <v>437.72595619684103</v>
      </c>
      <c r="L218" s="114">
        <f t="shared" ca="1" si="143"/>
        <v>553.06229390672411</v>
      </c>
      <c r="M218" s="114">
        <f t="shared" ca="1" si="143"/>
        <v>590.65789873126687</v>
      </c>
      <c r="N218" s="114">
        <f t="shared" ca="1" si="143"/>
        <v>646.05209943657997</v>
      </c>
      <c r="O218" s="114">
        <f t="shared" ca="1" si="143"/>
        <v>706.91033938928115</v>
      </c>
      <c r="P218" s="114">
        <f t="shared" ca="1" si="143"/>
        <v>773.77903288222637</v>
      </c>
      <c r="Q218" s="114">
        <f t="shared" ca="1" si="143"/>
        <v>847.25927936710025</v>
      </c>
      <c r="R218" s="317"/>
    </row>
    <row r="219" spans="1:18" ht="5.0999999999999996" customHeight="1" outlineLevel="1" thickBot="1">
      <c r="B219" s="336"/>
      <c r="C219" s="336"/>
      <c r="D219" s="336"/>
      <c r="E219" s="209"/>
      <c r="F219" s="209"/>
      <c r="G219" s="336"/>
      <c r="H219" s="209"/>
      <c r="I219" s="209"/>
      <c r="J219" s="209"/>
      <c r="K219" s="209"/>
      <c r="L219" s="209"/>
      <c r="M219" s="209"/>
      <c r="N219" s="337"/>
      <c r="O219" s="209"/>
      <c r="P219" s="209"/>
      <c r="Q219" s="209"/>
      <c r="R219" s="317"/>
    </row>
    <row r="220" spans="1:18" ht="13.5" customHeight="1" outlineLevel="1">
      <c r="B220" s="50"/>
      <c r="C220" s="50"/>
      <c r="D220" s="50"/>
      <c r="G220" s="50"/>
      <c r="N220" s="57"/>
      <c r="R220" s="317"/>
    </row>
    <row r="221" spans="1:18" ht="13.5" customHeight="1" outlineLevel="1" thickBot="1">
      <c r="B221" s="50"/>
      <c r="C221" s="50"/>
      <c r="D221" s="50"/>
      <c r="G221" s="50"/>
      <c r="N221" s="57"/>
      <c r="R221" s="317"/>
    </row>
    <row r="222" spans="1:18" ht="20.7" thickTop="1">
      <c r="A222" s="281" t="s">
        <v>631</v>
      </c>
      <c r="B222" s="282" t="s">
        <v>424</v>
      </c>
      <c r="C222" s="283"/>
      <c r="D222" s="284"/>
      <c r="E222" s="284"/>
      <c r="F222" s="284"/>
      <c r="G222" s="284"/>
      <c r="H222" s="284"/>
      <c r="I222" s="284"/>
      <c r="J222" s="284"/>
      <c r="K222" s="284"/>
      <c r="L222" s="284"/>
      <c r="M222" s="284"/>
      <c r="N222" s="284"/>
      <c r="O222" s="284"/>
      <c r="P222" s="284"/>
      <c r="Q222" s="284"/>
    </row>
    <row r="223" spans="1:18" ht="5.0999999999999996" customHeight="1" outlineLevel="1">
      <c r="B223" s="107"/>
      <c r="C223" s="285"/>
      <c r="G223" s="285"/>
      <c r="N223" s="57"/>
      <c r="R223" s="317"/>
    </row>
    <row r="224" spans="1:18" ht="13.5" customHeight="1" outlineLevel="1">
      <c r="B224" s="286"/>
      <c r="C224" s="286"/>
      <c r="D224" s="286"/>
      <c r="E224" s="42"/>
      <c r="F224" s="42"/>
      <c r="G224" s="42" t="s">
        <v>38</v>
      </c>
      <c r="H224" s="338" t="s">
        <v>632</v>
      </c>
      <c r="I224" s="287" t="s">
        <v>629</v>
      </c>
      <c r="J224" s="287"/>
      <c r="K224" s="287"/>
      <c r="L224" s="287"/>
      <c r="M224" s="287"/>
      <c r="N224" s="287"/>
      <c r="O224" s="287"/>
      <c r="P224" s="287"/>
      <c r="Q224" s="287"/>
      <c r="R224" s="317"/>
    </row>
    <row r="225" spans="2:18" ht="13.5" customHeight="1" outlineLevel="1" thickBot="1">
      <c r="B225" s="288" t="str">
        <f>"("&amp;curr&amp;" in millions)"</f>
        <v>($ in millions)</v>
      </c>
      <c r="C225" s="289"/>
      <c r="D225" s="289"/>
      <c r="E225" s="290"/>
      <c r="F225" s="290"/>
      <c r="G225" s="291">
        <f>close</f>
        <v>45107</v>
      </c>
      <c r="H225" s="291">
        <f>H$8</f>
        <v>45291</v>
      </c>
      <c r="I225" s="292">
        <f t="shared" ref="I225:Q225" si="144">I$8</f>
        <v>45657</v>
      </c>
      <c r="J225" s="292">
        <f t="shared" si="144"/>
        <v>46022</v>
      </c>
      <c r="K225" s="292">
        <f t="shared" si="144"/>
        <v>46387</v>
      </c>
      <c r="L225" s="292">
        <f t="shared" si="144"/>
        <v>46752</v>
      </c>
      <c r="M225" s="292">
        <f t="shared" si="144"/>
        <v>47118</v>
      </c>
      <c r="N225" s="292">
        <f t="shared" si="144"/>
        <v>47483</v>
      </c>
      <c r="O225" s="292">
        <f t="shared" si="144"/>
        <v>47848</v>
      </c>
      <c r="P225" s="292">
        <f t="shared" si="144"/>
        <v>48213</v>
      </c>
      <c r="Q225" s="292">
        <f t="shared" si="144"/>
        <v>48579</v>
      </c>
      <c r="R225" s="317"/>
    </row>
    <row r="226" spans="2:18" ht="5.0999999999999996" customHeight="1" outlineLevel="1">
      <c r="B226" s="318"/>
      <c r="C226" s="318"/>
      <c r="D226" s="318"/>
      <c r="E226" s="319"/>
      <c r="F226" s="319"/>
      <c r="G226" s="326"/>
      <c r="H226" s="319"/>
      <c r="I226" s="319"/>
      <c r="J226" s="319"/>
      <c r="K226" s="319"/>
      <c r="L226" s="319"/>
      <c r="M226" s="319"/>
      <c r="N226" s="327"/>
      <c r="R226" s="317"/>
    </row>
    <row r="227" spans="2:18" ht="13.5" customHeight="1" outlineLevel="1">
      <c r="B227" s="108" t="s">
        <v>86</v>
      </c>
      <c r="C227" s="109"/>
      <c r="D227" s="109"/>
      <c r="E227" s="306"/>
      <c r="F227" s="306"/>
      <c r="G227" s="306"/>
      <c r="H227" s="306"/>
      <c r="I227" s="109"/>
      <c r="J227" s="306"/>
      <c r="K227" s="306"/>
      <c r="L227" s="306"/>
      <c r="M227" s="306"/>
      <c r="N227" s="306"/>
      <c r="O227" s="306"/>
      <c r="P227" s="306"/>
      <c r="Q227" s="110"/>
    </row>
    <row r="228" spans="2:18" ht="13.5" customHeight="1" outlineLevel="1">
      <c r="B228" s="50"/>
      <c r="C228" s="50"/>
      <c r="D228" s="50"/>
      <c r="G228" s="50"/>
      <c r="N228" s="57"/>
      <c r="R228" s="317"/>
    </row>
    <row r="229" spans="2:18" ht="13.5" customHeight="1" outlineLevel="1">
      <c r="B229" s="139" t="str">
        <f>B104</f>
        <v>Accounts receivable</v>
      </c>
      <c r="C229" s="88"/>
      <c r="D229" s="88"/>
      <c r="E229" s="328"/>
      <c r="G229" s="223">
        <f>Close!S113</f>
        <v>818.32452765854953</v>
      </c>
      <c r="H229" s="339">
        <f ca="1">IF(H$3=0,G229,CHOOSE($E249,H$245,H$246)*H249/H$3)</f>
        <v>765.26264133551831</v>
      </c>
      <c r="I229" s="231">
        <f t="shared" ref="I229:Q229" ca="1" si="145">CHOOSE($E249,I$245,I$246)*I249/I$3</f>
        <v>841.14843711593619</v>
      </c>
      <c r="J229" s="231">
        <f t="shared" ca="1" si="145"/>
        <v>917.38454967738653</v>
      </c>
      <c r="K229" s="231">
        <f t="shared" ca="1" si="145"/>
        <v>1000.628366132784</v>
      </c>
      <c r="L229" s="231">
        <f t="shared" ca="1" si="145"/>
        <v>1092.1135586617893</v>
      </c>
      <c r="M229" s="231">
        <f t="shared" ca="1" si="145"/>
        <v>1192.6634348160435</v>
      </c>
      <c r="N229" s="231">
        <f t="shared" ca="1" si="145"/>
        <v>1303.1836246017951</v>
      </c>
      <c r="O229" s="231">
        <f t="shared" ca="1" si="145"/>
        <v>1424.6703126423549</v>
      </c>
      <c r="P229" s="231">
        <f t="shared" ca="1" si="145"/>
        <v>1558.2192935559656</v>
      </c>
      <c r="Q229" s="231">
        <f t="shared" ca="1" si="145"/>
        <v>1705.0359328706229</v>
      </c>
      <c r="R229" s="317"/>
    </row>
    <row r="230" spans="2:18" ht="13.5" customHeight="1" outlineLevel="1">
      <c r="B230" s="139" t="str">
        <f>B105</f>
        <v>Inventory</v>
      </c>
      <c r="C230" s="88"/>
      <c r="D230" s="88"/>
      <c r="E230" s="141"/>
      <c r="G230" s="126">
        <f>Close!S114</f>
        <v>0</v>
      </c>
      <c r="H230" s="184">
        <f ca="1">IF(H$3=0,G230,CHOOSE($E250,H$245,H$246)*H250/H$3)</f>
        <v>0</v>
      </c>
      <c r="I230" s="163">
        <f t="shared" ref="I230:Q230" ca="1" si="146">CHOOSE($E250,I$245,I$246)*I250/I$3</f>
        <v>0</v>
      </c>
      <c r="J230" s="163">
        <f t="shared" ca="1" si="146"/>
        <v>0</v>
      </c>
      <c r="K230" s="163">
        <f t="shared" ca="1" si="146"/>
        <v>0</v>
      </c>
      <c r="L230" s="163">
        <f t="shared" ca="1" si="146"/>
        <v>0</v>
      </c>
      <c r="M230" s="163">
        <f t="shared" ca="1" si="146"/>
        <v>0</v>
      </c>
      <c r="N230" s="163">
        <f t="shared" ca="1" si="146"/>
        <v>0</v>
      </c>
      <c r="O230" s="163">
        <f t="shared" ca="1" si="146"/>
        <v>0</v>
      </c>
      <c r="P230" s="163">
        <f t="shared" ca="1" si="146"/>
        <v>0</v>
      </c>
      <c r="Q230" s="163">
        <f t="shared" ca="1" si="146"/>
        <v>0</v>
      </c>
      <c r="R230" s="317"/>
    </row>
    <row r="231" spans="2:18" ht="13.5" customHeight="1" outlineLevel="1">
      <c r="B231" s="139" t="str">
        <f>B106</f>
        <v>Deferred tax asset, current</v>
      </c>
      <c r="C231" s="88"/>
      <c r="D231" s="88"/>
      <c r="E231" s="141"/>
      <c r="G231" s="126">
        <f>Close!S115</f>
        <v>138.44816379564372</v>
      </c>
      <c r="H231" s="184">
        <f ca="1">IF(H$3=0,G231,CHOOSE($E251,H$245,H$246)*H251/H$3)</f>
        <v>146.66985422640994</v>
      </c>
      <c r="I231" s="163">
        <f t="shared" ref="I231:Q231" ca="1" si="147">CHOOSE($E251,I$245,I$246)*I251/I$3</f>
        <v>161.21408780554418</v>
      </c>
      <c r="J231" s="163">
        <f t="shared" ca="1" si="147"/>
        <v>175.82546292332378</v>
      </c>
      <c r="K231" s="163">
        <f t="shared" ca="1" si="147"/>
        <v>191.77993105658547</v>
      </c>
      <c r="L231" s="163">
        <f t="shared" ca="1" si="147"/>
        <v>209.31393719686596</v>
      </c>
      <c r="M231" s="163">
        <f t="shared" ca="1" si="147"/>
        <v>228.58527605680402</v>
      </c>
      <c r="N231" s="163">
        <f t="shared" ca="1" si="147"/>
        <v>249.76752022942182</v>
      </c>
      <c r="O231" s="163">
        <f t="shared" ca="1" si="147"/>
        <v>273.05159796025407</v>
      </c>
      <c r="P231" s="163">
        <f t="shared" ca="1" si="147"/>
        <v>298.64752869653182</v>
      </c>
      <c r="Q231" s="163">
        <f t="shared" ca="1" si="147"/>
        <v>326.78633219112328</v>
      </c>
      <c r="R231" s="317"/>
    </row>
    <row r="232" spans="2:18" ht="13.5" customHeight="1" outlineLevel="1">
      <c r="B232" s="139" t="str">
        <f>B107</f>
        <v>Other current assets</v>
      </c>
      <c r="C232" s="88"/>
      <c r="D232" s="88"/>
      <c r="E232" s="141"/>
      <c r="G232" s="126">
        <f>Close!S116</f>
        <v>152.70579600975543</v>
      </c>
      <c r="H232" s="184">
        <f ca="1">IF(H$3=0,G232,CHOOSE($E252,H$245,H$246)*H252/H$3)</f>
        <v>160.53016409146073</v>
      </c>
      <c r="I232" s="163">
        <f t="shared" ref="I232:Q232" ca="1" si="148">CHOOSE($E252,I$245,I$246)*I252/I$3</f>
        <v>176.43416403767654</v>
      </c>
      <c r="J232" s="163">
        <f t="shared" ca="1" si="148"/>
        <v>192.37486984435685</v>
      </c>
      <c r="K232" s="163">
        <f t="shared" ca="1" si="148"/>
        <v>210.12870278187813</v>
      </c>
      <c r="L232" s="163">
        <f t="shared" ca="1" si="148"/>
        <v>229.64308247268235</v>
      </c>
      <c r="M232" s="163">
        <f t="shared" ca="1" si="148"/>
        <v>251.09391522669318</v>
      </c>
      <c r="N232" s="163">
        <f t="shared" ca="1" si="148"/>
        <v>274.67469650117249</v>
      </c>
      <c r="O232" s="163">
        <f t="shared" ca="1" si="148"/>
        <v>300.59826980061791</v>
      </c>
      <c r="P232" s="163">
        <f t="shared" ca="1" si="148"/>
        <v>329.09876146650106</v>
      </c>
      <c r="Q232" s="163">
        <f t="shared" ca="1" si="148"/>
        <v>360.4337089458308</v>
      </c>
      <c r="R232" s="317"/>
    </row>
    <row r="233" spans="2:18" ht="13.5" customHeight="1" outlineLevel="1">
      <c r="B233" s="116" t="s">
        <v>81</v>
      </c>
      <c r="C233" s="116"/>
      <c r="D233" s="116"/>
      <c r="E233" s="116"/>
      <c r="F233" s="116"/>
      <c r="G233" s="340">
        <f t="shared" ref="G233:Q233" si="149">SUM(G229:G232)</f>
        <v>1109.4784874639486</v>
      </c>
      <c r="H233" s="340">
        <f t="shared" ca="1" si="149"/>
        <v>1072.462659653389</v>
      </c>
      <c r="I233" s="340">
        <f t="shared" ca="1" si="149"/>
        <v>1178.7966889591569</v>
      </c>
      <c r="J233" s="340">
        <f t="shared" ca="1" si="149"/>
        <v>1285.5848824450673</v>
      </c>
      <c r="K233" s="340">
        <f t="shared" ca="1" si="149"/>
        <v>1402.5369999712475</v>
      </c>
      <c r="L233" s="340">
        <f t="shared" ca="1" si="149"/>
        <v>1531.0705783313376</v>
      </c>
      <c r="M233" s="340">
        <f t="shared" ca="1" si="149"/>
        <v>1672.3426260995407</v>
      </c>
      <c r="N233" s="340">
        <f t="shared" ca="1" si="149"/>
        <v>1827.6258413323894</v>
      </c>
      <c r="O233" s="340">
        <f t="shared" ca="1" si="149"/>
        <v>1998.3201804032269</v>
      </c>
      <c r="P233" s="340">
        <f t="shared" ca="1" si="149"/>
        <v>2185.9655837189985</v>
      </c>
      <c r="Q233" s="340">
        <f t="shared" ca="1" si="149"/>
        <v>2392.2559740075772</v>
      </c>
      <c r="R233" s="317"/>
    </row>
    <row r="234" spans="2:18" ht="13.5" customHeight="1" outlineLevel="1">
      <c r="B234" s="139" t="str">
        <f t="shared" ref="B234:B239" si="150">B122</f>
        <v>Accounts payable</v>
      </c>
      <c r="C234" s="88"/>
      <c r="D234" s="88"/>
      <c r="E234" s="328"/>
      <c r="G234" s="126">
        <f>Close!S132</f>
        <v>239.033311921821</v>
      </c>
      <c r="H234" s="184">
        <f t="shared" ref="H234:H239" ca="1" si="151">IF(H$3=0,G234,CHOOSE($E254,H$245,H$246)*H254/H$3)</f>
        <v>242.02201213040604</v>
      </c>
      <c r="I234" s="163">
        <f t="shared" ref="I234:Q234" ca="1" si="152">CHOOSE($E254,I$245,I$246)*I254/I$3</f>
        <v>265.99954987036631</v>
      </c>
      <c r="J234" s="163">
        <f t="shared" ca="1" si="152"/>
        <v>290.03242690594669</v>
      </c>
      <c r="K234" s="163">
        <f t="shared" ca="1" si="152"/>
        <v>316.79885049296735</v>
      </c>
      <c r="L234" s="163">
        <f t="shared" ca="1" si="152"/>
        <v>346.2195482476543</v>
      </c>
      <c r="M234" s="163">
        <f t="shared" ca="1" si="152"/>
        <v>378.55972390486397</v>
      </c>
      <c r="N234" s="163">
        <f t="shared" ca="1" si="152"/>
        <v>414.11109933611891</v>
      </c>
      <c r="O234" s="163">
        <f t="shared" ca="1" si="152"/>
        <v>453.1945663409071</v>
      </c>
      <c r="P234" s="163">
        <f t="shared" ca="1" si="152"/>
        <v>496.16310361688585</v>
      </c>
      <c r="Q234" s="163">
        <f t="shared" ca="1" si="152"/>
        <v>543.40498542688135</v>
      </c>
      <c r="R234" s="317"/>
    </row>
    <row r="235" spans="2:18" ht="13.5" customHeight="1" outlineLevel="1">
      <c r="B235" s="139" t="str">
        <f t="shared" si="150"/>
        <v>Accrued expenses</v>
      </c>
      <c r="C235" s="88"/>
      <c r="D235" s="88"/>
      <c r="E235" s="141"/>
      <c r="G235" s="200">
        <f>Close!S133</f>
        <v>477.2600748836864</v>
      </c>
      <c r="H235" s="184">
        <f t="shared" ca="1" si="151"/>
        <v>513.97919486154012</v>
      </c>
      <c r="I235" s="163">
        <f t="shared" ref="I235:Q235" ca="1" si="153">CHOOSE($E255,I$245,I$246)*I255/I$3</f>
        <v>564.89999927046563</v>
      </c>
      <c r="J235" s="163">
        <f t="shared" ca="1" si="153"/>
        <v>615.93832706644423</v>
      </c>
      <c r="K235" s="163">
        <f t="shared" ca="1" si="153"/>
        <v>672.78185432861369</v>
      </c>
      <c r="L235" s="163">
        <f t="shared" ca="1" si="153"/>
        <v>735.26223126255513</v>
      </c>
      <c r="M235" s="163">
        <f t="shared" ca="1" si="153"/>
        <v>803.9426678049017</v>
      </c>
      <c r="N235" s="163">
        <f t="shared" ca="1" si="153"/>
        <v>879.44269013564372</v>
      </c>
      <c r="O235" s="163">
        <f t="shared" ca="1" si="153"/>
        <v>962.4437722549626</v>
      </c>
      <c r="P235" s="163">
        <f t="shared" ca="1" si="153"/>
        <v>1053.6955307172707</v>
      </c>
      <c r="Q235" s="163">
        <f t="shared" ca="1" si="153"/>
        <v>1154.022538838178</v>
      </c>
      <c r="R235" s="317"/>
    </row>
    <row r="236" spans="2:18" ht="13.5" customHeight="1" outlineLevel="1">
      <c r="B236" s="139" t="str">
        <f t="shared" si="150"/>
        <v>Client deposits</v>
      </c>
      <c r="C236" s="88"/>
      <c r="D236" s="88"/>
      <c r="E236" s="141"/>
      <c r="G236" s="200">
        <f>Close!S134</f>
        <v>0</v>
      </c>
      <c r="H236" s="184">
        <f t="shared" ca="1" si="151"/>
        <v>0</v>
      </c>
      <c r="I236" s="163">
        <f t="shared" ref="I236:Q236" ca="1" si="154">CHOOSE($E256,I$245,I$246)*I256/I$3</f>
        <v>0</v>
      </c>
      <c r="J236" s="163">
        <f t="shared" ca="1" si="154"/>
        <v>0</v>
      </c>
      <c r="K236" s="163">
        <f t="shared" ca="1" si="154"/>
        <v>0</v>
      </c>
      <c r="L236" s="163">
        <f t="shared" ca="1" si="154"/>
        <v>0</v>
      </c>
      <c r="M236" s="163">
        <f t="shared" ca="1" si="154"/>
        <v>0</v>
      </c>
      <c r="N236" s="163">
        <f t="shared" ca="1" si="154"/>
        <v>0</v>
      </c>
      <c r="O236" s="163">
        <f t="shared" ca="1" si="154"/>
        <v>0</v>
      </c>
      <c r="P236" s="163">
        <f t="shared" ca="1" si="154"/>
        <v>0</v>
      </c>
      <c r="Q236" s="163">
        <f t="shared" ca="1" si="154"/>
        <v>0</v>
      </c>
      <c r="R236" s="317"/>
    </row>
    <row r="237" spans="2:18" ht="13.5" customHeight="1" outlineLevel="1">
      <c r="B237" s="139" t="str">
        <f t="shared" si="150"/>
        <v>Income taxes payable</v>
      </c>
      <c r="C237" s="88"/>
      <c r="D237" s="88"/>
      <c r="E237" s="141"/>
      <c r="G237" s="200">
        <f>Close!S135</f>
        <v>44.962856576592991</v>
      </c>
      <c r="H237" s="184">
        <f t="shared" ca="1" si="151"/>
        <v>46.654814381067965</v>
      </c>
      <c r="I237" s="163">
        <f t="shared" ref="I237:Q237" ca="1" si="155">CHOOSE($E257,I$245,I$246)*I257/I$3</f>
        <v>51.276987226941749</v>
      </c>
      <c r="J237" s="163">
        <f t="shared" ca="1" si="155"/>
        <v>55.909827881674765</v>
      </c>
      <c r="K237" s="163">
        <f t="shared" ca="1" si="155"/>
        <v>61.06961691534589</v>
      </c>
      <c r="L237" s="163">
        <f t="shared" ca="1" si="155"/>
        <v>66.741072914839151</v>
      </c>
      <c r="M237" s="163">
        <f t="shared" ca="1" si="155"/>
        <v>72.975319457361351</v>
      </c>
      <c r="N237" s="163">
        <f t="shared" ca="1" si="155"/>
        <v>79.828592046646136</v>
      </c>
      <c r="O237" s="163">
        <f t="shared" ca="1" si="155"/>
        <v>87.362749301294883</v>
      </c>
      <c r="P237" s="163">
        <f t="shared" ca="1" si="155"/>
        <v>95.645835261908346</v>
      </c>
      <c r="Q237" s="163">
        <f t="shared" ca="1" si="155"/>
        <v>104.75269792888801</v>
      </c>
      <c r="R237" s="317"/>
    </row>
    <row r="238" spans="2:18" ht="13.5" customHeight="1" outlineLevel="1">
      <c r="B238" s="139" t="str">
        <f t="shared" si="150"/>
        <v>Deferred revenue</v>
      </c>
      <c r="C238" s="88"/>
      <c r="D238" s="88"/>
      <c r="E238" s="141"/>
      <c r="G238" s="200">
        <f>Close!S136</f>
        <v>269.10201864176042</v>
      </c>
      <c r="H238" s="184">
        <f t="shared" ca="1" si="151"/>
        <v>281.63939573945106</v>
      </c>
      <c r="I238" s="163">
        <f t="shared" ref="I238:Q238" ca="1" si="156">CHOOSE($E258,I$245,I$246)*I258/I$3</f>
        <v>309.5676239246211</v>
      </c>
      <c r="J238" s="163">
        <f t="shared" ca="1" si="156"/>
        <v>337.62477909668172</v>
      </c>
      <c r="K238" s="163">
        <f t="shared" ca="1" si="156"/>
        <v>368.26097757179446</v>
      </c>
      <c r="L238" s="163">
        <f t="shared" ca="1" si="156"/>
        <v>401.93024737700858</v>
      </c>
      <c r="M238" s="163">
        <f t="shared" ca="1" si="156"/>
        <v>438.93559016016007</v>
      </c>
      <c r="N238" s="163">
        <f t="shared" ca="1" si="156"/>
        <v>479.61030467901702</v>
      </c>
      <c r="O238" s="163">
        <f t="shared" ca="1" si="156"/>
        <v>524.32101648172363</v>
      </c>
      <c r="P238" s="163">
        <f t="shared" ca="1" si="156"/>
        <v>573.47101055498467</v>
      </c>
      <c r="Q238" s="163">
        <f t="shared" ca="1" si="156"/>
        <v>627.50389723675846</v>
      </c>
      <c r="R238" s="317"/>
    </row>
    <row r="239" spans="2:18" ht="13.5" customHeight="1" outlineLevel="1">
      <c r="B239" s="139" t="str">
        <f t="shared" si="150"/>
        <v>Other current liabilities</v>
      </c>
      <c r="C239" s="88"/>
      <c r="D239" s="88"/>
      <c r="E239" s="141"/>
      <c r="G239" s="200">
        <f>Close!S137</f>
        <v>38.56127645051194</v>
      </c>
      <c r="H239" s="184">
        <f t="shared" ca="1" si="151"/>
        <v>0</v>
      </c>
      <c r="I239" s="163">
        <f t="shared" ref="I239:Q239" ca="1" si="157">CHOOSE($E259,I$245,I$246)*I259/I$3</f>
        <v>0</v>
      </c>
      <c r="J239" s="163">
        <f t="shared" ca="1" si="157"/>
        <v>0</v>
      </c>
      <c r="K239" s="163">
        <f t="shared" ca="1" si="157"/>
        <v>0</v>
      </c>
      <c r="L239" s="163">
        <f t="shared" ca="1" si="157"/>
        <v>0</v>
      </c>
      <c r="M239" s="163">
        <f t="shared" ca="1" si="157"/>
        <v>0</v>
      </c>
      <c r="N239" s="163">
        <f t="shared" ca="1" si="157"/>
        <v>0</v>
      </c>
      <c r="O239" s="163">
        <f t="shared" ca="1" si="157"/>
        <v>0</v>
      </c>
      <c r="P239" s="163">
        <f t="shared" ca="1" si="157"/>
        <v>0</v>
      </c>
      <c r="Q239" s="163">
        <f t="shared" ca="1" si="157"/>
        <v>0</v>
      </c>
      <c r="R239" s="317"/>
    </row>
    <row r="240" spans="2:18" ht="13.5" customHeight="1" outlineLevel="1">
      <c r="B240" s="116" t="s">
        <v>82</v>
      </c>
      <c r="C240" s="116"/>
      <c r="D240" s="116"/>
      <c r="E240" s="116"/>
      <c r="F240" s="116"/>
      <c r="G240" s="340">
        <f t="shared" ref="G240:Q240" si="158">SUM(G234:G239)</f>
        <v>1068.9195384743728</v>
      </c>
      <c r="H240" s="340">
        <f t="shared" ca="1" si="158"/>
        <v>1084.2954171124652</v>
      </c>
      <c r="I240" s="340">
        <f t="shared" ca="1" si="158"/>
        <v>1191.7441602923948</v>
      </c>
      <c r="J240" s="340">
        <f t="shared" ca="1" si="158"/>
        <v>1299.5053609507474</v>
      </c>
      <c r="K240" s="340">
        <f t="shared" ca="1" si="158"/>
        <v>1418.9112993087215</v>
      </c>
      <c r="L240" s="340">
        <f t="shared" ca="1" si="158"/>
        <v>1550.1530998020571</v>
      </c>
      <c r="M240" s="340">
        <f t="shared" ca="1" si="158"/>
        <v>1694.4133013272869</v>
      </c>
      <c r="N240" s="340">
        <f t="shared" ca="1" si="158"/>
        <v>1852.9926861974259</v>
      </c>
      <c r="O240" s="340">
        <f t="shared" ca="1" si="158"/>
        <v>2027.3221043788881</v>
      </c>
      <c r="P240" s="340">
        <f t="shared" ca="1" si="158"/>
        <v>2218.9754801510494</v>
      </c>
      <c r="Q240" s="340">
        <f t="shared" ca="1" si="158"/>
        <v>2429.6841194307058</v>
      </c>
      <c r="R240" s="317"/>
    </row>
    <row r="241" spans="2:18" ht="13.5" customHeight="1" outlineLevel="1">
      <c r="B241" s="164" t="s">
        <v>83</v>
      </c>
      <c r="C241" s="164"/>
      <c r="D241" s="164"/>
      <c r="E241" s="334"/>
      <c r="F241" s="334"/>
      <c r="G241" s="166">
        <f t="shared" ref="G241:Q241" si="159">G233-G240</f>
        <v>40.558948989575811</v>
      </c>
      <c r="H241" s="166">
        <f t="shared" ca="1" si="159"/>
        <v>-11.83275745907622</v>
      </c>
      <c r="I241" s="166">
        <f t="shared" ca="1" si="159"/>
        <v>-12.9474713332379</v>
      </c>
      <c r="J241" s="166">
        <f t="shared" ca="1" si="159"/>
        <v>-13.920478505680194</v>
      </c>
      <c r="K241" s="166">
        <f t="shared" ca="1" si="159"/>
        <v>-16.374299337473985</v>
      </c>
      <c r="L241" s="166">
        <f t="shared" ca="1" si="159"/>
        <v>-19.082521470719485</v>
      </c>
      <c r="M241" s="166">
        <f t="shared" ca="1" si="159"/>
        <v>-22.070675227746278</v>
      </c>
      <c r="N241" s="166">
        <f t="shared" ca="1" si="159"/>
        <v>-25.366844865036455</v>
      </c>
      <c r="O241" s="166">
        <f t="shared" ca="1" si="159"/>
        <v>-29.001923975661157</v>
      </c>
      <c r="P241" s="166">
        <f t="shared" ca="1" si="159"/>
        <v>-33.009896432050937</v>
      </c>
      <c r="Q241" s="166">
        <f t="shared" ca="1" si="159"/>
        <v>-37.428145423128626</v>
      </c>
      <c r="R241" s="317"/>
    </row>
    <row r="242" spans="2:18" ht="13.5" customHeight="1" outlineLevel="1">
      <c r="B242" s="50"/>
      <c r="C242" s="50"/>
      <c r="D242" s="50"/>
      <c r="G242" s="50"/>
      <c r="N242" s="57"/>
      <c r="R242" s="317"/>
    </row>
    <row r="243" spans="2:18" ht="13.5" customHeight="1" outlineLevel="1">
      <c r="B243" s="108" t="s">
        <v>387</v>
      </c>
      <c r="C243" s="109"/>
      <c r="D243" s="109"/>
      <c r="E243" s="306"/>
      <c r="F243" s="306"/>
      <c r="G243" s="306"/>
      <c r="H243" s="306"/>
      <c r="I243" s="109"/>
      <c r="J243" s="306"/>
      <c r="K243" s="306"/>
      <c r="L243" s="306"/>
      <c r="M243" s="306"/>
      <c r="N243" s="306"/>
      <c r="O243" s="306"/>
      <c r="P243" s="306"/>
      <c r="Q243" s="110"/>
    </row>
    <row r="244" spans="2:18" ht="13.5" customHeight="1" outlineLevel="1">
      <c r="B244" s="88"/>
      <c r="C244" s="88"/>
      <c r="D244" s="88"/>
      <c r="E244" s="88"/>
      <c r="G244" s="50"/>
      <c r="N244" s="57"/>
      <c r="R244" s="317"/>
    </row>
    <row r="245" spans="2:18" ht="13.5" customHeight="1" outlineLevel="1">
      <c r="B245" s="88" t="s">
        <v>88</v>
      </c>
      <c r="C245" s="88"/>
      <c r="D245" s="88"/>
      <c r="E245" s="328"/>
      <c r="G245" s="341"/>
      <c r="H245" s="198">
        <f t="shared" ref="H245:Q245" ca="1" si="160">H10</f>
        <v>1971.5</v>
      </c>
      <c r="I245" s="198">
        <f t="shared" ca="1" si="160"/>
        <v>4334</v>
      </c>
      <c r="J245" s="198">
        <f t="shared" ca="1" si="160"/>
        <v>4726.8050000000003</v>
      </c>
      <c r="K245" s="198">
        <f t="shared" ca="1" si="160"/>
        <v>5155.7170500000011</v>
      </c>
      <c r="L245" s="198">
        <f t="shared" ca="1" si="160"/>
        <v>5627.0926205000023</v>
      </c>
      <c r="M245" s="198">
        <f t="shared" ca="1" si="160"/>
        <v>6145.1737867050024</v>
      </c>
      <c r="N245" s="198">
        <f t="shared" ca="1" si="160"/>
        <v>6714.6267885720536</v>
      </c>
      <c r="O245" s="198">
        <f t="shared" ca="1" si="160"/>
        <v>7340.5844468577743</v>
      </c>
      <c r="P245" s="198">
        <f t="shared" ca="1" si="160"/>
        <v>8028.6928207663532</v>
      </c>
      <c r="Q245" s="198">
        <f t="shared" ca="1" si="160"/>
        <v>8785.1625313580189</v>
      </c>
      <c r="R245" s="317"/>
    </row>
    <row r="246" spans="2:18" ht="13.5" customHeight="1" outlineLevel="1">
      <c r="B246" s="88" t="s">
        <v>89</v>
      </c>
      <c r="C246" s="88"/>
      <c r="D246" s="88"/>
      <c r="E246" s="141"/>
      <c r="G246" s="163"/>
      <c r="H246" s="199">
        <f t="shared" ref="H246:Q246" ca="1" si="161">H11</f>
        <v>1178.5275000000001</v>
      </c>
      <c r="I246" s="199">
        <f t="shared" ca="1" si="161"/>
        <v>2590.5725000000002</v>
      </c>
      <c r="J246" s="199">
        <f t="shared" ca="1" si="161"/>
        <v>2824.6289500000007</v>
      </c>
      <c r="K246" s="199">
        <f t="shared" ca="1" si="161"/>
        <v>3085.3074395000012</v>
      </c>
      <c r="L246" s="199">
        <f t="shared" ca="1" si="161"/>
        <v>3371.8359338950013</v>
      </c>
      <c r="M246" s="199">
        <f t="shared" ca="1" si="161"/>
        <v>3686.797255233952</v>
      </c>
      <c r="N246" s="199">
        <f t="shared" ca="1" si="161"/>
        <v>4033.0324859862917</v>
      </c>
      <c r="O246" s="199">
        <f t="shared" ca="1" si="161"/>
        <v>4413.6667948661552</v>
      </c>
      <c r="P246" s="199">
        <f t="shared" ca="1" si="161"/>
        <v>4832.1378452368172</v>
      </c>
      <c r="Q246" s="199">
        <f t="shared" ca="1" si="161"/>
        <v>5292.2270443533862</v>
      </c>
      <c r="R246" s="317"/>
    </row>
    <row r="247" spans="2:18" ht="13.5" customHeight="1" outlineLevel="1">
      <c r="B247" s="147" t="s">
        <v>392</v>
      </c>
      <c r="C247" s="88"/>
      <c r="E247" s="342"/>
      <c r="G247" s="343"/>
      <c r="H247" s="199">
        <f t="shared" ref="H247:Q247" ca="1" si="162">H230-G230+H246</f>
        <v>1178.5275000000001</v>
      </c>
      <c r="I247" s="199">
        <f t="shared" ca="1" si="162"/>
        <v>2590.5725000000002</v>
      </c>
      <c r="J247" s="199">
        <f t="shared" ca="1" si="162"/>
        <v>2824.6289500000007</v>
      </c>
      <c r="K247" s="199">
        <f t="shared" ca="1" si="162"/>
        <v>3085.3074395000012</v>
      </c>
      <c r="L247" s="199">
        <f t="shared" ca="1" si="162"/>
        <v>3371.8359338950013</v>
      </c>
      <c r="M247" s="199">
        <f t="shared" ca="1" si="162"/>
        <v>3686.797255233952</v>
      </c>
      <c r="N247" s="199">
        <f t="shared" ca="1" si="162"/>
        <v>4033.0324859862917</v>
      </c>
      <c r="O247" s="199">
        <f t="shared" ca="1" si="162"/>
        <v>4413.6667948661552</v>
      </c>
      <c r="P247" s="199">
        <f t="shared" ca="1" si="162"/>
        <v>4832.1378452368172</v>
      </c>
      <c r="Q247" s="199">
        <f t="shared" ca="1" si="162"/>
        <v>5292.2270443533862</v>
      </c>
      <c r="R247" s="317"/>
    </row>
    <row r="248" spans="2:18" ht="13.5" customHeight="1" outlineLevel="1">
      <c r="B248" s="88"/>
      <c r="C248" s="88"/>
      <c r="E248" s="344" t="s">
        <v>121</v>
      </c>
      <c r="G248" s="50"/>
      <c r="H248" s="317"/>
      <c r="I248" s="317"/>
      <c r="J248" s="317"/>
      <c r="K248" s="317"/>
      <c r="L248" s="317"/>
      <c r="M248" s="317"/>
      <c r="N248" s="317"/>
      <c r="O248" s="317"/>
      <c r="P248" s="317"/>
      <c r="Q248" s="317"/>
      <c r="R248" s="317"/>
    </row>
    <row r="249" spans="2:18" ht="13.5" customHeight="1" outlineLevel="1">
      <c r="B249" s="147" t="str">
        <f>B229&amp;" / "&amp;CHOOSE(E249,"sales","COGS")</f>
        <v>Accounts receivable / sales</v>
      </c>
      <c r="C249" s="88"/>
      <c r="E249" s="345">
        <f>Acquirer!E201</f>
        <v>1</v>
      </c>
      <c r="G249" s="343"/>
      <c r="H249" s="197">
        <f>Acquirer!G201</f>
        <v>0.1940813191315035</v>
      </c>
      <c r="I249" s="197">
        <f>Acquirer!H201</f>
        <v>0.1940813191315035</v>
      </c>
      <c r="J249" s="197">
        <f>Acquirer!I201</f>
        <v>0.1940813191315035</v>
      </c>
      <c r="K249" s="197">
        <f>Acquirer!J201</f>
        <v>0.1940813191315035</v>
      </c>
      <c r="L249" s="197">
        <f>Acquirer!K201</f>
        <v>0.1940813191315035</v>
      </c>
      <c r="M249" s="197">
        <f>Acquirer!L201</f>
        <v>0.1940813191315035</v>
      </c>
      <c r="N249" s="197">
        <f>Acquirer!M201</f>
        <v>0.1940813191315035</v>
      </c>
      <c r="O249" s="197">
        <f>Acquirer!N201</f>
        <v>0.1940813191315035</v>
      </c>
      <c r="P249" s="197">
        <f>Acquirer!O201</f>
        <v>0.1940813191315035</v>
      </c>
      <c r="Q249" s="197">
        <f>Acquirer!P201</f>
        <v>0.1940813191315035</v>
      </c>
      <c r="R249" s="317"/>
    </row>
    <row r="250" spans="2:18" ht="13.5" customHeight="1" outlineLevel="1">
      <c r="B250" s="147" t="str">
        <f>B230&amp;" / "&amp;CHOOSE(E250,"sales","COGS")</f>
        <v>Inventory / COGS</v>
      </c>
      <c r="C250" s="88"/>
      <c r="E250" s="345">
        <f>Acquirer!E202</f>
        <v>2</v>
      </c>
      <c r="G250" s="343"/>
      <c r="H250" s="197">
        <f>Acquirer!G202</f>
        <v>0</v>
      </c>
      <c r="I250" s="197">
        <f>Acquirer!H202</f>
        <v>0</v>
      </c>
      <c r="J250" s="197">
        <f>Acquirer!I202</f>
        <v>0</v>
      </c>
      <c r="K250" s="197">
        <f>Acquirer!J202</f>
        <v>0</v>
      </c>
      <c r="L250" s="197">
        <f>Acquirer!K202</f>
        <v>0</v>
      </c>
      <c r="M250" s="197">
        <f>Acquirer!L202</f>
        <v>0</v>
      </c>
      <c r="N250" s="197">
        <f>Acquirer!M202</f>
        <v>0</v>
      </c>
      <c r="O250" s="197">
        <f>Acquirer!N202</f>
        <v>0</v>
      </c>
      <c r="P250" s="197">
        <f>Acquirer!O202</f>
        <v>0</v>
      </c>
      <c r="Q250" s="197">
        <f>Acquirer!P202</f>
        <v>0</v>
      </c>
      <c r="R250" s="317"/>
    </row>
    <row r="251" spans="2:18" ht="13.5" customHeight="1" outlineLevel="1">
      <c r="B251" s="147" t="str">
        <f>B231&amp;" / "&amp;CHOOSE(E251,"sales","COGS")</f>
        <v>Deferred tax asset, current / sales</v>
      </c>
      <c r="C251" s="88"/>
      <c r="E251" s="345">
        <f>Acquirer!E203</f>
        <v>1</v>
      </c>
      <c r="G251" s="343"/>
      <c r="H251" s="197">
        <f>Acquirer!G203</f>
        <v>3.7197528335381674E-2</v>
      </c>
      <c r="I251" s="197">
        <f>Acquirer!H203</f>
        <v>3.7197528335381674E-2</v>
      </c>
      <c r="J251" s="197">
        <f>Acquirer!I203</f>
        <v>3.7197528335381674E-2</v>
      </c>
      <c r="K251" s="197">
        <f>Acquirer!J203</f>
        <v>3.7197528335381674E-2</v>
      </c>
      <c r="L251" s="197">
        <f>Acquirer!K203</f>
        <v>3.7197528335381674E-2</v>
      </c>
      <c r="M251" s="197">
        <f>Acquirer!L203</f>
        <v>3.7197528335381674E-2</v>
      </c>
      <c r="N251" s="197">
        <f>Acquirer!M203</f>
        <v>3.7197528335381674E-2</v>
      </c>
      <c r="O251" s="197">
        <f>Acquirer!N203</f>
        <v>3.7197528335381674E-2</v>
      </c>
      <c r="P251" s="197">
        <f>Acquirer!O203</f>
        <v>3.7197528335381674E-2</v>
      </c>
      <c r="Q251" s="197">
        <f>Acquirer!P203</f>
        <v>3.7197528335381674E-2</v>
      </c>
      <c r="R251" s="317"/>
    </row>
    <row r="252" spans="2:18" ht="13.5" customHeight="1" outlineLevel="1">
      <c r="B252" s="147" t="str">
        <f>B232&amp;" / "&amp;CHOOSE(E252,"sales","COGS")</f>
        <v>Other current assets / COGS</v>
      </c>
      <c r="C252" s="88"/>
      <c r="E252" s="345">
        <f>Acquirer!E204</f>
        <v>2</v>
      </c>
      <c r="G252" s="343"/>
      <c r="H252" s="197">
        <f>Acquirer!G204</f>
        <v>6.8106244483671668E-2</v>
      </c>
      <c r="I252" s="197">
        <f>Acquirer!H204</f>
        <v>6.8106244483671668E-2</v>
      </c>
      <c r="J252" s="197">
        <f>Acquirer!I204</f>
        <v>6.8106244483671668E-2</v>
      </c>
      <c r="K252" s="197">
        <f>Acquirer!J204</f>
        <v>6.8106244483671668E-2</v>
      </c>
      <c r="L252" s="197">
        <f>Acquirer!K204</f>
        <v>6.8106244483671668E-2</v>
      </c>
      <c r="M252" s="197">
        <f>Acquirer!L204</f>
        <v>6.8106244483671668E-2</v>
      </c>
      <c r="N252" s="197">
        <f>Acquirer!M204</f>
        <v>6.8106244483671668E-2</v>
      </c>
      <c r="O252" s="197">
        <f>Acquirer!N204</f>
        <v>6.8106244483671668E-2</v>
      </c>
      <c r="P252" s="197">
        <f>Acquirer!O204</f>
        <v>6.8106244483671668E-2</v>
      </c>
      <c r="Q252" s="197">
        <f>Acquirer!P204</f>
        <v>6.8106244483671668E-2</v>
      </c>
      <c r="R252" s="317"/>
    </row>
    <row r="253" spans="2:18" ht="13.5" customHeight="1" outlineLevel="1">
      <c r="B253" s="88"/>
      <c r="C253" s="88"/>
      <c r="E253" s="188"/>
      <c r="G253" s="59"/>
      <c r="H253" s="346"/>
      <c r="I253" s="346"/>
      <c r="J253" s="346"/>
      <c r="K253" s="346"/>
      <c r="L253" s="346"/>
      <c r="M253" s="346"/>
      <c r="N253" s="346"/>
      <c r="O253" s="346"/>
      <c r="P253" s="346"/>
      <c r="Q253" s="346"/>
      <c r="R253" s="317"/>
    </row>
    <row r="254" spans="2:18" ht="13.5" customHeight="1" outlineLevel="1">
      <c r="B254" s="147" t="str">
        <f t="shared" ref="B254:B259" si="163">B234&amp;" / "&amp;CHOOSE(E254,"sales","COGS")</f>
        <v>Accounts payable / COGS</v>
      </c>
      <c r="C254" s="88"/>
      <c r="E254" s="345">
        <f>Acquirer!E206</f>
        <v>2</v>
      </c>
      <c r="G254" s="343"/>
      <c r="H254" s="197">
        <f>Acquirer!G206</f>
        <v>0.10267983230361871</v>
      </c>
      <c r="I254" s="197">
        <f>Acquirer!H206</f>
        <v>0.10267983230361871</v>
      </c>
      <c r="J254" s="197">
        <f>Acquirer!I206</f>
        <v>0.10267983230361871</v>
      </c>
      <c r="K254" s="197">
        <f>Acquirer!J206</f>
        <v>0.10267983230361871</v>
      </c>
      <c r="L254" s="197">
        <f>Acquirer!K206</f>
        <v>0.10267983230361871</v>
      </c>
      <c r="M254" s="197">
        <f>Acquirer!L206</f>
        <v>0.10267983230361871</v>
      </c>
      <c r="N254" s="197">
        <f>Acquirer!M206</f>
        <v>0.10267983230361871</v>
      </c>
      <c r="O254" s="197">
        <f>Acquirer!N206</f>
        <v>0.10267983230361871</v>
      </c>
      <c r="P254" s="197">
        <f>Acquirer!O206</f>
        <v>0.10267983230361871</v>
      </c>
      <c r="Q254" s="197">
        <f>Acquirer!P206</f>
        <v>0.10267983230361871</v>
      </c>
      <c r="R254" s="317"/>
    </row>
    <row r="255" spans="2:18" ht="13.5" customHeight="1" outlineLevel="1">
      <c r="B255" s="147" t="str">
        <f t="shared" si="163"/>
        <v>Accrued expenses / COGS</v>
      </c>
      <c r="C255" s="88"/>
      <c r="E255" s="345">
        <f>Acquirer!E207</f>
        <v>2</v>
      </c>
      <c r="G255" s="343"/>
      <c r="H255" s="197">
        <f>Acquirer!G207</f>
        <v>0.218059907325684</v>
      </c>
      <c r="I255" s="197">
        <f>Acquirer!H207</f>
        <v>0.218059907325684</v>
      </c>
      <c r="J255" s="197">
        <f>Acquirer!I207</f>
        <v>0.218059907325684</v>
      </c>
      <c r="K255" s="197">
        <f>Acquirer!J207</f>
        <v>0.218059907325684</v>
      </c>
      <c r="L255" s="197">
        <f>Acquirer!K207</f>
        <v>0.218059907325684</v>
      </c>
      <c r="M255" s="197">
        <f>Acquirer!L207</f>
        <v>0.218059907325684</v>
      </c>
      <c r="N255" s="197">
        <f>Acquirer!M207</f>
        <v>0.218059907325684</v>
      </c>
      <c r="O255" s="197">
        <f>Acquirer!N207</f>
        <v>0.218059907325684</v>
      </c>
      <c r="P255" s="197">
        <f>Acquirer!O207</f>
        <v>0.218059907325684</v>
      </c>
      <c r="Q255" s="197">
        <f>Acquirer!P207</f>
        <v>0.218059907325684</v>
      </c>
      <c r="R255" s="317"/>
    </row>
    <row r="256" spans="2:18" ht="13.5" customHeight="1" outlineLevel="1">
      <c r="B256" s="147" t="str">
        <f t="shared" si="163"/>
        <v>Client deposits / sales</v>
      </c>
      <c r="C256" s="88"/>
      <c r="E256" s="345">
        <f>Acquirer!E208</f>
        <v>1</v>
      </c>
      <c r="G256" s="343"/>
      <c r="H256" s="197">
        <f>Acquirer!G208</f>
        <v>0</v>
      </c>
      <c r="I256" s="197">
        <f>Acquirer!H208</f>
        <v>0</v>
      </c>
      <c r="J256" s="197">
        <f>Acquirer!I208</f>
        <v>0</v>
      </c>
      <c r="K256" s="197">
        <f>Acquirer!J208</f>
        <v>0</v>
      </c>
      <c r="L256" s="197">
        <f>Acquirer!K208</f>
        <v>0</v>
      </c>
      <c r="M256" s="197">
        <f>Acquirer!L208</f>
        <v>0</v>
      </c>
      <c r="N256" s="197">
        <f>Acquirer!M208</f>
        <v>0</v>
      </c>
      <c r="O256" s="197">
        <f>Acquirer!N208</f>
        <v>0</v>
      </c>
      <c r="P256" s="197">
        <f>Acquirer!O208</f>
        <v>0</v>
      </c>
      <c r="Q256" s="197">
        <f>Acquirer!P208</f>
        <v>0</v>
      </c>
      <c r="R256" s="317"/>
    </row>
    <row r="257" spans="1:18" ht="13.5" customHeight="1" outlineLevel="1">
      <c r="B257" s="147" t="str">
        <f t="shared" si="163"/>
        <v>Income taxes payable / COGS</v>
      </c>
      <c r="C257" s="88"/>
      <c r="E257" s="345">
        <f>Acquirer!E209</f>
        <v>2</v>
      </c>
      <c r="G257" s="343"/>
      <c r="H257" s="197">
        <f>Acquirer!G209</f>
        <v>1.9793689320388348E-2</v>
      </c>
      <c r="I257" s="197">
        <f>Acquirer!H209</f>
        <v>1.9793689320388348E-2</v>
      </c>
      <c r="J257" s="197">
        <f>Acquirer!I209</f>
        <v>1.9793689320388348E-2</v>
      </c>
      <c r="K257" s="197">
        <f>Acquirer!J209</f>
        <v>1.9793689320388348E-2</v>
      </c>
      <c r="L257" s="197">
        <f>Acquirer!K209</f>
        <v>1.9793689320388348E-2</v>
      </c>
      <c r="M257" s="197">
        <f>Acquirer!L209</f>
        <v>1.9793689320388348E-2</v>
      </c>
      <c r="N257" s="197">
        <f>Acquirer!M209</f>
        <v>1.9793689320388348E-2</v>
      </c>
      <c r="O257" s="197">
        <f>Acquirer!N209</f>
        <v>1.9793689320388348E-2</v>
      </c>
      <c r="P257" s="197">
        <f>Acquirer!O209</f>
        <v>1.9793689320388348E-2</v>
      </c>
      <c r="Q257" s="197">
        <f>Acquirer!P209</f>
        <v>1.9793689320388348E-2</v>
      </c>
      <c r="R257" s="317"/>
    </row>
    <row r="258" spans="1:18" ht="13.5" customHeight="1" outlineLevel="1">
      <c r="B258" s="147" t="str">
        <f t="shared" si="163"/>
        <v>Deferred revenue / sales</v>
      </c>
      <c r="C258" s="88"/>
      <c r="E258" s="345">
        <f>Acquirer!E210</f>
        <v>1</v>
      </c>
      <c r="G258" s="343"/>
      <c r="H258" s="197">
        <f>Acquirer!G210</f>
        <v>7.1427693568209757E-2</v>
      </c>
      <c r="I258" s="197">
        <f>Acquirer!H210</f>
        <v>7.1427693568209757E-2</v>
      </c>
      <c r="J258" s="197">
        <f>Acquirer!I210</f>
        <v>7.1427693568209757E-2</v>
      </c>
      <c r="K258" s="197">
        <f>Acquirer!J210</f>
        <v>7.1427693568209757E-2</v>
      </c>
      <c r="L258" s="197">
        <f>Acquirer!K210</f>
        <v>7.1427693568209757E-2</v>
      </c>
      <c r="M258" s="197">
        <f>Acquirer!L210</f>
        <v>7.1427693568209757E-2</v>
      </c>
      <c r="N258" s="197">
        <f>Acquirer!M210</f>
        <v>7.1427693568209757E-2</v>
      </c>
      <c r="O258" s="197">
        <f>Acquirer!N210</f>
        <v>7.1427693568209757E-2</v>
      </c>
      <c r="P258" s="197">
        <f>Acquirer!O210</f>
        <v>7.1427693568209757E-2</v>
      </c>
      <c r="Q258" s="197">
        <f>Acquirer!P210</f>
        <v>7.1427693568209757E-2</v>
      </c>
      <c r="R258" s="317"/>
    </row>
    <row r="259" spans="1:18" ht="13.5" customHeight="1" outlineLevel="1">
      <c r="B259" s="147" t="str">
        <f t="shared" si="163"/>
        <v>Other current liabilities / COGS</v>
      </c>
      <c r="C259" s="88"/>
      <c r="E259" s="345">
        <f>Acquirer!E211</f>
        <v>2</v>
      </c>
      <c r="G259" s="343"/>
      <c r="H259" s="197">
        <f>Acquirer!G211</f>
        <v>0</v>
      </c>
      <c r="I259" s="197">
        <f>Acquirer!H211</f>
        <v>0</v>
      </c>
      <c r="J259" s="197">
        <f>Acquirer!I211</f>
        <v>0</v>
      </c>
      <c r="K259" s="197">
        <f>Acquirer!J211</f>
        <v>0</v>
      </c>
      <c r="L259" s="197">
        <f>Acquirer!K211</f>
        <v>0</v>
      </c>
      <c r="M259" s="197">
        <f>Acquirer!L211</f>
        <v>0</v>
      </c>
      <c r="N259" s="197">
        <f>Acquirer!M211</f>
        <v>0</v>
      </c>
      <c r="O259" s="197">
        <f>Acquirer!N211</f>
        <v>0</v>
      </c>
      <c r="P259" s="197">
        <f>Acquirer!O211</f>
        <v>0</v>
      </c>
      <c r="Q259" s="197">
        <f>Acquirer!P211</f>
        <v>0</v>
      </c>
      <c r="R259" s="317"/>
    </row>
    <row r="260" spans="1:18" ht="13.5" customHeight="1" outlineLevel="1">
      <c r="B260" s="147"/>
      <c r="C260" s="88"/>
      <c r="E260" s="342"/>
      <c r="G260" s="343"/>
      <c r="H260" s="347"/>
      <c r="I260" s="347"/>
      <c r="J260" s="347"/>
      <c r="K260" s="347"/>
      <c r="L260" s="347"/>
      <c r="M260" s="347"/>
      <c r="N260" s="347"/>
      <c r="O260" s="347"/>
      <c r="P260" s="347"/>
      <c r="Q260" s="347"/>
      <c r="R260" s="317"/>
    </row>
    <row r="261" spans="1:18" ht="13.5" customHeight="1" outlineLevel="1">
      <c r="B261" s="147" t="s">
        <v>390</v>
      </c>
      <c r="C261" s="88"/>
      <c r="E261" s="342"/>
      <c r="G261" s="343"/>
      <c r="H261" s="199">
        <f t="shared" ref="H261:Q261" ca="1" si="164">IFERROR(AVERAGE(G229:H229)*365/(H245/H$3),"NA")</f>
        <v>73.295627274008979</v>
      </c>
      <c r="I261" s="199">
        <f t="shared" ca="1" si="164"/>
        <v>67.644213617302825</v>
      </c>
      <c r="J261" s="199">
        <f t="shared" ca="1" si="164"/>
        <v>67.89623648315964</v>
      </c>
      <c r="K261" s="199">
        <f t="shared" ca="1" si="164"/>
        <v>67.893050324659697</v>
      </c>
      <c r="L261" s="199">
        <f t="shared" ca="1" si="164"/>
        <v>67.872599054726976</v>
      </c>
      <c r="M261" s="199">
        <f t="shared" ca="1" si="164"/>
        <v>67.853540970935128</v>
      </c>
      <c r="N261" s="199">
        <f t="shared" ca="1" si="164"/>
        <v>67.835801256888843</v>
      </c>
      <c r="O261" s="199">
        <f t="shared" ca="1" si="164"/>
        <v>67.819306099006994</v>
      </c>
      <c r="P261" s="199">
        <f t="shared" ca="1" si="164"/>
        <v>67.803983199251562</v>
      </c>
      <c r="Q261" s="199">
        <f t="shared" ca="1" si="164"/>
        <v>67.789762192457999</v>
      </c>
      <c r="R261" s="317"/>
    </row>
    <row r="262" spans="1:18" ht="13.5" customHeight="1" outlineLevel="1">
      <c r="B262" s="147" t="s">
        <v>389</v>
      </c>
      <c r="C262" s="88"/>
      <c r="E262" s="342"/>
      <c r="G262" s="343"/>
      <c r="H262" s="199">
        <f t="shared" ref="H262:Q262" ca="1" si="165">IFERROR(AVERAGE(G234:H234)*365/(H247/H$3),"NA")</f>
        <v>37.24673231618754</v>
      </c>
      <c r="I262" s="199">
        <f t="shared" ca="1" si="165"/>
        <v>35.788975242013471</v>
      </c>
      <c r="J262" s="199">
        <f t="shared" ca="1" si="165"/>
        <v>35.925368449430188</v>
      </c>
      <c r="K262" s="199">
        <f t="shared" ca="1" si="165"/>
        <v>35.894869570356072</v>
      </c>
      <c r="L262" s="199">
        <f t="shared" ca="1" si="165"/>
        <v>35.885748933931204</v>
      </c>
      <c r="M262" s="199">
        <f t="shared" ca="1" si="165"/>
        <v>35.87726907956619</v>
      </c>
      <c r="N262" s="199">
        <f t="shared" ca="1" si="165"/>
        <v>35.86939250902207</v>
      </c>
      <c r="O262" s="199">
        <f t="shared" ca="1" si="165"/>
        <v>35.862082785716311</v>
      </c>
      <c r="P262" s="199">
        <f t="shared" ca="1" si="165"/>
        <v>35.855304694604804</v>
      </c>
      <c r="Q262" s="199">
        <f t="shared" ca="1" si="165"/>
        <v>35.849024363554683</v>
      </c>
      <c r="R262" s="317"/>
    </row>
    <row r="263" spans="1:18" ht="13.5" customHeight="1" outlineLevel="1">
      <c r="B263" s="147" t="s">
        <v>388</v>
      </c>
      <c r="C263" s="88"/>
      <c r="E263" s="342"/>
      <c r="G263" s="343"/>
      <c r="H263" s="199">
        <f t="shared" ref="H263:Q263" ca="1" si="166">IFERROR(AVERAGE(G230:H230)*365/(H246/H$3),"NA")</f>
        <v>0</v>
      </c>
      <c r="I263" s="199">
        <f t="shared" ca="1" si="166"/>
        <v>0</v>
      </c>
      <c r="J263" s="199">
        <f t="shared" ca="1" si="166"/>
        <v>0</v>
      </c>
      <c r="K263" s="199">
        <f t="shared" ca="1" si="166"/>
        <v>0</v>
      </c>
      <c r="L263" s="199">
        <f t="shared" ca="1" si="166"/>
        <v>0</v>
      </c>
      <c r="M263" s="199">
        <f t="shared" ca="1" si="166"/>
        <v>0</v>
      </c>
      <c r="N263" s="199">
        <f t="shared" ca="1" si="166"/>
        <v>0</v>
      </c>
      <c r="O263" s="199">
        <f t="shared" ca="1" si="166"/>
        <v>0</v>
      </c>
      <c r="P263" s="199">
        <f t="shared" ca="1" si="166"/>
        <v>0</v>
      </c>
      <c r="Q263" s="199">
        <f t="shared" ca="1" si="166"/>
        <v>0</v>
      </c>
      <c r="R263" s="317"/>
    </row>
    <row r="264" spans="1:18" ht="13.5" customHeight="1" outlineLevel="1">
      <c r="B264" s="147" t="s">
        <v>391</v>
      </c>
      <c r="C264" s="88"/>
      <c r="E264" s="342"/>
      <c r="G264" s="343"/>
      <c r="H264" s="199" t="str">
        <f t="shared" ref="H264:Q264" ca="1" si="167">IFERROR((H246/H$3)/AVERAGE(G230:H230),"NA")</f>
        <v>NA</v>
      </c>
      <c r="I264" s="199" t="str">
        <f t="shared" ca="1" si="167"/>
        <v>NA</v>
      </c>
      <c r="J264" s="199" t="str">
        <f t="shared" ca="1" si="167"/>
        <v>NA</v>
      </c>
      <c r="K264" s="199" t="str">
        <f t="shared" ca="1" si="167"/>
        <v>NA</v>
      </c>
      <c r="L264" s="199" t="str">
        <f t="shared" ca="1" si="167"/>
        <v>NA</v>
      </c>
      <c r="M264" s="199" t="str">
        <f t="shared" ca="1" si="167"/>
        <v>NA</v>
      </c>
      <c r="N264" s="199" t="str">
        <f t="shared" ca="1" si="167"/>
        <v>NA</v>
      </c>
      <c r="O264" s="199" t="str">
        <f t="shared" ca="1" si="167"/>
        <v>NA</v>
      </c>
      <c r="P264" s="199" t="str">
        <f t="shared" ca="1" si="167"/>
        <v>NA</v>
      </c>
      <c r="Q264" s="199" t="str">
        <f t="shared" ca="1" si="167"/>
        <v>NA</v>
      </c>
      <c r="R264" s="317"/>
    </row>
    <row r="265" spans="1:18" ht="5.0999999999999996" customHeight="1" outlineLevel="1" thickBot="1">
      <c r="B265" s="348"/>
      <c r="C265" s="348"/>
      <c r="D265" s="348"/>
      <c r="E265" s="349"/>
      <c r="F265" s="349"/>
      <c r="G265" s="349"/>
      <c r="H265" s="349"/>
      <c r="I265" s="349"/>
      <c r="J265" s="349"/>
      <c r="K265" s="349"/>
      <c r="L265" s="349"/>
      <c r="M265" s="349"/>
      <c r="N265" s="349"/>
      <c r="O265" s="349"/>
      <c r="P265" s="349"/>
      <c r="Q265" s="349"/>
      <c r="R265" s="317"/>
    </row>
    <row r="266" spans="1:18" ht="13.5" customHeight="1" outlineLevel="1">
      <c r="B266" s="50"/>
      <c r="C266" s="50"/>
      <c r="D266" s="50"/>
      <c r="G266" s="50"/>
      <c r="H266" s="350"/>
      <c r="I266" s="350"/>
      <c r="J266" s="350"/>
      <c r="N266" s="57"/>
      <c r="R266" s="317"/>
    </row>
    <row r="267" spans="1:18" ht="13.5" customHeight="1" outlineLevel="1" thickBot="1">
      <c r="B267" s="50"/>
      <c r="C267" s="50"/>
      <c r="D267" s="50"/>
      <c r="G267" s="50"/>
      <c r="H267" s="350"/>
      <c r="I267" s="350"/>
      <c r="J267" s="350"/>
      <c r="N267" s="57"/>
      <c r="R267" s="317"/>
    </row>
    <row r="268" spans="1:18" ht="20.7" thickTop="1">
      <c r="A268" s="281" t="s">
        <v>631</v>
      </c>
      <c r="B268" s="282" t="s">
        <v>444</v>
      </c>
      <c r="C268" s="283"/>
      <c r="D268" s="284"/>
      <c r="E268" s="284"/>
      <c r="F268" s="284"/>
      <c r="G268" s="284"/>
      <c r="H268" s="284"/>
      <c r="I268" s="284"/>
      <c r="J268" s="284"/>
      <c r="K268" s="284"/>
      <c r="L268" s="284"/>
      <c r="M268" s="284"/>
      <c r="N268" s="284"/>
      <c r="O268" s="284"/>
      <c r="P268" s="284"/>
      <c r="Q268" s="284"/>
    </row>
    <row r="269" spans="1:18" ht="5.0999999999999996" customHeight="1" outlineLevel="1">
      <c r="B269" s="107"/>
      <c r="C269" s="285"/>
      <c r="G269" s="285"/>
      <c r="N269" s="57"/>
      <c r="R269" s="317"/>
    </row>
    <row r="270" spans="1:18" ht="13.5" customHeight="1" outlineLevel="1">
      <c r="B270" s="286"/>
      <c r="C270" s="286"/>
      <c r="D270" s="286"/>
      <c r="E270" s="42"/>
      <c r="F270" s="42"/>
      <c r="G270" s="42"/>
      <c r="H270" s="42" t="s">
        <v>632</v>
      </c>
      <c r="I270" s="287" t="s">
        <v>629</v>
      </c>
      <c r="J270" s="287"/>
      <c r="K270" s="287"/>
      <c r="L270" s="287"/>
      <c r="M270" s="287"/>
      <c r="N270" s="287"/>
      <c r="O270" s="287"/>
      <c r="P270" s="287"/>
      <c r="Q270" s="287"/>
      <c r="R270" s="317"/>
    </row>
    <row r="271" spans="1:18" ht="13.5" customHeight="1" outlineLevel="1" thickBot="1">
      <c r="B271" s="288" t="str">
        <f>"("&amp;curr&amp;" in millions)"</f>
        <v>($ in millions)</v>
      </c>
      <c r="C271" s="289"/>
      <c r="D271" s="289"/>
      <c r="E271" s="290"/>
      <c r="F271" s="290"/>
      <c r="G271" s="291"/>
      <c r="H271" s="291">
        <f>H$8</f>
        <v>45291</v>
      </c>
      <c r="I271" s="292">
        <f t="shared" ref="I271:Q271" si="168">I$8</f>
        <v>45657</v>
      </c>
      <c r="J271" s="292">
        <f t="shared" si="168"/>
        <v>46022</v>
      </c>
      <c r="K271" s="292">
        <f t="shared" si="168"/>
        <v>46387</v>
      </c>
      <c r="L271" s="292">
        <f t="shared" si="168"/>
        <v>46752</v>
      </c>
      <c r="M271" s="292">
        <f t="shared" si="168"/>
        <v>47118</v>
      </c>
      <c r="N271" s="292">
        <f t="shared" si="168"/>
        <v>47483</v>
      </c>
      <c r="O271" s="292">
        <f t="shared" si="168"/>
        <v>47848</v>
      </c>
      <c r="P271" s="292">
        <f t="shared" si="168"/>
        <v>48213</v>
      </c>
      <c r="Q271" s="292">
        <f t="shared" si="168"/>
        <v>48579</v>
      </c>
      <c r="R271" s="317"/>
    </row>
    <row r="272" spans="1:18" ht="5.0999999999999996" customHeight="1" outlineLevel="1">
      <c r="B272" s="318"/>
      <c r="C272" s="318"/>
      <c r="D272" s="318"/>
      <c r="E272" s="319"/>
      <c r="F272" s="319"/>
      <c r="G272" s="326"/>
      <c r="H272" s="319"/>
      <c r="I272" s="319"/>
      <c r="J272" s="319"/>
      <c r="K272" s="319"/>
      <c r="L272" s="319"/>
      <c r="M272" s="319"/>
      <c r="N272" s="327"/>
      <c r="R272" s="317"/>
    </row>
    <row r="273" spans="2:18" ht="13.5" customHeight="1" outlineLevel="1">
      <c r="B273" s="108" t="str">
        <f>acquirer&amp;" Equity Investments"</f>
        <v>BuyerCo Equity Investments</v>
      </c>
      <c r="C273" s="109"/>
      <c r="D273" s="109"/>
      <c r="E273" s="306"/>
      <c r="F273" s="306"/>
      <c r="G273" s="306"/>
      <c r="H273" s="306"/>
      <c r="I273" s="109"/>
      <c r="J273" s="306"/>
      <c r="K273" s="306"/>
      <c r="L273" s="306"/>
      <c r="M273" s="306"/>
      <c r="N273" s="306"/>
      <c r="O273" s="306"/>
      <c r="P273" s="306"/>
      <c r="Q273" s="110"/>
    </row>
    <row r="274" spans="2:18" ht="13.5" customHeight="1" outlineLevel="1">
      <c r="B274" s="147"/>
      <c r="C274" s="50"/>
      <c r="D274" s="50"/>
      <c r="G274" s="50"/>
      <c r="H274" s="350"/>
      <c r="I274" s="350"/>
      <c r="J274" s="350"/>
      <c r="N274" s="57"/>
      <c r="R274" s="317"/>
    </row>
    <row r="275" spans="2:18" ht="13.5" customHeight="1" outlineLevel="1">
      <c r="B275" s="147" t="s">
        <v>435</v>
      </c>
      <c r="C275" s="50"/>
      <c r="D275" s="50"/>
      <c r="H275" s="351">
        <f>Acquirer!T225</f>
        <v>0</v>
      </c>
      <c r="I275" s="135">
        <f>Acquirer!H225</f>
        <v>0</v>
      </c>
      <c r="J275" s="135">
        <f>Acquirer!I225</f>
        <v>0</v>
      </c>
      <c r="K275" s="135">
        <f>Acquirer!J225</f>
        <v>0</v>
      </c>
      <c r="L275" s="135">
        <f>Acquirer!K225</f>
        <v>0</v>
      </c>
      <c r="M275" s="135">
        <f>Acquirer!L225</f>
        <v>0</v>
      </c>
      <c r="N275" s="135">
        <f>Acquirer!M225</f>
        <v>0</v>
      </c>
      <c r="O275" s="135">
        <f>Acquirer!N225</f>
        <v>0</v>
      </c>
      <c r="P275" s="135">
        <f>Acquirer!O225</f>
        <v>0</v>
      </c>
      <c r="Q275" s="135">
        <f>Acquirer!P225</f>
        <v>0</v>
      </c>
      <c r="R275" s="317"/>
    </row>
    <row r="276" spans="2:18" ht="13.5" customHeight="1" outlineLevel="1">
      <c r="B276" s="147" t="s">
        <v>438</v>
      </c>
      <c r="C276" s="50"/>
      <c r="D276" s="50"/>
      <c r="H276" s="184">
        <f>Acquirer!T226</f>
        <v>0</v>
      </c>
      <c r="I276" s="126">
        <f>Acquirer!H226</f>
        <v>0</v>
      </c>
      <c r="J276" s="126">
        <f>Acquirer!I226</f>
        <v>0</v>
      </c>
      <c r="K276" s="126">
        <f>Acquirer!J226</f>
        <v>0</v>
      </c>
      <c r="L276" s="126">
        <f>Acquirer!K226</f>
        <v>0</v>
      </c>
      <c r="M276" s="126">
        <f>Acquirer!L226</f>
        <v>0</v>
      </c>
      <c r="N276" s="126">
        <f>Acquirer!M226</f>
        <v>0</v>
      </c>
      <c r="O276" s="126">
        <f>Acquirer!N226</f>
        <v>0</v>
      </c>
      <c r="P276" s="126">
        <f>Acquirer!O226</f>
        <v>0</v>
      </c>
      <c r="Q276" s="126">
        <f>Acquirer!P226</f>
        <v>0</v>
      </c>
      <c r="R276" s="317"/>
    </row>
    <row r="277" spans="2:18" ht="13.5" customHeight="1" outlineLevel="1">
      <c r="B277" s="116" t="s">
        <v>439</v>
      </c>
      <c r="C277" s="116"/>
      <c r="D277" s="116"/>
      <c r="E277" s="116"/>
      <c r="F277" s="116"/>
      <c r="G277" s="340"/>
      <c r="H277" s="352">
        <f>SUM(H275:H276)</f>
        <v>0</v>
      </c>
      <c r="I277" s="352">
        <f t="shared" ref="I277:K277" si="169">SUM(I275:I276)</f>
        <v>0</v>
      </c>
      <c r="J277" s="352">
        <f t="shared" si="169"/>
        <v>0</v>
      </c>
      <c r="K277" s="352">
        <f t="shared" si="169"/>
        <v>0</v>
      </c>
      <c r="L277" s="352">
        <f t="shared" ref="L277" si="170">SUM(L275:L276)</f>
        <v>0</v>
      </c>
      <c r="M277" s="352">
        <f t="shared" ref="M277" si="171">SUM(M275:M276)</f>
        <v>0</v>
      </c>
      <c r="N277" s="352">
        <f t="shared" ref="N277" si="172">SUM(N275:N276)</f>
        <v>0</v>
      </c>
      <c r="O277" s="352">
        <f t="shared" ref="O277" si="173">SUM(O275:O276)</f>
        <v>0</v>
      </c>
      <c r="P277" s="352">
        <f t="shared" ref="P277" si="174">SUM(P275:P276)</f>
        <v>0</v>
      </c>
      <c r="Q277" s="352">
        <f t="shared" ref="Q277" si="175">SUM(Q275:Q276)</f>
        <v>0</v>
      </c>
      <c r="R277" s="317"/>
    </row>
    <row r="278" spans="2:18" ht="13.5" customHeight="1" outlineLevel="1">
      <c r="B278" s="147"/>
      <c r="C278" s="50"/>
      <c r="D278" s="50"/>
      <c r="R278" s="317"/>
    </row>
    <row r="279" spans="2:18" ht="13.5" customHeight="1" outlineLevel="1">
      <c r="B279" s="147" t="s">
        <v>440</v>
      </c>
      <c r="C279" s="50"/>
      <c r="D279" s="50"/>
      <c r="G279" s="94">
        <f>Acquirer!F229</f>
        <v>0.8</v>
      </c>
      <c r="R279" s="317"/>
    </row>
    <row r="280" spans="2:18" ht="13.5" customHeight="1" outlineLevel="1">
      <c r="B280" s="147"/>
      <c r="C280" s="50"/>
      <c r="D280" s="50"/>
      <c r="R280" s="317"/>
    </row>
    <row r="281" spans="2:18" ht="13.5" customHeight="1" outlineLevel="1">
      <c r="B281" s="147" t="s">
        <v>442</v>
      </c>
      <c r="C281" s="50"/>
      <c r="D281" s="50"/>
      <c r="H281" s="114">
        <f t="shared" ref="H281:Q281" si="176">-H276*(1-$G279)*H92</f>
        <v>0</v>
      </c>
      <c r="I281" s="114">
        <f t="shared" si="176"/>
        <v>0</v>
      </c>
      <c r="J281" s="114">
        <f t="shared" si="176"/>
        <v>0</v>
      </c>
      <c r="K281" s="114">
        <f t="shared" si="176"/>
        <v>0</v>
      </c>
      <c r="L281" s="114">
        <f t="shared" si="176"/>
        <v>0</v>
      </c>
      <c r="M281" s="114">
        <f t="shared" si="176"/>
        <v>0</v>
      </c>
      <c r="N281" s="114">
        <f t="shared" si="176"/>
        <v>0</v>
      </c>
      <c r="O281" s="114">
        <f t="shared" si="176"/>
        <v>0</v>
      </c>
      <c r="P281" s="114">
        <f t="shared" si="176"/>
        <v>0</v>
      </c>
      <c r="Q281" s="114">
        <f t="shared" si="176"/>
        <v>0</v>
      </c>
      <c r="R281" s="317"/>
    </row>
    <row r="282" spans="2:18" ht="13.5" customHeight="1" outlineLevel="1">
      <c r="B282" s="147" t="s">
        <v>458</v>
      </c>
      <c r="C282" s="50"/>
      <c r="D282" s="50"/>
      <c r="G282" s="127">
        <f>Acquirer!F232</f>
        <v>0</v>
      </c>
      <c r="H282" s="118">
        <f t="shared" ref="H282:Q282" si="177">H277*(1-$G279*$G282)*H92</f>
        <v>0</v>
      </c>
      <c r="I282" s="118">
        <f t="shared" si="177"/>
        <v>0</v>
      </c>
      <c r="J282" s="118">
        <f t="shared" si="177"/>
        <v>0</v>
      </c>
      <c r="K282" s="118">
        <f t="shared" si="177"/>
        <v>0</v>
      </c>
      <c r="L282" s="118">
        <f t="shared" si="177"/>
        <v>0</v>
      </c>
      <c r="M282" s="118">
        <f t="shared" si="177"/>
        <v>0</v>
      </c>
      <c r="N282" s="118">
        <f t="shared" si="177"/>
        <v>0</v>
      </c>
      <c r="O282" s="118">
        <f t="shared" si="177"/>
        <v>0</v>
      </c>
      <c r="P282" s="118">
        <f t="shared" si="177"/>
        <v>0</v>
      </c>
      <c r="Q282" s="118">
        <f t="shared" si="177"/>
        <v>0</v>
      </c>
      <c r="R282" s="317"/>
    </row>
    <row r="283" spans="2:18" ht="13.5" customHeight="1" outlineLevel="1">
      <c r="B283" s="116" t="s">
        <v>441</v>
      </c>
      <c r="C283" s="116"/>
      <c r="D283" s="116"/>
      <c r="E283" s="116"/>
      <c r="F283" s="116"/>
      <c r="G283" s="340"/>
      <c r="H283" s="352">
        <f>SUM(H281:H282)</f>
        <v>0</v>
      </c>
      <c r="I283" s="352">
        <f t="shared" ref="I283:K283" si="178">SUM(I281:I282)</f>
        <v>0</v>
      </c>
      <c r="J283" s="352">
        <f t="shared" si="178"/>
        <v>0</v>
      </c>
      <c r="K283" s="352">
        <f t="shared" si="178"/>
        <v>0</v>
      </c>
      <c r="L283" s="352">
        <f t="shared" ref="L283" si="179">SUM(L281:L282)</f>
        <v>0</v>
      </c>
      <c r="M283" s="352">
        <f t="shared" ref="M283" si="180">SUM(M281:M282)</f>
        <v>0</v>
      </c>
      <c r="N283" s="352">
        <f t="shared" ref="N283" si="181">SUM(N281:N282)</f>
        <v>0</v>
      </c>
      <c r="O283" s="352">
        <f t="shared" ref="O283" si="182">SUM(O281:O282)</f>
        <v>0</v>
      </c>
      <c r="P283" s="352">
        <f t="shared" ref="P283" si="183">SUM(P281:P282)</f>
        <v>0</v>
      </c>
      <c r="Q283" s="352">
        <f t="shared" ref="Q283" si="184">SUM(Q281:Q282)</f>
        <v>0</v>
      </c>
      <c r="R283" s="317"/>
    </row>
    <row r="284" spans="2:18" ht="13.5" customHeight="1" outlineLevel="1">
      <c r="B284" s="147"/>
      <c r="C284" s="50"/>
      <c r="D284" s="50"/>
      <c r="G284" s="50"/>
      <c r="H284" s="350"/>
      <c r="I284" s="350"/>
      <c r="J284" s="350"/>
      <c r="N284" s="57"/>
      <c r="R284" s="317"/>
    </row>
    <row r="285" spans="2:18" ht="13.5" customHeight="1" outlineLevel="1">
      <c r="B285" s="108" t="str">
        <f>target&amp;" Equity Investments"</f>
        <v>TargetCo Equity Investments</v>
      </c>
      <c r="C285" s="109"/>
      <c r="D285" s="109"/>
      <c r="E285" s="306"/>
      <c r="F285" s="306"/>
      <c r="G285" s="306"/>
      <c r="H285" s="306"/>
      <c r="I285" s="109"/>
      <c r="J285" s="306"/>
      <c r="K285" s="306"/>
      <c r="L285" s="306"/>
      <c r="M285" s="306"/>
      <c r="N285" s="306"/>
      <c r="O285" s="306"/>
      <c r="P285" s="306"/>
      <c r="Q285" s="110"/>
    </row>
    <row r="286" spans="2:18" ht="13.5" customHeight="1" outlineLevel="1">
      <c r="B286" s="147"/>
      <c r="C286" s="50"/>
      <c r="D286" s="50"/>
      <c r="G286" s="50"/>
      <c r="H286" s="350"/>
      <c r="I286" s="350"/>
      <c r="J286" s="350"/>
      <c r="N286" s="57"/>
      <c r="R286" s="317"/>
    </row>
    <row r="287" spans="2:18" ht="13.5" customHeight="1" outlineLevel="1">
      <c r="B287" s="147" t="s">
        <v>435</v>
      </c>
      <c r="C287" s="50"/>
      <c r="D287" s="50"/>
      <c r="H287" s="351">
        <f>Target!T225</f>
        <v>0</v>
      </c>
      <c r="I287" s="135">
        <f>Target!H225</f>
        <v>0</v>
      </c>
      <c r="J287" s="135">
        <f>Target!I225</f>
        <v>0</v>
      </c>
      <c r="K287" s="135">
        <f>Target!J225</f>
        <v>0</v>
      </c>
      <c r="L287" s="135">
        <f>Target!K225</f>
        <v>0</v>
      </c>
      <c r="M287" s="135">
        <f>Target!L225</f>
        <v>0</v>
      </c>
      <c r="N287" s="135">
        <f>Target!M225</f>
        <v>0</v>
      </c>
      <c r="O287" s="135">
        <f>Target!N225</f>
        <v>0</v>
      </c>
      <c r="P287" s="135">
        <f>Target!O225</f>
        <v>0</v>
      </c>
      <c r="Q287" s="135">
        <f>Target!P225</f>
        <v>0</v>
      </c>
      <c r="R287" s="317"/>
    </row>
    <row r="288" spans="2:18" ht="13.5" customHeight="1" outlineLevel="1">
      <c r="B288" s="147" t="s">
        <v>438</v>
      </c>
      <c r="C288" s="50"/>
      <c r="D288" s="50"/>
      <c r="H288" s="184">
        <f>Target!T226</f>
        <v>0</v>
      </c>
      <c r="I288" s="126">
        <f>Target!H226</f>
        <v>0</v>
      </c>
      <c r="J288" s="126">
        <f>Target!I226</f>
        <v>0</v>
      </c>
      <c r="K288" s="126">
        <f>Target!J226</f>
        <v>0</v>
      </c>
      <c r="L288" s="126">
        <f>Target!K226</f>
        <v>0</v>
      </c>
      <c r="M288" s="126">
        <f>Target!L226</f>
        <v>0</v>
      </c>
      <c r="N288" s="126">
        <f>Target!M226</f>
        <v>0</v>
      </c>
      <c r="O288" s="126">
        <f>Target!N226</f>
        <v>0</v>
      </c>
      <c r="P288" s="126">
        <f>Target!O226</f>
        <v>0</v>
      </c>
      <c r="Q288" s="126">
        <f>Target!P226</f>
        <v>0</v>
      </c>
      <c r="R288" s="317"/>
    </row>
    <row r="289" spans="1:18" ht="13.5" customHeight="1" outlineLevel="1">
      <c r="B289" s="116" t="s">
        <v>439</v>
      </c>
      <c r="C289" s="116"/>
      <c r="D289" s="116"/>
      <c r="E289" s="116"/>
      <c r="F289" s="116"/>
      <c r="G289" s="340"/>
      <c r="H289" s="352">
        <f>SUM(H287:H288)</f>
        <v>0</v>
      </c>
      <c r="I289" s="352">
        <f t="shared" ref="I289:K289" si="185">SUM(I287:I288)</f>
        <v>0</v>
      </c>
      <c r="J289" s="352">
        <f t="shared" si="185"/>
        <v>0</v>
      </c>
      <c r="K289" s="352">
        <f t="shared" si="185"/>
        <v>0</v>
      </c>
      <c r="L289" s="352">
        <f t="shared" ref="L289" si="186">SUM(L287:L288)</f>
        <v>0</v>
      </c>
      <c r="M289" s="352">
        <f t="shared" ref="M289" si="187">SUM(M287:M288)</f>
        <v>0</v>
      </c>
      <c r="N289" s="352">
        <f t="shared" ref="N289" si="188">SUM(N287:N288)</f>
        <v>0</v>
      </c>
      <c r="O289" s="352">
        <f t="shared" ref="O289" si="189">SUM(O287:O288)</f>
        <v>0</v>
      </c>
      <c r="P289" s="352">
        <f t="shared" ref="P289" si="190">SUM(P287:P288)</f>
        <v>0</v>
      </c>
      <c r="Q289" s="352">
        <f t="shared" ref="Q289" si="191">SUM(Q287:Q288)</f>
        <v>0</v>
      </c>
      <c r="R289" s="317"/>
    </row>
    <row r="290" spans="1:18" ht="13.5" customHeight="1" outlineLevel="1">
      <c r="B290" s="147"/>
      <c r="C290" s="50"/>
      <c r="D290" s="50"/>
      <c r="R290" s="317"/>
    </row>
    <row r="291" spans="1:18" ht="13.5" customHeight="1" outlineLevel="1">
      <c r="B291" s="147" t="s">
        <v>440</v>
      </c>
      <c r="C291" s="50"/>
      <c r="D291" s="50"/>
      <c r="G291" s="94">
        <f>Target!F229</f>
        <v>0.8</v>
      </c>
      <c r="R291" s="317"/>
    </row>
    <row r="292" spans="1:18" ht="13.5" customHeight="1" outlineLevel="1">
      <c r="B292" s="147"/>
      <c r="C292" s="50"/>
      <c r="D292" s="50"/>
      <c r="R292" s="317"/>
    </row>
    <row r="293" spans="1:18" ht="13.5" customHeight="1" outlineLevel="1">
      <c r="B293" s="147" t="s">
        <v>442</v>
      </c>
      <c r="C293" s="50"/>
      <c r="D293" s="50"/>
      <c r="H293" s="114">
        <f t="shared" ref="H293:Q293" si="192">-H288*(1-$G291)*H92</f>
        <v>0</v>
      </c>
      <c r="I293" s="114">
        <f t="shared" si="192"/>
        <v>0</v>
      </c>
      <c r="J293" s="114">
        <f t="shared" si="192"/>
        <v>0</v>
      </c>
      <c r="K293" s="114">
        <f t="shared" si="192"/>
        <v>0</v>
      </c>
      <c r="L293" s="114">
        <f t="shared" si="192"/>
        <v>0</v>
      </c>
      <c r="M293" s="114">
        <f t="shared" si="192"/>
        <v>0</v>
      </c>
      <c r="N293" s="114">
        <f t="shared" si="192"/>
        <v>0</v>
      </c>
      <c r="O293" s="114">
        <f t="shared" si="192"/>
        <v>0</v>
      </c>
      <c r="P293" s="114">
        <f t="shared" si="192"/>
        <v>0</v>
      </c>
      <c r="Q293" s="114">
        <f t="shared" si="192"/>
        <v>0</v>
      </c>
      <c r="R293" s="317"/>
    </row>
    <row r="294" spans="1:18" ht="13.5" customHeight="1" outlineLevel="1">
      <c r="B294" s="147" t="s">
        <v>458</v>
      </c>
      <c r="C294" s="50"/>
      <c r="D294" s="50"/>
      <c r="G294" s="127">
        <f>Target!F232</f>
        <v>0</v>
      </c>
      <c r="H294" s="118">
        <f t="shared" ref="H294:Q294" si="193">H289*(1-$G291*$G294)*H92</f>
        <v>0</v>
      </c>
      <c r="I294" s="118">
        <f t="shared" si="193"/>
        <v>0</v>
      </c>
      <c r="J294" s="118">
        <f t="shared" si="193"/>
        <v>0</v>
      </c>
      <c r="K294" s="118">
        <f t="shared" si="193"/>
        <v>0</v>
      </c>
      <c r="L294" s="118">
        <f t="shared" si="193"/>
        <v>0</v>
      </c>
      <c r="M294" s="118">
        <f t="shared" si="193"/>
        <v>0</v>
      </c>
      <c r="N294" s="118">
        <f t="shared" si="193"/>
        <v>0</v>
      </c>
      <c r="O294" s="118">
        <f t="shared" si="193"/>
        <v>0</v>
      </c>
      <c r="P294" s="118">
        <f t="shared" si="193"/>
        <v>0</v>
      </c>
      <c r="Q294" s="118">
        <f t="shared" si="193"/>
        <v>0</v>
      </c>
      <c r="R294" s="317"/>
    </row>
    <row r="295" spans="1:18" ht="13.5" customHeight="1" outlineLevel="1">
      <c r="B295" s="116" t="s">
        <v>441</v>
      </c>
      <c r="C295" s="116"/>
      <c r="D295" s="116"/>
      <c r="E295" s="116"/>
      <c r="F295" s="116"/>
      <c r="G295" s="340"/>
      <c r="H295" s="352">
        <f>SUM(H293:H294)</f>
        <v>0</v>
      </c>
      <c r="I295" s="352">
        <f t="shared" ref="I295:K295" si="194">SUM(I293:I294)</f>
        <v>0</v>
      </c>
      <c r="J295" s="352">
        <f t="shared" si="194"/>
        <v>0</v>
      </c>
      <c r="K295" s="352">
        <f t="shared" si="194"/>
        <v>0</v>
      </c>
      <c r="L295" s="352">
        <f t="shared" ref="L295" si="195">SUM(L293:L294)</f>
        <v>0</v>
      </c>
      <c r="M295" s="352">
        <f t="shared" ref="M295" si="196">SUM(M293:M294)</f>
        <v>0</v>
      </c>
      <c r="N295" s="352">
        <f t="shared" ref="N295" si="197">SUM(N293:N294)</f>
        <v>0</v>
      </c>
      <c r="O295" s="352">
        <f t="shared" ref="O295" si="198">SUM(O293:O294)</f>
        <v>0</v>
      </c>
      <c r="P295" s="352">
        <f t="shared" ref="P295" si="199">SUM(P293:P294)</f>
        <v>0</v>
      </c>
      <c r="Q295" s="352">
        <f t="shared" ref="Q295" si="200">SUM(Q293:Q294)</f>
        <v>0</v>
      </c>
      <c r="R295" s="317"/>
    </row>
    <row r="296" spans="1:18" ht="13.5" customHeight="1" outlineLevel="1">
      <c r="B296" s="88"/>
      <c r="C296" s="88"/>
      <c r="D296" s="88"/>
      <c r="E296" s="88"/>
      <c r="F296" s="88"/>
      <c r="G296" s="141"/>
      <c r="H296" s="328"/>
      <c r="I296" s="328"/>
      <c r="J296" s="328"/>
      <c r="K296" s="328"/>
      <c r="L296" s="328"/>
      <c r="M296" s="328"/>
      <c r="N296" s="328"/>
      <c r="O296" s="328"/>
      <c r="P296" s="328"/>
      <c r="Q296" s="328"/>
      <c r="R296" s="317"/>
    </row>
    <row r="297" spans="1:18" ht="13.5" customHeight="1" outlineLevel="1">
      <c r="B297" s="108" t="s">
        <v>468</v>
      </c>
      <c r="C297" s="109"/>
      <c r="D297" s="109"/>
      <c r="E297" s="306"/>
      <c r="F297" s="306"/>
      <c r="G297" s="306"/>
      <c r="H297" s="306"/>
      <c r="I297" s="109"/>
      <c r="J297" s="306"/>
      <c r="K297" s="306"/>
      <c r="L297" s="306"/>
      <c r="M297" s="306"/>
      <c r="N297" s="306"/>
      <c r="O297" s="306"/>
      <c r="P297" s="306"/>
      <c r="Q297" s="110"/>
    </row>
    <row r="298" spans="1:18" ht="13.5" customHeight="1" outlineLevel="1">
      <c r="B298" s="147"/>
      <c r="C298" s="50"/>
      <c r="D298" s="50"/>
      <c r="G298" s="50"/>
      <c r="H298" s="350"/>
      <c r="I298" s="350"/>
      <c r="J298" s="350"/>
      <c r="N298" s="57"/>
      <c r="R298" s="317"/>
    </row>
    <row r="299" spans="1:18" ht="13.5" customHeight="1" outlineLevel="1">
      <c r="B299" s="88" t="s">
        <v>469</v>
      </c>
      <c r="C299" s="88"/>
      <c r="D299" s="88"/>
      <c r="E299" s="88"/>
      <c r="F299" s="88"/>
      <c r="G299" s="141"/>
      <c r="H299" s="114">
        <f t="shared" ref="H299:Q299" si="201">(H275+H287)*H92-H283-H295</f>
        <v>0</v>
      </c>
      <c r="I299" s="114">
        <f t="shared" si="201"/>
        <v>0</v>
      </c>
      <c r="J299" s="114">
        <f t="shared" si="201"/>
        <v>0</v>
      </c>
      <c r="K299" s="114">
        <f t="shared" si="201"/>
        <v>0</v>
      </c>
      <c r="L299" s="114">
        <f t="shared" si="201"/>
        <v>0</v>
      </c>
      <c r="M299" s="114">
        <f t="shared" si="201"/>
        <v>0</v>
      </c>
      <c r="N299" s="114">
        <f t="shared" si="201"/>
        <v>0</v>
      </c>
      <c r="O299" s="114">
        <f t="shared" si="201"/>
        <v>0</v>
      </c>
      <c r="P299" s="114">
        <f t="shared" si="201"/>
        <v>0</v>
      </c>
      <c r="Q299" s="114">
        <f t="shared" si="201"/>
        <v>0</v>
      </c>
      <c r="R299" s="317"/>
    </row>
    <row r="300" spans="1:18" ht="5.0999999999999996" customHeight="1" outlineLevel="1" thickBot="1">
      <c r="B300" s="348"/>
      <c r="C300" s="348"/>
      <c r="D300" s="348"/>
      <c r="E300" s="349"/>
      <c r="F300" s="349"/>
      <c r="G300" s="349"/>
      <c r="H300" s="349"/>
      <c r="I300" s="349"/>
      <c r="J300" s="349"/>
      <c r="K300" s="349"/>
      <c r="L300" s="349"/>
      <c r="M300" s="349"/>
      <c r="N300" s="349"/>
      <c r="O300" s="349"/>
      <c r="P300" s="349"/>
      <c r="Q300" s="349"/>
      <c r="R300" s="317"/>
    </row>
    <row r="301" spans="1:18" ht="13.5" customHeight="1" outlineLevel="1">
      <c r="B301" s="50"/>
      <c r="C301" s="50"/>
      <c r="D301" s="50"/>
      <c r="G301" s="50"/>
      <c r="H301" s="350"/>
      <c r="I301" s="350"/>
      <c r="J301" s="350"/>
      <c r="N301" s="57"/>
      <c r="R301" s="317"/>
    </row>
    <row r="302" spans="1:18" ht="13.5" customHeight="1" outlineLevel="1" thickBot="1">
      <c r="B302" s="50"/>
      <c r="C302" s="50"/>
      <c r="D302" s="50"/>
      <c r="G302" s="50"/>
      <c r="H302" s="350"/>
      <c r="I302" s="350"/>
      <c r="J302" s="350"/>
      <c r="N302" s="57"/>
      <c r="R302" s="317"/>
    </row>
    <row r="303" spans="1:18" ht="20.7" thickTop="1">
      <c r="A303" s="281" t="s">
        <v>631</v>
      </c>
      <c r="B303" s="282" t="s">
        <v>413</v>
      </c>
      <c r="C303" s="283"/>
      <c r="D303" s="284"/>
      <c r="E303" s="284"/>
      <c r="F303" s="284"/>
      <c r="G303" s="284"/>
      <c r="H303" s="284"/>
      <c r="I303" s="284"/>
      <c r="J303" s="284"/>
      <c r="K303" s="284"/>
      <c r="L303" s="284"/>
      <c r="M303" s="284"/>
      <c r="N303" s="284"/>
      <c r="O303" s="284"/>
      <c r="P303" s="284"/>
      <c r="Q303" s="284"/>
    </row>
    <row r="304" spans="1:18" ht="5.0999999999999996" customHeight="1" outlineLevel="1">
      <c r="B304" s="107"/>
      <c r="C304" s="285"/>
      <c r="G304" s="285"/>
      <c r="N304" s="57"/>
      <c r="R304" s="317"/>
    </row>
    <row r="305" spans="2:18" ht="13.5" customHeight="1" outlineLevel="1">
      <c r="B305" s="286"/>
      <c r="C305" s="286"/>
      <c r="D305" s="286"/>
      <c r="E305" s="42"/>
      <c r="F305" s="42"/>
      <c r="G305" s="42" t="s">
        <v>38</v>
      </c>
      <c r="H305" s="42" t="s">
        <v>632</v>
      </c>
      <c r="I305" s="287" t="s">
        <v>629</v>
      </c>
      <c r="J305" s="287"/>
      <c r="K305" s="287"/>
      <c r="L305" s="287"/>
      <c r="M305" s="287"/>
      <c r="N305" s="287"/>
      <c r="O305" s="287"/>
      <c r="P305" s="287"/>
      <c r="Q305" s="287"/>
      <c r="R305" s="317"/>
    </row>
    <row r="306" spans="2:18" ht="13.5" customHeight="1" outlineLevel="1" thickBot="1">
      <c r="B306" s="288" t="str">
        <f>"("&amp;curr&amp;" in millions)"</f>
        <v>($ in millions)</v>
      </c>
      <c r="C306" s="289"/>
      <c r="D306" s="289"/>
      <c r="E306" s="290"/>
      <c r="F306" s="290"/>
      <c r="G306" s="291">
        <f>close</f>
        <v>45107</v>
      </c>
      <c r="H306" s="291">
        <f>H$8</f>
        <v>45291</v>
      </c>
      <c r="I306" s="292">
        <f t="shared" ref="I306:Q306" si="202">I$8</f>
        <v>45657</v>
      </c>
      <c r="J306" s="292">
        <f t="shared" si="202"/>
        <v>46022</v>
      </c>
      <c r="K306" s="292">
        <f t="shared" si="202"/>
        <v>46387</v>
      </c>
      <c r="L306" s="292">
        <f t="shared" si="202"/>
        <v>46752</v>
      </c>
      <c r="M306" s="292">
        <f t="shared" si="202"/>
        <v>47118</v>
      </c>
      <c r="N306" s="292">
        <f t="shared" si="202"/>
        <v>47483</v>
      </c>
      <c r="O306" s="292">
        <f t="shared" si="202"/>
        <v>47848</v>
      </c>
      <c r="P306" s="292">
        <f t="shared" si="202"/>
        <v>48213</v>
      </c>
      <c r="Q306" s="292">
        <f t="shared" si="202"/>
        <v>48579</v>
      </c>
      <c r="R306" s="317"/>
    </row>
    <row r="307" spans="2:18" ht="5.0999999999999996" customHeight="1" outlineLevel="1">
      <c r="B307" s="50"/>
      <c r="C307" s="50"/>
      <c r="D307" s="50"/>
      <c r="G307" s="50"/>
      <c r="H307" s="350"/>
      <c r="I307" s="350"/>
      <c r="J307" s="350"/>
      <c r="N307" s="57"/>
      <c r="R307" s="317"/>
    </row>
    <row r="308" spans="2:18" ht="13.5" customHeight="1" outlineLevel="1">
      <c r="B308" s="88" t="s">
        <v>405</v>
      </c>
      <c r="C308" s="88"/>
      <c r="D308" s="88"/>
      <c r="E308" s="88"/>
      <c r="F308" s="88"/>
      <c r="G308" s="50"/>
      <c r="H308" s="114">
        <f t="shared" ref="H308:Q308" ca="1" si="203">G103</f>
        <v>1430.4678486507501</v>
      </c>
      <c r="I308" s="114">
        <f t="shared" ca="1" si="203"/>
        <v>1423.5251285494758</v>
      </c>
      <c r="J308" s="114">
        <f t="shared" ca="1" si="203"/>
        <v>1858.9715067363986</v>
      </c>
      <c r="K308" s="114">
        <f t="shared" ca="1" si="203"/>
        <v>2359.8099582366708</v>
      </c>
      <c r="L308" s="114">
        <f t="shared" ca="1" si="203"/>
        <v>2797.5359144335116</v>
      </c>
      <c r="M308" s="114">
        <f t="shared" ca="1" si="203"/>
        <v>3350.5982083402359</v>
      </c>
      <c r="N308" s="114">
        <f t="shared" ca="1" si="203"/>
        <v>3941.2561070715028</v>
      </c>
      <c r="O308" s="114">
        <f t="shared" ca="1" si="203"/>
        <v>4587.3082065080825</v>
      </c>
      <c r="P308" s="114">
        <f t="shared" ca="1" si="203"/>
        <v>5294.2185458973636</v>
      </c>
      <c r="Q308" s="114">
        <f t="shared" ca="1" si="203"/>
        <v>6067.9975787795902</v>
      </c>
      <c r="R308" s="317"/>
    </row>
    <row r="309" spans="2:18" ht="13.5" customHeight="1" outlineLevel="1">
      <c r="B309" s="88" t="s">
        <v>404</v>
      </c>
      <c r="C309" s="88"/>
      <c r="D309" s="88"/>
      <c r="E309" s="88"/>
      <c r="F309" s="88"/>
      <c r="G309" s="50"/>
      <c r="H309" s="126">
        <f>-Inputs!E63</f>
        <v>-1400</v>
      </c>
      <c r="I309" s="163">
        <f>H309</f>
        <v>-1400</v>
      </c>
      <c r="J309" s="163">
        <f t="shared" ref="J309:Q309" si="204">I309</f>
        <v>-1400</v>
      </c>
      <c r="K309" s="163">
        <f t="shared" si="204"/>
        <v>-1400</v>
      </c>
      <c r="L309" s="163">
        <f t="shared" si="204"/>
        <v>-1400</v>
      </c>
      <c r="M309" s="163">
        <f t="shared" si="204"/>
        <v>-1400</v>
      </c>
      <c r="N309" s="163">
        <f t="shared" si="204"/>
        <v>-1400</v>
      </c>
      <c r="O309" s="163">
        <f t="shared" si="204"/>
        <v>-1400</v>
      </c>
      <c r="P309" s="163">
        <f t="shared" si="204"/>
        <v>-1400</v>
      </c>
      <c r="Q309" s="163">
        <f t="shared" si="204"/>
        <v>-1400</v>
      </c>
      <c r="R309" s="317"/>
    </row>
    <row r="310" spans="2:18" ht="13.5" customHeight="1" outlineLevel="1">
      <c r="B310" s="116" t="s">
        <v>406</v>
      </c>
      <c r="C310" s="116"/>
      <c r="D310" s="116"/>
      <c r="E310" s="116"/>
      <c r="F310" s="116"/>
      <c r="G310" s="352"/>
      <c r="H310" s="340">
        <f ca="1">SUM(H308:H309)</f>
        <v>30.467848650750057</v>
      </c>
      <c r="I310" s="340">
        <f t="shared" ref="I310:Q310" ca="1" si="205">SUM(I308:I309)</f>
        <v>23.525128549475767</v>
      </c>
      <c r="J310" s="340">
        <f t="shared" ca="1" si="205"/>
        <v>458.97150673639862</v>
      </c>
      <c r="K310" s="340">
        <f t="shared" ca="1" si="205"/>
        <v>959.80995823667081</v>
      </c>
      <c r="L310" s="340">
        <f t="shared" ca="1" si="205"/>
        <v>1397.5359144335116</v>
      </c>
      <c r="M310" s="340">
        <f t="shared" ca="1" si="205"/>
        <v>1950.5982083402359</v>
      </c>
      <c r="N310" s="340">
        <f t="shared" ca="1" si="205"/>
        <v>2541.2561070715028</v>
      </c>
      <c r="O310" s="340">
        <f t="shared" ca="1" si="205"/>
        <v>3187.3082065080825</v>
      </c>
      <c r="P310" s="340">
        <f t="shared" ca="1" si="205"/>
        <v>3894.2185458973636</v>
      </c>
      <c r="Q310" s="340">
        <f t="shared" ca="1" si="205"/>
        <v>4667.9975787795902</v>
      </c>
      <c r="R310" s="317"/>
    </row>
    <row r="311" spans="2:18" ht="13.5" customHeight="1" outlineLevel="1">
      <c r="B311" s="88" t="s">
        <v>407</v>
      </c>
      <c r="C311" s="88"/>
      <c r="D311" s="88"/>
      <c r="E311" s="88"/>
      <c r="F311" s="88"/>
      <c r="G311" s="50"/>
      <c r="H311" s="163">
        <f t="shared" ref="H311:Q311" ca="1" si="206">H192+H198+SUM(H212:H215)</f>
        <v>229.85860148220041</v>
      </c>
      <c r="I311" s="163">
        <f t="shared" ca="1" si="206"/>
        <v>435.44637818692286</v>
      </c>
      <c r="J311" s="163">
        <f t="shared" ca="1" si="206"/>
        <v>500.8384515002723</v>
      </c>
      <c r="K311" s="163">
        <f t="shared" ca="1" si="206"/>
        <v>512.72595619684103</v>
      </c>
      <c r="L311" s="163">
        <f t="shared" ca="1" si="206"/>
        <v>553.06229390672411</v>
      </c>
      <c r="M311" s="163">
        <f t="shared" ca="1" si="206"/>
        <v>590.65789873126687</v>
      </c>
      <c r="N311" s="163">
        <f t="shared" ca="1" si="206"/>
        <v>646.05209943657997</v>
      </c>
      <c r="O311" s="163">
        <f t="shared" ca="1" si="206"/>
        <v>706.91033938928115</v>
      </c>
      <c r="P311" s="163">
        <f t="shared" ca="1" si="206"/>
        <v>773.77903288222637</v>
      </c>
      <c r="Q311" s="163">
        <f t="shared" ca="1" si="206"/>
        <v>847.25927936710025</v>
      </c>
      <c r="R311" s="317"/>
    </row>
    <row r="312" spans="2:18" ht="13.5" customHeight="1" outlineLevel="1">
      <c r="B312" s="116" t="s">
        <v>410</v>
      </c>
      <c r="C312" s="116"/>
      <c r="D312" s="116"/>
      <c r="E312" s="116"/>
      <c r="F312" s="116"/>
      <c r="G312" s="352"/>
      <c r="H312" s="340">
        <f ca="1">SUM(H310:H311)</f>
        <v>260.32645013295047</v>
      </c>
      <c r="I312" s="340">
        <f t="shared" ref="I312:Q312" ca="1" si="207">SUM(I310:I311)</f>
        <v>458.97150673639862</v>
      </c>
      <c r="J312" s="340">
        <f t="shared" ca="1" si="207"/>
        <v>959.80995823667092</v>
      </c>
      <c r="K312" s="340">
        <f t="shared" ca="1" si="207"/>
        <v>1472.5359144335118</v>
      </c>
      <c r="L312" s="340">
        <f t="shared" ca="1" si="207"/>
        <v>1950.5982083402357</v>
      </c>
      <c r="M312" s="340">
        <f t="shared" ca="1" si="207"/>
        <v>2541.2561070715028</v>
      </c>
      <c r="N312" s="340">
        <f t="shared" ca="1" si="207"/>
        <v>3187.3082065080825</v>
      </c>
      <c r="O312" s="340">
        <f t="shared" ca="1" si="207"/>
        <v>3894.2185458973636</v>
      </c>
      <c r="P312" s="340">
        <f t="shared" ca="1" si="207"/>
        <v>4667.9975787795902</v>
      </c>
      <c r="Q312" s="340">
        <f t="shared" ca="1" si="207"/>
        <v>5515.2568581466903</v>
      </c>
      <c r="R312" s="317"/>
    </row>
    <row r="313" spans="2:18" ht="13.5" customHeight="1" outlineLevel="1">
      <c r="B313" s="353" t="str">
        <f t="shared" ref="B313:B318" si="208">B494</f>
        <v>Senior credit facility 1</v>
      </c>
      <c r="C313" s="88"/>
      <c r="D313" s="88"/>
      <c r="E313" s="88"/>
      <c r="F313" s="88"/>
      <c r="G313" s="328"/>
      <c r="H313" s="141">
        <f ca="1">H357</f>
        <v>0</v>
      </c>
      <c r="I313" s="141">
        <f t="shared" ref="I313:Q313" ca="1" si="209">I357</f>
        <v>0</v>
      </c>
      <c r="J313" s="141">
        <f t="shared" ca="1" si="209"/>
        <v>0</v>
      </c>
      <c r="K313" s="141">
        <f t="shared" ca="1" si="209"/>
        <v>0</v>
      </c>
      <c r="L313" s="141">
        <f t="shared" ca="1" si="209"/>
        <v>0</v>
      </c>
      <c r="M313" s="141">
        <f t="shared" ca="1" si="209"/>
        <v>0</v>
      </c>
      <c r="N313" s="141">
        <f t="shared" ca="1" si="209"/>
        <v>0</v>
      </c>
      <c r="O313" s="141">
        <f t="shared" ca="1" si="209"/>
        <v>0</v>
      </c>
      <c r="P313" s="141">
        <f t="shared" ca="1" si="209"/>
        <v>0</v>
      </c>
      <c r="Q313" s="141">
        <f t="shared" ca="1" si="209"/>
        <v>0</v>
      </c>
      <c r="R313" s="317"/>
    </row>
    <row r="314" spans="2:18" ht="13.5" customHeight="1" outlineLevel="1">
      <c r="B314" s="353" t="str">
        <f t="shared" si="208"/>
        <v>Senior credit facility 2</v>
      </c>
      <c r="C314" s="88"/>
      <c r="D314" s="88"/>
      <c r="E314" s="88"/>
      <c r="F314" s="88"/>
      <c r="G314" s="328"/>
      <c r="H314" s="141">
        <f ca="1">H363</f>
        <v>0</v>
      </c>
      <c r="I314" s="141">
        <f t="shared" ref="I314:Q314" ca="1" si="210">I363</f>
        <v>0</v>
      </c>
      <c r="J314" s="141">
        <f t="shared" ca="1" si="210"/>
        <v>0</v>
      </c>
      <c r="K314" s="141">
        <f t="shared" ca="1" si="210"/>
        <v>0</v>
      </c>
      <c r="L314" s="141">
        <f t="shared" ca="1" si="210"/>
        <v>0</v>
      </c>
      <c r="M314" s="141">
        <f t="shared" ca="1" si="210"/>
        <v>0</v>
      </c>
      <c r="N314" s="141">
        <f t="shared" ca="1" si="210"/>
        <v>0</v>
      </c>
      <c r="O314" s="141">
        <f t="shared" ca="1" si="210"/>
        <v>0</v>
      </c>
      <c r="P314" s="141">
        <f t="shared" ca="1" si="210"/>
        <v>0</v>
      </c>
      <c r="Q314" s="141">
        <f t="shared" ca="1" si="210"/>
        <v>0</v>
      </c>
      <c r="R314" s="317"/>
    </row>
    <row r="315" spans="2:18" ht="13.5" customHeight="1" outlineLevel="1">
      <c r="B315" s="353" t="str">
        <f t="shared" si="208"/>
        <v>Senior credit facility 3</v>
      </c>
      <c r="C315" s="88"/>
      <c r="D315" s="88"/>
      <c r="E315" s="88"/>
      <c r="F315" s="88"/>
      <c r="G315" s="328"/>
      <c r="H315" s="141">
        <f ca="1">H369</f>
        <v>0</v>
      </c>
      <c r="I315" s="141">
        <f t="shared" ref="I315:Q315" ca="1" si="211">I369</f>
        <v>0</v>
      </c>
      <c r="J315" s="141">
        <f t="shared" ca="1" si="211"/>
        <v>0</v>
      </c>
      <c r="K315" s="141">
        <f t="shared" ca="1" si="211"/>
        <v>-75</v>
      </c>
      <c r="L315" s="141">
        <f t="shared" ca="1" si="211"/>
        <v>0</v>
      </c>
      <c r="M315" s="141">
        <f t="shared" ca="1" si="211"/>
        <v>0</v>
      </c>
      <c r="N315" s="141">
        <f t="shared" ca="1" si="211"/>
        <v>0</v>
      </c>
      <c r="O315" s="141">
        <f t="shared" ca="1" si="211"/>
        <v>0</v>
      </c>
      <c r="P315" s="141">
        <f t="shared" ca="1" si="211"/>
        <v>0</v>
      </c>
      <c r="Q315" s="141">
        <f t="shared" ca="1" si="211"/>
        <v>0</v>
      </c>
      <c r="R315" s="317"/>
    </row>
    <row r="316" spans="2:18" ht="13.5" customHeight="1" outlineLevel="1">
      <c r="B316" s="353" t="str">
        <f t="shared" si="208"/>
        <v>Subordinated note 1</v>
      </c>
      <c r="C316" s="88"/>
      <c r="D316" s="88"/>
      <c r="E316" s="88"/>
      <c r="F316" s="88"/>
      <c r="G316" s="328"/>
      <c r="H316" s="141">
        <f ca="1">H375</f>
        <v>0</v>
      </c>
      <c r="I316" s="141">
        <f t="shared" ref="I316:Q316" ca="1" si="212">I375</f>
        <v>0</v>
      </c>
      <c r="J316" s="141">
        <f t="shared" ca="1" si="212"/>
        <v>0</v>
      </c>
      <c r="K316" s="141">
        <f t="shared" ca="1" si="212"/>
        <v>0</v>
      </c>
      <c r="L316" s="141">
        <f t="shared" ca="1" si="212"/>
        <v>0</v>
      </c>
      <c r="M316" s="141">
        <f t="shared" ca="1" si="212"/>
        <v>0</v>
      </c>
      <c r="N316" s="141">
        <f t="shared" ca="1" si="212"/>
        <v>0</v>
      </c>
      <c r="O316" s="141">
        <f t="shared" ca="1" si="212"/>
        <v>0</v>
      </c>
      <c r="P316" s="141">
        <f t="shared" ca="1" si="212"/>
        <v>0</v>
      </c>
      <c r="Q316" s="141">
        <f t="shared" ca="1" si="212"/>
        <v>0</v>
      </c>
      <c r="R316" s="317"/>
    </row>
    <row r="317" spans="2:18" ht="13.5" customHeight="1" outlineLevel="1">
      <c r="B317" s="353" t="str">
        <f t="shared" si="208"/>
        <v>Subordinated note 2</v>
      </c>
      <c r="C317" s="88"/>
      <c r="D317" s="88"/>
      <c r="E317" s="88"/>
      <c r="F317" s="88"/>
      <c r="G317" s="328"/>
      <c r="H317" s="141">
        <f ca="1">H381</f>
        <v>0</v>
      </c>
      <c r="I317" s="141">
        <f t="shared" ref="I317:Q317" ca="1" si="213">I381</f>
        <v>0</v>
      </c>
      <c r="J317" s="141">
        <f t="shared" ca="1" si="213"/>
        <v>0</v>
      </c>
      <c r="K317" s="141">
        <f t="shared" ca="1" si="213"/>
        <v>0</v>
      </c>
      <c r="L317" s="141">
        <f t="shared" ca="1" si="213"/>
        <v>0</v>
      </c>
      <c r="M317" s="141">
        <f t="shared" ca="1" si="213"/>
        <v>0</v>
      </c>
      <c r="N317" s="141">
        <f t="shared" ca="1" si="213"/>
        <v>0</v>
      </c>
      <c r="O317" s="141">
        <f t="shared" ca="1" si="213"/>
        <v>0</v>
      </c>
      <c r="P317" s="141">
        <f t="shared" ca="1" si="213"/>
        <v>0</v>
      </c>
      <c r="Q317" s="141">
        <f t="shared" ca="1" si="213"/>
        <v>0</v>
      </c>
      <c r="R317" s="317"/>
    </row>
    <row r="318" spans="2:18" ht="13.5" customHeight="1" outlineLevel="1">
      <c r="B318" s="353" t="str">
        <f t="shared" si="208"/>
        <v>Subordinated note 3</v>
      </c>
      <c r="C318" s="88"/>
      <c r="D318" s="88"/>
      <c r="E318" s="88"/>
      <c r="F318" s="88"/>
      <c r="G318" s="328"/>
      <c r="H318" s="141">
        <f ca="1">H387</f>
        <v>0</v>
      </c>
      <c r="I318" s="141">
        <f t="shared" ref="I318:Q318" ca="1" si="214">I387</f>
        <v>0</v>
      </c>
      <c r="J318" s="141">
        <f t="shared" ca="1" si="214"/>
        <v>0</v>
      </c>
      <c r="K318" s="141">
        <f t="shared" ca="1" si="214"/>
        <v>0</v>
      </c>
      <c r="L318" s="141">
        <f t="shared" ca="1" si="214"/>
        <v>0</v>
      </c>
      <c r="M318" s="141">
        <f t="shared" ca="1" si="214"/>
        <v>0</v>
      </c>
      <c r="N318" s="141">
        <f t="shared" ca="1" si="214"/>
        <v>0</v>
      </c>
      <c r="O318" s="141">
        <f t="shared" ca="1" si="214"/>
        <v>0</v>
      </c>
      <c r="P318" s="141">
        <f t="shared" ca="1" si="214"/>
        <v>0</v>
      </c>
      <c r="Q318" s="141">
        <f t="shared" ca="1" si="214"/>
        <v>0</v>
      </c>
      <c r="R318" s="317"/>
    </row>
    <row r="319" spans="2:18" ht="13.5" customHeight="1" outlineLevel="1">
      <c r="B319" s="353" t="str">
        <f t="shared" ref="B319:B321" si="215">B500</f>
        <v>Convertible bond 1</v>
      </c>
      <c r="C319" s="88"/>
      <c r="D319" s="88"/>
      <c r="E319" s="88"/>
      <c r="F319" s="88"/>
      <c r="G319" s="328"/>
      <c r="H319" s="141">
        <f>H394</f>
        <v>0</v>
      </c>
      <c r="I319" s="141">
        <f t="shared" ref="I319:Q319" si="216">I394</f>
        <v>0</v>
      </c>
      <c r="J319" s="141">
        <f t="shared" si="216"/>
        <v>0</v>
      </c>
      <c r="K319" s="141">
        <f t="shared" si="216"/>
        <v>0</v>
      </c>
      <c r="L319" s="141">
        <f t="shared" si="216"/>
        <v>0</v>
      </c>
      <c r="M319" s="141">
        <f t="shared" si="216"/>
        <v>0</v>
      </c>
      <c r="N319" s="141">
        <f t="shared" si="216"/>
        <v>0</v>
      </c>
      <c r="O319" s="141">
        <f t="shared" si="216"/>
        <v>0</v>
      </c>
      <c r="P319" s="141">
        <f t="shared" si="216"/>
        <v>0</v>
      </c>
      <c r="Q319" s="141">
        <f t="shared" si="216"/>
        <v>0</v>
      </c>
      <c r="R319" s="317"/>
    </row>
    <row r="320" spans="2:18" ht="13.5" customHeight="1" outlineLevel="1">
      <c r="B320" s="353" t="str">
        <f t="shared" si="215"/>
        <v>Convertible bond 2</v>
      </c>
      <c r="C320" s="88"/>
      <c r="D320" s="88"/>
      <c r="E320" s="88"/>
      <c r="F320" s="88"/>
      <c r="G320" s="328"/>
      <c r="H320" s="141">
        <f>H400</f>
        <v>0</v>
      </c>
      <c r="I320" s="141">
        <f t="shared" ref="I320:Q320" si="217">I400</f>
        <v>0</v>
      </c>
      <c r="J320" s="141">
        <f t="shared" si="217"/>
        <v>0</v>
      </c>
      <c r="K320" s="141">
        <f t="shared" si="217"/>
        <v>0</v>
      </c>
      <c r="L320" s="141">
        <f t="shared" si="217"/>
        <v>0</v>
      </c>
      <c r="M320" s="141">
        <f t="shared" si="217"/>
        <v>0</v>
      </c>
      <c r="N320" s="141">
        <f t="shared" si="217"/>
        <v>0</v>
      </c>
      <c r="O320" s="141">
        <f t="shared" si="217"/>
        <v>0</v>
      </c>
      <c r="P320" s="141">
        <f t="shared" si="217"/>
        <v>0</v>
      </c>
      <c r="Q320" s="141">
        <f t="shared" si="217"/>
        <v>0</v>
      </c>
      <c r="R320" s="317"/>
    </row>
    <row r="321" spans="2:18" ht="13.5" customHeight="1" outlineLevel="1">
      <c r="B321" s="353" t="str">
        <f t="shared" si="215"/>
        <v>Convertible bond 3</v>
      </c>
      <c r="C321" s="88"/>
      <c r="D321" s="88"/>
      <c r="E321" s="88"/>
      <c r="F321" s="88"/>
      <c r="G321" s="328"/>
      <c r="H321" s="141">
        <f>H406</f>
        <v>0</v>
      </c>
      <c r="I321" s="141">
        <f t="shared" ref="I321:Q321" si="218">I406</f>
        <v>0</v>
      </c>
      <c r="J321" s="141">
        <f t="shared" si="218"/>
        <v>0</v>
      </c>
      <c r="K321" s="141">
        <f t="shared" si="218"/>
        <v>0</v>
      </c>
      <c r="L321" s="141">
        <f t="shared" si="218"/>
        <v>0</v>
      </c>
      <c r="M321" s="141">
        <f t="shared" si="218"/>
        <v>0</v>
      </c>
      <c r="N321" s="141">
        <f t="shared" si="218"/>
        <v>0</v>
      </c>
      <c r="O321" s="141">
        <f t="shared" si="218"/>
        <v>0</v>
      </c>
      <c r="P321" s="141">
        <f t="shared" si="218"/>
        <v>0</v>
      </c>
      <c r="Q321" s="141">
        <f t="shared" si="218"/>
        <v>0</v>
      </c>
      <c r="R321" s="317"/>
    </row>
    <row r="322" spans="2:18" ht="13.5" customHeight="1" outlineLevel="1">
      <c r="B322" s="116" t="s">
        <v>408</v>
      </c>
      <c r="C322" s="116"/>
      <c r="D322" s="116"/>
      <c r="E322" s="116"/>
      <c r="F322" s="116"/>
      <c r="G322" s="352"/>
      <c r="H322" s="340">
        <f ca="1">SUM(H313:OFFSET(H322,-1,0))</f>
        <v>0</v>
      </c>
      <c r="I322" s="340">
        <f ca="1">SUM(I313:OFFSET(I322,-1,0))</f>
        <v>0</v>
      </c>
      <c r="J322" s="340">
        <f ca="1">SUM(J313:OFFSET(J322,-1,0))</f>
        <v>0</v>
      </c>
      <c r="K322" s="340">
        <f ca="1">SUM(K313:OFFSET(K322,-1,0))</f>
        <v>-75</v>
      </c>
      <c r="L322" s="340">
        <f ca="1">SUM(L313:OFFSET(L322,-1,0))</f>
        <v>0</v>
      </c>
      <c r="M322" s="340">
        <f ca="1">SUM(M313:OFFSET(M322,-1,0))</f>
        <v>0</v>
      </c>
      <c r="N322" s="340">
        <f ca="1">SUM(N313:OFFSET(N322,-1,0))</f>
        <v>0</v>
      </c>
      <c r="O322" s="340">
        <f ca="1">SUM(O313:OFFSET(O322,-1,0))</f>
        <v>0</v>
      </c>
      <c r="P322" s="340">
        <f ca="1">SUM(P313:OFFSET(P322,-1,0))</f>
        <v>0</v>
      </c>
      <c r="Q322" s="340">
        <f ca="1">SUM(Q313:OFFSET(Q322,-1,0))</f>
        <v>0</v>
      </c>
      <c r="R322" s="317"/>
    </row>
    <row r="323" spans="2:18" ht="13.5" customHeight="1" outlineLevel="1">
      <c r="B323" s="164" t="s">
        <v>409</v>
      </c>
      <c r="C323" s="164"/>
      <c r="D323" s="164"/>
      <c r="E323" s="164"/>
      <c r="F323" s="334"/>
      <c r="G323" s="166"/>
      <c r="H323" s="166">
        <f ca="1">H312+H322</f>
        <v>260.32645013295047</v>
      </c>
      <c r="I323" s="166">
        <f t="shared" ref="I323:Q323" ca="1" si="219">I312+I322</f>
        <v>458.97150673639862</v>
      </c>
      <c r="J323" s="166">
        <f t="shared" ca="1" si="219"/>
        <v>959.80995823667092</v>
      </c>
      <c r="K323" s="166">
        <f t="shared" ca="1" si="219"/>
        <v>1397.5359144335118</v>
      </c>
      <c r="L323" s="166">
        <f t="shared" ca="1" si="219"/>
        <v>1950.5982083402357</v>
      </c>
      <c r="M323" s="166">
        <f t="shared" ca="1" si="219"/>
        <v>2541.2561070715028</v>
      </c>
      <c r="N323" s="166">
        <f t="shared" ca="1" si="219"/>
        <v>3187.3082065080825</v>
      </c>
      <c r="O323" s="166">
        <f t="shared" ca="1" si="219"/>
        <v>3894.2185458973636</v>
      </c>
      <c r="P323" s="166">
        <f t="shared" ca="1" si="219"/>
        <v>4667.9975787795902</v>
      </c>
      <c r="Q323" s="166">
        <f t="shared" ca="1" si="219"/>
        <v>5515.2568581466903</v>
      </c>
      <c r="R323" s="317"/>
    </row>
    <row r="324" spans="2:18" ht="13.5" customHeight="1" outlineLevel="1">
      <c r="B324" s="88"/>
      <c r="C324" s="88"/>
      <c r="D324" s="88"/>
      <c r="E324" s="88"/>
      <c r="F324" s="88"/>
      <c r="G324" s="328"/>
      <c r="H324" s="141"/>
      <c r="I324" s="141"/>
      <c r="J324" s="141"/>
      <c r="K324" s="141"/>
      <c r="L324" s="141"/>
      <c r="M324" s="141"/>
      <c r="N324" s="141"/>
      <c r="O324" s="141"/>
      <c r="P324" s="141"/>
      <c r="Q324" s="141"/>
      <c r="R324" s="317"/>
    </row>
    <row r="325" spans="2:18" ht="13.5" customHeight="1" outlineLevel="1">
      <c r="B325" s="354" t="s">
        <v>414</v>
      </c>
      <c r="C325" s="88"/>
      <c r="D325" s="88"/>
      <c r="E325" s="88"/>
      <c r="F325" s="344" t="s">
        <v>411</v>
      </c>
      <c r="G325" s="328"/>
      <c r="H325" s="141"/>
      <c r="I325" s="141"/>
      <c r="J325" s="141"/>
      <c r="K325" s="141"/>
      <c r="L325" s="141"/>
      <c r="M325" s="141"/>
      <c r="N325" s="141"/>
      <c r="O325" s="141"/>
      <c r="P325" s="141"/>
      <c r="Q325" s="141"/>
      <c r="R325" s="317"/>
    </row>
    <row r="326" spans="2:18" ht="13.5" customHeight="1" outlineLevel="1">
      <c r="B326" s="88" t="s">
        <v>66</v>
      </c>
      <c r="C326" s="88"/>
      <c r="D326" s="88"/>
      <c r="E326" s="88"/>
      <c r="F326" s="355">
        <f t="shared" ref="F326:F332" si="220">M493</f>
        <v>1</v>
      </c>
      <c r="G326" s="328"/>
      <c r="H326" s="114">
        <f ca="1">IF(H$3=0,0,-MAX(0,MIN(H347,SUM(H$323:H325),$G350*$F326)))</f>
        <v>-236.80132158347476</v>
      </c>
      <c r="I326" s="114">
        <f ca="1">IF(I$3=0,0,-MAX(0,MIN(I347,SUM(I$323:I325),$G350*$F326)))</f>
        <v>0</v>
      </c>
      <c r="J326" s="114">
        <f ca="1">IF(J$3=0,0,-MAX(0,MIN(J347,SUM(J$323:J325),$G350*$F326)))</f>
        <v>0</v>
      </c>
      <c r="K326" s="114">
        <f ca="1">IF(K$3=0,0,-MAX(0,MIN(K347,SUM(K$323:K325),$G350*$F326)))</f>
        <v>0</v>
      </c>
      <c r="L326" s="114">
        <f ca="1">IF(L$3=0,0,-MAX(0,MIN(L347,SUM(L$323:L325),$G350*$F326)))</f>
        <v>0</v>
      </c>
      <c r="M326" s="114">
        <f ca="1">IF(M$3=0,0,-MAX(0,MIN(M347,SUM(M$323:M325),$G350*$F326)))</f>
        <v>0</v>
      </c>
      <c r="N326" s="114">
        <f ca="1">IF(N$3=0,0,-MAX(0,MIN(N347,SUM(N$323:N325),$G350*$F326)))</f>
        <v>0</v>
      </c>
      <c r="O326" s="114">
        <f ca="1">IF(O$3=0,0,-MAX(0,MIN(O347,SUM(O$323:O325),$G350*$F326)))</f>
        <v>0</v>
      </c>
      <c r="P326" s="114">
        <f ca="1">IF(P$3=0,0,-MAX(0,MIN(P347,SUM(P$323:P325),$G350*$F326)))</f>
        <v>0</v>
      </c>
      <c r="Q326" s="114">
        <f ca="1">IF(Q$3=0,0,-MAX(0,MIN(Q347,SUM(Q$323:Q325),$G350*$F326)))</f>
        <v>0</v>
      </c>
      <c r="R326" s="317"/>
    </row>
    <row r="327" spans="2:18" ht="13.5" customHeight="1" outlineLevel="1">
      <c r="B327" s="76" t="str">
        <f>B494</f>
        <v>Senior credit facility 1</v>
      </c>
      <c r="C327" s="88"/>
      <c r="D327" s="88"/>
      <c r="E327" s="88"/>
      <c r="F327" s="355">
        <f t="shared" si="220"/>
        <v>1</v>
      </c>
      <c r="G327" s="328"/>
      <c r="H327" s="141">
        <f ca="1">IF(H$3=0,0,-MAX(0,MIN(H356+H357,SUM(H$323:H326),$G359*$F327)))</f>
        <v>0</v>
      </c>
      <c r="I327" s="141">
        <f ca="1">IF(I$3=0,0,-MAX(0,MIN(I356+I357,SUM(I$323:I326),$G359*$F327)))</f>
        <v>0</v>
      </c>
      <c r="J327" s="141">
        <f ca="1">IF(J$3=0,0,-MAX(0,MIN(J356+J357,SUM(J$323:J326),$G359*$F327)))</f>
        <v>0</v>
      </c>
      <c r="K327" s="141">
        <f ca="1">IF(K$3=0,0,-MAX(0,MIN(K356+K357,SUM(K$323:K326),$G359*$F327)))</f>
        <v>0</v>
      </c>
      <c r="L327" s="141">
        <f ca="1">IF(L$3=0,0,-MAX(0,MIN(L356+L357,SUM(L$323:L326),$G359*$F327)))</f>
        <v>0</v>
      </c>
      <c r="M327" s="141">
        <f ca="1">IF(M$3=0,0,-MAX(0,MIN(M356+M357,SUM(M$323:M326),$G359*$F327)))</f>
        <v>0</v>
      </c>
      <c r="N327" s="141">
        <f ca="1">IF(N$3=0,0,-MAX(0,MIN(N356+N357,SUM(N$323:N326),$G359*$F327)))</f>
        <v>0</v>
      </c>
      <c r="O327" s="141">
        <f ca="1">IF(O$3=0,0,-MAX(0,MIN(O356+O357,SUM(O$323:O326),$G359*$F327)))</f>
        <v>0</v>
      </c>
      <c r="P327" s="141">
        <f ca="1">IF(P$3=0,0,-MAX(0,MIN(P356+P357,SUM(P$323:P326),$G359*$F327)))</f>
        <v>0</v>
      </c>
      <c r="Q327" s="141">
        <f ca="1">IF(Q$3=0,0,-MAX(0,MIN(Q356+Q357,SUM(Q$323:Q326),$G359*$F327)))</f>
        <v>0</v>
      </c>
      <c r="R327" s="317"/>
    </row>
    <row r="328" spans="2:18" ht="13.5" customHeight="1" outlineLevel="1">
      <c r="B328" s="76" t="str">
        <f t="shared" ref="B328:B332" si="221">B495</f>
        <v>Senior credit facility 2</v>
      </c>
      <c r="C328" s="88"/>
      <c r="D328" s="88"/>
      <c r="E328" s="88"/>
      <c r="F328" s="355">
        <f t="shared" si="220"/>
        <v>1</v>
      </c>
      <c r="G328" s="328"/>
      <c r="H328" s="141">
        <f ca="1">IF(H$3=0,0,-MAX(0,MIN(H362+H363,SUM(H$323:H327),$G365*$F328)))</f>
        <v>0</v>
      </c>
      <c r="I328" s="141">
        <f ca="1">IF(I$3=0,0,-MAX(0,MIN(I362+I363,SUM(I$323:I327),$G365*$F328)))</f>
        <v>0</v>
      </c>
      <c r="J328" s="141">
        <f ca="1">IF(J$3=0,0,-MAX(0,MIN(J362+J363,SUM(J$323:J327),$G365*$F328)))</f>
        <v>0</v>
      </c>
      <c r="K328" s="141">
        <f ca="1">IF(K$3=0,0,-MAX(0,MIN(K362+K363,SUM(K$323:K327),$G365*$F328)))</f>
        <v>0</v>
      </c>
      <c r="L328" s="141">
        <f ca="1">IF(L$3=0,0,-MAX(0,MIN(L362+L363,SUM(L$323:L327),$G365*$F328)))</f>
        <v>0</v>
      </c>
      <c r="M328" s="141">
        <f ca="1">IF(M$3=0,0,-MAX(0,MIN(M362+M363,SUM(M$323:M327),$G365*$F328)))</f>
        <v>0</v>
      </c>
      <c r="N328" s="141">
        <f ca="1">IF(N$3=0,0,-MAX(0,MIN(N362+N363,SUM(N$323:N327),$G365*$F328)))</f>
        <v>0</v>
      </c>
      <c r="O328" s="141">
        <f ca="1">IF(O$3=0,0,-MAX(0,MIN(O362+O363,SUM(O$323:O327),$G365*$F328)))</f>
        <v>0</v>
      </c>
      <c r="P328" s="141">
        <f ca="1">IF(P$3=0,0,-MAX(0,MIN(P362+P363,SUM(P$323:P327),$G365*$F328)))</f>
        <v>0</v>
      </c>
      <c r="Q328" s="141">
        <f ca="1">IF(Q$3=0,0,-MAX(0,MIN(Q362+Q363,SUM(Q$323:Q327),$G365*$F328)))</f>
        <v>0</v>
      </c>
      <c r="R328" s="317"/>
    </row>
    <row r="329" spans="2:18" ht="13.5" customHeight="1" outlineLevel="1">
      <c r="B329" s="76" t="str">
        <f t="shared" si="221"/>
        <v>Senior credit facility 3</v>
      </c>
      <c r="C329" s="88"/>
      <c r="D329" s="88"/>
      <c r="E329" s="88"/>
      <c r="F329" s="355">
        <f t="shared" si="220"/>
        <v>0</v>
      </c>
      <c r="G329" s="328"/>
      <c r="H329" s="141">
        <f ca="1">IF(H$3=0,0,-MAX(0,MIN(H368+H369,SUM(H$323:H328),$G371*$F329)))</f>
        <v>0</v>
      </c>
      <c r="I329" s="141">
        <f ca="1">IF(I$3=0,0,-MAX(0,MIN(I368+I369,SUM(I$323:I328),$G371*$F329)))</f>
        <v>0</v>
      </c>
      <c r="J329" s="141">
        <f ca="1">IF(J$3=0,0,-MAX(0,MIN(J368+J369,SUM(J$323:J328),$G371*$F329)))</f>
        <v>0</v>
      </c>
      <c r="K329" s="141">
        <f ca="1">IF(K$3=0,0,-MAX(0,MIN(K368+K369,SUM(K$323:K328),$G371*$F329)))</f>
        <v>0</v>
      </c>
      <c r="L329" s="141">
        <f ca="1">IF(L$3=0,0,-MAX(0,MIN(L368+L369,SUM(L$323:L328),$G371*$F329)))</f>
        <v>0</v>
      </c>
      <c r="M329" s="141">
        <f ca="1">IF(M$3=0,0,-MAX(0,MIN(M368+M369,SUM(M$323:M328),$G371*$F329)))</f>
        <v>0</v>
      </c>
      <c r="N329" s="141">
        <f ca="1">IF(N$3=0,0,-MAX(0,MIN(N368+N369,SUM(N$323:N328),$G371*$F329)))</f>
        <v>0</v>
      </c>
      <c r="O329" s="141">
        <f ca="1">IF(O$3=0,0,-MAX(0,MIN(O368+O369,SUM(O$323:O328),$G371*$F329)))</f>
        <v>0</v>
      </c>
      <c r="P329" s="141">
        <f ca="1">IF(P$3=0,0,-MAX(0,MIN(P368+P369,SUM(P$323:P328),$G371*$F329)))</f>
        <v>0</v>
      </c>
      <c r="Q329" s="141">
        <f ca="1">IF(Q$3=0,0,-MAX(0,MIN(Q368+Q369,SUM(Q$323:Q328),$G371*$F329)))</f>
        <v>0</v>
      </c>
      <c r="R329" s="317"/>
    </row>
    <row r="330" spans="2:18" ht="13.5" customHeight="1" outlineLevel="1">
      <c r="B330" s="76" t="str">
        <f t="shared" si="221"/>
        <v>Subordinated note 1</v>
      </c>
      <c r="C330" s="88"/>
      <c r="D330" s="88"/>
      <c r="E330" s="88"/>
      <c r="F330" s="355">
        <f t="shared" si="220"/>
        <v>0</v>
      </c>
      <c r="G330" s="328"/>
      <c r="H330" s="141">
        <f ca="1">IF(H$3=0,0,-MAX(0,MIN(H374+H375,SUM(H$323:H329),$G377*$F330)))</f>
        <v>0</v>
      </c>
      <c r="I330" s="141">
        <f ca="1">IF(I$3=0,0,-MAX(0,MIN(I374+I375,SUM(I$323:I329),$G377*$F330)))</f>
        <v>0</v>
      </c>
      <c r="J330" s="141">
        <f ca="1">IF(J$3=0,0,-MAX(0,MIN(J374+J375,SUM(J$323:J329),$G377*$F330)))</f>
        <v>0</v>
      </c>
      <c r="K330" s="141">
        <f ca="1">IF(K$3=0,0,-MAX(0,MIN(K374+K375,SUM(K$323:K329),$G377*$F330)))</f>
        <v>0</v>
      </c>
      <c r="L330" s="141">
        <f ca="1">IF(L$3=0,0,-MAX(0,MIN(L374+L375,SUM(L$323:L329),$G377*$F330)))</f>
        <v>0</v>
      </c>
      <c r="M330" s="141">
        <f ca="1">IF(M$3=0,0,-MAX(0,MIN(M374+M375,SUM(M$323:M329),$G377*$F330)))</f>
        <v>0</v>
      </c>
      <c r="N330" s="141">
        <f ca="1">IF(N$3=0,0,-MAX(0,MIN(N374+N375,SUM(N$323:N329),$G377*$F330)))</f>
        <v>0</v>
      </c>
      <c r="O330" s="141">
        <f ca="1">IF(O$3=0,0,-MAX(0,MIN(O374+O375,SUM(O$323:O329),$G377*$F330)))</f>
        <v>0</v>
      </c>
      <c r="P330" s="141">
        <f ca="1">IF(P$3=0,0,-MAX(0,MIN(P374+P375,SUM(P$323:P329),$G377*$F330)))</f>
        <v>0</v>
      </c>
      <c r="Q330" s="141">
        <f ca="1">IF(Q$3=0,0,-MAX(0,MIN(Q374+Q375,SUM(Q$323:Q329),$G377*$F330)))</f>
        <v>0</v>
      </c>
      <c r="R330" s="317"/>
    </row>
    <row r="331" spans="2:18" ht="13.5" customHeight="1" outlineLevel="1">
      <c r="B331" s="76" t="str">
        <f t="shared" si="221"/>
        <v>Subordinated note 2</v>
      </c>
      <c r="C331" s="88"/>
      <c r="D331" s="88"/>
      <c r="E331" s="88"/>
      <c r="F331" s="355">
        <f t="shared" si="220"/>
        <v>0</v>
      </c>
      <c r="G331" s="328"/>
      <c r="H331" s="141">
        <f ca="1">IF(H$3=0,0,-MAX(0,MIN(H380+H381,SUM(H$323:H330),$G383*$F331)))</f>
        <v>0</v>
      </c>
      <c r="I331" s="141">
        <f ca="1">IF(I$3=0,0,-MAX(0,MIN(I380+I381,SUM(I$323:I330),$G383*$F331)))</f>
        <v>0</v>
      </c>
      <c r="J331" s="141">
        <f ca="1">IF(J$3=0,0,-MAX(0,MIN(J380+J381,SUM(J$323:J330),$G383*$F331)))</f>
        <v>0</v>
      </c>
      <c r="K331" s="141">
        <f ca="1">IF(K$3=0,0,-MAX(0,MIN(K380+K381,SUM(K$323:K330),$G383*$F331)))</f>
        <v>0</v>
      </c>
      <c r="L331" s="141">
        <f ca="1">IF(L$3=0,0,-MAX(0,MIN(L380+L381,SUM(L$323:L330),$G383*$F331)))</f>
        <v>0</v>
      </c>
      <c r="M331" s="141">
        <f ca="1">IF(M$3=0,0,-MAX(0,MIN(M380+M381,SUM(M$323:M330),$G383*$F331)))</f>
        <v>0</v>
      </c>
      <c r="N331" s="141">
        <f ca="1">IF(N$3=0,0,-MAX(0,MIN(N380+N381,SUM(N$323:N330),$G383*$F331)))</f>
        <v>0</v>
      </c>
      <c r="O331" s="141">
        <f ca="1">IF(O$3=0,0,-MAX(0,MIN(O380+O381,SUM(O$323:O330),$G383*$F331)))</f>
        <v>0</v>
      </c>
      <c r="P331" s="141">
        <f ca="1">IF(P$3=0,0,-MAX(0,MIN(P380+P381,SUM(P$323:P330),$G383*$F331)))</f>
        <v>0</v>
      </c>
      <c r="Q331" s="141">
        <f ca="1">IF(Q$3=0,0,-MAX(0,MIN(Q380+Q381,SUM(Q$323:Q330),$G383*$F331)))</f>
        <v>0</v>
      </c>
      <c r="R331" s="317"/>
    </row>
    <row r="332" spans="2:18" ht="13.5" customHeight="1" outlineLevel="1">
      <c r="B332" s="76" t="str">
        <f t="shared" si="221"/>
        <v>Subordinated note 3</v>
      </c>
      <c r="C332" s="88"/>
      <c r="D332" s="88"/>
      <c r="E332" s="88"/>
      <c r="F332" s="355">
        <f t="shared" si="220"/>
        <v>0</v>
      </c>
      <c r="G332" s="328"/>
      <c r="H332" s="141">
        <f ca="1">IF(H$3=0,0,-MAX(0,MIN(H386+H387,SUM(H$323:H331),$G389*$F332)))</f>
        <v>0</v>
      </c>
      <c r="I332" s="141">
        <f ca="1">IF(I$3=0,0,-MAX(0,MIN(I386+I387,SUM(I$323:I331),$G389*$F332)))</f>
        <v>0</v>
      </c>
      <c r="J332" s="141">
        <f ca="1">IF(J$3=0,0,-MAX(0,MIN(J386+J387,SUM(J$323:J331),$G389*$F332)))</f>
        <v>0</v>
      </c>
      <c r="K332" s="141">
        <f ca="1">IF(K$3=0,0,-MAX(0,MIN(K386+K387,SUM(K$323:K331),$G389*$F332)))</f>
        <v>0</v>
      </c>
      <c r="L332" s="141">
        <f ca="1">IF(L$3=0,0,-MAX(0,MIN(L386+L387,SUM(L$323:L331),$G389*$F332)))</f>
        <v>0</v>
      </c>
      <c r="M332" s="141">
        <f ca="1">IF(M$3=0,0,-MAX(0,MIN(M386+M387,SUM(M$323:M331),$G389*$F332)))</f>
        <v>0</v>
      </c>
      <c r="N332" s="141">
        <f ca="1">IF(N$3=0,0,-MAX(0,MIN(N386+N387,SUM(N$323:N331),$G389*$F332)))</f>
        <v>0</v>
      </c>
      <c r="O332" s="141">
        <f ca="1">IF(O$3=0,0,-MAX(0,MIN(O386+O387,SUM(O$323:O331),$G389*$F332)))</f>
        <v>0</v>
      </c>
      <c r="P332" s="141">
        <f ca="1">IF(P$3=0,0,-MAX(0,MIN(P386+P387,SUM(P$323:P331),$G389*$F332)))</f>
        <v>0</v>
      </c>
      <c r="Q332" s="141">
        <f ca="1">IF(Q$3=0,0,-MAX(0,MIN(Q386+Q387,SUM(Q$323:Q331),$G389*$F332)))</f>
        <v>0</v>
      </c>
      <c r="R332" s="317"/>
    </row>
    <row r="333" spans="2:18" ht="13.5" customHeight="1" outlineLevel="1">
      <c r="B333" s="116" t="s">
        <v>412</v>
      </c>
      <c r="C333" s="116"/>
      <c r="D333" s="116"/>
      <c r="E333" s="116"/>
      <c r="F333" s="116"/>
      <c r="G333" s="356"/>
      <c r="H333" s="352">
        <f ca="1">SUM(H326:OFFSET(H333,-1,0))</f>
        <v>-236.80132158347476</v>
      </c>
      <c r="I333" s="352">
        <f ca="1">SUM(I326:OFFSET(I333,-1,0))</f>
        <v>0</v>
      </c>
      <c r="J333" s="352">
        <f ca="1">SUM(J326:OFFSET(J333,-1,0))</f>
        <v>0</v>
      </c>
      <c r="K333" s="352">
        <f ca="1">SUM(K326:OFFSET(K333,-1,0))</f>
        <v>0</v>
      </c>
      <c r="L333" s="352">
        <f ca="1">SUM(L326:OFFSET(L333,-1,0))</f>
        <v>0</v>
      </c>
      <c r="M333" s="352">
        <f ca="1">SUM(M326:OFFSET(M333,-1,0))</f>
        <v>0</v>
      </c>
      <c r="N333" s="352">
        <f ca="1">SUM(N326:OFFSET(N333,-1,0))</f>
        <v>0</v>
      </c>
      <c r="O333" s="352">
        <f ca="1">SUM(O326:OFFSET(O333,-1,0))</f>
        <v>0</v>
      </c>
      <c r="P333" s="352">
        <f ca="1">SUM(P326:OFFSET(P333,-1,0))</f>
        <v>0</v>
      </c>
      <c r="Q333" s="352">
        <f ca="1">SUM(Q326:OFFSET(Q333,-1,0))</f>
        <v>0</v>
      </c>
      <c r="R333" s="317"/>
    </row>
    <row r="334" spans="2:18" ht="13.5" customHeight="1" outlineLevel="1">
      <c r="B334" s="88"/>
      <c r="C334" s="88"/>
      <c r="D334" s="88"/>
      <c r="E334" s="88"/>
      <c r="F334" s="88"/>
      <c r="G334" s="328"/>
      <c r="H334" s="141"/>
      <c r="I334" s="141"/>
      <c r="J334" s="141"/>
      <c r="K334" s="141"/>
      <c r="L334" s="141"/>
      <c r="M334" s="141"/>
      <c r="N334" s="141"/>
      <c r="O334" s="141"/>
      <c r="P334" s="141"/>
      <c r="Q334" s="141"/>
      <c r="R334" s="317"/>
    </row>
    <row r="335" spans="2:18" ht="13.5" customHeight="1" outlineLevel="1">
      <c r="B335" s="108" t="s">
        <v>580</v>
      </c>
      <c r="C335" s="109"/>
      <c r="D335" s="109"/>
      <c r="E335" s="306"/>
      <c r="F335" s="306"/>
      <c r="G335" s="306"/>
      <c r="H335" s="306"/>
      <c r="I335" s="109"/>
      <c r="J335" s="306"/>
      <c r="K335" s="306"/>
      <c r="L335" s="306"/>
      <c r="M335" s="306"/>
      <c r="N335" s="306"/>
      <c r="O335" s="306"/>
      <c r="P335" s="306"/>
      <c r="Q335" s="110"/>
    </row>
    <row r="336" spans="2:18" ht="13.5" customHeight="1" outlineLevel="1">
      <c r="B336" s="50"/>
      <c r="C336" s="50"/>
      <c r="D336" s="50"/>
      <c r="G336" s="50"/>
      <c r="H336" s="350"/>
      <c r="I336" s="350"/>
      <c r="J336" s="350"/>
      <c r="N336" s="57"/>
      <c r="R336" s="317"/>
    </row>
    <row r="337" spans="2:18" ht="13.5" customHeight="1" outlineLevel="1">
      <c r="B337" s="76" t="str">
        <f t="shared" ref="B337:B342" si="222">B494</f>
        <v>Senior credit facility 1</v>
      </c>
      <c r="C337" s="88"/>
      <c r="D337" s="88"/>
      <c r="E337" s="355"/>
      <c r="F337" s="357"/>
      <c r="G337" s="328"/>
      <c r="H337" s="314">
        <f>Acquirer!T263</f>
        <v>0</v>
      </c>
      <c r="I337" s="122">
        <f>Acquirer!H263</f>
        <v>0</v>
      </c>
      <c r="J337" s="122">
        <f>Acquirer!I263</f>
        <v>0</v>
      </c>
      <c r="K337" s="122">
        <f>Acquirer!J263</f>
        <v>0</v>
      </c>
      <c r="L337" s="122">
        <f>Acquirer!K263</f>
        <v>0</v>
      </c>
      <c r="M337" s="122">
        <f>Acquirer!L263</f>
        <v>0</v>
      </c>
      <c r="N337" s="122">
        <f>Acquirer!M263</f>
        <v>0</v>
      </c>
      <c r="O337" s="122">
        <f>Acquirer!N263</f>
        <v>0</v>
      </c>
      <c r="P337" s="122">
        <f>Acquirer!O263</f>
        <v>0</v>
      </c>
      <c r="Q337" s="122">
        <f>Acquirer!P263</f>
        <v>0</v>
      </c>
      <c r="R337" s="317"/>
    </row>
    <row r="338" spans="2:18" ht="13.5" customHeight="1" outlineLevel="1">
      <c r="B338" s="76" t="str">
        <f t="shared" si="222"/>
        <v>Senior credit facility 2</v>
      </c>
      <c r="C338" s="88"/>
      <c r="D338" s="88"/>
      <c r="E338" s="355"/>
      <c r="F338" s="357"/>
      <c r="G338" s="328"/>
      <c r="H338" s="314">
        <f>Target!T263</f>
        <v>0</v>
      </c>
      <c r="I338" s="122">
        <f>Target!H263</f>
        <v>0</v>
      </c>
      <c r="J338" s="122">
        <f>Target!I263</f>
        <v>0</v>
      </c>
      <c r="K338" s="122">
        <f>Target!J263</f>
        <v>0</v>
      </c>
      <c r="L338" s="122">
        <f>Target!K263</f>
        <v>0</v>
      </c>
      <c r="M338" s="122">
        <f>Target!L263</f>
        <v>0</v>
      </c>
      <c r="N338" s="122">
        <f>Target!M263</f>
        <v>0</v>
      </c>
      <c r="O338" s="122">
        <f>Target!N263</f>
        <v>0</v>
      </c>
      <c r="P338" s="122">
        <f>Target!O263</f>
        <v>0</v>
      </c>
      <c r="Q338" s="122">
        <f>Target!P263</f>
        <v>0</v>
      </c>
      <c r="R338" s="317"/>
    </row>
    <row r="339" spans="2:18" ht="13.5" customHeight="1" outlineLevel="1">
      <c r="B339" s="76" t="str">
        <f t="shared" si="222"/>
        <v>Senior credit facility 3</v>
      </c>
      <c r="C339" s="88"/>
      <c r="D339" s="88"/>
      <c r="E339" s="355"/>
      <c r="F339" s="357"/>
      <c r="G339" s="328"/>
      <c r="H339" s="358">
        <v>0</v>
      </c>
      <c r="I339" s="358">
        <v>0</v>
      </c>
      <c r="J339" s="358">
        <v>0</v>
      </c>
      <c r="K339" s="358">
        <v>1</v>
      </c>
      <c r="L339" s="358">
        <v>0</v>
      </c>
      <c r="M339" s="358">
        <v>0</v>
      </c>
      <c r="N339" s="358">
        <v>0</v>
      </c>
      <c r="O339" s="358">
        <v>0</v>
      </c>
      <c r="P339" s="358">
        <v>0</v>
      </c>
      <c r="Q339" s="358">
        <v>0</v>
      </c>
      <c r="R339" s="317"/>
    </row>
    <row r="340" spans="2:18" ht="13.5" customHeight="1" outlineLevel="1">
      <c r="B340" s="76" t="str">
        <f t="shared" si="222"/>
        <v>Subordinated note 1</v>
      </c>
      <c r="C340" s="88"/>
      <c r="D340" s="88"/>
      <c r="E340" s="355"/>
      <c r="F340" s="357"/>
      <c r="G340" s="328"/>
      <c r="H340" s="314">
        <f>Acquirer!T264</f>
        <v>0</v>
      </c>
      <c r="I340" s="122">
        <f>Acquirer!H264</f>
        <v>0</v>
      </c>
      <c r="J340" s="122">
        <f>Acquirer!I264</f>
        <v>0</v>
      </c>
      <c r="K340" s="122">
        <f>Acquirer!J264</f>
        <v>0</v>
      </c>
      <c r="L340" s="122">
        <f>Acquirer!K264</f>
        <v>0</v>
      </c>
      <c r="M340" s="122">
        <f>Acquirer!L264</f>
        <v>0</v>
      </c>
      <c r="N340" s="122">
        <f>Acquirer!M264</f>
        <v>0</v>
      </c>
      <c r="O340" s="122">
        <f>Acquirer!N264</f>
        <v>0</v>
      </c>
      <c r="P340" s="122">
        <f>Acquirer!O264</f>
        <v>0</v>
      </c>
      <c r="Q340" s="122">
        <f>Acquirer!P264</f>
        <v>0</v>
      </c>
      <c r="R340" s="317"/>
    </row>
    <row r="341" spans="2:18" ht="13.5" customHeight="1" outlineLevel="1">
      <c r="B341" s="76" t="str">
        <f t="shared" si="222"/>
        <v>Subordinated note 2</v>
      </c>
      <c r="C341" s="88"/>
      <c r="D341" s="88"/>
      <c r="E341" s="355"/>
      <c r="F341" s="357"/>
      <c r="G341" s="328"/>
      <c r="H341" s="314">
        <f>Target!T264</f>
        <v>0</v>
      </c>
      <c r="I341" s="122">
        <f>Target!H264</f>
        <v>0</v>
      </c>
      <c r="J341" s="122">
        <f>Target!I264</f>
        <v>0</v>
      </c>
      <c r="K341" s="122">
        <f>Target!J264</f>
        <v>0</v>
      </c>
      <c r="L341" s="122">
        <f>Target!K264</f>
        <v>0</v>
      </c>
      <c r="M341" s="122">
        <f>Target!L264</f>
        <v>0</v>
      </c>
      <c r="N341" s="122">
        <f>Target!M264</f>
        <v>0</v>
      </c>
      <c r="O341" s="122">
        <f>Target!N264</f>
        <v>0</v>
      </c>
      <c r="P341" s="122">
        <f>Target!O264</f>
        <v>0</v>
      </c>
      <c r="Q341" s="122">
        <f>Target!P264</f>
        <v>0</v>
      </c>
      <c r="R341" s="317"/>
    </row>
    <row r="342" spans="2:18" ht="13.5" customHeight="1" outlineLevel="1">
      <c r="B342" s="76" t="str">
        <f t="shared" si="222"/>
        <v>Subordinated note 3</v>
      </c>
      <c r="C342" s="88"/>
      <c r="D342" s="88"/>
      <c r="E342" s="355"/>
      <c r="F342" s="357"/>
      <c r="G342" s="328"/>
      <c r="H342" s="358">
        <v>0</v>
      </c>
      <c r="I342" s="358">
        <v>0</v>
      </c>
      <c r="J342" s="358">
        <v>0</v>
      </c>
      <c r="K342" s="358">
        <v>0</v>
      </c>
      <c r="L342" s="358">
        <v>0</v>
      </c>
      <c r="M342" s="358">
        <v>0</v>
      </c>
      <c r="N342" s="358">
        <v>0</v>
      </c>
      <c r="O342" s="358">
        <v>0</v>
      </c>
      <c r="P342" s="358">
        <v>0</v>
      </c>
      <c r="Q342" s="358">
        <v>0</v>
      </c>
      <c r="R342" s="317"/>
    </row>
    <row r="343" spans="2:18" ht="13.5" customHeight="1" outlineLevel="1">
      <c r="B343" s="88"/>
      <c r="C343" s="88"/>
      <c r="D343" s="88"/>
      <c r="E343" s="88"/>
      <c r="F343" s="88"/>
      <c r="G343" s="328"/>
      <c r="H343" s="141"/>
      <c r="I343" s="141"/>
      <c r="J343" s="141"/>
      <c r="K343" s="141"/>
      <c r="L343" s="141"/>
      <c r="M343" s="141"/>
      <c r="N343" s="141"/>
      <c r="O343" s="141"/>
      <c r="P343" s="141"/>
      <c r="Q343" s="141"/>
      <c r="R343" s="317"/>
    </row>
    <row r="344" spans="2:18" ht="13.5" customHeight="1" outlineLevel="1">
      <c r="B344" s="108" t="s">
        <v>413</v>
      </c>
      <c r="C344" s="109"/>
      <c r="D344" s="109"/>
      <c r="E344" s="306"/>
      <c r="F344" s="306"/>
      <c r="G344" s="306"/>
      <c r="H344" s="306"/>
      <c r="I344" s="109"/>
      <c r="J344" s="306"/>
      <c r="K344" s="306"/>
      <c r="L344" s="306"/>
      <c r="M344" s="306"/>
      <c r="N344" s="306"/>
      <c r="O344" s="306"/>
      <c r="P344" s="306"/>
      <c r="Q344" s="110"/>
    </row>
    <row r="345" spans="2:18" ht="13.5" customHeight="1" outlineLevel="1">
      <c r="B345" s="50"/>
      <c r="C345" s="50"/>
      <c r="D345" s="50"/>
      <c r="G345" s="50"/>
      <c r="H345" s="350"/>
      <c r="I345" s="350"/>
      <c r="J345" s="350"/>
      <c r="N345" s="57"/>
      <c r="R345" s="317"/>
    </row>
    <row r="346" spans="2:18" ht="13.5" customHeight="1" outlineLevel="1">
      <c r="B346" s="359" t="str">
        <f>B493</f>
        <v>Revolver</v>
      </c>
      <c r="C346" s="360"/>
      <c r="D346" s="360"/>
      <c r="E346" s="361"/>
      <c r="F346" s="361"/>
      <c r="G346" s="362"/>
      <c r="H346" s="363"/>
      <c r="I346" s="363"/>
      <c r="J346" s="363"/>
      <c r="K346" s="361"/>
      <c r="L346" s="361"/>
      <c r="M346" s="361"/>
      <c r="N346" s="364"/>
      <c r="O346" s="361"/>
      <c r="P346" s="361"/>
      <c r="Q346" s="361"/>
      <c r="R346" s="317"/>
    </row>
    <row r="347" spans="2:18" ht="13.5" customHeight="1" outlineLevel="1">
      <c r="B347" s="147" t="s">
        <v>394</v>
      </c>
      <c r="C347" s="50"/>
      <c r="D347" s="50"/>
      <c r="G347" s="50"/>
      <c r="H347" s="231">
        <f t="shared" ref="H347:Q347" ca="1" si="223">G350</f>
        <v>236.80132158347476</v>
      </c>
      <c r="I347" s="231">
        <f t="shared" ca="1" si="223"/>
        <v>0</v>
      </c>
      <c r="J347" s="231">
        <f t="shared" ca="1" si="223"/>
        <v>0</v>
      </c>
      <c r="K347" s="231">
        <f t="shared" ca="1" si="223"/>
        <v>0</v>
      </c>
      <c r="L347" s="231">
        <f t="shared" ca="1" si="223"/>
        <v>0</v>
      </c>
      <c r="M347" s="231">
        <f t="shared" ca="1" si="223"/>
        <v>0</v>
      </c>
      <c r="N347" s="231">
        <f t="shared" ca="1" si="223"/>
        <v>0</v>
      </c>
      <c r="O347" s="231">
        <f t="shared" ca="1" si="223"/>
        <v>0</v>
      </c>
      <c r="P347" s="231">
        <f t="shared" ca="1" si="223"/>
        <v>0</v>
      </c>
      <c r="Q347" s="231">
        <f t="shared" ca="1" si="223"/>
        <v>0</v>
      </c>
      <c r="R347" s="317"/>
    </row>
    <row r="348" spans="2:18" ht="13.5" customHeight="1" outlineLevel="1">
      <c r="B348" s="147" t="s">
        <v>395</v>
      </c>
      <c r="C348" s="50"/>
      <c r="D348" s="50"/>
      <c r="G348" s="50"/>
      <c r="H348" s="163">
        <f ca="1">MIN(MAX(0,-H323),H352-H347)</f>
        <v>0</v>
      </c>
      <c r="I348" s="163">
        <f t="shared" ref="I348:Q348" ca="1" si="224">MIN(MAX(0,-I323),I352-I347)</f>
        <v>0</v>
      </c>
      <c r="J348" s="163">
        <f t="shared" ca="1" si="224"/>
        <v>0</v>
      </c>
      <c r="K348" s="163">
        <f t="shared" ca="1" si="224"/>
        <v>0</v>
      </c>
      <c r="L348" s="163">
        <f t="shared" ca="1" si="224"/>
        <v>0</v>
      </c>
      <c r="M348" s="163">
        <f t="shared" ca="1" si="224"/>
        <v>0</v>
      </c>
      <c r="N348" s="163">
        <f t="shared" ca="1" si="224"/>
        <v>0</v>
      </c>
      <c r="O348" s="163">
        <f t="shared" ca="1" si="224"/>
        <v>0</v>
      </c>
      <c r="P348" s="163">
        <f t="shared" ca="1" si="224"/>
        <v>0</v>
      </c>
      <c r="Q348" s="163">
        <f t="shared" ca="1" si="224"/>
        <v>0</v>
      </c>
      <c r="R348" s="317"/>
    </row>
    <row r="349" spans="2:18" ht="13.5" customHeight="1" outlineLevel="1">
      <c r="B349" s="147" t="s">
        <v>396</v>
      </c>
      <c r="C349" s="50"/>
      <c r="D349" s="50"/>
      <c r="G349" s="50"/>
      <c r="H349" s="163">
        <f t="shared" ref="H349:Q349" ca="1" si="225">H326</f>
        <v>-236.80132158347476</v>
      </c>
      <c r="I349" s="163">
        <f t="shared" ca="1" si="225"/>
        <v>0</v>
      </c>
      <c r="J349" s="163">
        <f t="shared" ca="1" si="225"/>
        <v>0</v>
      </c>
      <c r="K349" s="163">
        <f t="shared" ca="1" si="225"/>
        <v>0</v>
      </c>
      <c r="L349" s="163">
        <f t="shared" ca="1" si="225"/>
        <v>0</v>
      </c>
      <c r="M349" s="163">
        <f t="shared" ca="1" si="225"/>
        <v>0</v>
      </c>
      <c r="N349" s="163">
        <f t="shared" ca="1" si="225"/>
        <v>0</v>
      </c>
      <c r="O349" s="163">
        <f t="shared" ca="1" si="225"/>
        <v>0</v>
      </c>
      <c r="P349" s="163">
        <f t="shared" ca="1" si="225"/>
        <v>0</v>
      </c>
      <c r="Q349" s="163">
        <f t="shared" ca="1" si="225"/>
        <v>0</v>
      </c>
      <c r="R349" s="317"/>
    </row>
    <row r="350" spans="2:18" ht="13.5" customHeight="1" outlineLevel="1">
      <c r="B350" s="116" t="s">
        <v>397</v>
      </c>
      <c r="C350" s="116"/>
      <c r="D350" s="116"/>
      <c r="E350" s="116"/>
      <c r="F350" s="116"/>
      <c r="G350" s="356">
        <f ca="1">Close!S140</f>
        <v>236.80132158347476</v>
      </c>
      <c r="H350" s="352">
        <f ca="1">SUM(H347:H349)</f>
        <v>0</v>
      </c>
      <c r="I350" s="352">
        <f t="shared" ref="I350:Q350" ca="1" si="226">SUM(I347:I349)</f>
        <v>0</v>
      </c>
      <c r="J350" s="352">
        <f t="shared" ca="1" si="226"/>
        <v>0</v>
      </c>
      <c r="K350" s="352">
        <f t="shared" ca="1" si="226"/>
        <v>0</v>
      </c>
      <c r="L350" s="352">
        <f t="shared" ca="1" si="226"/>
        <v>0</v>
      </c>
      <c r="M350" s="352">
        <f t="shared" ca="1" si="226"/>
        <v>0</v>
      </c>
      <c r="N350" s="352">
        <f t="shared" ca="1" si="226"/>
        <v>0</v>
      </c>
      <c r="O350" s="352">
        <f t="shared" ca="1" si="226"/>
        <v>0</v>
      </c>
      <c r="P350" s="352">
        <f t="shared" ca="1" si="226"/>
        <v>0</v>
      </c>
      <c r="Q350" s="352">
        <f t="shared" ca="1" si="226"/>
        <v>0</v>
      </c>
      <c r="R350" s="317"/>
    </row>
    <row r="351" spans="2:18" ht="13.5" customHeight="1" outlineLevel="1">
      <c r="B351" s="50"/>
      <c r="C351" s="50"/>
      <c r="D351" s="50"/>
      <c r="G351" s="365"/>
      <c r="H351" s="350"/>
      <c r="I351" s="350"/>
      <c r="J351" s="350"/>
      <c r="N351" s="57"/>
      <c r="R351" s="317"/>
    </row>
    <row r="352" spans="2:18" ht="13.5" customHeight="1" outlineLevel="1">
      <c r="B352" s="88" t="s">
        <v>641</v>
      </c>
      <c r="C352" s="50"/>
      <c r="D352" s="50"/>
      <c r="G352" s="315">
        <f>Acquirer!F274</f>
        <v>2000</v>
      </c>
      <c r="H352" s="316">
        <f>G352</f>
        <v>2000</v>
      </c>
      <c r="I352" s="316">
        <f t="shared" ref="I352:Q352" si="227">H352</f>
        <v>2000</v>
      </c>
      <c r="J352" s="316">
        <f t="shared" si="227"/>
        <v>2000</v>
      </c>
      <c r="K352" s="316">
        <f t="shared" si="227"/>
        <v>2000</v>
      </c>
      <c r="L352" s="316">
        <f t="shared" si="227"/>
        <v>2000</v>
      </c>
      <c r="M352" s="316">
        <f t="shared" si="227"/>
        <v>2000</v>
      </c>
      <c r="N352" s="316">
        <f t="shared" si="227"/>
        <v>2000</v>
      </c>
      <c r="O352" s="316">
        <f t="shared" si="227"/>
        <v>2000</v>
      </c>
      <c r="P352" s="316">
        <f t="shared" si="227"/>
        <v>2000</v>
      </c>
      <c r="Q352" s="316">
        <f t="shared" si="227"/>
        <v>2000</v>
      </c>
      <c r="R352" s="317"/>
    </row>
    <row r="353" spans="2:18" ht="13.5" customHeight="1" outlineLevel="1">
      <c r="B353" s="57" t="s">
        <v>419</v>
      </c>
      <c r="G353" s="316">
        <f ca="1">G352-G350</f>
        <v>1763.1986784165251</v>
      </c>
      <c r="H353" s="316">
        <f t="shared" ref="H353:Q353" ca="1" si="228">H352-H350</f>
        <v>2000</v>
      </c>
      <c r="I353" s="316">
        <f t="shared" ca="1" si="228"/>
        <v>2000</v>
      </c>
      <c r="J353" s="316">
        <f t="shared" ca="1" si="228"/>
        <v>2000</v>
      </c>
      <c r="K353" s="316">
        <f t="shared" ca="1" si="228"/>
        <v>2000</v>
      </c>
      <c r="L353" s="316">
        <f t="shared" ca="1" si="228"/>
        <v>2000</v>
      </c>
      <c r="M353" s="316">
        <f t="shared" ca="1" si="228"/>
        <v>2000</v>
      </c>
      <c r="N353" s="316">
        <f t="shared" ca="1" si="228"/>
        <v>2000</v>
      </c>
      <c r="O353" s="316">
        <f t="shared" ca="1" si="228"/>
        <v>2000</v>
      </c>
      <c r="P353" s="316">
        <f t="shared" ca="1" si="228"/>
        <v>2000</v>
      </c>
      <c r="Q353" s="316">
        <f t="shared" ca="1" si="228"/>
        <v>2000</v>
      </c>
      <c r="R353" s="317"/>
    </row>
    <row r="354" spans="2:18" ht="13.5" customHeight="1" outlineLevel="1">
      <c r="B354" s="50"/>
      <c r="C354" s="50"/>
      <c r="D354" s="50"/>
      <c r="G354" s="365"/>
      <c r="H354" s="350"/>
      <c r="I354" s="350"/>
      <c r="J354" s="350"/>
      <c r="N354" s="57"/>
      <c r="R354" s="317"/>
    </row>
    <row r="355" spans="2:18" ht="13.5" customHeight="1" outlineLevel="1">
      <c r="B355" s="359" t="str">
        <f>B494</f>
        <v>Senior credit facility 1</v>
      </c>
      <c r="C355" s="360"/>
      <c r="D355" s="360"/>
      <c r="E355" s="361"/>
      <c r="F355" s="361"/>
      <c r="G355" s="362"/>
      <c r="H355" s="363"/>
      <c r="I355" s="363"/>
      <c r="J355" s="363"/>
      <c r="K355" s="361"/>
      <c r="L355" s="361"/>
      <c r="M355" s="361"/>
      <c r="N355" s="364"/>
      <c r="O355" s="361"/>
      <c r="P355" s="361"/>
      <c r="Q355" s="361"/>
      <c r="R355" s="317"/>
    </row>
    <row r="356" spans="2:18" ht="13.5" customHeight="1" outlineLevel="1">
      <c r="B356" s="147" t="s">
        <v>394</v>
      </c>
      <c r="C356" s="50"/>
      <c r="D356" s="50"/>
      <c r="G356" s="365"/>
      <c r="H356" s="231">
        <f t="shared" ref="H356:Q356" ca="1" si="229">G359</f>
        <v>0</v>
      </c>
      <c r="I356" s="231">
        <f t="shared" ca="1" si="229"/>
        <v>0</v>
      </c>
      <c r="J356" s="231">
        <f t="shared" ca="1" si="229"/>
        <v>0</v>
      </c>
      <c r="K356" s="231">
        <f t="shared" ca="1" si="229"/>
        <v>0</v>
      </c>
      <c r="L356" s="231">
        <f t="shared" ca="1" si="229"/>
        <v>0</v>
      </c>
      <c r="M356" s="231">
        <f t="shared" ca="1" si="229"/>
        <v>0</v>
      </c>
      <c r="N356" s="231">
        <f t="shared" ca="1" si="229"/>
        <v>0</v>
      </c>
      <c r="O356" s="231">
        <f t="shared" ca="1" si="229"/>
        <v>0</v>
      </c>
      <c r="P356" s="231">
        <f t="shared" ca="1" si="229"/>
        <v>0</v>
      </c>
      <c r="Q356" s="231">
        <f t="shared" ca="1" si="229"/>
        <v>0</v>
      </c>
      <c r="R356" s="317"/>
    </row>
    <row r="357" spans="2:18" ht="13.5" customHeight="1" outlineLevel="1">
      <c r="B357" s="147" t="s">
        <v>399</v>
      </c>
      <c r="C357" s="50"/>
      <c r="D357" s="50"/>
      <c r="G357" s="365"/>
      <c r="H357" s="163">
        <f t="shared" ref="H357:Q357" ca="1" si="230">-MIN($G359*H337,H356)</f>
        <v>0</v>
      </c>
      <c r="I357" s="163">
        <f t="shared" ca="1" si="230"/>
        <v>0</v>
      </c>
      <c r="J357" s="163">
        <f t="shared" ca="1" si="230"/>
        <v>0</v>
      </c>
      <c r="K357" s="163">
        <f t="shared" ca="1" si="230"/>
        <v>0</v>
      </c>
      <c r="L357" s="163">
        <f t="shared" ca="1" si="230"/>
        <v>0</v>
      </c>
      <c r="M357" s="163">
        <f t="shared" ca="1" si="230"/>
        <v>0</v>
      </c>
      <c r="N357" s="163">
        <f t="shared" ca="1" si="230"/>
        <v>0</v>
      </c>
      <c r="O357" s="163">
        <f t="shared" ca="1" si="230"/>
        <v>0</v>
      </c>
      <c r="P357" s="163">
        <f t="shared" ca="1" si="230"/>
        <v>0</v>
      </c>
      <c r="Q357" s="163">
        <f t="shared" ca="1" si="230"/>
        <v>0</v>
      </c>
      <c r="R357" s="317"/>
    </row>
    <row r="358" spans="2:18" ht="13.5" customHeight="1" outlineLevel="1">
      <c r="B358" s="147" t="s">
        <v>400</v>
      </c>
      <c r="C358" s="50"/>
      <c r="D358" s="50"/>
      <c r="G358" s="365"/>
      <c r="H358" s="163">
        <f t="shared" ref="H358:Q358" ca="1" si="231">H327</f>
        <v>0</v>
      </c>
      <c r="I358" s="163">
        <f t="shared" ca="1" si="231"/>
        <v>0</v>
      </c>
      <c r="J358" s="163">
        <f t="shared" ca="1" si="231"/>
        <v>0</v>
      </c>
      <c r="K358" s="163">
        <f t="shared" ca="1" si="231"/>
        <v>0</v>
      </c>
      <c r="L358" s="163">
        <f t="shared" ca="1" si="231"/>
        <v>0</v>
      </c>
      <c r="M358" s="163">
        <f t="shared" ca="1" si="231"/>
        <v>0</v>
      </c>
      <c r="N358" s="163">
        <f t="shared" ca="1" si="231"/>
        <v>0</v>
      </c>
      <c r="O358" s="163">
        <f t="shared" ca="1" si="231"/>
        <v>0</v>
      </c>
      <c r="P358" s="163">
        <f t="shared" ca="1" si="231"/>
        <v>0</v>
      </c>
      <c r="Q358" s="163">
        <f t="shared" ca="1" si="231"/>
        <v>0</v>
      </c>
      <c r="R358" s="317"/>
    </row>
    <row r="359" spans="2:18" ht="13.5" customHeight="1" outlineLevel="1">
      <c r="B359" s="116" t="s">
        <v>397</v>
      </c>
      <c r="C359" s="116"/>
      <c r="D359" s="116"/>
      <c r="E359" s="116"/>
      <c r="F359" s="116"/>
      <c r="G359" s="356">
        <f ca="1">Close!S141</f>
        <v>0</v>
      </c>
      <c r="H359" s="352">
        <f ca="1">SUM(H356:H358)</f>
        <v>0</v>
      </c>
      <c r="I359" s="352">
        <f t="shared" ref="I359" ca="1" si="232">SUM(I356:I358)</f>
        <v>0</v>
      </c>
      <c r="J359" s="352">
        <f t="shared" ref="J359" ca="1" si="233">SUM(J356:J358)</f>
        <v>0</v>
      </c>
      <c r="K359" s="352">
        <f t="shared" ref="K359" ca="1" si="234">SUM(K356:K358)</f>
        <v>0</v>
      </c>
      <c r="L359" s="352">
        <f t="shared" ref="L359" ca="1" si="235">SUM(L356:L358)</f>
        <v>0</v>
      </c>
      <c r="M359" s="352">
        <f t="shared" ref="M359" ca="1" si="236">SUM(M356:M358)</f>
        <v>0</v>
      </c>
      <c r="N359" s="352">
        <f t="shared" ref="N359" ca="1" si="237">SUM(N356:N358)</f>
        <v>0</v>
      </c>
      <c r="O359" s="352">
        <f t="shared" ref="O359" ca="1" si="238">SUM(O356:O358)</f>
        <v>0</v>
      </c>
      <c r="P359" s="352">
        <f t="shared" ref="P359" ca="1" si="239">SUM(P356:P358)</f>
        <v>0</v>
      </c>
      <c r="Q359" s="352">
        <f t="shared" ref="Q359" ca="1" si="240">SUM(Q356:Q358)</f>
        <v>0</v>
      </c>
      <c r="R359" s="317"/>
    </row>
    <row r="360" spans="2:18" ht="13.5" customHeight="1" outlineLevel="1">
      <c r="B360" s="50"/>
      <c r="C360" s="50"/>
      <c r="D360" s="50"/>
      <c r="G360" s="365"/>
      <c r="H360" s="350"/>
      <c r="I360" s="350"/>
      <c r="J360" s="350"/>
      <c r="N360" s="57"/>
      <c r="R360" s="317"/>
    </row>
    <row r="361" spans="2:18" ht="13.5" customHeight="1" outlineLevel="1">
      <c r="B361" s="359" t="str">
        <f>B495</f>
        <v>Senior credit facility 2</v>
      </c>
      <c r="C361" s="360"/>
      <c r="D361" s="360"/>
      <c r="E361" s="361"/>
      <c r="F361" s="361"/>
      <c r="G361" s="362"/>
      <c r="H361" s="363"/>
      <c r="I361" s="363"/>
      <c r="J361" s="363"/>
      <c r="K361" s="361"/>
      <c r="L361" s="361"/>
      <c r="M361" s="361"/>
      <c r="N361" s="364"/>
      <c r="O361" s="361"/>
      <c r="P361" s="361"/>
      <c r="Q361" s="361"/>
      <c r="R361" s="317"/>
    </row>
    <row r="362" spans="2:18" ht="13.5" customHeight="1" outlineLevel="1">
      <c r="B362" s="147" t="s">
        <v>394</v>
      </c>
      <c r="C362" s="50"/>
      <c r="D362" s="50"/>
      <c r="G362" s="365"/>
      <c r="H362" s="231">
        <f t="shared" ref="H362:Q362" ca="1" si="241">G365</f>
        <v>0</v>
      </c>
      <c r="I362" s="231">
        <f t="shared" ca="1" si="241"/>
        <v>0</v>
      </c>
      <c r="J362" s="231">
        <f t="shared" ca="1" si="241"/>
        <v>0</v>
      </c>
      <c r="K362" s="231">
        <f t="shared" ca="1" si="241"/>
        <v>0</v>
      </c>
      <c r="L362" s="231">
        <f t="shared" ca="1" si="241"/>
        <v>0</v>
      </c>
      <c r="M362" s="231">
        <f t="shared" ca="1" si="241"/>
        <v>0</v>
      </c>
      <c r="N362" s="231">
        <f t="shared" ca="1" si="241"/>
        <v>0</v>
      </c>
      <c r="O362" s="231">
        <f t="shared" ca="1" si="241"/>
        <v>0</v>
      </c>
      <c r="P362" s="231">
        <f t="shared" ca="1" si="241"/>
        <v>0</v>
      </c>
      <c r="Q362" s="231">
        <f t="shared" ca="1" si="241"/>
        <v>0</v>
      </c>
      <c r="R362" s="317"/>
    </row>
    <row r="363" spans="2:18" ht="13.5" customHeight="1" outlineLevel="1">
      <c r="B363" s="147" t="s">
        <v>399</v>
      </c>
      <c r="C363" s="50"/>
      <c r="D363" s="50"/>
      <c r="G363" s="365"/>
      <c r="H363" s="163">
        <f t="shared" ref="H363:Q363" ca="1" si="242">-MIN($G365*H338,H362)</f>
        <v>0</v>
      </c>
      <c r="I363" s="163">
        <f t="shared" ca="1" si="242"/>
        <v>0</v>
      </c>
      <c r="J363" s="163">
        <f t="shared" ca="1" si="242"/>
        <v>0</v>
      </c>
      <c r="K363" s="163">
        <f t="shared" ca="1" si="242"/>
        <v>0</v>
      </c>
      <c r="L363" s="163">
        <f t="shared" ca="1" si="242"/>
        <v>0</v>
      </c>
      <c r="M363" s="163">
        <f t="shared" ca="1" si="242"/>
        <v>0</v>
      </c>
      <c r="N363" s="163">
        <f t="shared" ca="1" si="242"/>
        <v>0</v>
      </c>
      <c r="O363" s="163">
        <f t="shared" ca="1" si="242"/>
        <v>0</v>
      </c>
      <c r="P363" s="163">
        <f t="shared" ca="1" si="242"/>
        <v>0</v>
      </c>
      <c r="Q363" s="163">
        <f t="shared" ca="1" si="242"/>
        <v>0</v>
      </c>
      <c r="R363" s="317"/>
    </row>
    <row r="364" spans="2:18" ht="13.5" customHeight="1" outlineLevel="1">
      <c r="B364" s="147" t="s">
        <v>400</v>
      </c>
      <c r="C364" s="50"/>
      <c r="D364" s="50"/>
      <c r="G364" s="365"/>
      <c r="H364" s="163">
        <f t="shared" ref="H364:Q364" ca="1" si="243">H328</f>
        <v>0</v>
      </c>
      <c r="I364" s="163">
        <f t="shared" ca="1" si="243"/>
        <v>0</v>
      </c>
      <c r="J364" s="163">
        <f t="shared" ca="1" si="243"/>
        <v>0</v>
      </c>
      <c r="K364" s="163">
        <f t="shared" ca="1" si="243"/>
        <v>0</v>
      </c>
      <c r="L364" s="163">
        <f t="shared" ca="1" si="243"/>
        <v>0</v>
      </c>
      <c r="M364" s="163">
        <f t="shared" ca="1" si="243"/>
        <v>0</v>
      </c>
      <c r="N364" s="163">
        <f t="shared" ca="1" si="243"/>
        <v>0</v>
      </c>
      <c r="O364" s="163">
        <f t="shared" ca="1" si="243"/>
        <v>0</v>
      </c>
      <c r="P364" s="163">
        <f t="shared" ca="1" si="243"/>
        <v>0</v>
      </c>
      <c r="Q364" s="163">
        <f t="shared" ca="1" si="243"/>
        <v>0</v>
      </c>
      <c r="R364" s="317"/>
    </row>
    <row r="365" spans="2:18" ht="13.5" customHeight="1" outlineLevel="1">
      <c r="B365" s="116" t="s">
        <v>397</v>
      </c>
      <c r="C365" s="116"/>
      <c r="D365" s="116"/>
      <c r="E365" s="116"/>
      <c r="F365" s="116"/>
      <c r="G365" s="356">
        <f ca="1">Close!S146</f>
        <v>0</v>
      </c>
      <c r="H365" s="352">
        <f ca="1">SUM(H362:H364)</f>
        <v>0</v>
      </c>
      <c r="I365" s="352">
        <f t="shared" ref="I365" ca="1" si="244">SUM(I362:I364)</f>
        <v>0</v>
      </c>
      <c r="J365" s="352">
        <f t="shared" ref="J365" ca="1" si="245">SUM(J362:J364)</f>
        <v>0</v>
      </c>
      <c r="K365" s="352">
        <f t="shared" ref="K365" ca="1" si="246">SUM(K362:K364)</f>
        <v>0</v>
      </c>
      <c r="L365" s="352">
        <f t="shared" ref="L365" ca="1" si="247">SUM(L362:L364)</f>
        <v>0</v>
      </c>
      <c r="M365" s="352">
        <f t="shared" ref="M365" ca="1" si="248">SUM(M362:M364)</f>
        <v>0</v>
      </c>
      <c r="N365" s="352">
        <f t="shared" ref="N365" ca="1" si="249">SUM(N362:N364)</f>
        <v>0</v>
      </c>
      <c r="O365" s="352">
        <f t="shared" ref="O365" ca="1" si="250">SUM(O362:O364)</f>
        <v>0</v>
      </c>
      <c r="P365" s="352">
        <f t="shared" ref="P365" ca="1" si="251">SUM(P362:P364)</f>
        <v>0</v>
      </c>
      <c r="Q365" s="352">
        <f t="shared" ref="Q365" ca="1" si="252">SUM(Q362:Q364)</f>
        <v>0</v>
      </c>
      <c r="R365" s="317"/>
    </row>
    <row r="366" spans="2:18" ht="13.5" customHeight="1" outlineLevel="1">
      <c r="B366" s="50"/>
      <c r="C366" s="50"/>
      <c r="D366" s="50"/>
      <c r="G366" s="365"/>
      <c r="H366" s="350"/>
      <c r="I366" s="350"/>
      <c r="J366" s="350"/>
      <c r="N366" s="57"/>
      <c r="R366" s="317"/>
    </row>
    <row r="367" spans="2:18" ht="13.5" customHeight="1" outlineLevel="1">
      <c r="B367" s="359" t="str">
        <f>B496</f>
        <v>Senior credit facility 3</v>
      </c>
      <c r="C367" s="360"/>
      <c r="D367" s="360"/>
      <c r="E367" s="361"/>
      <c r="F367" s="361"/>
      <c r="G367" s="362"/>
      <c r="H367" s="363"/>
      <c r="I367" s="363"/>
      <c r="J367" s="363"/>
      <c r="K367" s="361"/>
      <c r="L367" s="361"/>
      <c r="M367" s="361"/>
      <c r="N367" s="364"/>
      <c r="O367" s="361"/>
      <c r="P367" s="361"/>
      <c r="Q367" s="361"/>
      <c r="R367" s="317"/>
    </row>
    <row r="368" spans="2:18" ht="13.5" customHeight="1" outlineLevel="1">
      <c r="B368" s="147" t="s">
        <v>394</v>
      </c>
      <c r="C368" s="50"/>
      <c r="D368" s="50"/>
      <c r="G368" s="365"/>
      <c r="H368" s="231">
        <f t="shared" ref="H368:Q368" ca="1" si="253">G371</f>
        <v>75</v>
      </c>
      <c r="I368" s="231">
        <f t="shared" ca="1" si="253"/>
        <v>75</v>
      </c>
      <c r="J368" s="231">
        <f t="shared" ca="1" si="253"/>
        <v>75</v>
      </c>
      <c r="K368" s="231">
        <f t="shared" ca="1" si="253"/>
        <v>75</v>
      </c>
      <c r="L368" s="231">
        <f t="shared" ca="1" si="253"/>
        <v>0</v>
      </c>
      <c r="M368" s="231">
        <f t="shared" ca="1" si="253"/>
        <v>0</v>
      </c>
      <c r="N368" s="231">
        <f t="shared" ca="1" si="253"/>
        <v>0</v>
      </c>
      <c r="O368" s="231">
        <f t="shared" ca="1" si="253"/>
        <v>0</v>
      </c>
      <c r="P368" s="231">
        <f t="shared" ca="1" si="253"/>
        <v>0</v>
      </c>
      <c r="Q368" s="231">
        <f t="shared" ca="1" si="253"/>
        <v>0</v>
      </c>
      <c r="R368" s="317"/>
    </row>
    <row r="369" spans="2:18" ht="13.5" customHeight="1" outlineLevel="1">
      <c r="B369" s="147" t="s">
        <v>399</v>
      </c>
      <c r="C369" s="50"/>
      <c r="D369" s="50"/>
      <c r="G369" s="365"/>
      <c r="H369" s="163">
        <f t="shared" ref="H369:Q369" ca="1" si="254">-MIN($G371*H339,H368)</f>
        <v>0</v>
      </c>
      <c r="I369" s="163">
        <f t="shared" ca="1" si="254"/>
        <v>0</v>
      </c>
      <c r="J369" s="163">
        <f t="shared" ca="1" si="254"/>
        <v>0</v>
      </c>
      <c r="K369" s="163">
        <f t="shared" ca="1" si="254"/>
        <v>-75</v>
      </c>
      <c r="L369" s="163">
        <f t="shared" ca="1" si="254"/>
        <v>0</v>
      </c>
      <c r="M369" s="163">
        <f t="shared" ca="1" si="254"/>
        <v>0</v>
      </c>
      <c r="N369" s="163">
        <f t="shared" ca="1" si="254"/>
        <v>0</v>
      </c>
      <c r="O369" s="163">
        <f t="shared" ca="1" si="254"/>
        <v>0</v>
      </c>
      <c r="P369" s="163">
        <f t="shared" ca="1" si="254"/>
        <v>0</v>
      </c>
      <c r="Q369" s="163">
        <f t="shared" ca="1" si="254"/>
        <v>0</v>
      </c>
      <c r="R369" s="317"/>
    </row>
    <row r="370" spans="2:18" ht="13.5" customHeight="1" outlineLevel="1">
      <c r="B370" s="147" t="s">
        <v>400</v>
      </c>
      <c r="C370" s="50"/>
      <c r="D370" s="50"/>
      <c r="G370" s="365"/>
      <c r="H370" s="163">
        <f t="shared" ref="H370:Q370" ca="1" si="255">H329</f>
        <v>0</v>
      </c>
      <c r="I370" s="163">
        <f t="shared" ca="1" si="255"/>
        <v>0</v>
      </c>
      <c r="J370" s="163">
        <f t="shared" ca="1" si="255"/>
        <v>0</v>
      </c>
      <c r="K370" s="163">
        <f t="shared" ca="1" si="255"/>
        <v>0</v>
      </c>
      <c r="L370" s="163">
        <f t="shared" ca="1" si="255"/>
        <v>0</v>
      </c>
      <c r="M370" s="163">
        <f t="shared" ca="1" si="255"/>
        <v>0</v>
      </c>
      <c r="N370" s="163">
        <f t="shared" ca="1" si="255"/>
        <v>0</v>
      </c>
      <c r="O370" s="163">
        <f t="shared" ca="1" si="255"/>
        <v>0</v>
      </c>
      <c r="P370" s="163">
        <f t="shared" ca="1" si="255"/>
        <v>0</v>
      </c>
      <c r="Q370" s="163">
        <f t="shared" ca="1" si="255"/>
        <v>0</v>
      </c>
      <c r="R370" s="317"/>
    </row>
    <row r="371" spans="2:18" ht="13.5" customHeight="1" outlineLevel="1">
      <c r="B371" s="116" t="s">
        <v>397</v>
      </c>
      <c r="C371" s="116"/>
      <c r="D371" s="116"/>
      <c r="E371" s="116"/>
      <c r="F371" s="116"/>
      <c r="G371" s="356">
        <f ca="1">Close!S150</f>
        <v>75</v>
      </c>
      <c r="H371" s="352">
        <f ca="1">SUM(H368:H370)</f>
        <v>75</v>
      </c>
      <c r="I371" s="352">
        <f t="shared" ref="I371" ca="1" si="256">SUM(I368:I370)</f>
        <v>75</v>
      </c>
      <c r="J371" s="352">
        <f t="shared" ref="J371" ca="1" si="257">SUM(J368:J370)</f>
        <v>75</v>
      </c>
      <c r="K371" s="352">
        <f t="shared" ref="K371" ca="1" si="258">SUM(K368:K370)</f>
        <v>0</v>
      </c>
      <c r="L371" s="352">
        <f t="shared" ref="L371" ca="1" si="259">SUM(L368:L370)</f>
        <v>0</v>
      </c>
      <c r="M371" s="352">
        <f t="shared" ref="M371" ca="1" si="260">SUM(M368:M370)</f>
        <v>0</v>
      </c>
      <c r="N371" s="352">
        <f t="shared" ref="N371" ca="1" si="261">SUM(N368:N370)</f>
        <v>0</v>
      </c>
      <c r="O371" s="352">
        <f t="shared" ref="O371" ca="1" si="262">SUM(O368:O370)</f>
        <v>0</v>
      </c>
      <c r="P371" s="352">
        <f t="shared" ref="P371" ca="1" si="263">SUM(P368:P370)</f>
        <v>0</v>
      </c>
      <c r="Q371" s="352">
        <f t="shared" ref="Q371" ca="1" si="264">SUM(Q368:Q370)</f>
        <v>0</v>
      </c>
      <c r="R371" s="317"/>
    </row>
    <row r="372" spans="2:18" ht="13.5" customHeight="1" outlineLevel="1">
      <c r="B372" s="50"/>
      <c r="C372" s="50"/>
      <c r="D372" s="50"/>
      <c r="G372" s="365"/>
      <c r="H372" s="350"/>
      <c r="I372" s="350"/>
      <c r="J372" s="350"/>
      <c r="N372" s="57"/>
      <c r="R372" s="317"/>
    </row>
    <row r="373" spans="2:18" ht="13.5" customHeight="1" outlineLevel="1">
      <c r="B373" s="359" t="str">
        <f>B437</f>
        <v>Subordinated note 1</v>
      </c>
      <c r="C373" s="360"/>
      <c r="D373" s="360"/>
      <c r="E373" s="361"/>
      <c r="F373" s="361"/>
      <c r="G373" s="362"/>
      <c r="H373" s="363"/>
      <c r="I373" s="363"/>
      <c r="J373" s="363"/>
      <c r="K373" s="361"/>
      <c r="L373" s="361"/>
      <c r="M373" s="361"/>
      <c r="N373" s="364"/>
      <c r="O373" s="361"/>
      <c r="P373" s="361"/>
      <c r="Q373" s="361"/>
      <c r="R373" s="317"/>
    </row>
    <row r="374" spans="2:18" ht="13.5" customHeight="1" outlineLevel="1">
      <c r="B374" s="147" t="s">
        <v>394</v>
      </c>
      <c r="C374" s="50"/>
      <c r="D374" s="50"/>
      <c r="G374" s="365"/>
      <c r="H374" s="231">
        <f t="shared" ref="H374:Q374" ca="1" si="265">G377</f>
        <v>0</v>
      </c>
      <c r="I374" s="231">
        <f t="shared" ca="1" si="265"/>
        <v>0</v>
      </c>
      <c r="J374" s="231">
        <f t="shared" ca="1" si="265"/>
        <v>0</v>
      </c>
      <c r="K374" s="231">
        <f t="shared" ca="1" si="265"/>
        <v>0</v>
      </c>
      <c r="L374" s="231">
        <f t="shared" ca="1" si="265"/>
        <v>0</v>
      </c>
      <c r="M374" s="231">
        <f t="shared" ca="1" si="265"/>
        <v>0</v>
      </c>
      <c r="N374" s="231">
        <f t="shared" ca="1" si="265"/>
        <v>0</v>
      </c>
      <c r="O374" s="231">
        <f t="shared" ca="1" si="265"/>
        <v>0</v>
      </c>
      <c r="P374" s="231">
        <f t="shared" ca="1" si="265"/>
        <v>0</v>
      </c>
      <c r="Q374" s="231">
        <f t="shared" ca="1" si="265"/>
        <v>0</v>
      </c>
      <c r="R374" s="317"/>
    </row>
    <row r="375" spans="2:18" ht="13.5" customHeight="1" outlineLevel="1">
      <c r="B375" s="147" t="s">
        <v>401</v>
      </c>
      <c r="C375" s="50"/>
      <c r="D375" s="50"/>
      <c r="G375" s="365"/>
      <c r="H375" s="163">
        <f t="shared" ref="H375:Q375" ca="1" si="266">-MIN($G377*H340,H374)</f>
        <v>0</v>
      </c>
      <c r="I375" s="163">
        <f t="shared" ca="1" si="266"/>
        <v>0</v>
      </c>
      <c r="J375" s="163">
        <f t="shared" ca="1" si="266"/>
        <v>0</v>
      </c>
      <c r="K375" s="163">
        <f t="shared" ca="1" si="266"/>
        <v>0</v>
      </c>
      <c r="L375" s="163">
        <f t="shared" ca="1" si="266"/>
        <v>0</v>
      </c>
      <c r="M375" s="163">
        <f t="shared" ca="1" si="266"/>
        <v>0</v>
      </c>
      <c r="N375" s="163">
        <f t="shared" ca="1" si="266"/>
        <v>0</v>
      </c>
      <c r="O375" s="163">
        <f t="shared" ca="1" si="266"/>
        <v>0</v>
      </c>
      <c r="P375" s="163">
        <f t="shared" ca="1" si="266"/>
        <v>0</v>
      </c>
      <c r="Q375" s="163">
        <f t="shared" ca="1" si="266"/>
        <v>0</v>
      </c>
      <c r="R375" s="317"/>
    </row>
    <row r="376" spans="2:18" ht="13.5" customHeight="1" outlineLevel="1">
      <c r="B376" s="147" t="s">
        <v>400</v>
      </c>
      <c r="C376" s="50"/>
      <c r="D376" s="50"/>
      <c r="G376" s="365"/>
      <c r="H376" s="163">
        <f ca="1">H330</f>
        <v>0</v>
      </c>
      <c r="I376" s="163">
        <f t="shared" ref="I376:Q376" ca="1" si="267">I316</f>
        <v>0</v>
      </c>
      <c r="J376" s="163">
        <f t="shared" ca="1" si="267"/>
        <v>0</v>
      </c>
      <c r="K376" s="163">
        <f t="shared" ca="1" si="267"/>
        <v>0</v>
      </c>
      <c r="L376" s="163">
        <f t="shared" ca="1" si="267"/>
        <v>0</v>
      </c>
      <c r="M376" s="163">
        <f t="shared" ca="1" si="267"/>
        <v>0</v>
      </c>
      <c r="N376" s="163">
        <f t="shared" ca="1" si="267"/>
        <v>0</v>
      </c>
      <c r="O376" s="163">
        <f t="shared" ca="1" si="267"/>
        <v>0</v>
      </c>
      <c r="P376" s="163">
        <f t="shared" ca="1" si="267"/>
        <v>0</v>
      </c>
      <c r="Q376" s="163">
        <f t="shared" ca="1" si="267"/>
        <v>0</v>
      </c>
      <c r="R376" s="317"/>
    </row>
    <row r="377" spans="2:18" ht="13.5" customHeight="1" outlineLevel="1">
      <c r="B377" s="116" t="s">
        <v>397</v>
      </c>
      <c r="C377" s="116"/>
      <c r="D377" s="116"/>
      <c r="E377" s="116"/>
      <c r="F377" s="116"/>
      <c r="G377" s="356">
        <f ca="1">Close!S142</f>
        <v>0</v>
      </c>
      <c r="H377" s="352">
        <f ca="1">SUM(H374:H376)</f>
        <v>0</v>
      </c>
      <c r="I377" s="352">
        <f t="shared" ref="I377" ca="1" si="268">SUM(I374:I376)</f>
        <v>0</v>
      </c>
      <c r="J377" s="352">
        <f t="shared" ref="J377" ca="1" si="269">SUM(J374:J376)</f>
        <v>0</v>
      </c>
      <c r="K377" s="352">
        <f t="shared" ref="K377" ca="1" si="270">SUM(K374:K376)</f>
        <v>0</v>
      </c>
      <c r="L377" s="352">
        <f t="shared" ref="L377" ca="1" si="271">SUM(L374:L376)</f>
        <v>0</v>
      </c>
      <c r="M377" s="352">
        <f t="shared" ref="M377" ca="1" si="272">SUM(M374:M376)</f>
        <v>0</v>
      </c>
      <c r="N377" s="352">
        <f t="shared" ref="N377" ca="1" si="273">SUM(N374:N376)</f>
        <v>0</v>
      </c>
      <c r="O377" s="352">
        <f t="shared" ref="O377" ca="1" si="274">SUM(O374:O376)</f>
        <v>0</v>
      </c>
      <c r="P377" s="352">
        <f t="shared" ref="P377" ca="1" si="275">SUM(P374:P376)</f>
        <v>0</v>
      </c>
      <c r="Q377" s="352">
        <f t="shared" ref="Q377" ca="1" si="276">SUM(Q374:Q376)</f>
        <v>0</v>
      </c>
      <c r="R377" s="317"/>
    </row>
    <row r="378" spans="2:18" ht="13.5" customHeight="1" outlineLevel="1">
      <c r="B378" s="50"/>
      <c r="C378" s="50"/>
      <c r="D378" s="50"/>
      <c r="G378" s="365"/>
      <c r="H378" s="350"/>
      <c r="I378" s="350"/>
      <c r="J378" s="350"/>
      <c r="N378" s="57"/>
      <c r="R378" s="317"/>
    </row>
    <row r="379" spans="2:18" ht="13.5" customHeight="1" outlineLevel="1">
      <c r="B379" s="359" t="str">
        <f>B438</f>
        <v>Subordinated note 2</v>
      </c>
      <c r="C379" s="360"/>
      <c r="D379" s="360"/>
      <c r="E379" s="361"/>
      <c r="F379" s="361"/>
      <c r="G379" s="362"/>
      <c r="H379" s="363"/>
      <c r="I379" s="363"/>
      <c r="J379" s="363"/>
      <c r="K379" s="361"/>
      <c r="L379" s="361"/>
      <c r="M379" s="361"/>
      <c r="N379" s="364"/>
      <c r="O379" s="361"/>
      <c r="P379" s="361"/>
      <c r="Q379" s="361"/>
      <c r="R379" s="317"/>
    </row>
    <row r="380" spans="2:18" ht="13.5" customHeight="1" outlineLevel="1">
      <c r="B380" s="147" t="s">
        <v>394</v>
      </c>
      <c r="C380" s="50"/>
      <c r="D380" s="50"/>
      <c r="G380" s="365"/>
      <c r="H380" s="231">
        <f t="shared" ref="H380:Q380" ca="1" si="277">G383</f>
        <v>0</v>
      </c>
      <c r="I380" s="231">
        <f t="shared" ca="1" si="277"/>
        <v>0</v>
      </c>
      <c r="J380" s="231">
        <f t="shared" ca="1" si="277"/>
        <v>0</v>
      </c>
      <c r="K380" s="231">
        <f t="shared" ca="1" si="277"/>
        <v>0</v>
      </c>
      <c r="L380" s="231">
        <f t="shared" ca="1" si="277"/>
        <v>0</v>
      </c>
      <c r="M380" s="231">
        <f t="shared" ca="1" si="277"/>
        <v>0</v>
      </c>
      <c r="N380" s="231">
        <f t="shared" ca="1" si="277"/>
        <v>0</v>
      </c>
      <c r="O380" s="231">
        <f t="shared" ca="1" si="277"/>
        <v>0</v>
      </c>
      <c r="P380" s="231">
        <f t="shared" ca="1" si="277"/>
        <v>0</v>
      </c>
      <c r="Q380" s="231">
        <f t="shared" ca="1" si="277"/>
        <v>0</v>
      </c>
      <c r="R380" s="317"/>
    </row>
    <row r="381" spans="2:18" ht="13.5" customHeight="1" outlineLevel="1">
      <c r="B381" s="147" t="s">
        <v>401</v>
      </c>
      <c r="C381" s="50"/>
      <c r="D381" s="50"/>
      <c r="G381" s="365"/>
      <c r="H381" s="163">
        <f t="shared" ref="H381:Q381" ca="1" si="278">-MIN($G383*H341,H380)</f>
        <v>0</v>
      </c>
      <c r="I381" s="163">
        <f t="shared" ca="1" si="278"/>
        <v>0</v>
      </c>
      <c r="J381" s="163">
        <f t="shared" ca="1" si="278"/>
        <v>0</v>
      </c>
      <c r="K381" s="163">
        <f t="shared" ca="1" si="278"/>
        <v>0</v>
      </c>
      <c r="L381" s="163">
        <f t="shared" ca="1" si="278"/>
        <v>0</v>
      </c>
      <c r="M381" s="163">
        <f t="shared" ca="1" si="278"/>
        <v>0</v>
      </c>
      <c r="N381" s="163">
        <f t="shared" ca="1" si="278"/>
        <v>0</v>
      </c>
      <c r="O381" s="163">
        <f t="shared" ca="1" si="278"/>
        <v>0</v>
      </c>
      <c r="P381" s="163">
        <f t="shared" ca="1" si="278"/>
        <v>0</v>
      </c>
      <c r="Q381" s="163">
        <f t="shared" ca="1" si="278"/>
        <v>0</v>
      </c>
      <c r="R381" s="317"/>
    </row>
    <row r="382" spans="2:18" ht="13.5" customHeight="1" outlineLevel="1">
      <c r="B382" s="147" t="s">
        <v>400</v>
      </c>
      <c r="C382" s="50"/>
      <c r="D382" s="50"/>
      <c r="G382" s="365"/>
      <c r="H382" s="163">
        <f t="shared" ref="H382:Q382" ca="1" si="279">H331</f>
        <v>0</v>
      </c>
      <c r="I382" s="163">
        <f t="shared" ca="1" si="279"/>
        <v>0</v>
      </c>
      <c r="J382" s="163">
        <f t="shared" ca="1" si="279"/>
        <v>0</v>
      </c>
      <c r="K382" s="163">
        <f t="shared" ca="1" si="279"/>
        <v>0</v>
      </c>
      <c r="L382" s="163">
        <f t="shared" ca="1" si="279"/>
        <v>0</v>
      </c>
      <c r="M382" s="163">
        <f t="shared" ca="1" si="279"/>
        <v>0</v>
      </c>
      <c r="N382" s="163">
        <f t="shared" ca="1" si="279"/>
        <v>0</v>
      </c>
      <c r="O382" s="163">
        <f t="shared" ca="1" si="279"/>
        <v>0</v>
      </c>
      <c r="P382" s="163">
        <f t="shared" ca="1" si="279"/>
        <v>0</v>
      </c>
      <c r="Q382" s="163">
        <f t="shared" ca="1" si="279"/>
        <v>0</v>
      </c>
      <c r="R382" s="317"/>
    </row>
    <row r="383" spans="2:18" ht="13.5" customHeight="1" outlineLevel="1">
      <c r="B383" s="116" t="s">
        <v>397</v>
      </c>
      <c r="C383" s="116"/>
      <c r="D383" s="116"/>
      <c r="E383" s="116"/>
      <c r="F383" s="116"/>
      <c r="G383" s="356">
        <f ca="1">Close!S147</f>
        <v>0</v>
      </c>
      <c r="H383" s="352">
        <f t="shared" ref="H383:Q383" ca="1" si="280">SUM(H380:H382)</f>
        <v>0</v>
      </c>
      <c r="I383" s="352">
        <f t="shared" ca="1" si="280"/>
        <v>0</v>
      </c>
      <c r="J383" s="352">
        <f t="shared" ca="1" si="280"/>
        <v>0</v>
      </c>
      <c r="K383" s="352">
        <f t="shared" ca="1" si="280"/>
        <v>0</v>
      </c>
      <c r="L383" s="352">
        <f t="shared" ca="1" si="280"/>
        <v>0</v>
      </c>
      <c r="M383" s="352">
        <f t="shared" ca="1" si="280"/>
        <v>0</v>
      </c>
      <c r="N383" s="352">
        <f t="shared" ca="1" si="280"/>
        <v>0</v>
      </c>
      <c r="O383" s="352">
        <f t="shared" ca="1" si="280"/>
        <v>0</v>
      </c>
      <c r="P383" s="352">
        <f t="shared" ca="1" si="280"/>
        <v>0</v>
      </c>
      <c r="Q383" s="352">
        <f t="shared" ca="1" si="280"/>
        <v>0</v>
      </c>
      <c r="R383" s="317"/>
    </row>
    <row r="384" spans="2:18" ht="13.5" customHeight="1" outlineLevel="1">
      <c r="B384" s="50"/>
      <c r="C384" s="50"/>
      <c r="D384" s="50"/>
      <c r="G384" s="365"/>
      <c r="H384" s="350"/>
      <c r="I384" s="350"/>
      <c r="J384" s="350"/>
      <c r="N384" s="57"/>
      <c r="R384" s="317"/>
    </row>
    <row r="385" spans="2:18" ht="13.5" customHeight="1" outlineLevel="1">
      <c r="B385" s="359" t="str">
        <f>B439</f>
        <v>Subordinated note 3</v>
      </c>
      <c r="C385" s="360"/>
      <c r="D385" s="360"/>
      <c r="E385" s="361"/>
      <c r="F385" s="361"/>
      <c r="G385" s="362"/>
      <c r="H385" s="363"/>
      <c r="I385" s="363"/>
      <c r="J385" s="363"/>
      <c r="K385" s="361"/>
      <c r="L385" s="361"/>
      <c r="M385" s="361"/>
      <c r="N385" s="364"/>
      <c r="O385" s="361"/>
      <c r="P385" s="361"/>
      <c r="Q385" s="361"/>
      <c r="R385" s="317"/>
    </row>
    <row r="386" spans="2:18" ht="13.5" customHeight="1" outlineLevel="1">
      <c r="B386" s="147" t="s">
        <v>394</v>
      </c>
      <c r="C386" s="50"/>
      <c r="D386" s="50"/>
      <c r="G386" s="365"/>
      <c r="H386" s="231">
        <f t="shared" ref="H386:Q386" ca="1" si="281">G389</f>
        <v>0</v>
      </c>
      <c r="I386" s="231">
        <f t="shared" ca="1" si="281"/>
        <v>0</v>
      </c>
      <c r="J386" s="231">
        <f t="shared" ca="1" si="281"/>
        <v>0</v>
      </c>
      <c r="K386" s="231">
        <f t="shared" ca="1" si="281"/>
        <v>0</v>
      </c>
      <c r="L386" s="231">
        <f t="shared" ca="1" si="281"/>
        <v>0</v>
      </c>
      <c r="M386" s="231">
        <f t="shared" ca="1" si="281"/>
        <v>0</v>
      </c>
      <c r="N386" s="231">
        <f t="shared" ca="1" si="281"/>
        <v>0</v>
      </c>
      <c r="O386" s="231">
        <f t="shared" ca="1" si="281"/>
        <v>0</v>
      </c>
      <c r="P386" s="231">
        <f t="shared" ca="1" si="281"/>
        <v>0</v>
      </c>
      <c r="Q386" s="231">
        <f t="shared" ca="1" si="281"/>
        <v>0</v>
      </c>
      <c r="R386" s="317"/>
    </row>
    <row r="387" spans="2:18" ht="13.5" customHeight="1" outlineLevel="1">
      <c r="B387" s="147" t="s">
        <v>401</v>
      </c>
      <c r="C387" s="50"/>
      <c r="D387" s="50"/>
      <c r="G387" s="365"/>
      <c r="H387" s="163">
        <f t="shared" ref="H387:Q387" ca="1" si="282">-MIN($G389*H342,H386)</f>
        <v>0</v>
      </c>
      <c r="I387" s="163">
        <f t="shared" ca="1" si="282"/>
        <v>0</v>
      </c>
      <c r="J387" s="163">
        <f t="shared" ca="1" si="282"/>
        <v>0</v>
      </c>
      <c r="K387" s="163">
        <f t="shared" ca="1" si="282"/>
        <v>0</v>
      </c>
      <c r="L387" s="163">
        <f t="shared" ca="1" si="282"/>
        <v>0</v>
      </c>
      <c r="M387" s="163">
        <f t="shared" ca="1" si="282"/>
        <v>0</v>
      </c>
      <c r="N387" s="163">
        <f t="shared" ca="1" si="282"/>
        <v>0</v>
      </c>
      <c r="O387" s="163">
        <f t="shared" ca="1" si="282"/>
        <v>0</v>
      </c>
      <c r="P387" s="163">
        <f t="shared" ca="1" si="282"/>
        <v>0</v>
      </c>
      <c r="Q387" s="163">
        <f t="shared" ca="1" si="282"/>
        <v>0</v>
      </c>
      <c r="R387" s="317"/>
    </row>
    <row r="388" spans="2:18" ht="13.5" customHeight="1" outlineLevel="1">
      <c r="B388" s="147" t="s">
        <v>400</v>
      </c>
      <c r="C388" s="50"/>
      <c r="D388" s="50"/>
      <c r="G388" s="365"/>
      <c r="H388" s="163">
        <f t="shared" ref="H388:Q388" ca="1" si="283">H332</f>
        <v>0</v>
      </c>
      <c r="I388" s="163">
        <f t="shared" ca="1" si="283"/>
        <v>0</v>
      </c>
      <c r="J388" s="163">
        <f t="shared" ca="1" si="283"/>
        <v>0</v>
      </c>
      <c r="K388" s="163">
        <f t="shared" ca="1" si="283"/>
        <v>0</v>
      </c>
      <c r="L388" s="163">
        <f t="shared" ca="1" si="283"/>
        <v>0</v>
      </c>
      <c r="M388" s="163">
        <f t="shared" ca="1" si="283"/>
        <v>0</v>
      </c>
      <c r="N388" s="163">
        <f t="shared" ca="1" si="283"/>
        <v>0</v>
      </c>
      <c r="O388" s="163">
        <f t="shared" ca="1" si="283"/>
        <v>0</v>
      </c>
      <c r="P388" s="163">
        <f t="shared" ca="1" si="283"/>
        <v>0</v>
      </c>
      <c r="Q388" s="163">
        <f t="shared" ca="1" si="283"/>
        <v>0</v>
      </c>
      <c r="R388" s="317"/>
    </row>
    <row r="389" spans="2:18" ht="13.5" customHeight="1" outlineLevel="1">
      <c r="B389" s="116" t="s">
        <v>397</v>
      </c>
      <c r="C389" s="116"/>
      <c r="D389" s="116"/>
      <c r="E389" s="116"/>
      <c r="F389" s="116"/>
      <c r="G389" s="356">
        <f ca="1">Close!S151</f>
        <v>0</v>
      </c>
      <c r="H389" s="352">
        <f ca="1">SUM(H386:H388)</f>
        <v>0</v>
      </c>
      <c r="I389" s="352">
        <f t="shared" ref="I389" ca="1" si="284">SUM(I386:I388)</f>
        <v>0</v>
      </c>
      <c r="J389" s="352">
        <f t="shared" ref="J389" ca="1" si="285">SUM(J386:J388)</f>
        <v>0</v>
      </c>
      <c r="K389" s="352">
        <f t="shared" ref="K389" ca="1" si="286">SUM(K386:K388)</f>
        <v>0</v>
      </c>
      <c r="L389" s="352">
        <f t="shared" ref="L389" ca="1" si="287">SUM(L386:L388)</f>
        <v>0</v>
      </c>
      <c r="M389" s="352">
        <f t="shared" ref="M389" ca="1" si="288">SUM(M386:M388)</f>
        <v>0</v>
      </c>
      <c r="N389" s="352">
        <f t="shared" ref="N389" ca="1" si="289">SUM(N386:N388)</f>
        <v>0</v>
      </c>
      <c r="O389" s="352">
        <f t="shared" ref="O389" ca="1" si="290">SUM(O386:O388)</f>
        <v>0</v>
      </c>
      <c r="P389" s="352">
        <f t="shared" ref="P389" ca="1" si="291">SUM(P386:P388)</f>
        <v>0</v>
      </c>
      <c r="Q389" s="352">
        <f t="shared" ref="Q389" ca="1" si="292">SUM(Q386:Q388)</f>
        <v>0</v>
      </c>
      <c r="R389" s="317"/>
    </row>
    <row r="390" spans="2:18" ht="13.5" customHeight="1" outlineLevel="1">
      <c r="B390" s="50"/>
      <c r="C390" s="50"/>
      <c r="D390" s="50"/>
      <c r="G390" s="365"/>
      <c r="H390" s="350"/>
      <c r="I390" s="350"/>
      <c r="J390" s="350"/>
      <c r="N390" s="57"/>
      <c r="R390" s="317"/>
    </row>
    <row r="391" spans="2:18" ht="13.5" customHeight="1" outlineLevel="1">
      <c r="B391" s="359" t="str">
        <f>B500</f>
        <v>Convertible bond 1</v>
      </c>
      <c r="C391" s="360"/>
      <c r="D391" s="360"/>
      <c r="E391" s="361"/>
      <c r="F391" s="361"/>
      <c r="G391" s="362"/>
      <c r="H391" s="363"/>
      <c r="I391" s="363"/>
      <c r="J391" s="363"/>
      <c r="K391" s="361"/>
      <c r="L391" s="361"/>
      <c r="M391" s="361"/>
      <c r="N391" s="364"/>
      <c r="O391" s="361"/>
      <c r="P391" s="361"/>
      <c r="Q391" s="361"/>
      <c r="R391" s="317"/>
    </row>
    <row r="392" spans="2:18" ht="13.5" customHeight="1" outlineLevel="1">
      <c r="B392" s="147" t="s">
        <v>394</v>
      </c>
      <c r="C392" s="50"/>
      <c r="D392" s="50"/>
      <c r="G392" s="365"/>
      <c r="H392" s="231">
        <f t="shared" ref="H392:Q392" si="293">G395</f>
        <v>471.375</v>
      </c>
      <c r="I392" s="231">
        <f t="shared" si="293"/>
        <v>493.76531249999999</v>
      </c>
      <c r="J392" s="231">
        <f t="shared" si="293"/>
        <v>540.67301718750002</v>
      </c>
      <c r="K392" s="231">
        <f t="shared" si="293"/>
        <v>579.19596966210941</v>
      </c>
      <c r="L392" s="231">
        <f t="shared" si="293"/>
        <v>579.19596966210941</v>
      </c>
      <c r="M392" s="231">
        <f t="shared" si="293"/>
        <v>579.19596966210941</v>
      </c>
      <c r="N392" s="231">
        <f t="shared" si="293"/>
        <v>579.19596966210941</v>
      </c>
      <c r="O392" s="231">
        <f t="shared" si="293"/>
        <v>579.19596966210941</v>
      </c>
      <c r="P392" s="231">
        <f t="shared" si="293"/>
        <v>579.19596966210941</v>
      </c>
      <c r="Q392" s="231">
        <f t="shared" si="293"/>
        <v>579.19596966210941</v>
      </c>
      <c r="R392" s="317"/>
    </row>
    <row r="393" spans="2:18" ht="13.5" customHeight="1" outlineLevel="1">
      <c r="B393" s="147" t="s">
        <v>402</v>
      </c>
      <c r="C393" s="50"/>
      <c r="D393" s="50"/>
      <c r="G393" s="365"/>
      <c r="H393" s="163">
        <f t="shared" ref="H393:Q393" si="294">H458*H481</f>
        <v>22.3903125</v>
      </c>
      <c r="I393" s="163">
        <f t="shared" si="294"/>
        <v>46.907704687500001</v>
      </c>
      <c r="J393" s="163">
        <f t="shared" si="294"/>
        <v>38.522952474609376</v>
      </c>
      <c r="K393" s="163">
        <f t="shared" si="294"/>
        <v>0</v>
      </c>
      <c r="L393" s="163">
        <f t="shared" si="294"/>
        <v>0</v>
      </c>
      <c r="M393" s="163">
        <f t="shared" si="294"/>
        <v>0</v>
      </c>
      <c r="N393" s="163">
        <f t="shared" si="294"/>
        <v>0</v>
      </c>
      <c r="O393" s="163">
        <f t="shared" si="294"/>
        <v>0</v>
      </c>
      <c r="P393" s="163">
        <f t="shared" si="294"/>
        <v>0</v>
      </c>
      <c r="Q393" s="163">
        <f t="shared" si="294"/>
        <v>0</v>
      </c>
      <c r="R393" s="317"/>
    </row>
    <row r="394" spans="2:18" ht="13.5" customHeight="1" outlineLevel="1">
      <c r="B394" s="147" t="s">
        <v>401</v>
      </c>
      <c r="C394" s="50"/>
      <c r="D394" s="50"/>
      <c r="G394" s="365"/>
      <c r="H394" s="126">
        <f>Acquirer!T292</f>
        <v>0</v>
      </c>
      <c r="I394" s="126">
        <f>Acquirer!G292</f>
        <v>0</v>
      </c>
      <c r="J394" s="126">
        <f>Acquirer!H292</f>
        <v>0</v>
      </c>
      <c r="K394" s="126">
        <f>Acquirer!I292</f>
        <v>0</v>
      </c>
      <c r="L394" s="126">
        <f>Acquirer!J292</f>
        <v>0</v>
      </c>
      <c r="M394" s="126">
        <f>Acquirer!K292</f>
        <v>0</v>
      </c>
      <c r="N394" s="126">
        <f>Acquirer!L292</f>
        <v>0</v>
      </c>
      <c r="O394" s="126">
        <f>Acquirer!M292</f>
        <v>0</v>
      </c>
      <c r="P394" s="126">
        <f>Acquirer!N292</f>
        <v>0</v>
      </c>
      <c r="Q394" s="126">
        <f>Acquirer!O292</f>
        <v>0</v>
      </c>
      <c r="R394" s="317"/>
    </row>
    <row r="395" spans="2:18" ht="13.5" customHeight="1" outlineLevel="1">
      <c r="B395" s="116" t="s">
        <v>397</v>
      </c>
      <c r="C395" s="116"/>
      <c r="D395" s="116"/>
      <c r="E395" s="116"/>
      <c r="F395" s="116"/>
      <c r="G395" s="356">
        <f>Close!S143</f>
        <v>471.375</v>
      </c>
      <c r="H395" s="352">
        <f t="shared" ref="H395:Q395" si="295">SUM(H392:H394)</f>
        <v>493.76531249999999</v>
      </c>
      <c r="I395" s="352">
        <f t="shared" si="295"/>
        <v>540.67301718750002</v>
      </c>
      <c r="J395" s="352">
        <f t="shared" si="295"/>
        <v>579.19596966210941</v>
      </c>
      <c r="K395" s="352">
        <f t="shared" si="295"/>
        <v>579.19596966210941</v>
      </c>
      <c r="L395" s="352">
        <f t="shared" si="295"/>
        <v>579.19596966210941</v>
      </c>
      <c r="M395" s="352">
        <f t="shared" si="295"/>
        <v>579.19596966210941</v>
      </c>
      <c r="N395" s="352">
        <f t="shared" si="295"/>
        <v>579.19596966210941</v>
      </c>
      <c r="O395" s="352">
        <f t="shared" si="295"/>
        <v>579.19596966210941</v>
      </c>
      <c r="P395" s="352">
        <f t="shared" si="295"/>
        <v>579.19596966210941</v>
      </c>
      <c r="Q395" s="352">
        <f t="shared" si="295"/>
        <v>579.19596966210941</v>
      </c>
      <c r="R395" s="317"/>
    </row>
    <row r="396" spans="2:18" ht="13.5" customHeight="1" outlineLevel="1">
      <c r="B396" s="50"/>
      <c r="C396" s="50"/>
      <c r="D396" s="50"/>
      <c r="G396" s="50"/>
      <c r="H396" s="350"/>
      <c r="I396" s="350"/>
      <c r="J396" s="350"/>
      <c r="N396" s="57"/>
      <c r="R396" s="317"/>
    </row>
    <row r="397" spans="2:18" ht="13.5" customHeight="1" outlineLevel="1">
      <c r="B397" s="359" t="str">
        <f>B501</f>
        <v>Convertible bond 2</v>
      </c>
      <c r="C397" s="360"/>
      <c r="D397" s="360"/>
      <c r="E397" s="361"/>
      <c r="F397" s="361"/>
      <c r="G397" s="362"/>
      <c r="H397" s="363"/>
      <c r="I397" s="363"/>
      <c r="J397" s="363"/>
      <c r="K397" s="361"/>
      <c r="L397" s="361"/>
      <c r="M397" s="361"/>
      <c r="N397" s="364"/>
      <c r="O397" s="361"/>
      <c r="P397" s="361"/>
      <c r="Q397" s="361"/>
      <c r="R397" s="317"/>
    </row>
    <row r="398" spans="2:18" ht="13.5" customHeight="1" outlineLevel="1">
      <c r="B398" s="147" t="s">
        <v>394</v>
      </c>
      <c r="C398" s="50"/>
      <c r="D398" s="50"/>
      <c r="G398" s="365"/>
      <c r="H398" s="231">
        <f t="shared" ref="H398:Q398" ca="1" si="296">G401</f>
        <v>0</v>
      </c>
      <c r="I398" s="231">
        <f t="shared" ca="1" si="296"/>
        <v>0</v>
      </c>
      <c r="J398" s="231">
        <f t="shared" ca="1" si="296"/>
        <v>0</v>
      </c>
      <c r="K398" s="231">
        <f t="shared" ca="1" si="296"/>
        <v>0</v>
      </c>
      <c r="L398" s="231">
        <f t="shared" ca="1" si="296"/>
        <v>0</v>
      </c>
      <c r="M398" s="231">
        <f t="shared" ca="1" si="296"/>
        <v>0</v>
      </c>
      <c r="N398" s="231">
        <f t="shared" ca="1" si="296"/>
        <v>0</v>
      </c>
      <c r="O398" s="231">
        <f t="shared" ca="1" si="296"/>
        <v>0</v>
      </c>
      <c r="P398" s="231">
        <f t="shared" ca="1" si="296"/>
        <v>0</v>
      </c>
      <c r="Q398" s="231">
        <f t="shared" ca="1" si="296"/>
        <v>0</v>
      </c>
      <c r="R398" s="317"/>
    </row>
    <row r="399" spans="2:18" ht="13.5" customHeight="1" outlineLevel="1">
      <c r="B399" s="147" t="s">
        <v>402</v>
      </c>
      <c r="C399" s="50"/>
      <c r="D399" s="50"/>
      <c r="G399" s="365"/>
      <c r="H399" s="163">
        <f t="shared" ref="H399:Q399" ca="1" si="297">H459*H482</f>
        <v>0</v>
      </c>
      <c r="I399" s="163">
        <f t="shared" ca="1" si="297"/>
        <v>0</v>
      </c>
      <c r="J399" s="163">
        <f t="shared" ca="1" si="297"/>
        <v>0</v>
      </c>
      <c r="K399" s="163">
        <f t="shared" ca="1" si="297"/>
        <v>0</v>
      </c>
      <c r="L399" s="163">
        <f t="shared" ca="1" si="297"/>
        <v>0</v>
      </c>
      <c r="M399" s="163">
        <f t="shared" ca="1" si="297"/>
        <v>0</v>
      </c>
      <c r="N399" s="163">
        <f t="shared" ca="1" si="297"/>
        <v>0</v>
      </c>
      <c r="O399" s="163">
        <f t="shared" ca="1" si="297"/>
        <v>0</v>
      </c>
      <c r="P399" s="163">
        <f t="shared" ca="1" si="297"/>
        <v>0</v>
      </c>
      <c r="Q399" s="163">
        <f t="shared" ca="1" si="297"/>
        <v>0</v>
      </c>
      <c r="R399" s="317"/>
    </row>
    <row r="400" spans="2:18" ht="13.5" customHeight="1" outlineLevel="1">
      <c r="B400" s="147" t="s">
        <v>401</v>
      </c>
      <c r="C400" s="50"/>
      <c r="D400" s="50"/>
      <c r="G400" s="365"/>
      <c r="H400" s="184">
        <f>Target!T292</f>
        <v>0</v>
      </c>
      <c r="I400" s="126">
        <f>Target!H292</f>
        <v>0</v>
      </c>
      <c r="J400" s="126">
        <f>Target!I292</f>
        <v>0</v>
      </c>
      <c r="K400" s="126">
        <f>Target!J292</f>
        <v>0</v>
      </c>
      <c r="L400" s="126">
        <f>Target!K292</f>
        <v>0</v>
      </c>
      <c r="M400" s="126">
        <f>Target!L292</f>
        <v>0</v>
      </c>
      <c r="N400" s="126">
        <f>Target!M292</f>
        <v>0</v>
      </c>
      <c r="O400" s="126">
        <f>Target!N292</f>
        <v>0</v>
      </c>
      <c r="P400" s="126">
        <f>Target!O292</f>
        <v>0</v>
      </c>
      <c r="Q400" s="126">
        <f>Target!P292</f>
        <v>0</v>
      </c>
      <c r="R400" s="317"/>
    </row>
    <row r="401" spans="2:18" ht="13.5" customHeight="1" outlineLevel="1">
      <c r="B401" s="116" t="s">
        <v>397</v>
      </c>
      <c r="C401" s="116"/>
      <c r="D401" s="116"/>
      <c r="E401" s="116"/>
      <c r="F401" s="116"/>
      <c r="G401" s="356">
        <f ca="1">Close!S148</f>
        <v>0</v>
      </c>
      <c r="H401" s="352">
        <f t="shared" ref="H401:Q401" ca="1" si="298">SUM(H398:H400)</f>
        <v>0</v>
      </c>
      <c r="I401" s="352">
        <f t="shared" ca="1" si="298"/>
        <v>0</v>
      </c>
      <c r="J401" s="352">
        <f t="shared" ca="1" si="298"/>
        <v>0</v>
      </c>
      <c r="K401" s="352">
        <f t="shared" ca="1" si="298"/>
        <v>0</v>
      </c>
      <c r="L401" s="352">
        <f t="shared" ca="1" si="298"/>
        <v>0</v>
      </c>
      <c r="M401" s="352">
        <f t="shared" ca="1" si="298"/>
        <v>0</v>
      </c>
      <c r="N401" s="352">
        <f t="shared" ca="1" si="298"/>
        <v>0</v>
      </c>
      <c r="O401" s="352">
        <f t="shared" ca="1" si="298"/>
        <v>0</v>
      </c>
      <c r="P401" s="352">
        <f t="shared" ca="1" si="298"/>
        <v>0</v>
      </c>
      <c r="Q401" s="352">
        <f t="shared" ca="1" si="298"/>
        <v>0</v>
      </c>
      <c r="R401" s="317"/>
    </row>
    <row r="402" spans="2:18" ht="13.5" customHeight="1" outlineLevel="1">
      <c r="B402" s="50"/>
      <c r="C402" s="50"/>
      <c r="D402" s="50"/>
      <c r="G402" s="50"/>
      <c r="H402" s="350"/>
      <c r="I402" s="350"/>
      <c r="J402" s="350"/>
      <c r="N402" s="57"/>
      <c r="R402" s="317"/>
    </row>
    <row r="403" spans="2:18" ht="13.5" customHeight="1" outlineLevel="1">
      <c r="B403" s="359" t="str">
        <f>B502</f>
        <v>Convertible bond 3</v>
      </c>
      <c r="C403" s="360"/>
      <c r="D403" s="360"/>
      <c r="E403" s="361"/>
      <c r="F403" s="361"/>
      <c r="G403" s="362"/>
      <c r="H403" s="363"/>
      <c r="I403" s="363"/>
      <c r="J403" s="363"/>
      <c r="K403" s="361"/>
      <c r="L403" s="361"/>
      <c r="M403" s="361"/>
      <c r="N403" s="364"/>
      <c r="O403" s="361"/>
      <c r="P403" s="361"/>
      <c r="Q403" s="361"/>
      <c r="R403" s="317"/>
    </row>
    <row r="404" spans="2:18" ht="13.5" customHeight="1" outlineLevel="1">
      <c r="B404" s="147" t="s">
        <v>394</v>
      </c>
      <c r="C404" s="50"/>
      <c r="D404" s="50"/>
      <c r="G404" s="365"/>
      <c r="H404" s="231">
        <f t="shared" ref="H404:Q404" ca="1" si="299">G407</f>
        <v>0</v>
      </c>
      <c r="I404" s="231">
        <f t="shared" ca="1" si="299"/>
        <v>0</v>
      </c>
      <c r="J404" s="231">
        <f t="shared" ca="1" si="299"/>
        <v>0</v>
      </c>
      <c r="K404" s="231">
        <f t="shared" ca="1" si="299"/>
        <v>0</v>
      </c>
      <c r="L404" s="231">
        <f t="shared" ca="1" si="299"/>
        <v>0</v>
      </c>
      <c r="M404" s="231">
        <f t="shared" ca="1" si="299"/>
        <v>0</v>
      </c>
      <c r="N404" s="231">
        <f t="shared" ca="1" si="299"/>
        <v>0</v>
      </c>
      <c r="O404" s="231">
        <f t="shared" ca="1" si="299"/>
        <v>0</v>
      </c>
      <c r="P404" s="231">
        <f t="shared" ca="1" si="299"/>
        <v>0</v>
      </c>
      <c r="Q404" s="231">
        <f t="shared" ca="1" si="299"/>
        <v>0</v>
      </c>
      <c r="R404" s="317"/>
    </row>
    <row r="405" spans="2:18" ht="13.5" customHeight="1" outlineLevel="1">
      <c r="B405" s="147" t="s">
        <v>402</v>
      </c>
      <c r="C405" s="50"/>
      <c r="D405" s="50"/>
      <c r="G405" s="365"/>
      <c r="H405" s="163">
        <f t="shared" ref="H405:Q405" ca="1" si="300">H460*H483</f>
        <v>0</v>
      </c>
      <c r="I405" s="163">
        <f t="shared" ca="1" si="300"/>
        <v>0</v>
      </c>
      <c r="J405" s="163">
        <f t="shared" ca="1" si="300"/>
        <v>0</v>
      </c>
      <c r="K405" s="163">
        <f t="shared" ca="1" si="300"/>
        <v>0</v>
      </c>
      <c r="L405" s="163">
        <f t="shared" ca="1" si="300"/>
        <v>0</v>
      </c>
      <c r="M405" s="163">
        <f t="shared" ca="1" si="300"/>
        <v>0</v>
      </c>
      <c r="N405" s="163">
        <f t="shared" ca="1" si="300"/>
        <v>0</v>
      </c>
      <c r="O405" s="163">
        <f t="shared" ca="1" si="300"/>
        <v>0</v>
      </c>
      <c r="P405" s="163">
        <f t="shared" ca="1" si="300"/>
        <v>0</v>
      </c>
      <c r="Q405" s="163">
        <f t="shared" ca="1" si="300"/>
        <v>0</v>
      </c>
      <c r="R405" s="317"/>
    </row>
    <row r="406" spans="2:18" ht="13.5" customHeight="1" outlineLevel="1">
      <c r="B406" s="147" t="s">
        <v>401</v>
      </c>
      <c r="C406" s="50"/>
      <c r="D406" s="50"/>
      <c r="G406" s="365"/>
      <c r="H406" s="330">
        <v>0</v>
      </c>
      <c r="I406" s="330">
        <v>0</v>
      </c>
      <c r="J406" s="330">
        <v>0</v>
      </c>
      <c r="K406" s="330">
        <v>0</v>
      </c>
      <c r="L406" s="330">
        <v>0</v>
      </c>
      <c r="M406" s="330">
        <v>0</v>
      </c>
      <c r="N406" s="330">
        <v>0</v>
      </c>
      <c r="O406" s="330">
        <v>0</v>
      </c>
      <c r="P406" s="330">
        <v>0</v>
      </c>
      <c r="Q406" s="330">
        <v>0</v>
      </c>
      <c r="R406" s="317"/>
    </row>
    <row r="407" spans="2:18" ht="13.5" customHeight="1" outlineLevel="1">
      <c r="B407" s="116" t="s">
        <v>397</v>
      </c>
      <c r="C407" s="116"/>
      <c r="D407" s="116"/>
      <c r="E407" s="116"/>
      <c r="F407" s="116"/>
      <c r="G407" s="356">
        <f ca="1">Close!S152</f>
        <v>0</v>
      </c>
      <c r="H407" s="352">
        <f t="shared" ref="H407:Q407" ca="1" si="301">SUM(H404:H406)</f>
        <v>0</v>
      </c>
      <c r="I407" s="352">
        <f t="shared" ca="1" si="301"/>
        <v>0</v>
      </c>
      <c r="J407" s="352">
        <f t="shared" ca="1" si="301"/>
        <v>0</v>
      </c>
      <c r="K407" s="352">
        <f t="shared" ca="1" si="301"/>
        <v>0</v>
      </c>
      <c r="L407" s="352">
        <f t="shared" ca="1" si="301"/>
        <v>0</v>
      </c>
      <c r="M407" s="352">
        <f t="shared" ca="1" si="301"/>
        <v>0</v>
      </c>
      <c r="N407" s="352">
        <f t="shared" ca="1" si="301"/>
        <v>0</v>
      </c>
      <c r="O407" s="352">
        <f t="shared" ca="1" si="301"/>
        <v>0</v>
      </c>
      <c r="P407" s="352">
        <f t="shared" ca="1" si="301"/>
        <v>0</v>
      </c>
      <c r="Q407" s="352">
        <f t="shared" ca="1" si="301"/>
        <v>0</v>
      </c>
      <c r="R407" s="317"/>
    </row>
    <row r="408" spans="2:18" ht="13.5" customHeight="1" outlineLevel="1">
      <c r="B408" s="50"/>
      <c r="C408" s="50"/>
      <c r="D408" s="50"/>
      <c r="G408" s="50"/>
      <c r="H408" s="350"/>
      <c r="I408" s="350"/>
      <c r="J408" s="350"/>
      <c r="N408" s="57"/>
      <c r="R408" s="317"/>
    </row>
    <row r="409" spans="2:18" ht="13.5" customHeight="1" outlineLevel="1">
      <c r="B409" s="359" t="str">
        <f>B503</f>
        <v>Preferred stock 1</v>
      </c>
      <c r="C409" s="360"/>
      <c r="D409" s="360"/>
      <c r="E409" s="361"/>
      <c r="F409" s="361"/>
      <c r="G409" s="362"/>
      <c r="H409" s="363"/>
      <c r="I409" s="363"/>
      <c r="J409" s="363"/>
      <c r="K409" s="361"/>
      <c r="L409" s="361"/>
      <c r="M409" s="361"/>
      <c r="N409" s="364"/>
      <c r="O409" s="361"/>
      <c r="P409" s="361"/>
      <c r="Q409" s="361"/>
      <c r="R409" s="317"/>
    </row>
    <row r="410" spans="2:18" ht="13.5" customHeight="1" outlineLevel="1">
      <c r="B410" s="147" t="s">
        <v>394</v>
      </c>
      <c r="C410" s="50"/>
      <c r="D410" s="50"/>
      <c r="G410" s="365"/>
      <c r="H410" s="231">
        <f t="shared" ref="H410:Q410" si="302">G413</f>
        <v>0</v>
      </c>
      <c r="I410" s="231">
        <f t="shared" si="302"/>
        <v>0</v>
      </c>
      <c r="J410" s="231">
        <f t="shared" si="302"/>
        <v>0</v>
      </c>
      <c r="K410" s="231">
        <f t="shared" si="302"/>
        <v>0</v>
      </c>
      <c r="L410" s="231">
        <f t="shared" si="302"/>
        <v>0</v>
      </c>
      <c r="M410" s="231">
        <f t="shared" si="302"/>
        <v>0</v>
      </c>
      <c r="N410" s="231">
        <f t="shared" si="302"/>
        <v>0</v>
      </c>
      <c r="O410" s="231">
        <f t="shared" si="302"/>
        <v>0</v>
      </c>
      <c r="P410" s="231">
        <f t="shared" si="302"/>
        <v>0</v>
      </c>
      <c r="Q410" s="231">
        <f t="shared" si="302"/>
        <v>0</v>
      </c>
      <c r="R410" s="317"/>
    </row>
    <row r="411" spans="2:18" ht="13.5" customHeight="1" outlineLevel="1">
      <c r="B411" s="147" t="s">
        <v>402</v>
      </c>
      <c r="C411" s="50"/>
      <c r="D411" s="50"/>
      <c r="G411" s="365"/>
      <c r="H411" s="163">
        <f t="shared" ref="H411:Q411" si="303">H461*H484</f>
        <v>0</v>
      </c>
      <c r="I411" s="163">
        <f t="shared" si="303"/>
        <v>0</v>
      </c>
      <c r="J411" s="163">
        <f t="shared" si="303"/>
        <v>0</v>
      </c>
      <c r="K411" s="163">
        <f t="shared" si="303"/>
        <v>0</v>
      </c>
      <c r="L411" s="163">
        <f t="shared" si="303"/>
        <v>0</v>
      </c>
      <c r="M411" s="163">
        <f t="shared" si="303"/>
        <v>0</v>
      </c>
      <c r="N411" s="163">
        <f t="shared" si="303"/>
        <v>0</v>
      </c>
      <c r="O411" s="163">
        <f t="shared" si="303"/>
        <v>0</v>
      </c>
      <c r="P411" s="163">
        <f t="shared" si="303"/>
        <v>0</v>
      </c>
      <c r="Q411" s="163">
        <f t="shared" si="303"/>
        <v>0</v>
      </c>
      <c r="R411" s="317"/>
    </row>
    <row r="412" spans="2:18" ht="13.5" customHeight="1" outlineLevel="1">
      <c r="B412" s="147" t="s">
        <v>403</v>
      </c>
      <c r="C412" s="50"/>
      <c r="D412" s="50"/>
      <c r="G412" s="365"/>
      <c r="H412" s="184">
        <f>Acquirer!T298</f>
        <v>0</v>
      </c>
      <c r="I412" s="126">
        <f>Acquirer!H298</f>
        <v>0</v>
      </c>
      <c r="J412" s="126">
        <f>Acquirer!I298</f>
        <v>0</v>
      </c>
      <c r="K412" s="126">
        <f>Acquirer!J298</f>
        <v>0</v>
      </c>
      <c r="L412" s="126">
        <f>Acquirer!K298</f>
        <v>0</v>
      </c>
      <c r="M412" s="126">
        <f>Acquirer!L298</f>
        <v>0</v>
      </c>
      <c r="N412" s="126">
        <f>Acquirer!M298</f>
        <v>0</v>
      </c>
      <c r="O412" s="126">
        <f>Acquirer!N298</f>
        <v>0</v>
      </c>
      <c r="P412" s="126">
        <f>Acquirer!O298</f>
        <v>0</v>
      </c>
      <c r="Q412" s="126">
        <f>Acquirer!P298</f>
        <v>0</v>
      </c>
      <c r="R412" s="317"/>
    </row>
    <row r="413" spans="2:18" ht="13.5" customHeight="1" outlineLevel="1">
      <c r="B413" s="116" t="s">
        <v>397</v>
      </c>
      <c r="C413" s="116"/>
      <c r="D413" s="116"/>
      <c r="E413" s="116"/>
      <c r="F413" s="116"/>
      <c r="G413" s="356">
        <f>Close!S158</f>
        <v>0</v>
      </c>
      <c r="H413" s="352">
        <f t="shared" ref="H413:Q413" si="304">SUM(H410:H412)</f>
        <v>0</v>
      </c>
      <c r="I413" s="352">
        <f t="shared" si="304"/>
        <v>0</v>
      </c>
      <c r="J413" s="352">
        <f t="shared" si="304"/>
        <v>0</v>
      </c>
      <c r="K413" s="352">
        <f t="shared" si="304"/>
        <v>0</v>
      </c>
      <c r="L413" s="352">
        <f t="shared" si="304"/>
        <v>0</v>
      </c>
      <c r="M413" s="352">
        <f t="shared" si="304"/>
        <v>0</v>
      </c>
      <c r="N413" s="352">
        <f t="shared" si="304"/>
        <v>0</v>
      </c>
      <c r="O413" s="352">
        <f t="shared" si="304"/>
        <v>0</v>
      </c>
      <c r="P413" s="352">
        <f t="shared" si="304"/>
        <v>0</v>
      </c>
      <c r="Q413" s="352">
        <f t="shared" si="304"/>
        <v>0</v>
      </c>
      <c r="R413" s="317"/>
    </row>
    <row r="414" spans="2:18" ht="13.5" customHeight="1" outlineLevel="1">
      <c r="B414" s="50"/>
      <c r="C414" s="50"/>
      <c r="D414" s="50"/>
      <c r="G414" s="50"/>
      <c r="H414" s="350"/>
      <c r="I414" s="350"/>
      <c r="J414" s="350"/>
      <c r="N414" s="57"/>
      <c r="R414" s="317"/>
    </row>
    <row r="415" spans="2:18" ht="13.5" customHeight="1" outlineLevel="1">
      <c r="B415" s="359" t="str">
        <f>B504</f>
        <v>Preferred stock 2</v>
      </c>
      <c r="C415" s="360"/>
      <c r="D415" s="360"/>
      <c r="E415" s="361"/>
      <c r="F415" s="361"/>
      <c r="G415" s="362"/>
      <c r="H415" s="363"/>
      <c r="I415" s="363"/>
      <c r="J415" s="363"/>
      <c r="K415" s="361"/>
      <c r="L415" s="361"/>
      <c r="M415" s="361"/>
      <c r="N415" s="364"/>
      <c r="O415" s="361"/>
      <c r="P415" s="361"/>
      <c r="Q415" s="361"/>
      <c r="R415" s="317"/>
    </row>
    <row r="416" spans="2:18" ht="13.5" customHeight="1" outlineLevel="1">
      <c r="B416" s="147" t="s">
        <v>394</v>
      </c>
      <c r="C416" s="50"/>
      <c r="D416" s="50"/>
      <c r="G416" s="365"/>
      <c r="H416" s="231">
        <f t="shared" ref="H416:Q416" ca="1" si="305">G419</f>
        <v>0</v>
      </c>
      <c r="I416" s="231">
        <f t="shared" ca="1" si="305"/>
        <v>0</v>
      </c>
      <c r="J416" s="231">
        <f t="shared" ca="1" si="305"/>
        <v>0</v>
      </c>
      <c r="K416" s="231">
        <f t="shared" ca="1" si="305"/>
        <v>0</v>
      </c>
      <c r="L416" s="231">
        <f t="shared" ca="1" si="305"/>
        <v>0</v>
      </c>
      <c r="M416" s="231">
        <f t="shared" ca="1" si="305"/>
        <v>0</v>
      </c>
      <c r="N416" s="231">
        <f t="shared" ca="1" si="305"/>
        <v>0</v>
      </c>
      <c r="O416" s="231">
        <f t="shared" ca="1" si="305"/>
        <v>0</v>
      </c>
      <c r="P416" s="231">
        <f t="shared" ca="1" si="305"/>
        <v>0</v>
      </c>
      <c r="Q416" s="231">
        <f t="shared" ca="1" si="305"/>
        <v>0</v>
      </c>
      <c r="R416" s="317"/>
    </row>
    <row r="417" spans="2:18" ht="13.5" customHeight="1" outlineLevel="1">
      <c r="B417" s="147" t="s">
        <v>402</v>
      </c>
      <c r="C417" s="50"/>
      <c r="D417" s="50"/>
      <c r="G417" s="365"/>
      <c r="H417" s="163">
        <f t="shared" ref="H417:Q417" ca="1" si="306">H462*H485</f>
        <v>0</v>
      </c>
      <c r="I417" s="163">
        <f t="shared" ca="1" si="306"/>
        <v>0</v>
      </c>
      <c r="J417" s="163">
        <f t="shared" ca="1" si="306"/>
        <v>0</v>
      </c>
      <c r="K417" s="163">
        <f t="shared" ca="1" si="306"/>
        <v>0</v>
      </c>
      <c r="L417" s="163">
        <f t="shared" ca="1" si="306"/>
        <v>0</v>
      </c>
      <c r="M417" s="163">
        <f t="shared" ca="1" si="306"/>
        <v>0</v>
      </c>
      <c r="N417" s="163">
        <f t="shared" ca="1" si="306"/>
        <v>0</v>
      </c>
      <c r="O417" s="163">
        <f t="shared" ca="1" si="306"/>
        <v>0</v>
      </c>
      <c r="P417" s="163">
        <f t="shared" ca="1" si="306"/>
        <v>0</v>
      </c>
      <c r="Q417" s="163">
        <f t="shared" ca="1" si="306"/>
        <v>0</v>
      </c>
      <c r="R417" s="317"/>
    </row>
    <row r="418" spans="2:18" ht="13.5" customHeight="1" outlineLevel="1">
      <c r="B418" s="147" t="s">
        <v>403</v>
      </c>
      <c r="C418" s="50"/>
      <c r="D418" s="50"/>
      <c r="G418" s="365"/>
      <c r="H418" s="184">
        <f>Target!T298</f>
        <v>0</v>
      </c>
      <c r="I418" s="126">
        <f>Target!H298</f>
        <v>0</v>
      </c>
      <c r="J418" s="126">
        <f>Target!I298</f>
        <v>0</v>
      </c>
      <c r="K418" s="126">
        <f>Target!J298</f>
        <v>0</v>
      </c>
      <c r="L418" s="126">
        <f>Target!K298</f>
        <v>0</v>
      </c>
      <c r="M418" s="126">
        <f>Target!L298</f>
        <v>0</v>
      </c>
      <c r="N418" s="126">
        <f>Target!M298</f>
        <v>0</v>
      </c>
      <c r="O418" s="126">
        <f>Target!N298</f>
        <v>0</v>
      </c>
      <c r="P418" s="126">
        <f>Target!O298</f>
        <v>0</v>
      </c>
      <c r="Q418" s="126">
        <f>Target!P298</f>
        <v>0</v>
      </c>
      <c r="R418" s="317"/>
    </row>
    <row r="419" spans="2:18" ht="13.5" customHeight="1" outlineLevel="1">
      <c r="B419" s="116" t="s">
        <v>397</v>
      </c>
      <c r="C419" s="116"/>
      <c r="D419" s="116"/>
      <c r="E419" s="116"/>
      <c r="F419" s="116"/>
      <c r="G419" s="356">
        <f ca="1">Close!S159</f>
        <v>0</v>
      </c>
      <c r="H419" s="352">
        <f t="shared" ref="H419:Q419" ca="1" si="307">SUM(H416:H418)</f>
        <v>0</v>
      </c>
      <c r="I419" s="352">
        <f t="shared" ca="1" si="307"/>
        <v>0</v>
      </c>
      <c r="J419" s="352">
        <f t="shared" ca="1" si="307"/>
        <v>0</v>
      </c>
      <c r="K419" s="352">
        <f t="shared" ca="1" si="307"/>
        <v>0</v>
      </c>
      <c r="L419" s="352">
        <f t="shared" ca="1" si="307"/>
        <v>0</v>
      </c>
      <c r="M419" s="352">
        <f t="shared" ca="1" si="307"/>
        <v>0</v>
      </c>
      <c r="N419" s="352">
        <f t="shared" ca="1" si="307"/>
        <v>0</v>
      </c>
      <c r="O419" s="352">
        <f t="shared" ca="1" si="307"/>
        <v>0</v>
      </c>
      <c r="P419" s="352">
        <f t="shared" ca="1" si="307"/>
        <v>0</v>
      </c>
      <c r="Q419" s="352">
        <f t="shared" ca="1" si="307"/>
        <v>0</v>
      </c>
      <c r="R419" s="317"/>
    </row>
    <row r="420" spans="2:18" ht="13.5" customHeight="1" outlineLevel="1">
      <c r="B420" s="50"/>
      <c r="C420" s="50"/>
      <c r="D420" s="50"/>
      <c r="G420" s="50"/>
      <c r="H420" s="350"/>
      <c r="I420" s="350"/>
      <c r="J420" s="350"/>
      <c r="N420" s="57"/>
      <c r="R420" s="317"/>
    </row>
    <row r="421" spans="2:18" ht="13.5" customHeight="1" outlineLevel="1">
      <c r="B421" s="359" t="str">
        <f>B505</f>
        <v>Preferred stock 3</v>
      </c>
      <c r="C421" s="360"/>
      <c r="D421" s="360"/>
      <c r="E421" s="361"/>
      <c r="F421" s="361"/>
      <c r="G421" s="362"/>
      <c r="H421" s="363"/>
      <c r="I421" s="363"/>
      <c r="J421" s="363"/>
      <c r="K421" s="361"/>
      <c r="L421" s="361"/>
      <c r="M421" s="361"/>
      <c r="N421" s="364"/>
      <c r="O421" s="361"/>
      <c r="P421" s="361"/>
      <c r="Q421" s="361"/>
      <c r="R421" s="317"/>
    </row>
    <row r="422" spans="2:18" ht="13.5" customHeight="1" outlineLevel="1">
      <c r="B422" s="147" t="s">
        <v>394</v>
      </c>
      <c r="C422" s="50"/>
      <c r="D422" s="50"/>
      <c r="G422" s="365"/>
      <c r="H422" s="231">
        <f t="shared" ref="H422:Q422" ca="1" si="308">G425</f>
        <v>125</v>
      </c>
      <c r="I422" s="231">
        <f t="shared" ca="1" si="308"/>
        <v>128.203125</v>
      </c>
      <c r="J422" s="231">
        <f t="shared" ca="1" si="308"/>
        <v>134.77353515625001</v>
      </c>
      <c r="K422" s="231">
        <f t="shared" ca="1" si="308"/>
        <v>141.68067883300782</v>
      </c>
      <c r="L422" s="231">
        <f t="shared" ca="1" si="308"/>
        <v>148.94181362319947</v>
      </c>
      <c r="M422" s="231">
        <f t="shared" ca="1" si="308"/>
        <v>156.57508157138844</v>
      </c>
      <c r="N422" s="231">
        <f t="shared" ca="1" si="308"/>
        <v>164.59955450192209</v>
      </c>
      <c r="O422" s="231">
        <f t="shared" ca="1" si="308"/>
        <v>173.03528167014559</v>
      </c>
      <c r="P422" s="231">
        <f t="shared" ca="1" si="308"/>
        <v>181.90333985574057</v>
      </c>
      <c r="Q422" s="231">
        <f t="shared" ca="1" si="308"/>
        <v>191.22588602334727</v>
      </c>
      <c r="R422" s="317"/>
    </row>
    <row r="423" spans="2:18" ht="13.5" customHeight="1" outlineLevel="1">
      <c r="B423" s="147" t="s">
        <v>402</v>
      </c>
      <c r="C423" s="50"/>
      <c r="D423" s="50"/>
      <c r="G423" s="365"/>
      <c r="H423" s="163">
        <f t="shared" ref="H423:Q423" ca="1" si="309">H463*H486</f>
        <v>3.203125</v>
      </c>
      <c r="I423" s="163">
        <f t="shared" ca="1" si="309"/>
        <v>6.5704101562499995</v>
      </c>
      <c r="J423" s="163">
        <f t="shared" ca="1" si="309"/>
        <v>6.907143676757812</v>
      </c>
      <c r="K423" s="163">
        <f t="shared" ca="1" si="309"/>
        <v>7.2611347901916501</v>
      </c>
      <c r="L423" s="163">
        <f t="shared" ca="1" si="309"/>
        <v>7.6332679481889718</v>
      </c>
      <c r="M423" s="163">
        <f t="shared" ca="1" si="309"/>
        <v>8.0244729305336566</v>
      </c>
      <c r="N423" s="163">
        <f t="shared" ca="1" si="309"/>
        <v>8.4357271682235062</v>
      </c>
      <c r="O423" s="163">
        <f t="shared" ca="1" si="309"/>
        <v>8.8680581855949612</v>
      </c>
      <c r="P423" s="163">
        <f t="shared" ca="1" si="309"/>
        <v>9.3225461676067027</v>
      </c>
      <c r="Q423" s="163">
        <f t="shared" ca="1" si="309"/>
        <v>9.8003266586965463</v>
      </c>
      <c r="R423" s="317"/>
    </row>
    <row r="424" spans="2:18" ht="13.5" customHeight="1" outlineLevel="1">
      <c r="B424" s="147" t="s">
        <v>403</v>
      </c>
      <c r="C424" s="50"/>
      <c r="D424" s="50"/>
      <c r="G424" s="365"/>
      <c r="H424" s="330">
        <v>0</v>
      </c>
      <c r="I424" s="330">
        <v>0</v>
      </c>
      <c r="J424" s="330">
        <v>0</v>
      </c>
      <c r="K424" s="330">
        <v>0</v>
      </c>
      <c r="L424" s="330">
        <v>0</v>
      </c>
      <c r="M424" s="330">
        <v>0</v>
      </c>
      <c r="N424" s="330">
        <v>0</v>
      </c>
      <c r="O424" s="330">
        <v>0</v>
      </c>
      <c r="P424" s="330">
        <v>0</v>
      </c>
      <c r="Q424" s="330">
        <v>0</v>
      </c>
      <c r="R424" s="317"/>
    </row>
    <row r="425" spans="2:18" ht="13.5" customHeight="1" outlineLevel="1">
      <c r="B425" s="116" t="s">
        <v>397</v>
      </c>
      <c r="C425" s="116"/>
      <c r="D425" s="116"/>
      <c r="E425" s="116"/>
      <c r="F425" s="116"/>
      <c r="G425" s="356">
        <f ca="1">Close!S160</f>
        <v>125</v>
      </c>
      <c r="H425" s="352">
        <f t="shared" ref="H425:Q425" ca="1" si="310">SUM(H422:H424)</f>
        <v>128.203125</v>
      </c>
      <c r="I425" s="352">
        <f t="shared" ca="1" si="310"/>
        <v>134.77353515625001</v>
      </c>
      <c r="J425" s="352">
        <f t="shared" ca="1" si="310"/>
        <v>141.68067883300782</v>
      </c>
      <c r="K425" s="352">
        <f t="shared" ca="1" si="310"/>
        <v>148.94181362319947</v>
      </c>
      <c r="L425" s="352">
        <f t="shared" ca="1" si="310"/>
        <v>156.57508157138844</v>
      </c>
      <c r="M425" s="352">
        <f t="shared" ca="1" si="310"/>
        <v>164.59955450192209</v>
      </c>
      <c r="N425" s="352">
        <f t="shared" ca="1" si="310"/>
        <v>173.03528167014559</v>
      </c>
      <c r="O425" s="352">
        <f t="shared" ca="1" si="310"/>
        <v>181.90333985574057</v>
      </c>
      <c r="P425" s="352">
        <f t="shared" ca="1" si="310"/>
        <v>191.22588602334727</v>
      </c>
      <c r="Q425" s="352">
        <f t="shared" ca="1" si="310"/>
        <v>201.02621268204382</v>
      </c>
      <c r="R425" s="317"/>
    </row>
    <row r="426" spans="2:18" ht="13.5" customHeight="1" outlineLevel="1">
      <c r="B426" s="88"/>
      <c r="C426" s="88"/>
      <c r="D426" s="88"/>
      <c r="E426" s="88"/>
      <c r="F426" s="88"/>
      <c r="G426" s="135"/>
      <c r="H426" s="328"/>
      <c r="I426" s="328"/>
      <c r="J426" s="328"/>
      <c r="K426" s="328"/>
      <c r="L426" s="328"/>
      <c r="M426" s="328"/>
      <c r="N426" s="328"/>
      <c r="O426" s="328"/>
      <c r="P426" s="328"/>
      <c r="Q426" s="328"/>
      <c r="R426" s="317"/>
    </row>
    <row r="427" spans="2:18" ht="13.5" customHeight="1" outlineLevel="1">
      <c r="B427" s="108" t="s">
        <v>415</v>
      </c>
      <c r="C427" s="109"/>
      <c r="D427" s="109"/>
      <c r="E427" s="306"/>
      <c r="F427" s="306"/>
      <c r="G427" s="306"/>
      <c r="H427" s="306"/>
      <c r="I427" s="109"/>
      <c r="J427" s="306"/>
      <c r="K427" s="306"/>
      <c r="L427" s="306"/>
      <c r="M427" s="306"/>
      <c r="N427" s="306"/>
      <c r="O427" s="306"/>
      <c r="P427" s="306"/>
      <c r="Q427" s="110"/>
    </row>
    <row r="428" spans="2:18" ht="13.5" customHeight="1" outlineLevel="1">
      <c r="B428" s="50"/>
      <c r="C428" s="50"/>
      <c r="D428" s="50"/>
      <c r="G428" s="50"/>
      <c r="H428" s="350"/>
      <c r="I428" s="350"/>
      <c r="J428" s="350"/>
      <c r="N428" s="57"/>
      <c r="R428" s="317"/>
    </row>
    <row r="429" spans="2:18" ht="13.5" customHeight="1" outlineLevel="1">
      <c r="B429" s="147" t="s">
        <v>418</v>
      </c>
      <c r="C429" s="50"/>
      <c r="D429" s="50"/>
      <c r="G429" s="366"/>
      <c r="H429" s="367">
        <f>Acquirer!T303</f>
        <v>3.739725E-2</v>
      </c>
      <c r="I429" s="115">
        <f>Acquirer!H303</f>
        <v>4.1604000000000002E-2</v>
      </c>
      <c r="J429" s="115">
        <f>Acquirer!I303</f>
        <v>4.5736750000000007E-2</v>
      </c>
      <c r="K429" s="115">
        <f>Acquirer!J303</f>
        <v>4.8315000000000004E-2</v>
      </c>
      <c r="L429" s="115">
        <f>Acquirer!K303</f>
        <v>4.9805500000000003E-2</v>
      </c>
      <c r="M429" s="115">
        <f>Acquirer!L303</f>
        <v>5.1123500000000002E-2</v>
      </c>
      <c r="N429" s="115">
        <f>Acquirer!M303</f>
        <v>5.2225250000000001E-2</v>
      </c>
      <c r="O429" s="115">
        <f>Acquirer!N303</f>
        <v>5.3100000000000001E-2</v>
      </c>
      <c r="P429" s="115">
        <f>Acquirer!O303</f>
        <v>5.3999999999999999E-2</v>
      </c>
      <c r="Q429" s="115">
        <f>Acquirer!P303</f>
        <v>5.4899999999999997E-2</v>
      </c>
      <c r="R429" s="317"/>
    </row>
    <row r="430" spans="2:18" ht="13.5" customHeight="1" outlineLevel="1">
      <c r="B430" s="147" t="s">
        <v>30</v>
      </c>
      <c r="C430" s="50"/>
      <c r="D430" s="50"/>
      <c r="G430" s="115"/>
      <c r="H430" s="367">
        <f>Acquirer!T304</f>
        <v>2.5000000000000001E-3</v>
      </c>
      <c r="I430" s="115">
        <f>Acquirer!H304</f>
        <v>2.5000000000000001E-3</v>
      </c>
      <c r="J430" s="115">
        <f>Acquirer!I304</f>
        <v>2.5000000000000001E-3</v>
      </c>
      <c r="K430" s="115">
        <f>Acquirer!J304</f>
        <v>2.5000000000000001E-3</v>
      </c>
      <c r="L430" s="115">
        <f>Acquirer!K304</f>
        <v>2.5000000000000001E-3</v>
      </c>
      <c r="M430" s="115">
        <f>Acquirer!L304</f>
        <v>2.5000000000000001E-3</v>
      </c>
      <c r="N430" s="115">
        <f>Acquirer!M304</f>
        <v>2.5000000000000001E-3</v>
      </c>
      <c r="O430" s="115">
        <f>Acquirer!N304</f>
        <v>2.5000000000000001E-3</v>
      </c>
      <c r="P430" s="115">
        <f>Acquirer!O304</f>
        <v>2.5000000000000001E-3</v>
      </c>
      <c r="Q430" s="115">
        <f>Acquirer!P304</f>
        <v>2.5000000000000001E-3</v>
      </c>
      <c r="R430" s="317"/>
    </row>
    <row r="431" spans="2:18" ht="13.5" customHeight="1" outlineLevel="1">
      <c r="B431" s="147" t="s">
        <v>420</v>
      </c>
      <c r="C431" s="50"/>
      <c r="D431" s="50"/>
      <c r="G431" s="115"/>
      <c r="H431" s="367">
        <f>Acquirer!T305</f>
        <v>5.0000000000000001E-3</v>
      </c>
      <c r="I431" s="115">
        <f>Acquirer!H305</f>
        <v>5.0000000000000001E-3</v>
      </c>
      <c r="J431" s="115">
        <f>Acquirer!I305</f>
        <v>5.0000000000000001E-3</v>
      </c>
      <c r="K431" s="115">
        <f>Acquirer!J305</f>
        <v>5.0000000000000001E-3</v>
      </c>
      <c r="L431" s="115">
        <f>Acquirer!K305</f>
        <v>5.0000000000000001E-3</v>
      </c>
      <c r="M431" s="115">
        <f>Acquirer!L305</f>
        <v>5.0000000000000001E-3</v>
      </c>
      <c r="N431" s="115">
        <f>Acquirer!M305</f>
        <v>5.0000000000000001E-3</v>
      </c>
      <c r="O431" s="115">
        <f>Acquirer!N305</f>
        <v>5.0000000000000001E-3</v>
      </c>
      <c r="P431" s="115">
        <f>Acquirer!O305</f>
        <v>5.0000000000000001E-3</v>
      </c>
      <c r="Q431" s="115">
        <f>Acquirer!P305</f>
        <v>5.0000000000000001E-3</v>
      </c>
      <c r="R431" s="317"/>
    </row>
    <row r="432" spans="2:18" ht="13.5" customHeight="1" outlineLevel="1">
      <c r="B432" s="147"/>
      <c r="C432" s="50"/>
      <c r="D432" s="50"/>
      <c r="G432" s="50"/>
      <c r="H432" s="231"/>
      <c r="I432" s="231"/>
      <c r="J432" s="231"/>
      <c r="K432" s="231"/>
      <c r="L432" s="231"/>
      <c r="M432" s="231"/>
      <c r="N432" s="231"/>
      <c r="O432" s="231"/>
      <c r="P432" s="231"/>
      <c r="Q432" s="231"/>
      <c r="R432" s="317"/>
    </row>
    <row r="433" spans="2:18" ht="13.5" customHeight="1" outlineLevel="1">
      <c r="B433" s="147" t="str">
        <f t="shared" ref="B433:B440" si="311">B493</f>
        <v>Revolver</v>
      </c>
      <c r="C433" s="50"/>
      <c r="D433" s="50"/>
      <c r="G433" s="50"/>
      <c r="H433" s="368">
        <f t="shared" ref="H433:Q433" si="312">$G493+(H$429+$H493)*($G493=0)</f>
        <v>7.9897250000000003E-2</v>
      </c>
      <c r="I433" s="368">
        <f t="shared" si="312"/>
        <v>8.4104000000000012E-2</v>
      </c>
      <c r="J433" s="368">
        <f t="shared" si="312"/>
        <v>8.8236750000000003E-2</v>
      </c>
      <c r="K433" s="368">
        <f t="shared" si="312"/>
        <v>9.0815000000000007E-2</v>
      </c>
      <c r="L433" s="368">
        <f t="shared" si="312"/>
        <v>9.2305500000000013E-2</v>
      </c>
      <c r="M433" s="368">
        <f t="shared" si="312"/>
        <v>9.3623499999999998E-2</v>
      </c>
      <c r="N433" s="368">
        <f t="shared" si="312"/>
        <v>9.4725250000000011E-2</v>
      </c>
      <c r="O433" s="368">
        <f t="shared" si="312"/>
        <v>9.5600000000000004E-2</v>
      </c>
      <c r="P433" s="368">
        <f t="shared" si="312"/>
        <v>9.6500000000000002E-2</v>
      </c>
      <c r="Q433" s="368">
        <f t="shared" si="312"/>
        <v>9.74E-2</v>
      </c>
      <c r="R433" s="317"/>
    </row>
    <row r="434" spans="2:18" ht="13.5" customHeight="1" outlineLevel="1">
      <c r="B434" s="76" t="str">
        <f t="shared" si="311"/>
        <v>Senior credit facility 1</v>
      </c>
      <c r="C434" s="50"/>
      <c r="D434" s="50"/>
      <c r="G434" s="50"/>
      <c r="H434" s="368">
        <f t="shared" ref="H434:Q434" si="313">$G494+(H$429+$H494)*($G494=0)</f>
        <v>8.4897250000000007E-2</v>
      </c>
      <c r="I434" s="368">
        <f t="shared" si="313"/>
        <v>8.9104000000000003E-2</v>
      </c>
      <c r="J434" s="368">
        <f t="shared" si="313"/>
        <v>9.3236750000000007E-2</v>
      </c>
      <c r="K434" s="368">
        <f t="shared" si="313"/>
        <v>9.5815000000000011E-2</v>
      </c>
      <c r="L434" s="368">
        <f t="shared" si="313"/>
        <v>9.7305500000000003E-2</v>
      </c>
      <c r="M434" s="368">
        <f t="shared" si="313"/>
        <v>9.8623500000000003E-2</v>
      </c>
      <c r="N434" s="368">
        <f t="shared" si="313"/>
        <v>9.9725250000000001E-2</v>
      </c>
      <c r="O434" s="368">
        <f t="shared" si="313"/>
        <v>0.10059999999999999</v>
      </c>
      <c r="P434" s="368">
        <f t="shared" si="313"/>
        <v>0.10150000000000001</v>
      </c>
      <c r="Q434" s="368">
        <f t="shared" si="313"/>
        <v>0.10239999999999999</v>
      </c>
      <c r="R434" s="317"/>
    </row>
    <row r="435" spans="2:18" ht="13.5" customHeight="1" outlineLevel="1">
      <c r="B435" s="76" t="str">
        <f t="shared" si="311"/>
        <v>Senior credit facility 2</v>
      </c>
      <c r="C435" s="50"/>
      <c r="D435" s="50"/>
      <c r="G435" s="50"/>
      <c r="H435" s="368">
        <f t="shared" ref="H435:Q435" si="314">$G495+(H$429+$H495)*($G495=0)</f>
        <v>8.4897250000000007E-2</v>
      </c>
      <c r="I435" s="368">
        <f t="shared" si="314"/>
        <v>8.9104000000000003E-2</v>
      </c>
      <c r="J435" s="368">
        <f t="shared" si="314"/>
        <v>9.3236750000000007E-2</v>
      </c>
      <c r="K435" s="368">
        <f t="shared" si="314"/>
        <v>9.5815000000000011E-2</v>
      </c>
      <c r="L435" s="368">
        <f t="shared" si="314"/>
        <v>9.7305500000000003E-2</v>
      </c>
      <c r="M435" s="368">
        <f t="shared" si="314"/>
        <v>9.8623500000000003E-2</v>
      </c>
      <c r="N435" s="368">
        <f t="shared" si="314"/>
        <v>9.9725250000000001E-2</v>
      </c>
      <c r="O435" s="368">
        <f t="shared" si="314"/>
        <v>0.10059999999999999</v>
      </c>
      <c r="P435" s="368">
        <f t="shared" si="314"/>
        <v>0.10150000000000001</v>
      </c>
      <c r="Q435" s="368">
        <f t="shared" si="314"/>
        <v>0.10239999999999999</v>
      </c>
      <c r="R435" s="317"/>
    </row>
    <row r="436" spans="2:18" ht="13.5" customHeight="1" outlineLevel="1">
      <c r="B436" s="76" t="str">
        <f t="shared" si="311"/>
        <v>Senior credit facility 3</v>
      </c>
      <c r="C436" s="50"/>
      <c r="D436" s="50"/>
      <c r="G436" s="50"/>
      <c r="H436" s="368">
        <f t="shared" ref="H436:Q436" si="315">$G496+(H$429+$H496)*($G496=0)</f>
        <v>9.1147249999999999E-2</v>
      </c>
      <c r="I436" s="368">
        <f t="shared" si="315"/>
        <v>9.5353999999999994E-2</v>
      </c>
      <c r="J436" s="368">
        <f t="shared" si="315"/>
        <v>9.9486750000000013E-2</v>
      </c>
      <c r="K436" s="368">
        <f t="shared" si="315"/>
        <v>0.102065</v>
      </c>
      <c r="L436" s="368">
        <f t="shared" si="315"/>
        <v>0.10355549999999999</v>
      </c>
      <c r="M436" s="368">
        <f t="shared" si="315"/>
        <v>0.10487350000000001</v>
      </c>
      <c r="N436" s="368">
        <f t="shared" si="315"/>
        <v>0.10597524999999999</v>
      </c>
      <c r="O436" s="368">
        <f t="shared" si="315"/>
        <v>0.10685</v>
      </c>
      <c r="P436" s="368">
        <f t="shared" si="315"/>
        <v>0.10775</v>
      </c>
      <c r="Q436" s="368">
        <f t="shared" si="315"/>
        <v>0.10865</v>
      </c>
      <c r="R436" s="317"/>
    </row>
    <row r="437" spans="2:18" ht="13.5" customHeight="1" outlineLevel="1">
      <c r="B437" s="76" t="str">
        <f t="shared" si="311"/>
        <v>Subordinated note 1</v>
      </c>
      <c r="C437" s="50"/>
      <c r="D437" s="50"/>
      <c r="G437" s="50"/>
      <c r="H437" s="368">
        <f t="shared" ref="H437:Q437" si="316">$G497+(H$429+$H497)*($G497=0)</f>
        <v>8.2500000000000004E-2</v>
      </c>
      <c r="I437" s="368">
        <f t="shared" si="316"/>
        <v>8.2500000000000004E-2</v>
      </c>
      <c r="J437" s="368">
        <f t="shared" si="316"/>
        <v>8.2500000000000004E-2</v>
      </c>
      <c r="K437" s="368">
        <f t="shared" si="316"/>
        <v>8.2500000000000004E-2</v>
      </c>
      <c r="L437" s="368">
        <f t="shared" si="316"/>
        <v>8.2500000000000004E-2</v>
      </c>
      <c r="M437" s="368">
        <f t="shared" si="316"/>
        <v>8.2500000000000004E-2</v>
      </c>
      <c r="N437" s="368">
        <f t="shared" si="316"/>
        <v>8.2500000000000004E-2</v>
      </c>
      <c r="O437" s="368">
        <f t="shared" si="316"/>
        <v>8.2500000000000004E-2</v>
      </c>
      <c r="P437" s="368">
        <f t="shared" si="316"/>
        <v>8.2500000000000004E-2</v>
      </c>
      <c r="Q437" s="368">
        <f t="shared" si="316"/>
        <v>8.2500000000000004E-2</v>
      </c>
      <c r="R437" s="317"/>
    </row>
    <row r="438" spans="2:18" ht="13.5" customHeight="1" outlineLevel="1">
      <c r="B438" s="76" t="str">
        <f t="shared" si="311"/>
        <v>Subordinated note 2</v>
      </c>
      <c r="C438" s="50"/>
      <c r="D438" s="50"/>
      <c r="G438" s="50"/>
      <c r="H438" s="368">
        <f t="shared" ref="H438:Q438" si="317">$G498+(H$429+$H498)*($G498=0)</f>
        <v>8.2500000000000004E-2</v>
      </c>
      <c r="I438" s="368">
        <f t="shared" si="317"/>
        <v>8.2500000000000004E-2</v>
      </c>
      <c r="J438" s="368">
        <f t="shared" si="317"/>
        <v>8.2500000000000004E-2</v>
      </c>
      <c r="K438" s="368">
        <f t="shared" si="317"/>
        <v>8.2500000000000004E-2</v>
      </c>
      <c r="L438" s="368">
        <f t="shared" si="317"/>
        <v>8.2500000000000004E-2</v>
      </c>
      <c r="M438" s="368">
        <f t="shared" si="317"/>
        <v>8.2500000000000004E-2</v>
      </c>
      <c r="N438" s="368">
        <f t="shared" si="317"/>
        <v>8.2500000000000004E-2</v>
      </c>
      <c r="O438" s="368">
        <f t="shared" si="317"/>
        <v>8.2500000000000004E-2</v>
      </c>
      <c r="P438" s="368">
        <f t="shared" si="317"/>
        <v>8.2500000000000004E-2</v>
      </c>
      <c r="Q438" s="368">
        <f t="shared" si="317"/>
        <v>8.2500000000000004E-2</v>
      </c>
      <c r="R438" s="317"/>
    </row>
    <row r="439" spans="2:18" ht="13.5" customHeight="1" outlineLevel="1">
      <c r="B439" s="76" t="str">
        <f t="shared" si="311"/>
        <v>Subordinated note 3</v>
      </c>
      <c r="C439" s="50"/>
      <c r="D439" s="50"/>
      <c r="G439" s="50"/>
      <c r="H439" s="368">
        <f t="shared" ref="H439:Q439" si="318">$G499+(H$429+$H499)*($G499=0)</f>
        <v>8.2500000000000004E-2</v>
      </c>
      <c r="I439" s="368">
        <f t="shared" si="318"/>
        <v>8.2500000000000004E-2</v>
      </c>
      <c r="J439" s="368">
        <f t="shared" si="318"/>
        <v>8.2500000000000004E-2</v>
      </c>
      <c r="K439" s="368">
        <f t="shared" si="318"/>
        <v>8.2500000000000004E-2</v>
      </c>
      <c r="L439" s="368">
        <f t="shared" si="318"/>
        <v>8.2500000000000004E-2</v>
      </c>
      <c r="M439" s="368">
        <f t="shared" si="318"/>
        <v>8.2500000000000004E-2</v>
      </c>
      <c r="N439" s="368">
        <f t="shared" si="318"/>
        <v>8.2500000000000004E-2</v>
      </c>
      <c r="O439" s="368">
        <f t="shared" si="318"/>
        <v>8.2500000000000004E-2</v>
      </c>
      <c r="P439" s="368">
        <f t="shared" si="318"/>
        <v>8.2500000000000004E-2</v>
      </c>
      <c r="Q439" s="368">
        <f t="shared" si="318"/>
        <v>8.2500000000000004E-2</v>
      </c>
      <c r="R439" s="317"/>
    </row>
    <row r="440" spans="2:18" ht="13.5" customHeight="1" outlineLevel="1">
      <c r="B440" s="76" t="str">
        <f t="shared" si="311"/>
        <v>Convertible bond 1</v>
      </c>
      <c r="C440" s="50"/>
      <c r="D440" s="50"/>
      <c r="G440" s="50"/>
      <c r="H440" s="368">
        <f t="shared" ref="H440:Q440" si="319">$G500+(H$429+$H500)*($G500=0)</f>
        <v>9.5000000000000001E-2</v>
      </c>
      <c r="I440" s="368">
        <f t="shared" si="319"/>
        <v>9.5000000000000001E-2</v>
      </c>
      <c r="J440" s="368">
        <f t="shared" si="319"/>
        <v>9.5000000000000001E-2</v>
      </c>
      <c r="K440" s="368">
        <f t="shared" si="319"/>
        <v>9.5000000000000001E-2</v>
      </c>
      <c r="L440" s="368">
        <f t="shared" si="319"/>
        <v>9.5000000000000001E-2</v>
      </c>
      <c r="M440" s="368">
        <f t="shared" si="319"/>
        <v>9.5000000000000001E-2</v>
      </c>
      <c r="N440" s="368">
        <f t="shared" si="319"/>
        <v>9.5000000000000001E-2</v>
      </c>
      <c r="O440" s="368">
        <f t="shared" si="319"/>
        <v>9.5000000000000001E-2</v>
      </c>
      <c r="P440" s="368">
        <f t="shared" si="319"/>
        <v>9.5000000000000001E-2</v>
      </c>
      <c r="Q440" s="368">
        <f t="shared" si="319"/>
        <v>9.5000000000000001E-2</v>
      </c>
      <c r="R440" s="317"/>
    </row>
    <row r="441" spans="2:18" ht="13.5" customHeight="1" outlineLevel="1">
      <c r="B441" s="76" t="str">
        <f t="shared" ref="B441:B445" si="320">B501</f>
        <v>Convertible bond 2</v>
      </c>
      <c r="C441" s="50"/>
      <c r="D441" s="50"/>
      <c r="G441" s="50"/>
      <c r="H441" s="368">
        <f t="shared" ref="H441:Q441" si="321">$G501+(H$429+$H501)*($G501=0)</f>
        <v>9.5000000000000001E-2</v>
      </c>
      <c r="I441" s="368">
        <f t="shared" si="321"/>
        <v>9.5000000000000001E-2</v>
      </c>
      <c r="J441" s="368">
        <f t="shared" si="321"/>
        <v>9.5000000000000001E-2</v>
      </c>
      <c r="K441" s="368">
        <f t="shared" si="321"/>
        <v>9.5000000000000001E-2</v>
      </c>
      <c r="L441" s="368">
        <f t="shared" si="321"/>
        <v>9.5000000000000001E-2</v>
      </c>
      <c r="M441" s="368">
        <f t="shared" si="321"/>
        <v>9.5000000000000001E-2</v>
      </c>
      <c r="N441" s="368">
        <f t="shared" si="321"/>
        <v>9.5000000000000001E-2</v>
      </c>
      <c r="O441" s="368">
        <f t="shared" si="321"/>
        <v>9.5000000000000001E-2</v>
      </c>
      <c r="P441" s="368">
        <f t="shared" si="321"/>
        <v>9.5000000000000001E-2</v>
      </c>
      <c r="Q441" s="368">
        <f t="shared" si="321"/>
        <v>9.5000000000000001E-2</v>
      </c>
      <c r="R441" s="317"/>
    </row>
    <row r="442" spans="2:18" ht="13.5" customHeight="1" outlineLevel="1">
      <c r="B442" s="76" t="str">
        <f t="shared" si="320"/>
        <v>Convertible bond 3</v>
      </c>
      <c r="C442" s="50"/>
      <c r="D442" s="50"/>
      <c r="G442" s="50"/>
      <c r="H442" s="368">
        <f t="shared" ref="H442:Q442" si="322">$G502+(H$429+$H502)*($G502=0)</f>
        <v>9.5000000000000001E-2</v>
      </c>
      <c r="I442" s="368">
        <f t="shared" si="322"/>
        <v>9.5000000000000001E-2</v>
      </c>
      <c r="J442" s="368">
        <f t="shared" si="322"/>
        <v>9.5000000000000001E-2</v>
      </c>
      <c r="K442" s="368">
        <f t="shared" si="322"/>
        <v>9.5000000000000001E-2</v>
      </c>
      <c r="L442" s="368">
        <f t="shared" si="322"/>
        <v>9.5000000000000001E-2</v>
      </c>
      <c r="M442" s="368">
        <f t="shared" si="322"/>
        <v>9.5000000000000001E-2</v>
      </c>
      <c r="N442" s="368">
        <f t="shared" si="322"/>
        <v>9.5000000000000001E-2</v>
      </c>
      <c r="O442" s="368">
        <f t="shared" si="322"/>
        <v>9.5000000000000001E-2</v>
      </c>
      <c r="P442" s="368">
        <f t="shared" si="322"/>
        <v>9.5000000000000001E-2</v>
      </c>
      <c r="Q442" s="368">
        <f t="shared" si="322"/>
        <v>9.5000000000000001E-2</v>
      </c>
      <c r="R442" s="317"/>
    </row>
    <row r="443" spans="2:18" ht="13.5" customHeight="1" outlineLevel="1">
      <c r="B443" s="76" t="str">
        <f t="shared" si="320"/>
        <v>Preferred stock 1</v>
      </c>
      <c r="C443" s="50"/>
      <c r="D443" s="50"/>
      <c r="G443" s="50"/>
      <c r="H443" s="368">
        <f t="shared" ref="H443:Q443" si="323">$G503+(H$429+$H503)*($G503=0)</f>
        <v>0.10249999999999999</v>
      </c>
      <c r="I443" s="368">
        <f t="shared" si="323"/>
        <v>0.10249999999999999</v>
      </c>
      <c r="J443" s="368">
        <f t="shared" si="323"/>
        <v>0.10249999999999999</v>
      </c>
      <c r="K443" s="368">
        <f t="shared" si="323"/>
        <v>0.10249999999999999</v>
      </c>
      <c r="L443" s="368">
        <f t="shared" si="323"/>
        <v>0.10249999999999999</v>
      </c>
      <c r="M443" s="368">
        <f t="shared" si="323"/>
        <v>0.10249999999999999</v>
      </c>
      <c r="N443" s="368">
        <f t="shared" si="323"/>
        <v>0.10249999999999999</v>
      </c>
      <c r="O443" s="368">
        <f t="shared" si="323"/>
        <v>0.10249999999999999</v>
      </c>
      <c r="P443" s="368">
        <f t="shared" si="323"/>
        <v>0.10249999999999999</v>
      </c>
      <c r="Q443" s="368">
        <f t="shared" si="323"/>
        <v>0.10249999999999999</v>
      </c>
      <c r="R443" s="317"/>
    </row>
    <row r="444" spans="2:18" ht="13.5" customHeight="1" outlineLevel="1">
      <c r="B444" s="76" t="str">
        <f t="shared" si="320"/>
        <v>Preferred stock 2</v>
      </c>
      <c r="C444" s="50"/>
      <c r="D444" s="50"/>
      <c r="G444" s="50"/>
      <c r="H444" s="368">
        <f t="shared" ref="H444:Q444" si="324">$G504+(H$429+$H504)*($G504=0)</f>
        <v>0.10249999999999999</v>
      </c>
      <c r="I444" s="368">
        <f t="shared" si="324"/>
        <v>0.10249999999999999</v>
      </c>
      <c r="J444" s="368">
        <f t="shared" si="324"/>
        <v>0.10249999999999999</v>
      </c>
      <c r="K444" s="368">
        <f t="shared" si="324"/>
        <v>0.10249999999999999</v>
      </c>
      <c r="L444" s="368">
        <f t="shared" si="324"/>
        <v>0.10249999999999999</v>
      </c>
      <c r="M444" s="368">
        <f t="shared" si="324"/>
        <v>0.10249999999999999</v>
      </c>
      <c r="N444" s="368">
        <f t="shared" si="324"/>
        <v>0.10249999999999999</v>
      </c>
      <c r="O444" s="368">
        <f t="shared" si="324"/>
        <v>0.10249999999999999</v>
      </c>
      <c r="P444" s="368">
        <f t="shared" si="324"/>
        <v>0.10249999999999999</v>
      </c>
      <c r="Q444" s="368">
        <f t="shared" si="324"/>
        <v>0.10249999999999999</v>
      </c>
      <c r="R444" s="317"/>
    </row>
    <row r="445" spans="2:18" ht="13.5" customHeight="1" outlineLevel="1">
      <c r="B445" s="76" t="str">
        <f t="shared" si="320"/>
        <v>Preferred stock 3</v>
      </c>
      <c r="C445" s="50"/>
      <c r="D445" s="50"/>
      <c r="G445" s="50"/>
      <c r="H445" s="368">
        <f t="shared" ref="H445:Q445" si="325">$G505+(H$429+$H505)*($G505=0)</f>
        <v>0.10249999999999999</v>
      </c>
      <c r="I445" s="368">
        <f t="shared" si="325"/>
        <v>0.10249999999999999</v>
      </c>
      <c r="J445" s="368">
        <f t="shared" si="325"/>
        <v>0.10249999999999999</v>
      </c>
      <c r="K445" s="368">
        <f t="shared" si="325"/>
        <v>0.10249999999999999</v>
      </c>
      <c r="L445" s="368">
        <f t="shared" si="325"/>
        <v>0.10249999999999999</v>
      </c>
      <c r="M445" s="368">
        <f t="shared" si="325"/>
        <v>0.10249999999999999</v>
      </c>
      <c r="N445" s="368">
        <f t="shared" si="325"/>
        <v>0.10249999999999999</v>
      </c>
      <c r="O445" s="368">
        <f t="shared" si="325"/>
        <v>0.10249999999999999</v>
      </c>
      <c r="P445" s="368">
        <f t="shared" si="325"/>
        <v>0.10249999999999999</v>
      </c>
      <c r="Q445" s="368">
        <f t="shared" si="325"/>
        <v>0.10249999999999999</v>
      </c>
      <c r="R445" s="317"/>
    </row>
    <row r="446" spans="2:18" ht="13.5" customHeight="1" outlineLevel="1">
      <c r="B446" s="147"/>
      <c r="C446" s="50"/>
      <c r="D446" s="50"/>
      <c r="G446" s="50"/>
      <c r="H446" s="231"/>
      <c r="I446" s="231"/>
      <c r="J446" s="231"/>
      <c r="K446" s="231"/>
      <c r="L446" s="231"/>
      <c r="M446" s="231"/>
      <c r="N446" s="231"/>
      <c r="O446" s="231"/>
      <c r="P446" s="231"/>
      <c r="Q446" s="231"/>
      <c r="R446" s="317"/>
    </row>
    <row r="447" spans="2:18" ht="13.5" customHeight="1" outlineLevel="1">
      <c r="B447" s="108" t="s">
        <v>574</v>
      </c>
      <c r="C447" s="109"/>
      <c r="D447" s="109"/>
      <c r="E447" s="306"/>
      <c r="F447" s="306"/>
      <c r="G447" s="306"/>
      <c r="H447" s="306"/>
      <c r="I447" s="109"/>
      <c r="J447" s="306"/>
      <c r="K447" s="306"/>
      <c r="L447" s="306"/>
      <c r="M447" s="306"/>
      <c r="N447" s="306"/>
      <c r="O447" s="306"/>
      <c r="P447" s="306"/>
      <c r="Q447" s="110"/>
    </row>
    <row r="448" spans="2:18" ht="13.5" customHeight="1" outlineLevel="1">
      <c r="B448" s="50"/>
      <c r="C448" s="50"/>
      <c r="D448" s="50"/>
      <c r="G448" s="50"/>
      <c r="H448" s="350"/>
      <c r="I448" s="350"/>
      <c r="J448" s="350"/>
      <c r="N448" s="57"/>
      <c r="R448" s="317"/>
    </row>
    <row r="449" spans="2:18" ht="13.5" customHeight="1" outlineLevel="1">
      <c r="B449" s="147" t="s">
        <v>420</v>
      </c>
      <c r="C449" s="50"/>
      <c r="D449" s="50"/>
      <c r="G449" s="50"/>
      <c r="H449" s="231">
        <f t="shared" ref="H449:Q449" ca="1" si="326">H431*IF(avg_int,AVERAGE(G353:H353),G353)*H$3</f>
        <v>4.4079966960413133</v>
      </c>
      <c r="I449" s="231">
        <f t="shared" ca="1" si="326"/>
        <v>10</v>
      </c>
      <c r="J449" s="231">
        <f t="shared" ca="1" si="326"/>
        <v>10</v>
      </c>
      <c r="K449" s="231">
        <f t="shared" ca="1" si="326"/>
        <v>10</v>
      </c>
      <c r="L449" s="231">
        <f t="shared" ca="1" si="326"/>
        <v>10</v>
      </c>
      <c r="M449" s="231">
        <f t="shared" ca="1" si="326"/>
        <v>10</v>
      </c>
      <c r="N449" s="231">
        <f t="shared" ca="1" si="326"/>
        <v>10</v>
      </c>
      <c r="O449" s="231">
        <f t="shared" ca="1" si="326"/>
        <v>10</v>
      </c>
      <c r="P449" s="231">
        <f t="shared" ca="1" si="326"/>
        <v>10</v>
      </c>
      <c r="Q449" s="231">
        <f t="shared" ca="1" si="326"/>
        <v>10</v>
      </c>
      <c r="R449" s="317"/>
    </row>
    <row r="450" spans="2:18" ht="13.5" customHeight="1" outlineLevel="1">
      <c r="B450" s="147"/>
      <c r="C450" s="50"/>
      <c r="D450" s="50"/>
      <c r="G450" s="50"/>
      <c r="H450" s="231"/>
      <c r="I450" s="231"/>
      <c r="J450" s="231"/>
      <c r="K450" s="231"/>
      <c r="L450" s="231"/>
      <c r="M450" s="231"/>
      <c r="N450" s="231"/>
      <c r="O450" s="231"/>
      <c r="P450" s="231"/>
      <c r="Q450" s="231"/>
      <c r="R450" s="317"/>
    </row>
    <row r="451" spans="2:18" ht="13.5" customHeight="1" outlineLevel="1">
      <c r="B451" s="147" t="str">
        <f t="shared" ref="B451:B463" si="327">B493</f>
        <v>Revolver</v>
      </c>
      <c r="C451" s="50"/>
      <c r="D451" s="50"/>
      <c r="G451" s="50"/>
      <c r="H451" s="231">
        <f t="shared" ref="H451:Q451" ca="1" si="328">H433*IF(avg_int,AVERAGE(H347,H350),H347)*H$3</f>
        <v>9.45988719544264</v>
      </c>
      <c r="I451" s="231">
        <f t="shared" ca="1" si="328"/>
        <v>0</v>
      </c>
      <c r="J451" s="231">
        <f t="shared" ca="1" si="328"/>
        <v>0</v>
      </c>
      <c r="K451" s="231">
        <f t="shared" ca="1" si="328"/>
        <v>0</v>
      </c>
      <c r="L451" s="231">
        <f t="shared" ca="1" si="328"/>
        <v>0</v>
      </c>
      <c r="M451" s="231">
        <f t="shared" ca="1" si="328"/>
        <v>0</v>
      </c>
      <c r="N451" s="231">
        <f t="shared" ca="1" si="328"/>
        <v>0</v>
      </c>
      <c r="O451" s="231">
        <f t="shared" ca="1" si="328"/>
        <v>0</v>
      </c>
      <c r="P451" s="231">
        <f t="shared" ca="1" si="328"/>
        <v>0</v>
      </c>
      <c r="Q451" s="231">
        <f t="shared" ca="1" si="328"/>
        <v>0</v>
      </c>
      <c r="R451" s="317"/>
    </row>
    <row r="452" spans="2:18" ht="13.5" customHeight="1" outlineLevel="1">
      <c r="B452" s="76" t="str">
        <f t="shared" si="327"/>
        <v>Senior credit facility 1</v>
      </c>
      <c r="C452" s="50"/>
      <c r="D452" s="50"/>
      <c r="G452" s="50"/>
      <c r="H452" s="231">
        <f t="shared" ref="H452:Q452" ca="1" si="329">H434*IF(avg_int,AVERAGE(H356,H359),H356)*H$3</f>
        <v>0</v>
      </c>
      <c r="I452" s="231">
        <f t="shared" ca="1" si="329"/>
        <v>0</v>
      </c>
      <c r="J452" s="231">
        <f t="shared" ca="1" si="329"/>
        <v>0</v>
      </c>
      <c r="K452" s="231">
        <f t="shared" ca="1" si="329"/>
        <v>0</v>
      </c>
      <c r="L452" s="231">
        <f t="shared" ca="1" si="329"/>
        <v>0</v>
      </c>
      <c r="M452" s="231">
        <f t="shared" ca="1" si="329"/>
        <v>0</v>
      </c>
      <c r="N452" s="231">
        <f t="shared" ca="1" si="329"/>
        <v>0</v>
      </c>
      <c r="O452" s="231">
        <f t="shared" ca="1" si="329"/>
        <v>0</v>
      </c>
      <c r="P452" s="231">
        <f t="shared" ca="1" si="329"/>
        <v>0</v>
      </c>
      <c r="Q452" s="231">
        <f t="shared" ca="1" si="329"/>
        <v>0</v>
      </c>
      <c r="R452" s="317"/>
    </row>
    <row r="453" spans="2:18" ht="13.5" customHeight="1" outlineLevel="1">
      <c r="B453" s="76" t="str">
        <f t="shared" si="327"/>
        <v>Senior credit facility 2</v>
      </c>
      <c r="C453" s="50"/>
      <c r="D453" s="50"/>
      <c r="G453" s="50"/>
      <c r="H453" s="231">
        <f t="shared" ref="H453:Q453" ca="1" si="330">H435*IF(avg_int,AVERAGE(H362,H365),H362)*H$3</f>
        <v>0</v>
      </c>
      <c r="I453" s="231">
        <f t="shared" ca="1" si="330"/>
        <v>0</v>
      </c>
      <c r="J453" s="231">
        <f t="shared" ca="1" si="330"/>
        <v>0</v>
      </c>
      <c r="K453" s="231">
        <f t="shared" ca="1" si="330"/>
        <v>0</v>
      </c>
      <c r="L453" s="231">
        <f t="shared" ca="1" si="330"/>
        <v>0</v>
      </c>
      <c r="M453" s="231">
        <f t="shared" ca="1" si="330"/>
        <v>0</v>
      </c>
      <c r="N453" s="231">
        <f t="shared" ca="1" si="330"/>
        <v>0</v>
      </c>
      <c r="O453" s="231">
        <f t="shared" ca="1" si="330"/>
        <v>0</v>
      </c>
      <c r="P453" s="231">
        <f t="shared" ca="1" si="330"/>
        <v>0</v>
      </c>
      <c r="Q453" s="231">
        <f t="shared" ca="1" si="330"/>
        <v>0</v>
      </c>
      <c r="R453" s="317"/>
    </row>
    <row r="454" spans="2:18" ht="13.5" customHeight="1" outlineLevel="1">
      <c r="B454" s="76" t="str">
        <f t="shared" si="327"/>
        <v>Senior credit facility 3</v>
      </c>
      <c r="C454" s="50"/>
      <c r="D454" s="50"/>
      <c r="G454" s="50"/>
      <c r="H454" s="231">
        <f t="shared" ref="H454:Q454" ca="1" si="331">H436*IF(avg_int,AVERAGE(H368,H371),H368)*H$3</f>
        <v>3.418021875</v>
      </c>
      <c r="I454" s="231">
        <f t="shared" ca="1" si="331"/>
        <v>7.1515499999999994</v>
      </c>
      <c r="J454" s="231">
        <f t="shared" ca="1" si="331"/>
        <v>7.4615062500000011</v>
      </c>
      <c r="K454" s="231">
        <f t="shared" ca="1" si="331"/>
        <v>7.6548750000000005</v>
      </c>
      <c r="L454" s="231">
        <f t="shared" ca="1" si="331"/>
        <v>0</v>
      </c>
      <c r="M454" s="231">
        <f t="shared" ca="1" si="331"/>
        <v>0</v>
      </c>
      <c r="N454" s="231">
        <f t="shared" ca="1" si="331"/>
        <v>0</v>
      </c>
      <c r="O454" s="231">
        <f t="shared" ca="1" si="331"/>
        <v>0</v>
      </c>
      <c r="P454" s="231">
        <f t="shared" ca="1" si="331"/>
        <v>0</v>
      </c>
      <c r="Q454" s="231">
        <f t="shared" ca="1" si="331"/>
        <v>0</v>
      </c>
      <c r="R454" s="317"/>
    </row>
    <row r="455" spans="2:18" ht="13.5" customHeight="1" outlineLevel="1">
      <c r="B455" s="76" t="str">
        <f t="shared" si="327"/>
        <v>Subordinated note 1</v>
      </c>
      <c r="C455" s="50"/>
      <c r="D455" s="50"/>
      <c r="G455" s="50"/>
      <c r="H455" s="231">
        <f t="shared" ref="H455:Q455" ca="1" si="332">H437*IF(avg_int,AVERAGE(H374,H377),H374)*H$3</f>
        <v>0</v>
      </c>
      <c r="I455" s="231">
        <f t="shared" ca="1" si="332"/>
        <v>0</v>
      </c>
      <c r="J455" s="231">
        <f t="shared" ca="1" si="332"/>
        <v>0</v>
      </c>
      <c r="K455" s="231">
        <f t="shared" ca="1" si="332"/>
        <v>0</v>
      </c>
      <c r="L455" s="231">
        <f t="shared" ca="1" si="332"/>
        <v>0</v>
      </c>
      <c r="M455" s="231">
        <f t="shared" ca="1" si="332"/>
        <v>0</v>
      </c>
      <c r="N455" s="231">
        <f t="shared" ca="1" si="332"/>
        <v>0</v>
      </c>
      <c r="O455" s="231">
        <f t="shared" ca="1" si="332"/>
        <v>0</v>
      </c>
      <c r="P455" s="231">
        <f t="shared" ca="1" si="332"/>
        <v>0</v>
      </c>
      <c r="Q455" s="231">
        <f t="shared" ca="1" si="332"/>
        <v>0</v>
      </c>
      <c r="R455" s="317"/>
    </row>
    <row r="456" spans="2:18" ht="13.5" customHeight="1" outlineLevel="1">
      <c r="B456" s="76" t="str">
        <f t="shared" si="327"/>
        <v>Subordinated note 2</v>
      </c>
      <c r="C456" s="50"/>
      <c r="D456" s="50"/>
      <c r="G456" s="50"/>
      <c r="H456" s="231">
        <f t="shared" ref="H456:Q456" ca="1" si="333">H438*IF(avg_int,AVERAGE(H380,H383),H380)*H$3</f>
        <v>0</v>
      </c>
      <c r="I456" s="231">
        <f t="shared" ca="1" si="333"/>
        <v>0</v>
      </c>
      <c r="J456" s="231">
        <f t="shared" ca="1" si="333"/>
        <v>0</v>
      </c>
      <c r="K456" s="231">
        <f t="shared" ca="1" si="333"/>
        <v>0</v>
      </c>
      <c r="L456" s="231">
        <f t="shared" ca="1" si="333"/>
        <v>0</v>
      </c>
      <c r="M456" s="231">
        <f t="shared" ca="1" si="333"/>
        <v>0</v>
      </c>
      <c r="N456" s="231">
        <f t="shared" ca="1" si="333"/>
        <v>0</v>
      </c>
      <c r="O456" s="231">
        <f t="shared" ca="1" si="333"/>
        <v>0</v>
      </c>
      <c r="P456" s="231">
        <f t="shared" ca="1" si="333"/>
        <v>0</v>
      </c>
      <c r="Q456" s="231">
        <f t="shared" ca="1" si="333"/>
        <v>0</v>
      </c>
      <c r="R456" s="317"/>
    </row>
    <row r="457" spans="2:18" ht="13.5" customHeight="1" outlineLevel="1">
      <c r="B457" s="76" t="str">
        <f t="shared" si="327"/>
        <v>Subordinated note 3</v>
      </c>
      <c r="C457" s="50"/>
      <c r="D457" s="50"/>
      <c r="G457" s="50"/>
      <c r="H457" s="231">
        <f t="shared" ref="H457:Q457" ca="1" si="334">H439*IF(avg_int,AVERAGE(H386,H389),H386)*H$3</f>
        <v>0</v>
      </c>
      <c r="I457" s="231">
        <f t="shared" ca="1" si="334"/>
        <v>0</v>
      </c>
      <c r="J457" s="231">
        <f t="shared" ca="1" si="334"/>
        <v>0</v>
      </c>
      <c r="K457" s="231">
        <f t="shared" ca="1" si="334"/>
        <v>0</v>
      </c>
      <c r="L457" s="231">
        <f t="shared" ca="1" si="334"/>
        <v>0</v>
      </c>
      <c r="M457" s="231">
        <f t="shared" ca="1" si="334"/>
        <v>0</v>
      </c>
      <c r="N457" s="231">
        <f t="shared" ca="1" si="334"/>
        <v>0</v>
      </c>
      <c r="O457" s="231">
        <f t="shared" ca="1" si="334"/>
        <v>0</v>
      </c>
      <c r="P457" s="231">
        <f t="shared" ca="1" si="334"/>
        <v>0</v>
      </c>
      <c r="Q457" s="231">
        <f t="shared" ca="1" si="334"/>
        <v>0</v>
      </c>
      <c r="R457" s="317"/>
    </row>
    <row r="458" spans="2:18" ht="13.5" customHeight="1" outlineLevel="1">
      <c r="B458" s="76" t="str">
        <f t="shared" si="327"/>
        <v>Convertible bond 1</v>
      </c>
      <c r="C458" s="50"/>
      <c r="D458" s="50"/>
      <c r="G458" s="50"/>
      <c r="H458" s="231">
        <f t="shared" ref="H458:Q458" si="335">H440*IF(avg_int,AVERAGE(H392,H395),H392)*H$3</f>
        <v>22.3903125</v>
      </c>
      <c r="I458" s="231">
        <f t="shared" si="335"/>
        <v>46.907704687500001</v>
      </c>
      <c r="J458" s="231">
        <f t="shared" si="335"/>
        <v>51.363936632812504</v>
      </c>
      <c r="K458" s="231">
        <f t="shared" si="335"/>
        <v>55.023617117900393</v>
      </c>
      <c r="L458" s="231">
        <f t="shared" si="335"/>
        <v>55.023617117900393</v>
      </c>
      <c r="M458" s="231">
        <f t="shared" si="335"/>
        <v>55.023617117900393</v>
      </c>
      <c r="N458" s="231">
        <f t="shared" si="335"/>
        <v>55.023617117900393</v>
      </c>
      <c r="O458" s="231">
        <f t="shared" si="335"/>
        <v>55.023617117900393</v>
      </c>
      <c r="P458" s="231">
        <f t="shared" si="335"/>
        <v>55.023617117900393</v>
      </c>
      <c r="Q458" s="231">
        <f t="shared" si="335"/>
        <v>55.023617117900393</v>
      </c>
      <c r="R458" s="317"/>
    </row>
    <row r="459" spans="2:18" ht="13.5" customHeight="1" outlineLevel="1">
      <c r="B459" s="76" t="str">
        <f t="shared" si="327"/>
        <v>Convertible bond 2</v>
      </c>
      <c r="C459" s="50"/>
      <c r="D459" s="50"/>
      <c r="G459" s="50"/>
      <c r="H459" s="231">
        <f t="shared" ref="H459:Q459" ca="1" si="336">H441*IF(avg_int,AVERAGE(H398,H401),H398)*H$3</f>
        <v>0</v>
      </c>
      <c r="I459" s="231">
        <f t="shared" ca="1" si="336"/>
        <v>0</v>
      </c>
      <c r="J459" s="231">
        <f t="shared" ca="1" si="336"/>
        <v>0</v>
      </c>
      <c r="K459" s="231">
        <f t="shared" ca="1" si="336"/>
        <v>0</v>
      </c>
      <c r="L459" s="231">
        <f t="shared" ca="1" si="336"/>
        <v>0</v>
      </c>
      <c r="M459" s="231">
        <f t="shared" ca="1" si="336"/>
        <v>0</v>
      </c>
      <c r="N459" s="231">
        <f t="shared" ca="1" si="336"/>
        <v>0</v>
      </c>
      <c r="O459" s="231">
        <f t="shared" ca="1" si="336"/>
        <v>0</v>
      </c>
      <c r="P459" s="231">
        <f t="shared" ca="1" si="336"/>
        <v>0</v>
      </c>
      <c r="Q459" s="231">
        <f t="shared" ca="1" si="336"/>
        <v>0</v>
      </c>
      <c r="R459" s="317"/>
    </row>
    <row r="460" spans="2:18" ht="13.5" customHeight="1" outlineLevel="1">
      <c r="B460" s="76" t="str">
        <f t="shared" si="327"/>
        <v>Convertible bond 3</v>
      </c>
      <c r="C460" s="50"/>
      <c r="D460" s="50"/>
      <c r="G460" s="50"/>
      <c r="H460" s="231">
        <f t="shared" ref="H460:Q460" ca="1" si="337">H442*IF(avg_int,AVERAGE(H404,H407),H404)*H$3</f>
        <v>0</v>
      </c>
      <c r="I460" s="231">
        <f t="shared" ca="1" si="337"/>
        <v>0</v>
      </c>
      <c r="J460" s="231">
        <f t="shared" ca="1" si="337"/>
        <v>0</v>
      </c>
      <c r="K460" s="231">
        <f t="shared" ca="1" si="337"/>
        <v>0</v>
      </c>
      <c r="L460" s="231">
        <f t="shared" ca="1" si="337"/>
        <v>0</v>
      </c>
      <c r="M460" s="231">
        <f t="shared" ca="1" si="337"/>
        <v>0</v>
      </c>
      <c r="N460" s="231">
        <f t="shared" ca="1" si="337"/>
        <v>0</v>
      </c>
      <c r="O460" s="231">
        <f t="shared" ca="1" si="337"/>
        <v>0</v>
      </c>
      <c r="P460" s="231">
        <f t="shared" ca="1" si="337"/>
        <v>0</v>
      </c>
      <c r="Q460" s="231">
        <f t="shared" ca="1" si="337"/>
        <v>0</v>
      </c>
      <c r="R460" s="317"/>
    </row>
    <row r="461" spans="2:18" ht="13.5" customHeight="1" outlineLevel="1">
      <c r="B461" s="76" t="str">
        <f t="shared" si="327"/>
        <v>Preferred stock 1</v>
      </c>
      <c r="C461" s="50"/>
      <c r="D461" s="50"/>
      <c r="G461" s="50"/>
      <c r="H461" s="231">
        <f t="shared" ref="H461:Q461" si="338">H443*IF(avg_int,AVERAGE(H410,H413),H410)*H$3</f>
        <v>0</v>
      </c>
      <c r="I461" s="231">
        <f t="shared" si="338"/>
        <v>0</v>
      </c>
      <c r="J461" s="231">
        <f t="shared" si="338"/>
        <v>0</v>
      </c>
      <c r="K461" s="231">
        <f t="shared" si="338"/>
        <v>0</v>
      </c>
      <c r="L461" s="231">
        <f t="shared" si="338"/>
        <v>0</v>
      </c>
      <c r="M461" s="231">
        <f t="shared" si="338"/>
        <v>0</v>
      </c>
      <c r="N461" s="231">
        <f t="shared" si="338"/>
        <v>0</v>
      </c>
      <c r="O461" s="231">
        <f t="shared" si="338"/>
        <v>0</v>
      </c>
      <c r="P461" s="231">
        <f t="shared" si="338"/>
        <v>0</v>
      </c>
      <c r="Q461" s="231">
        <f t="shared" si="338"/>
        <v>0</v>
      </c>
      <c r="R461" s="317"/>
    </row>
    <row r="462" spans="2:18" ht="13.5" customHeight="1" outlineLevel="1">
      <c r="B462" s="76" t="str">
        <f t="shared" si="327"/>
        <v>Preferred stock 2</v>
      </c>
      <c r="C462" s="50"/>
      <c r="D462" s="50"/>
      <c r="G462" s="50"/>
      <c r="H462" s="231">
        <f t="shared" ref="H462:Q462" ca="1" si="339">H444*IF(avg_int,AVERAGE(H416,H419),H416)*H$3</f>
        <v>0</v>
      </c>
      <c r="I462" s="231">
        <f t="shared" ca="1" si="339"/>
        <v>0</v>
      </c>
      <c r="J462" s="231">
        <f t="shared" ca="1" si="339"/>
        <v>0</v>
      </c>
      <c r="K462" s="231">
        <f t="shared" ca="1" si="339"/>
        <v>0</v>
      </c>
      <c r="L462" s="231">
        <f t="shared" ca="1" si="339"/>
        <v>0</v>
      </c>
      <c r="M462" s="231">
        <f t="shared" ca="1" si="339"/>
        <v>0</v>
      </c>
      <c r="N462" s="231">
        <f t="shared" ca="1" si="339"/>
        <v>0</v>
      </c>
      <c r="O462" s="231">
        <f t="shared" ca="1" si="339"/>
        <v>0</v>
      </c>
      <c r="P462" s="231">
        <f t="shared" ca="1" si="339"/>
        <v>0</v>
      </c>
      <c r="Q462" s="231">
        <f t="shared" ca="1" si="339"/>
        <v>0</v>
      </c>
      <c r="R462" s="317"/>
    </row>
    <row r="463" spans="2:18" ht="13.5" customHeight="1" outlineLevel="1">
      <c r="B463" s="76" t="str">
        <f t="shared" si="327"/>
        <v>Preferred stock 3</v>
      </c>
      <c r="C463" s="50"/>
      <c r="D463" s="50"/>
      <c r="G463" s="50"/>
      <c r="H463" s="231">
        <f t="shared" ref="H463:Q463" ca="1" si="340">H445*IF(avg_int,AVERAGE(H422,H425),H422)*H$3</f>
        <v>6.40625</v>
      </c>
      <c r="I463" s="231">
        <f t="shared" ca="1" si="340"/>
        <v>13.140820312499999</v>
      </c>
      <c r="J463" s="231">
        <f t="shared" ca="1" si="340"/>
        <v>13.814287353515624</v>
      </c>
      <c r="K463" s="231">
        <f t="shared" ca="1" si="340"/>
        <v>14.5222695803833</v>
      </c>
      <c r="L463" s="231">
        <f t="shared" ca="1" si="340"/>
        <v>15.266535896377944</v>
      </c>
      <c r="M463" s="231">
        <f t="shared" ca="1" si="340"/>
        <v>16.048945861067313</v>
      </c>
      <c r="N463" s="231">
        <f t="shared" ca="1" si="340"/>
        <v>16.871454336447012</v>
      </c>
      <c r="O463" s="231">
        <f t="shared" ca="1" si="340"/>
        <v>17.736116371189922</v>
      </c>
      <c r="P463" s="231">
        <f t="shared" ca="1" si="340"/>
        <v>18.645092335213405</v>
      </c>
      <c r="Q463" s="231">
        <f t="shared" ca="1" si="340"/>
        <v>19.600653317393093</v>
      </c>
      <c r="R463" s="317"/>
    </row>
    <row r="464" spans="2:18" ht="13.5" customHeight="1" outlineLevel="1">
      <c r="B464" s="76"/>
      <c r="C464" s="50"/>
      <c r="D464" s="50"/>
      <c r="G464" s="50"/>
      <c r="H464" s="231"/>
      <c r="I464" s="231"/>
      <c r="J464" s="231"/>
      <c r="K464" s="231"/>
      <c r="L464" s="231"/>
      <c r="M464" s="231"/>
      <c r="N464" s="231"/>
      <c r="O464" s="231"/>
      <c r="P464" s="231"/>
      <c r="Q464" s="231"/>
      <c r="R464" s="317"/>
    </row>
    <row r="465" spans="2:18" ht="13.5" customHeight="1" outlineLevel="1">
      <c r="B465" s="76" t="s">
        <v>584</v>
      </c>
      <c r="C465" s="50"/>
      <c r="D465" s="50"/>
      <c r="G465" s="50"/>
      <c r="H465" s="231">
        <f ca="1">H449+SUMPRODUCT(H451:H463,$I493:$I505)</f>
        <v>17.285905766483953</v>
      </c>
      <c r="I465" s="231">
        <f t="shared" ref="I465:Q465" ca="1" si="341">I449+SUMPRODUCT(I451:I463,$I493:$I505)</f>
        <v>17.15155</v>
      </c>
      <c r="J465" s="231">
        <f t="shared" ca="1" si="341"/>
        <v>17.461506249999999</v>
      </c>
      <c r="K465" s="231">
        <f t="shared" ca="1" si="341"/>
        <v>17.654875000000001</v>
      </c>
      <c r="L465" s="231">
        <f t="shared" ca="1" si="341"/>
        <v>10</v>
      </c>
      <c r="M465" s="231">
        <f t="shared" ca="1" si="341"/>
        <v>10</v>
      </c>
      <c r="N465" s="231">
        <f t="shared" ca="1" si="341"/>
        <v>10</v>
      </c>
      <c r="O465" s="231">
        <f t="shared" ca="1" si="341"/>
        <v>10</v>
      </c>
      <c r="P465" s="231">
        <f t="shared" ca="1" si="341"/>
        <v>10</v>
      </c>
      <c r="Q465" s="231">
        <f t="shared" ca="1" si="341"/>
        <v>10</v>
      </c>
      <c r="R465" s="317"/>
    </row>
    <row r="466" spans="2:18" ht="13.5" customHeight="1" outlineLevel="1">
      <c r="B466" s="76" t="s">
        <v>585</v>
      </c>
      <c r="C466" s="50"/>
      <c r="D466" s="50"/>
      <c r="G466" s="50"/>
      <c r="H466" s="231">
        <f ca="1">H449+SUM(H451:H463)-SUMPRODUCT(H451:H463,H474:H486)-(SUMPRODUCT(H451:H463,$J493:$J505)-SUMPRODUCT(H451:H463,H474:H486,$J493:$J505))</f>
        <v>17.285905766483957</v>
      </c>
      <c r="I466" s="231">
        <f ca="1">I449+SUM(I451:I463)-SUMPRODUCT(I451:I463,I474:I486)-(SUMPRODUCT(I451:I463,$J493:$J505)-SUMPRODUCT(I451:I463,I474:I486,$J493:$J505))</f>
        <v>17.15155</v>
      </c>
      <c r="J466" s="231">
        <f t="shared" ref="J466:Q466" ca="1" si="342">J449+SUM(J451:J463)-SUMPRODUCT(J451:J463,J474:J486)-(SUMPRODUCT(J451:J463,$J493:$J505)-SUMPRODUCT(J451:J463,J474:J486,$J493:$J505))</f>
        <v>30.30249040820312</v>
      </c>
      <c r="K466" s="231">
        <f t="shared" ca="1" si="342"/>
        <v>72.67849211790039</v>
      </c>
      <c r="L466" s="231">
        <f t="shared" ca="1" si="342"/>
        <v>65.023617117900386</v>
      </c>
      <c r="M466" s="231">
        <f t="shared" ca="1" si="342"/>
        <v>65.023617117900386</v>
      </c>
      <c r="N466" s="231">
        <f t="shared" ca="1" si="342"/>
        <v>65.023617117900386</v>
      </c>
      <c r="O466" s="231">
        <f t="shared" ca="1" si="342"/>
        <v>65.023617117900386</v>
      </c>
      <c r="P466" s="231">
        <f t="shared" ca="1" si="342"/>
        <v>65.023617117900386</v>
      </c>
      <c r="Q466" s="231">
        <f t="shared" ca="1" si="342"/>
        <v>65.023617117900386</v>
      </c>
      <c r="R466" s="317"/>
    </row>
    <row r="467" spans="2:18" ht="13.5" customHeight="1" outlineLevel="1">
      <c r="B467" s="147" t="s">
        <v>575</v>
      </c>
      <c r="C467" s="50"/>
      <c r="D467" s="50"/>
      <c r="G467" s="50"/>
      <c r="H467" s="231">
        <f t="shared" ref="H467:Q467" ca="1" si="343">SUM(H449,H451:H463)-SUMPRODUCT(H451:H463,$J493:$J505)</f>
        <v>39.676218266483957</v>
      </c>
      <c r="I467" s="231">
        <f t="shared" ca="1" si="343"/>
        <v>64.059254687500001</v>
      </c>
      <c r="J467" s="231">
        <f t="shared" ca="1" si="343"/>
        <v>68.825442882812496</v>
      </c>
      <c r="K467" s="231">
        <f t="shared" ca="1" si="343"/>
        <v>72.67849211790039</v>
      </c>
      <c r="L467" s="231">
        <f t="shared" ca="1" si="343"/>
        <v>65.023617117900386</v>
      </c>
      <c r="M467" s="231">
        <f t="shared" ca="1" si="343"/>
        <v>65.023617117900386</v>
      </c>
      <c r="N467" s="231">
        <f t="shared" ca="1" si="343"/>
        <v>65.023617117900386</v>
      </c>
      <c r="O467" s="231">
        <f t="shared" ca="1" si="343"/>
        <v>65.023617117900386</v>
      </c>
      <c r="P467" s="231">
        <f t="shared" ca="1" si="343"/>
        <v>65.023617117900386</v>
      </c>
      <c r="Q467" s="231">
        <f t="shared" ca="1" si="343"/>
        <v>65.023617117900386</v>
      </c>
      <c r="R467" s="317"/>
    </row>
    <row r="468" spans="2:18" ht="13.5" customHeight="1" outlineLevel="1">
      <c r="B468" s="147" t="s">
        <v>581</v>
      </c>
      <c r="C468" s="50"/>
      <c r="D468" s="50"/>
      <c r="G468" s="50"/>
      <c r="H468" s="231">
        <f t="shared" ref="H468:Q468" ca="1" si="344">SUMPRODUCT(H451:H463,$J493:$J505,$K493:$K505)</f>
        <v>0</v>
      </c>
      <c r="I468" s="231">
        <f t="shared" ca="1" si="344"/>
        <v>0</v>
      </c>
      <c r="J468" s="231">
        <f t="shared" ca="1" si="344"/>
        <v>0</v>
      </c>
      <c r="K468" s="231">
        <f t="shared" ca="1" si="344"/>
        <v>0</v>
      </c>
      <c r="L468" s="231">
        <f t="shared" ca="1" si="344"/>
        <v>0</v>
      </c>
      <c r="M468" s="231">
        <f t="shared" ca="1" si="344"/>
        <v>0</v>
      </c>
      <c r="N468" s="231">
        <f t="shared" ca="1" si="344"/>
        <v>0</v>
      </c>
      <c r="O468" s="231">
        <f t="shared" ca="1" si="344"/>
        <v>0</v>
      </c>
      <c r="P468" s="231">
        <f t="shared" ca="1" si="344"/>
        <v>0</v>
      </c>
      <c r="Q468" s="231">
        <f t="shared" ca="1" si="344"/>
        <v>0</v>
      </c>
      <c r="R468" s="317"/>
    </row>
    <row r="469" spans="2:18" ht="13.5" customHeight="1" outlineLevel="1">
      <c r="B469" s="147" t="s">
        <v>582</v>
      </c>
      <c r="C469" s="50"/>
      <c r="D469" s="50"/>
      <c r="G469" s="50"/>
      <c r="H469" s="231">
        <f t="shared" ref="H469:Q469" ca="1" si="345">SUMPRODUCT(H451:H463,$J493:$J505)-H468</f>
        <v>6.40625</v>
      </c>
      <c r="I469" s="231">
        <f t="shared" ca="1" si="345"/>
        <v>13.140820312499999</v>
      </c>
      <c r="J469" s="231">
        <f t="shared" ca="1" si="345"/>
        <v>13.814287353515624</v>
      </c>
      <c r="K469" s="231">
        <f t="shared" ca="1" si="345"/>
        <v>14.5222695803833</v>
      </c>
      <c r="L469" s="231">
        <f t="shared" ca="1" si="345"/>
        <v>15.266535896377944</v>
      </c>
      <c r="M469" s="231">
        <f t="shared" ca="1" si="345"/>
        <v>16.048945861067313</v>
      </c>
      <c r="N469" s="231">
        <f t="shared" ca="1" si="345"/>
        <v>16.871454336447012</v>
      </c>
      <c r="O469" s="231">
        <f t="shared" ca="1" si="345"/>
        <v>17.736116371189922</v>
      </c>
      <c r="P469" s="231">
        <f t="shared" ca="1" si="345"/>
        <v>18.645092335213405</v>
      </c>
      <c r="Q469" s="231">
        <f t="shared" ca="1" si="345"/>
        <v>19.600653317393093</v>
      </c>
      <c r="R469" s="317"/>
    </row>
    <row r="470" spans="2:18" ht="13.5" customHeight="1" outlineLevel="1">
      <c r="B470" s="147" t="s">
        <v>576</v>
      </c>
      <c r="C470" s="50"/>
      <c r="D470" s="50"/>
      <c r="G470" s="50"/>
      <c r="H470" s="231">
        <f ca="1">H468+H469</f>
        <v>6.40625</v>
      </c>
      <c r="I470" s="231">
        <f t="shared" ref="I470:Q470" ca="1" si="346">I468+I469</f>
        <v>13.140820312499999</v>
      </c>
      <c r="J470" s="231">
        <f t="shared" ca="1" si="346"/>
        <v>13.814287353515624</v>
      </c>
      <c r="K470" s="231">
        <f t="shared" ca="1" si="346"/>
        <v>14.5222695803833</v>
      </c>
      <c r="L470" s="231">
        <f t="shared" ca="1" si="346"/>
        <v>15.266535896377944</v>
      </c>
      <c r="M470" s="231">
        <f t="shared" ca="1" si="346"/>
        <v>16.048945861067313</v>
      </c>
      <c r="N470" s="231">
        <f t="shared" ca="1" si="346"/>
        <v>16.871454336447012</v>
      </c>
      <c r="O470" s="231">
        <f t="shared" ca="1" si="346"/>
        <v>17.736116371189922</v>
      </c>
      <c r="P470" s="231">
        <f t="shared" ca="1" si="346"/>
        <v>18.645092335213405</v>
      </c>
      <c r="Q470" s="231">
        <f t="shared" ca="1" si="346"/>
        <v>19.600653317393093</v>
      </c>
      <c r="R470" s="317"/>
    </row>
    <row r="471" spans="2:18" ht="13.5" customHeight="1" outlineLevel="1">
      <c r="B471" s="147"/>
      <c r="C471" s="50"/>
      <c r="D471" s="50"/>
      <c r="G471" s="50"/>
      <c r="H471" s="231"/>
      <c r="I471" s="231"/>
      <c r="J471" s="231"/>
      <c r="K471" s="231"/>
      <c r="L471" s="231"/>
      <c r="M471" s="231"/>
      <c r="N471" s="231"/>
      <c r="O471" s="231"/>
      <c r="P471" s="231"/>
      <c r="Q471" s="231"/>
      <c r="R471" s="317"/>
    </row>
    <row r="472" spans="2:18" ht="13.5" customHeight="1" outlineLevel="1">
      <c r="B472" s="108" t="s">
        <v>577</v>
      </c>
      <c r="C472" s="109"/>
      <c r="D472" s="109"/>
      <c r="E472" s="306"/>
      <c r="F472" s="306"/>
      <c r="G472" s="306"/>
      <c r="H472" s="306"/>
      <c r="I472" s="109"/>
      <c r="J472" s="306"/>
      <c r="K472" s="306"/>
      <c r="L472" s="306"/>
      <c r="M472" s="306"/>
      <c r="N472" s="306"/>
      <c r="O472" s="306"/>
      <c r="P472" s="306"/>
      <c r="Q472" s="110"/>
    </row>
    <row r="473" spans="2:18" ht="13.5" customHeight="1" outlineLevel="1">
      <c r="B473" s="50"/>
      <c r="C473" s="50"/>
      <c r="D473" s="50"/>
      <c r="G473" s="50"/>
      <c r="H473" s="350"/>
      <c r="I473" s="350"/>
      <c r="J473" s="350"/>
      <c r="N473" s="57"/>
      <c r="R473" s="317"/>
    </row>
    <row r="474" spans="2:18" ht="13.5" customHeight="1" outlineLevel="1">
      <c r="B474" s="147" t="str">
        <f t="shared" ref="B474:B486" si="347">B493</f>
        <v>Revolver</v>
      </c>
      <c r="C474" s="50"/>
      <c r="D474" s="50"/>
      <c r="G474" s="50"/>
      <c r="H474" s="314">
        <f>Acquirer!T332</f>
        <v>0</v>
      </c>
      <c r="I474" s="122">
        <f>Acquirer!H332</f>
        <v>0</v>
      </c>
      <c r="J474" s="122">
        <f>Acquirer!I332</f>
        <v>0</v>
      </c>
      <c r="K474" s="122">
        <f>Acquirer!J332</f>
        <v>0</v>
      </c>
      <c r="L474" s="122">
        <f>Acquirer!K332</f>
        <v>0</v>
      </c>
      <c r="M474" s="122">
        <f>Acquirer!L332</f>
        <v>0</v>
      </c>
      <c r="N474" s="122">
        <f>Acquirer!M332</f>
        <v>0</v>
      </c>
      <c r="O474" s="122">
        <f>Acquirer!N332</f>
        <v>0</v>
      </c>
      <c r="P474" s="122">
        <f>Acquirer!O332</f>
        <v>0</v>
      </c>
      <c r="Q474" s="122">
        <f>Acquirer!P332</f>
        <v>0</v>
      </c>
      <c r="R474" s="317"/>
    </row>
    <row r="475" spans="2:18" ht="13.5" customHeight="1" outlineLevel="1">
      <c r="B475" s="76" t="str">
        <f t="shared" si="347"/>
        <v>Senior credit facility 1</v>
      </c>
      <c r="C475" s="50"/>
      <c r="D475" s="50"/>
      <c r="G475" s="50"/>
      <c r="H475" s="314">
        <f>Acquirer!T333</f>
        <v>0</v>
      </c>
      <c r="I475" s="122">
        <f>Acquirer!H333</f>
        <v>0</v>
      </c>
      <c r="J475" s="122">
        <f>Acquirer!I333</f>
        <v>0</v>
      </c>
      <c r="K475" s="122">
        <f>Acquirer!J333</f>
        <v>0</v>
      </c>
      <c r="L475" s="122">
        <f>Acquirer!K333</f>
        <v>0</v>
      </c>
      <c r="M475" s="122">
        <f>Acquirer!L333</f>
        <v>0</v>
      </c>
      <c r="N475" s="122">
        <f>Acquirer!M333</f>
        <v>0</v>
      </c>
      <c r="O475" s="122">
        <f>Acquirer!N333</f>
        <v>0</v>
      </c>
      <c r="P475" s="122">
        <f>Acquirer!O333</f>
        <v>0</v>
      </c>
      <c r="Q475" s="122">
        <f>Acquirer!P333</f>
        <v>0</v>
      </c>
      <c r="R475" s="317"/>
    </row>
    <row r="476" spans="2:18" ht="13.5" customHeight="1" outlineLevel="1">
      <c r="B476" s="76" t="str">
        <f t="shared" si="347"/>
        <v>Senior credit facility 2</v>
      </c>
      <c r="C476" s="50"/>
      <c r="D476" s="50"/>
      <c r="G476" s="50"/>
      <c r="H476" s="314">
        <f>Target!T333</f>
        <v>0</v>
      </c>
      <c r="I476" s="122">
        <f>Target!H333</f>
        <v>0</v>
      </c>
      <c r="J476" s="122">
        <f>Target!I333</f>
        <v>0</v>
      </c>
      <c r="K476" s="122">
        <f>Target!J333</f>
        <v>0</v>
      </c>
      <c r="L476" s="122">
        <f>Target!K333</f>
        <v>0</v>
      </c>
      <c r="M476" s="122">
        <f>Target!L333</f>
        <v>0</v>
      </c>
      <c r="N476" s="122">
        <f>Target!M333</f>
        <v>0</v>
      </c>
      <c r="O476" s="122">
        <f>Target!N333</f>
        <v>0</v>
      </c>
      <c r="P476" s="122">
        <f>Target!O333</f>
        <v>0</v>
      </c>
      <c r="Q476" s="122">
        <f>Target!P333</f>
        <v>0</v>
      </c>
      <c r="R476" s="317"/>
    </row>
    <row r="477" spans="2:18" ht="13.5" customHeight="1" outlineLevel="1">
      <c r="B477" s="76" t="str">
        <f t="shared" si="347"/>
        <v>Senior credit facility 3</v>
      </c>
      <c r="C477" s="50"/>
      <c r="D477" s="50"/>
      <c r="G477" s="50"/>
      <c r="H477" s="358">
        <v>0</v>
      </c>
      <c r="I477" s="358">
        <v>0</v>
      </c>
      <c r="J477" s="358">
        <v>0</v>
      </c>
      <c r="K477" s="358">
        <v>0</v>
      </c>
      <c r="L477" s="358">
        <v>0</v>
      </c>
      <c r="M477" s="358">
        <v>0</v>
      </c>
      <c r="N477" s="358">
        <v>0</v>
      </c>
      <c r="O477" s="358">
        <v>0</v>
      </c>
      <c r="P477" s="358">
        <v>0</v>
      </c>
      <c r="Q477" s="358">
        <v>0</v>
      </c>
      <c r="R477" s="317"/>
    </row>
    <row r="478" spans="2:18" ht="13.5" customHeight="1" outlineLevel="1">
      <c r="B478" s="76" t="str">
        <f t="shared" si="347"/>
        <v>Subordinated note 1</v>
      </c>
      <c r="C478" s="50"/>
      <c r="D478" s="50"/>
      <c r="G478" s="50"/>
      <c r="H478" s="314">
        <f>Acquirer!T334</f>
        <v>0</v>
      </c>
      <c r="I478" s="122">
        <f>Acquirer!H334</f>
        <v>0</v>
      </c>
      <c r="J478" s="122">
        <f>Acquirer!I334</f>
        <v>0</v>
      </c>
      <c r="K478" s="122">
        <f>Acquirer!J334</f>
        <v>0</v>
      </c>
      <c r="L478" s="122">
        <f>Acquirer!K334</f>
        <v>0</v>
      </c>
      <c r="M478" s="122">
        <f>Acquirer!L334</f>
        <v>0</v>
      </c>
      <c r="N478" s="122">
        <f>Acquirer!M334</f>
        <v>0</v>
      </c>
      <c r="O478" s="122">
        <f>Acquirer!N334</f>
        <v>0</v>
      </c>
      <c r="P478" s="122">
        <f>Acquirer!O334</f>
        <v>0</v>
      </c>
      <c r="Q478" s="122">
        <f>Acquirer!P334</f>
        <v>0</v>
      </c>
      <c r="R478" s="317"/>
    </row>
    <row r="479" spans="2:18" ht="13.5" customHeight="1" outlineLevel="1">
      <c r="B479" s="76" t="str">
        <f t="shared" si="347"/>
        <v>Subordinated note 2</v>
      </c>
      <c r="C479" s="50"/>
      <c r="D479" s="50"/>
      <c r="G479" s="50"/>
      <c r="H479" s="314">
        <f>Target!T334</f>
        <v>0</v>
      </c>
      <c r="I479" s="122">
        <f>Target!H334</f>
        <v>0</v>
      </c>
      <c r="J479" s="122">
        <f>Target!I334</f>
        <v>0</v>
      </c>
      <c r="K479" s="122">
        <f>Target!J334</f>
        <v>0</v>
      </c>
      <c r="L479" s="122">
        <f>Target!K334</f>
        <v>0</v>
      </c>
      <c r="M479" s="122">
        <f>Target!L334</f>
        <v>0</v>
      </c>
      <c r="N479" s="122">
        <f>Target!M334</f>
        <v>0</v>
      </c>
      <c r="O479" s="122">
        <f>Target!N334</f>
        <v>0</v>
      </c>
      <c r="P479" s="122">
        <f>Target!O334</f>
        <v>0</v>
      </c>
      <c r="Q479" s="122">
        <f>Target!P334</f>
        <v>0</v>
      </c>
      <c r="R479" s="317"/>
    </row>
    <row r="480" spans="2:18" ht="13.5" customHeight="1" outlineLevel="1">
      <c r="B480" s="76" t="str">
        <f t="shared" si="347"/>
        <v>Subordinated note 3</v>
      </c>
      <c r="C480" s="50"/>
      <c r="D480" s="50"/>
      <c r="G480" s="50"/>
      <c r="H480" s="358">
        <v>0</v>
      </c>
      <c r="I480" s="358">
        <v>0</v>
      </c>
      <c r="J480" s="358">
        <v>0</v>
      </c>
      <c r="K480" s="358">
        <v>0</v>
      </c>
      <c r="L480" s="358">
        <v>0</v>
      </c>
      <c r="M480" s="358">
        <v>0</v>
      </c>
      <c r="N480" s="358">
        <v>0</v>
      </c>
      <c r="O480" s="358">
        <v>0</v>
      </c>
      <c r="P480" s="358">
        <v>0</v>
      </c>
      <c r="Q480" s="358">
        <v>0</v>
      </c>
      <c r="R480" s="317"/>
    </row>
    <row r="481" spans="2:18" ht="13.5" customHeight="1" outlineLevel="1">
      <c r="B481" s="76" t="str">
        <f t="shared" si="347"/>
        <v>Convertible bond 1</v>
      </c>
      <c r="C481" s="50"/>
      <c r="D481" s="50"/>
      <c r="G481" s="50"/>
      <c r="H481" s="314">
        <f>Acquirer!T335</f>
        <v>1</v>
      </c>
      <c r="I481" s="122">
        <f>Acquirer!H335</f>
        <v>1</v>
      </c>
      <c r="J481" s="122">
        <f>Acquirer!I335</f>
        <v>0.75</v>
      </c>
      <c r="K481" s="122">
        <f>Acquirer!J335</f>
        <v>0</v>
      </c>
      <c r="L481" s="122">
        <f>Acquirer!K335</f>
        <v>0</v>
      </c>
      <c r="M481" s="122">
        <f>Acquirer!L335</f>
        <v>0</v>
      </c>
      <c r="N481" s="122">
        <f>Acquirer!M335</f>
        <v>0</v>
      </c>
      <c r="O481" s="122">
        <f>Acquirer!N335</f>
        <v>0</v>
      </c>
      <c r="P481" s="122">
        <f>Acquirer!O335</f>
        <v>0</v>
      </c>
      <c r="Q481" s="122">
        <f>Acquirer!P335</f>
        <v>0</v>
      </c>
      <c r="R481" s="317"/>
    </row>
    <row r="482" spans="2:18" ht="13.5" customHeight="1" outlineLevel="1">
      <c r="B482" s="76" t="str">
        <f t="shared" si="347"/>
        <v>Convertible bond 2</v>
      </c>
      <c r="C482" s="50"/>
      <c r="D482" s="50"/>
      <c r="G482" s="50"/>
      <c r="H482" s="314">
        <f>Target!T335</f>
        <v>0.5</v>
      </c>
      <c r="I482" s="122">
        <f>Target!H335</f>
        <v>0.5</v>
      </c>
      <c r="J482" s="122">
        <f>Target!I335</f>
        <v>0.5</v>
      </c>
      <c r="K482" s="122">
        <f>Target!J335</f>
        <v>0.25</v>
      </c>
      <c r="L482" s="122">
        <f>Target!K335</f>
        <v>0</v>
      </c>
      <c r="M482" s="122">
        <f>Target!L335</f>
        <v>0</v>
      </c>
      <c r="N482" s="122">
        <f>Target!M335</f>
        <v>0</v>
      </c>
      <c r="O482" s="122">
        <f>Target!N335</f>
        <v>0</v>
      </c>
      <c r="P482" s="122">
        <f>Target!O335</f>
        <v>0</v>
      </c>
      <c r="Q482" s="122">
        <f>Target!P335</f>
        <v>0</v>
      </c>
      <c r="R482" s="317"/>
    </row>
    <row r="483" spans="2:18" ht="13.5" customHeight="1" outlineLevel="1">
      <c r="B483" s="76" t="str">
        <f t="shared" si="347"/>
        <v>Convertible bond 3</v>
      </c>
      <c r="C483" s="50"/>
      <c r="D483" s="50"/>
      <c r="G483" s="50"/>
      <c r="H483" s="358">
        <v>0</v>
      </c>
      <c r="I483" s="358">
        <v>0</v>
      </c>
      <c r="J483" s="358">
        <v>0</v>
      </c>
      <c r="K483" s="358">
        <v>0</v>
      </c>
      <c r="L483" s="358">
        <v>0</v>
      </c>
      <c r="M483" s="358">
        <v>0</v>
      </c>
      <c r="N483" s="358">
        <v>0</v>
      </c>
      <c r="O483" s="358">
        <v>0</v>
      </c>
      <c r="P483" s="358">
        <v>0</v>
      </c>
      <c r="Q483" s="358">
        <v>0</v>
      </c>
      <c r="R483" s="317"/>
    </row>
    <row r="484" spans="2:18" ht="13.5" customHeight="1" outlineLevel="1">
      <c r="B484" s="76" t="str">
        <f t="shared" si="347"/>
        <v>Preferred stock 1</v>
      </c>
      <c r="C484" s="50"/>
      <c r="D484" s="50"/>
      <c r="G484" s="50"/>
      <c r="H484" s="122">
        <f>Acquirer!T336</f>
        <v>0</v>
      </c>
      <c r="I484" s="122">
        <f>Acquirer!G336</f>
        <v>0</v>
      </c>
      <c r="J484" s="122">
        <f>Acquirer!H336</f>
        <v>0</v>
      </c>
      <c r="K484" s="122">
        <f>Acquirer!I336</f>
        <v>0</v>
      </c>
      <c r="L484" s="122">
        <f>Acquirer!J336</f>
        <v>0</v>
      </c>
      <c r="M484" s="122">
        <f>Acquirer!K336</f>
        <v>0</v>
      </c>
      <c r="N484" s="122">
        <f>Acquirer!L336</f>
        <v>0</v>
      </c>
      <c r="O484" s="122">
        <f>Acquirer!M336</f>
        <v>0</v>
      </c>
      <c r="P484" s="122">
        <f>Acquirer!N336</f>
        <v>0</v>
      </c>
      <c r="Q484" s="122">
        <f>Acquirer!O336</f>
        <v>0</v>
      </c>
      <c r="R484" s="317"/>
    </row>
    <row r="485" spans="2:18" ht="13.5" customHeight="1" outlineLevel="1">
      <c r="B485" s="76" t="str">
        <f t="shared" si="347"/>
        <v>Preferred stock 2</v>
      </c>
      <c r="C485" s="50"/>
      <c r="D485" s="50"/>
      <c r="G485" s="50"/>
      <c r="H485" s="122">
        <f>Target!T336</f>
        <v>0</v>
      </c>
      <c r="I485" s="122">
        <f>Target!G336</f>
        <v>0</v>
      </c>
      <c r="J485" s="122">
        <f>Target!H336</f>
        <v>0</v>
      </c>
      <c r="K485" s="122">
        <f>Target!I336</f>
        <v>0</v>
      </c>
      <c r="L485" s="122">
        <f>Target!J336</f>
        <v>0</v>
      </c>
      <c r="M485" s="122">
        <f>Target!K336</f>
        <v>0</v>
      </c>
      <c r="N485" s="122">
        <f>Target!L336</f>
        <v>0</v>
      </c>
      <c r="O485" s="122">
        <f>Target!M336</f>
        <v>0</v>
      </c>
      <c r="P485" s="122">
        <f>Target!N336</f>
        <v>0</v>
      </c>
      <c r="Q485" s="122">
        <f>Target!O336</f>
        <v>0</v>
      </c>
      <c r="R485" s="317"/>
    </row>
    <row r="486" spans="2:18" ht="13.5" customHeight="1" outlineLevel="1">
      <c r="B486" s="76" t="str">
        <f t="shared" si="347"/>
        <v>Preferred stock 3</v>
      </c>
      <c r="C486" s="50"/>
      <c r="D486" s="50"/>
      <c r="G486" s="50"/>
      <c r="H486" s="358">
        <v>0.5</v>
      </c>
      <c r="I486" s="358">
        <v>0.5</v>
      </c>
      <c r="J486" s="358">
        <v>0.5</v>
      </c>
      <c r="K486" s="358">
        <v>0.5</v>
      </c>
      <c r="L486" s="358">
        <v>0.5</v>
      </c>
      <c r="M486" s="358">
        <v>0.5</v>
      </c>
      <c r="N486" s="358">
        <v>0.5</v>
      </c>
      <c r="O486" s="358">
        <v>0.5</v>
      </c>
      <c r="P486" s="358">
        <v>0.5</v>
      </c>
      <c r="Q486" s="358">
        <v>0.5</v>
      </c>
      <c r="R486" s="317"/>
    </row>
    <row r="487" spans="2:18" ht="13.5" customHeight="1" outlineLevel="1">
      <c r="B487" s="50"/>
      <c r="C487" s="50"/>
      <c r="D487" s="50"/>
      <c r="G487" s="50"/>
      <c r="H487" s="350"/>
      <c r="I487" s="350"/>
      <c r="J487" s="350"/>
      <c r="N487" s="57"/>
      <c r="R487" s="317"/>
    </row>
    <row r="488" spans="2:18" ht="13.5" customHeight="1" outlineLevel="1">
      <c r="B488" s="108" t="s">
        <v>425</v>
      </c>
      <c r="C488" s="109"/>
      <c r="D488" s="109"/>
      <c r="E488" s="306"/>
      <c r="F488" s="306"/>
      <c r="G488" s="306"/>
      <c r="H488" s="306"/>
      <c r="I488" s="109"/>
      <c r="J488" s="306"/>
      <c r="K488" s="306"/>
      <c r="L488" s="306"/>
      <c r="M488" s="306"/>
      <c r="N488" s="306"/>
      <c r="O488" s="306"/>
      <c r="P488" s="306"/>
      <c r="Q488" s="110"/>
    </row>
    <row r="489" spans="2:18" ht="13.5" customHeight="1" outlineLevel="1">
      <c r="B489" s="50"/>
      <c r="C489" s="50"/>
      <c r="D489" s="50"/>
      <c r="G489" s="50"/>
      <c r="H489" s="350"/>
      <c r="I489" s="350"/>
      <c r="J489" s="350"/>
      <c r="N489" s="57"/>
      <c r="R489" s="317"/>
    </row>
    <row r="490" spans="2:18" ht="13.5" customHeight="1" outlineLevel="1">
      <c r="B490" s="369"/>
      <c r="C490" s="369"/>
      <c r="G490" s="369" t="s">
        <v>573</v>
      </c>
      <c r="H490" s="369" t="s">
        <v>426</v>
      </c>
      <c r="I490" s="369" t="s">
        <v>427</v>
      </c>
      <c r="J490" s="187" t="s">
        <v>360</v>
      </c>
      <c r="K490" s="187" t="s">
        <v>271</v>
      </c>
      <c r="L490" s="187" t="s">
        <v>270</v>
      </c>
      <c r="M490" s="369" t="s">
        <v>30</v>
      </c>
      <c r="R490" s="317"/>
    </row>
    <row r="491" spans="2:18" ht="13.5" customHeight="1" outlineLevel="1" thickBot="1">
      <c r="B491" s="370"/>
      <c r="C491" s="370"/>
      <c r="D491" s="370"/>
      <c r="E491" s="370"/>
      <c r="F491" s="370"/>
      <c r="G491" s="370" t="s">
        <v>358</v>
      </c>
      <c r="H491" s="370" t="s">
        <v>418</v>
      </c>
      <c r="I491" s="370" t="s">
        <v>428</v>
      </c>
      <c r="J491" s="181" t="s">
        <v>337</v>
      </c>
      <c r="K491" s="181" t="s">
        <v>337</v>
      </c>
      <c r="L491" s="181" t="s">
        <v>248</v>
      </c>
      <c r="M491" s="370" t="s">
        <v>411</v>
      </c>
      <c r="R491" s="317"/>
    </row>
    <row r="492" spans="2:18" ht="5.0999999999999996" customHeight="1" outlineLevel="1">
      <c r="B492" s="147"/>
      <c r="C492" s="50"/>
      <c r="D492" s="50"/>
      <c r="G492" s="50"/>
      <c r="H492" s="350"/>
      <c r="I492" s="350"/>
      <c r="R492" s="317"/>
    </row>
    <row r="493" spans="2:18" ht="13.5" customHeight="1" outlineLevel="1">
      <c r="B493" s="75" t="str">
        <f>Acquirer!B343</f>
        <v>Revolver</v>
      </c>
      <c r="C493" s="50"/>
      <c r="D493" s="50"/>
      <c r="G493" s="197">
        <f>Acquirer!D343</f>
        <v>0</v>
      </c>
      <c r="H493" s="197">
        <f>Acquirer!E343</f>
        <v>4.2500000000000003E-2</v>
      </c>
      <c r="I493" s="371">
        <f>Acquirer!F343</f>
        <v>1</v>
      </c>
      <c r="J493" s="371">
        <f>Acquirer!G343</f>
        <v>0</v>
      </c>
      <c r="K493" s="371">
        <f>Acquirer!H343</f>
        <v>0</v>
      </c>
      <c r="L493" s="189">
        <f>Acquirer!I343</f>
        <v>0</v>
      </c>
      <c r="M493" s="94">
        <f>Acquirer!J343</f>
        <v>1</v>
      </c>
      <c r="R493" s="317"/>
    </row>
    <row r="494" spans="2:18" ht="13.5" customHeight="1" outlineLevel="1">
      <c r="B494" s="75" t="str">
        <f>Acquirer!B344</f>
        <v>Senior credit facility 1</v>
      </c>
      <c r="C494" s="50"/>
      <c r="D494" s="50"/>
      <c r="G494" s="197">
        <f>Acquirer!D344</f>
        <v>0</v>
      </c>
      <c r="H494" s="197">
        <f>Acquirer!E344</f>
        <v>4.7500000000000001E-2</v>
      </c>
      <c r="I494" s="371">
        <f>Acquirer!F344</f>
        <v>1</v>
      </c>
      <c r="J494" s="371">
        <f>Acquirer!G344</f>
        <v>0</v>
      </c>
      <c r="K494" s="371">
        <f>Acquirer!H344</f>
        <v>0</v>
      </c>
      <c r="L494" s="189">
        <f>Acquirer!I344</f>
        <v>0</v>
      </c>
      <c r="M494" s="94">
        <f>Acquirer!J344</f>
        <v>1</v>
      </c>
      <c r="R494" s="317"/>
    </row>
    <row r="495" spans="2:18" ht="13.5" customHeight="1" outlineLevel="1">
      <c r="B495" s="75" t="str">
        <f>Target!B344</f>
        <v>Senior credit facility 2</v>
      </c>
      <c r="C495" s="50"/>
      <c r="D495" s="50"/>
      <c r="G495" s="197">
        <f>Target!D344</f>
        <v>0</v>
      </c>
      <c r="H495" s="197">
        <f>Target!E344</f>
        <v>4.7500000000000001E-2</v>
      </c>
      <c r="I495" s="371">
        <f>Target!F344</f>
        <v>1</v>
      </c>
      <c r="J495" s="371">
        <f>Target!G344</f>
        <v>0</v>
      </c>
      <c r="K495" s="371">
        <f>Target!H344</f>
        <v>0</v>
      </c>
      <c r="L495" s="189">
        <f>Target!I344</f>
        <v>0</v>
      </c>
      <c r="M495" s="94">
        <f>Target!J344</f>
        <v>1</v>
      </c>
      <c r="R495" s="317"/>
    </row>
    <row r="496" spans="2:18" ht="13.5" customHeight="1" outlineLevel="1">
      <c r="B496" s="75" t="str">
        <f>Inputs!$B$19</f>
        <v>Senior credit facility 3</v>
      </c>
      <c r="C496" s="50"/>
      <c r="D496" s="50"/>
      <c r="G496" s="372">
        <v>0</v>
      </c>
      <c r="H496" s="372">
        <v>5.3749999999999999E-2</v>
      </c>
      <c r="I496" s="373">
        <v>1</v>
      </c>
      <c r="J496" s="373">
        <v>0</v>
      </c>
      <c r="K496" s="373">
        <v>0</v>
      </c>
      <c r="L496" s="374">
        <v>0</v>
      </c>
      <c r="M496" s="375">
        <v>0</v>
      </c>
      <c r="R496" s="317"/>
    </row>
    <row r="497" spans="1:18" ht="13.5" customHeight="1" outlineLevel="1">
      <c r="B497" s="75" t="str">
        <f>Acquirer!B345</f>
        <v>Subordinated note 1</v>
      </c>
      <c r="C497" s="50"/>
      <c r="D497" s="50"/>
      <c r="G497" s="197">
        <f>Acquirer!D345</f>
        <v>8.2500000000000004E-2</v>
      </c>
      <c r="H497" s="197">
        <f>Acquirer!E345</f>
        <v>0</v>
      </c>
      <c r="I497" s="371">
        <f>Acquirer!F345</f>
        <v>0</v>
      </c>
      <c r="J497" s="371">
        <f>Acquirer!G345</f>
        <v>0</v>
      </c>
      <c r="K497" s="371">
        <f>Acquirer!H345</f>
        <v>0</v>
      </c>
      <c r="L497" s="189">
        <f>Acquirer!I345</f>
        <v>0</v>
      </c>
      <c r="M497" s="94">
        <f>Acquirer!J345</f>
        <v>0</v>
      </c>
      <c r="R497" s="317"/>
    </row>
    <row r="498" spans="1:18" ht="13.5" customHeight="1" outlineLevel="1">
      <c r="B498" s="75" t="str">
        <f>Target!B345</f>
        <v>Subordinated note 2</v>
      </c>
      <c r="C498" s="50"/>
      <c r="D498" s="50"/>
      <c r="G498" s="197">
        <f>Target!D345</f>
        <v>8.2500000000000004E-2</v>
      </c>
      <c r="H498" s="197">
        <f>Target!E345</f>
        <v>0</v>
      </c>
      <c r="I498" s="371">
        <f>Target!F345</f>
        <v>0</v>
      </c>
      <c r="J498" s="371">
        <f>Target!G345</f>
        <v>0</v>
      </c>
      <c r="K498" s="371">
        <f>Target!H345</f>
        <v>0</v>
      </c>
      <c r="L498" s="189">
        <f>Target!I345</f>
        <v>0</v>
      </c>
      <c r="M498" s="94">
        <f>Target!J345</f>
        <v>0</v>
      </c>
      <c r="R498" s="317"/>
    </row>
    <row r="499" spans="1:18" ht="13.5" customHeight="1" outlineLevel="1">
      <c r="B499" s="75" t="str">
        <f>Inputs!$B$20</f>
        <v>Subordinated note 3</v>
      </c>
      <c r="C499" s="50"/>
      <c r="D499" s="50"/>
      <c r="G499" s="372">
        <v>8.2500000000000004E-2</v>
      </c>
      <c r="H499" s="372">
        <v>0</v>
      </c>
      <c r="I499" s="373">
        <v>0</v>
      </c>
      <c r="J499" s="373">
        <v>0</v>
      </c>
      <c r="K499" s="373">
        <v>0</v>
      </c>
      <c r="L499" s="374">
        <v>0</v>
      </c>
      <c r="M499" s="375">
        <v>0</v>
      </c>
      <c r="R499" s="317"/>
    </row>
    <row r="500" spans="1:18" ht="13.5" customHeight="1" outlineLevel="1">
      <c r="B500" s="75" t="str">
        <f>Acquirer!B346</f>
        <v>Convertible bond 1</v>
      </c>
      <c r="C500" s="50"/>
      <c r="D500" s="50"/>
      <c r="G500" s="197">
        <f>Acquirer!D346</f>
        <v>9.5000000000000001E-2</v>
      </c>
      <c r="H500" s="197">
        <f>Acquirer!E346</f>
        <v>0</v>
      </c>
      <c r="I500" s="371">
        <f>Acquirer!F346</f>
        <v>0</v>
      </c>
      <c r="J500" s="371">
        <f>Acquirer!G346</f>
        <v>0</v>
      </c>
      <c r="K500" s="371">
        <f>Acquirer!H346</f>
        <v>1</v>
      </c>
      <c r="L500" s="189">
        <f>Acquirer!I346</f>
        <v>43.12</v>
      </c>
      <c r="M500" s="94">
        <f>Acquirer!J346</f>
        <v>0</v>
      </c>
      <c r="R500" s="317"/>
    </row>
    <row r="501" spans="1:18" ht="13.5" customHeight="1" outlineLevel="1">
      <c r="B501" s="75" t="str">
        <f>Target!B346</f>
        <v>Convertible bond 2</v>
      </c>
      <c r="C501" s="50"/>
      <c r="D501" s="50"/>
      <c r="G501" s="197">
        <f>Target!D346</f>
        <v>9.5000000000000001E-2</v>
      </c>
      <c r="H501" s="197">
        <f>Target!E346</f>
        <v>0</v>
      </c>
      <c r="I501" s="371">
        <f>Target!F346</f>
        <v>0</v>
      </c>
      <c r="J501" s="371">
        <f>Target!G346</f>
        <v>0</v>
      </c>
      <c r="K501" s="371">
        <f>Target!H346</f>
        <v>1</v>
      </c>
      <c r="L501" s="189">
        <f>Target!I346</f>
        <v>26.77</v>
      </c>
      <c r="M501" s="94">
        <f>Target!J346</f>
        <v>0</v>
      </c>
      <c r="R501" s="317"/>
    </row>
    <row r="502" spans="1:18" ht="13.5" customHeight="1" outlineLevel="1">
      <c r="B502" s="75" t="str">
        <f>Inputs!$B$21</f>
        <v>Convertible bond 3</v>
      </c>
      <c r="C502" s="50"/>
      <c r="D502" s="50"/>
      <c r="G502" s="372">
        <v>9.5000000000000001E-2</v>
      </c>
      <c r="H502" s="372">
        <v>0</v>
      </c>
      <c r="I502" s="373">
        <v>0</v>
      </c>
      <c r="J502" s="373">
        <v>0</v>
      </c>
      <c r="K502" s="373">
        <v>0</v>
      </c>
      <c r="L502" s="374">
        <v>0</v>
      </c>
      <c r="M502" s="375">
        <v>0</v>
      </c>
      <c r="R502" s="317"/>
    </row>
    <row r="503" spans="1:18" ht="13.5" customHeight="1" outlineLevel="1">
      <c r="B503" s="75" t="str">
        <f>Acquirer!B347</f>
        <v>Preferred stock 1</v>
      </c>
      <c r="C503" s="50"/>
      <c r="D503" s="50"/>
      <c r="G503" s="197">
        <f>Acquirer!D347</f>
        <v>0.10249999999999999</v>
      </c>
      <c r="H503" s="197">
        <f>Acquirer!E347</f>
        <v>0</v>
      </c>
      <c r="I503" s="371">
        <f>Acquirer!F347</f>
        <v>0</v>
      </c>
      <c r="J503" s="371">
        <f>Acquirer!G347</f>
        <v>1</v>
      </c>
      <c r="K503" s="371">
        <f>Acquirer!H347</f>
        <v>0</v>
      </c>
      <c r="L503" s="189">
        <f>Acquirer!I347</f>
        <v>0</v>
      </c>
      <c r="M503" s="94">
        <f>Acquirer!J347</f>
        <v>0</v>
      </c>
      <c r="R503" s="317"/>
    </row>
    <row r="504" spans="1:18" ht="13.5" customHeight="1" outlineLevel="1">
      <c r="B504" s="75" t="str">
        <f>Target!B347</f>
        <v>Preferred stock 2</v>
      </c>
      <c r="C504" s="50"/>
      <c r="D504" s="50"/>
      <c r="G504" s="197">
        <f>Target!D347</f>
        <v>0.10249999999999999</v>
      </c>
      <c r="H504" s="197">
        <f>Target!E347</f>
        <v>0</v>
      </c>
      <c r="I504" s="371">
        <f>Target!F347</f>
        <v>0</v>
      </c>
      <c r="J504" s="371">
        <f>Target!G347</f>
        <v>1</v>
      </c>
      <c r="K504" s="371">
        <f>Target!H347</f>
        <v>0</v>
      </c>
      <c r="L504" s="189">
        <f>Target!I347</f>
        <v>0</v>
      </c>
      <c r="M504" s="94">
        <f>Target!J347</f>
        <v>0</v>
      </c>
      <c r="R504" s="317"/>
    </row>
    <row r="505" spans="1:18" ht="13.5" customHeight="1" outlineLevel="1">
      <c r="B505" s="75" t="str">
        <f>Inputs!$B$22</f>
        <v>Preferred stock 3</v>
      </c>
      <c r="C505" s="50"/>
      <c r="D505" s="50"/>
      <c r="G505" s="372">
        <v>0.10249999999999999</v>
      </c>
      <c r="H505" s="372">
        <v>0</v>
      </c>
      <c r="I505" s="373">
        <v>0</v>
      </c>
      <c r="J505" s="373">
        <v>1</v>
      </c>
      <c r="K505" s="373">
        <v>0</v>
      </c>
      <c r="L505" s="374">
        <v>0</v>
      </c>
      <c r="M505" s="375">
        <v>0</v>
      </c>
      <c r="R505" s="317"/>
    </row>
    <row r="506" spans="1:18" ht="5.0999999999999996" customHeight="1" outlineLevel="1" thickBot="1">
      <c r="B506" s="336"/>
      <c r="C506" s="336"/>
      <c r="D506" s="336"/>
      <c r="E506" s="209"/>
      <c r="F506" s="209"/>
      <c r="G506" s="336"/>
      <c r="H506" s="376"/>
      <c r="I506" s="376"/>
      <c r="J506" s="376"/>
      <c r="K506" s="209"/>
      <c r="L506" s="209"/>
      <c r="M506" s="209"/>
      <c r="N506" s="337"/>
      <c r="O506" s="209"/>
      <c r="P506" s="209"/>
      <c r="Q506" s="209"/>
      <c r="R506" s="317"/>
    </row>
    <row r="507" spans="1:18" ht="13.5" customHeight="1" outlineLevel="1">
      <c r="B507" s="147"/>
      <c r="C507" s="50"/>
      <c r="D507" s="50"/>
      <c r="G507" s="50"/>
      <c r="H507" s="350"/>
      <c r="I507" s="350"/>
      <c r="J507" s="350"/>
      <c r="N507" s="57"/>
      <c r="R507" s="317"/>
    </row>
    <row r="508" spans="1:18" ht="13.5" customHeight="1" outlineLevel="1" thickBot="1">
      <c r="B508" s="147"/>
      <c r="C508" s="50"/>
      <c r="D508" s="50"/>
      <c r="G508" s="50"/>
      <c r="H508" s="350"/>
      <c r="I508" s="350"/>
      <c r="J508" s="350"/>
      <c r="N508" s="57"/>
      <c r="R508" s="317"/>
    </row>
    <row r="509" spans="1:18" ht="20.7" thickTop="1">
      <c r="A509" s="281" t="s">
        <v>631</v>
      </c>
      <c r="B509" s="282" t="s">
        <v>421</v>
      </c>
      <c r="C509" s="283"/>
      <c r="D509" s="284"/>
      <c r="E509" s="284"/>
      <c r="F509" s="284"/>
      <c r="G509" s="284"/>
      <c r="H509" s="284"/>
      <c r="I509" s="284"/>
      <c r="J509" s="284"/>
      <c r="K509" s="284"/>
      <c r="L509" s="284"/>
      <c r="M509" s="284"/>
      <c r="N509" s="284"/>
      <c r="O509" s="284"/>
      <c r="P509" s="284"/>
      <c r="Q509" s="284"/>
    </row>
    <row r="510" spans="1:18" ht="5.0999999999999996" customHeight="1" outlineLevel="1">
      <c r="B510" s="107"/>
      <c r="C510" s="285"/>
      <c r="G510" s="285"/>
      <c r="N510" s="57"/>
      <c r="R510" s="317"/>
    </row>
    <row r="511" spans="1:18" ht="13.5" customHeight="1" outlineLevel="1">
      <c r="B511" s="286"/>
      <c r="C511" s="286"/>
      <c r="D511" s="286"/>
      <c r="E511" s="42"/>
      <c r="F511" s="42"/>
      <c r="G511" s="42" t="s">
        <v>38</v>
      </c>
      <c r="H511" s="42" t="s">
        <v>632</v>
      </c>
      <c r="I511" s="287" t="s">
        <v>629</v>
      </c>
      <c r="J511" s="287"/>
      <c r="K511" s="287"/>
      <c r="L511" s="287"/>
      <c r="M511" s="287"/>
      <c r="N511" s="287"/>
      <c r="O511" s="287"/>
      <c r="P511" s="287"/>
      <c r="Q511" s="287"/>
      <c r="R511" s="317"/>
    </row>
    <row r="512" spans="1:18" ht="13.5" customHeight="1" outlineLevel="1" thickBot="1">
      <c r="B512" s="288" t="str">
        <f>"("&amp;curr&amp;" in millions)"</f>
        <v>($ in millions)</v>
      </c>
      <c r="C512" s="289"/>
      <c r="D512" s="289"/>
      <c r="E512" s="290"/>
      <c r="F512" s="290"/>
      <c r="G512" s="291">
        <f>close</f>
        <v>45107</v>
      </c>
      <c r="H512" s="291">
        <f>H$8</f>
        <v>45291</v>
      </c>
      <c r="I512" s="292">
        <f t="shared" ref="I512:Q512" si="348">I$8</f>
        <v>45657</v>
      </c>
      <c r="J512" s="292">
        <f t="shared" si="348"/>
        <v>46022</v>
      </c>
      <c r="K512" s="292">
        <f t="shared" si="348"/>
        <v>46387</v>
      </c>
      <c r="L512" s="292">
        <f t="shared" si="348"/>
        <v>46752</v>
      </c>
      <c r="M512" s="292">
        <f t="shared" si="348"/>
        <v>47118</v>
      </c>
      <c r="N512" s="292">
        <f t="shared" si="348"/>
        <v>47483</v>
      </c>
      <c r="O512" s="292">
        <f t="shared" si="348"/>
        <v>47848</v>
      </c>
      <c r="P512" s="292">
        <f t="shared" si="348"/>
        <v>48213</v>
      </c>
      <c r="Q512" s="292">
        <f t="shared" si="348"/>
        <v>48579</v>
      </c>
      <c r="R512" s="317"/>
    </row>
    <row r="513" spans="2:18" ht="5.0999999999999996" customHeight="1" outlineLevel="1">
      <c r="B513" s="50"/>
      <c r="C513" s="50"/>
      <c r="D513" s="50"/>
      <c r="G513" s="50"/>
      <c r="H513" s="350"/>
      <c r="I513" s="350"/>
      <c r="J513" s="350"/>
      <c r="N513" s="57"/>
      <c r="R513" s="317"/>
    </row>
    <row r="514" spans="2:18" ht="13.5" customHeight="1" outlineLevel="1">
      <c r="B514" s="88" t="s">
        <v>210</v>
      </c>
      <c r="C514" s="321"/>
      <c r="D514" s="377"/>
      <c r="E514" s="377"/>
      <c r="F514" s="377"/>
      <c r="G514" s="378"/>
      <c r="H514" s="379">
        <v>1</v>
      </c>
      <c r="I514" s="380">
        <f t="shared" ref="I514:Q514" si="349">H514+1</f>
        <v>2</v>
      </c>
      <c r="J514" s="380">
        <f t="shared" si="349"/>
        <v>3</v>
      </c>
      <c r="K514" s="380">
        <f t="shared" si="349"/>
        <v>4</v>
      </c>
      <c r="L514" s="380">
        <f t="shared" si="349"/>
        <v>5</v>
      </c>
      <c r="M514" s="380">
        <f t="shared" si="349"/>
        <v>6</v>
      </c>
      <c r="N514" s="380">
        <f t="shared" si="349"/>
        <v>7</v>
      </c>
      <c r="O514" s="380">
        <f t="shared" si="349"/>
        <v>8</v>
      </c>
      <c r="P514" s="380">
        <f t="shared" si="349"/>
        <v>9</v>
      </c>
      <c r="Q514" s="380">
        <f t="shared" si="349"/>
        <v>10</v>
      </c>
      <c r="R514" s="317"/>
    </row>
    <row r="515" spans="2:18" ht="13.5" customHeight="1" outlineLevel="1">
      <c r="B515" s="381" t="s">
        <v>41</v>
      </c>
      <c r="C515" s="381"/>
      <c r="D515" s="382"/>
      <c r="E515" s="382"/>
      <c r="F515" s="382"/>
      <c r="G515" s="383"/>
      <c r="H515" s="384">
        <f>H$3*4</f>
        <v>2</v>
      </c>
      <c r="I515" s="384">
        <f t="shared" ref="I515:Q515" si="350">I$3*4</f>
        <v>4</v>
      </c>
      <c r="J515" s="384">
        <f t="shared" si="350"/>
        <v>4</v>
      </c>
      <c r="K515" s="384">
        <f t="shared" si="350"/>
        <v>4</v>
      </c>
      <c r="L515" s="384">
        <f t="shared" si="350"/>
        <v>4</v>
      </c>
      <c r="M515" s="384">
        <f t="shared" si="350"/>
        <v>4</v>
      </c>
      <c r="N515" s="384">
        <f t="shared" si="350"/>
        <v>4</v>
      </c>
      <c r="O515" s="384">
        <f t="shared" si="350"/>
        <v>4</v>
      </c>
      <c r="P515" s="384">
        <f t="shared" si="350"/>
        <v>4</v>
      </c>
      <c r="Q515" s="384">
        <f t="shared" si="350"/>
        <v>4</v>
      </c>
      <c r="R515" s="317"/>
    </row>
    <row r="516" spans="2:18" ht="13.5" customHeight="1" outlineLevel="1">
      <c r="B516" s="50"/>
      <c r="C516" s="50"/>
      <c r="D516" s="50"/>
      <c r="G516" s="50"/>
      <c r="H516" s="350"/>
      <c r="I516" s="350"/>
      <c r="J516" s="350"/>
      <c r="N516" s="57"/>
      <c r="R516" s="317"/>
    </row>
    <row r="517" spans="2:18" ht="13.5" customHeight="1" outlineLevel="1">
      <c r="B517" s="108" t="s">
        <v>534</v>
      </c>
      <c r="C517" s="109"/>
      <c r="D517" s="109"/>
      <c r="E517" s="306"/>
      <c r="F517" s="306"/>
      <c r="G517" s="306"/>
      <c r="H517" s="306"/>
      <c r="I517" s="109"/>
      <c r="J517" s="306"/>
      <c r="K517" s="306"/>
      <c r="L517" s="306"/>
      <c r="M517" s="306"/>
      <c r="N517" s="306"/>
      <c r="O517" s="306"/>
      <c r="P517" s="306"/>
      <c r="Q517" s="110"/>
    </row>
    <row r="518" spans="2:18" ht="13.5" customHeight="1" outlineLevel="1">
      <c r="B518" s="50"/>
      <c r="C518" s="50"/>
      <c r="D518" s="50"/>
      <c r="G518" s="50"/>
      <c r="H518" s="350"/>
      <c r="I518" s="350"/>
      <c r="J518" s="350"/>
      <c r="N518" s="57"/>
      <c r="R518" s="317"/>
    </row>
    <row r="519" spans="2:18" ht="13.5" customHeight="1" outlineLevel="1">
      <c r="B519" s="88" t="s">
        <v>159</v>
      </c>
      <c r="C519" s="321"/>
      <c r="D519" s="321"/>
      <c r="E519" s="321"/>
      <c r="F519" s="321"/>
      <c r="G519" s="126">
        <f>Inputs!M64</f>
        <v>7</v>
      </c>
      <c r="H519" s="275"/>
      <c r="I519" s="385"/>
      <c r="J519" s="385"/>
      <c r="K519" s="385"/>
      <c r="L519" s="385"/>
      <c r="M519" s="385"/>
      <c r="N519" s="385"/>
      <c r="O519" s="385"/>
      <c r="P519" s="385"/>
      <c r="Q519" s="385"/>
      <c r="R519" s="317"/>
    </row>
    <row r="520" spans="2:18" ht="13.5" customHeight="1" outlineLevel="1">
      <c r="B520" s="57" t="s">
        <v>218</v>
      </c>
      <c r="C520" s="321"/>
      <c r="D520" s="321"/>
      <c r="E520" s="321"/>
      <c r="F520" s="321"/>
      <c r="G520" s="386">
        <v>1</v>
      </c>
      <c r="H520" s="275"/>
      <c r="I520" s="385"/>
      <c r="J520" s="385"/>
      <c r="K520" s="385"/>
      <c r="L520" s="385"/>
      <c r="M520" s="385"/>
      <c r="N520" s="385"/>
      <c r="O520" s="385"/>
      <c r="P520" s="385"/>
      <c r="Q520" s="385"/>
      <c r="R520" s="317"/>
    </row>
    <row r="521" spans="2:18" ht="13.5" customHeight="1" outlineLevel="1">
      <c r="B521" s="381" t="s">
        <v>217</v>
      </c>
      <c r="C521" s="381"/>
      <c r="D521" s="387"/>
      <c r="E521" s="387"/>
      <c r="F521" s="387"/>
      <c r="H521" s="388">
        <f t="shared" ref="H521:Q521" si="351">IFERROR(SYD($G$528,0,$G$519,H$514),0)</f>
        <v>3.75</v>
      </c>
      <c r="I521" s="388">
        <f t="shared" si="351"/>
        <v>3.2142857142857144</v>
      </c>
      <c r="J521" s="388">
        <f t="shared" si="351"/>
        <v>2.6785714285714284</v>
      </c>
      <c r="K521" s="388">
        <f t="shared" si="351"/>
        <v>2.1428571428571428</v>
      </c>
      <c r="L521" s="388">
        <f t="shared" si="351"/>
        <v>1.6071428571428572</v>
      </c>
      <c r="M521" s="388">
        <f t="shared" si="351"/>
        <v>1.0714285714285714</v>
      </c>
      <c r="N521" s="388">
        <f t="shared" si="351"/>
        <v>0.5357142857142857</v>
      </c>
      <c r="O521" s="388">
        <f t="shared" si="351"/>
        <v>0</v>
      </c>
      <c r="P521" s="388">
        <f t="shared" si="351"/>
        <v>0</v>
      </c>
      <c r="Q521" s="388">
        <f t="shared" si="351"/>
        <v>0</v>
      </c>
      <c r="R521" s="317"/>
    </row>
    <row r="522" spans="2:18" ht="13.5" customHeight="1" outlineLevel="1">
      <c r="B522" s="381" t="s">
        <v>219</v>
      </c>
      <c r="C522" s="381"/>
      <c r="H522" s="199">
        <f t="shared" ref="H522:Q522" si="352">$G$528/$G$519</f>
        <v>2.1428571428571428</v>
      </c>
      <c r="I522" s="199">
        <f t="shared" si="352"/>
        <v>2.1428571428571428</v>
      </c>
      <c r="J522" s="199">
        <f t="shared" si="352"/>
        <v>2.1428571428571428</v>
      </c>
      <c r="K522" s="199">
        <f t="shared" si="352"/>
        <v>2.1428571428571428</v>
      </c>
      <c r="L522" s="199">
        <f t="shared" si="352"/>
        <v>2.1428571428571428</v>
      </c>
      <c r="M522" s="199">
        <f t="shared" si="352"/>
        <v>2.1428571428571428</v>
      </c>
      <c r="N522" s="199">
        <f t="shared" si="352"/>
        <v>2.1428571428571428</v>
      </c>
      <c r="O522" s="199">
        <f t="shared" si="352"/>
        <v>2.1428571428571428</v>
      </c>
      <c r="P522" s="199">
        <f t="shared" si="352"/>
        <v>2.1428571428571428</v>
      </c>
      <c r="Q522" s="199">
        <f t="shared" si="352"/>
        <v>2.1428571428571428</v>
      </c>
      <c r="R522" s="317"/>
    </row>
    <row r="523" spans="2:18" ht="13.5" customHeight="1" outlineLevel="1">
      <c r="B523" s="381" t="s">
        <v>220</v>
      </c>
      <c r="C523" s="381"/>
      <c r="G523" s="389" t="str">
        <f>CHOOSE($G$520,"SYD:","Straight line:")</f>
        <v>SYD:</v>
      </c>
      <c r="H523" s="199">
        <f t="shared" ref="H523:Q523" si="353">CHOOSE($G$520,H521,H522)</f>
        <v>3.75</v>
      </c>
      <c r="I523" s="199">
        <f t="shared" si="353"/>
        <v>3.2142857142857144</v>
      </c>
      <c r="J523" s="199">
        <f t="shared" si="353"/>
        <v>2.6785714285714284</v>
      </c>
      <c r="K523" s="199">
        <f t="shared" si="353"/>
        <v>2.1428571428571428</v>
      </c>
      <c r="L523" s="199">
        <f t="shared" si="353"/>
        <v>1.6071428571428572</v>
      </c>
      <c r="M523" s="199">
        <f t="shared" si="353"/>
        <v>1.0714285714285714</v>
      </c>
      <c r="N523" s="199">
        <f t="shared" si="353"/>
        <v>0.5357142857142857</v>
      </c>
      <c r="O523" s="199">
        <f t="shared" si="353"/>
        <v>0</v>
      </c>
      <c r="P523" s="199">
        <f t="shared" si="353"/>
        <v>0</v>
      </c>
      <c r="Q523" s="199">
        <f t="shared" si="353"/>
        <v>0</v>
      </c>
      <c r="R523" s="317"/>
    </row>
    <row r="524" spans="2:18" ht="13.5" customHeight="1" outlineLevel="1">
      <c r="B524" s="381" t="s">
        <v>221</v>
      </c>
      <c r="C524" s="381"/>
      <c r="H524" s="297">
        <f>$H515/4*H523</f>
        <v>1.875</v>
      </c>
      <c r="I524" s="199">
        <f t="shared" ref="I524:Q524" si="354">(4-$H515)/4*H523+$H515/4*I523</f>
        <v>3.4821428571428572</v>
      </c>
      <c r="J524" s="199">
        <f t="shared" si="354"/>
        <v>2.9464285714285712</v>
      </c>
      <c r="K524" s="199">
        <f t="shared" si="354"/>
        <v>2.4107142857142856</v>
      </c>
      <c r="L524" s="199">
        <f t="shared" si="354"/>
        <v>1.875</v>
      </c>
      <c r="M524" s="199">
        <f t="shared" si="354"/>
        <v>1.3392857142857144</v>
      </c>
      <c r="N524" s="199">
        <f t="shared" si="354"/>
        <v>0.8035714285714286</v>
      </c>
      <c r="O524" s="199">
        <f t="shared" si="354"/>
        <v>0.26785714285714285</v>
      </c>
      <c r="P524" s="199">
        <f t="shared" si="354"/>
        <v>0</v>
      </c>
      <c r="Q524" s="199">
        <f t="shared" si="354"/>
        <v>0</v>
      </c>
      <c r="R524" s="317"/>
    </row>
    <row r="525" spans="2:18" ht="13.5" customHeight="1" outlineLevel="1">
      <c r="B525" s="260"/>
      <c r="C525" s="260"/>
      <c r="D525" s="260"/>
      <c r="E525" s="260"/>
      <c r="F525" s="260"/>
      <c r="G525" s="50"/>
      <c r="H525" s="350"/>
      <c r="I525" s="350"/>
      <c r="J525" s="350"/>
      <c r="N525" s="57"/>
      <c r="R525" s="317"/>
    </row>
    <row r="526" spans="2:18" ht="13.5" customHeight="1" outlineLevel="1">
      <c r="B526" s="88" t="s">
        <v>160</v>
      </c>
      <c r="C526" s="260"/>
      <c r="D526" s="260"/>
      <c r="E526" s="260"/>
      <c r="F526" s="260"/>
      <c r="G526" s="260"/>
      <c r="H526" s="328">
        <f t="shared" ref="H526:Q526" si="355">G528</f>
        <v>15</v>
      </c>
      <c r="I526" s="328">
        <f t="shared" si="355"/>
        <v>13.125</v>
      </c>
      <c r="J526" s="328">
        <f t="shared" si="355"/>
        <v>9.6428571428571423</v>
      </c>
      <c r="K526" s="328">
        <f t="shared" si="355"/>
        <v>6.6964285714285712</v>
      </c>
      <c r="L526" s="328">
        <f t="shared" si="355"/>
        <v>4.2857142857142856</v>
      </c>
      <c r="M526" s="328">
        <f t="shared" si="355"/>
        <v>2.4107142857142856</v>
      </c>
      <c r="N526" s="328">
        <f t="shared" si="355"/>
        <v>1.0714285714285712</v>
      </c>
      <c r="O526" s="328">
        <f t="shared" si="355"/>
        <v>0.26785714285714257</v>
      </c>
      <c r="P526" s="328">
        <f t="shared" si="355"/>
        <v>0</v>
      </c>
      <c r="Q526" s="328">
        <f t="shared" si="355"/>
        <v>0</v>
      </c>
      <c r="R526" s="317"/>
    </row>
    <row r="527" spans="2:18" ht="13.5" customHeight="1" outlineLevel="1">
      <c r="B527" s="88" t="s">
        <v>536</v>
      </c>
      <c r="C527" s="260"/>
      <c r="D527" s="260"/>
      <c r="E527" s="260"/>
      <c r="F527" s="260"/>
      <c r="G527" s="260"/>
      <c r="H527" s="141">
        <f>-MIN(H524,H526)</f>
        <v>-1.875</v>
      </c>
      <c r="I527" s="141">
        <f t="shared" ref="I527:Q527" si="356">-MIN(I524,I526)</f>
        <v>-3.4821428571428572</v>
      </c>
      <c r="J527" s="141">
        <f t="shared" si="356"/>
        <v>-2.9464285714285712</v>
      </c>
      <c r="K527" s="141">
        <f t="shared" si="356"/>
        <v>-2.4107142857142856</v>
      </c>
      <c r="L527" s="141">
        <f t="shared" si="356"/>
        <v>-1.875</v>
      </c>
      <c r="M527" s="141">
        <f t="shared" si="356"/>
        <v>-1.3392857142857144</v>
      </c>
      <c r="N527" s="141">
        <f t="shared" si="356"/>
        <v>-0.8035714285714286</v>
      </c>
      <c r="O527" s="141">
        <f t="shared" si="356"/>
        <v>-0.26785714285714257</v>
      </c>
      <c r="P527" s="141">
        <f t="shared" si="356"/>
        <v>0</v>
      </c>
      <c r="Q527" s="141">
        <f t="shared" si="356"/>
        <v>0</v>
      </c>
      <c r="R527" s="317"/>
    </row>
    <row r="528" spans="2:18" ht="13.5" customHeight="1" outlineLevel="1">
      <c r="B528" s="119" t="s">
        <v>161</v>
      </c>
      <c r="C528" s="390"/>
      <c r="D528" s="390"/>
      <c r="E528" s="390"/>
      <c r="F528" s="390"/>
      <c r="G528" s="391">
        <f>Close!H58</f>
        <v>15</v>
      </c>
      <c r="H528" s="148">
        <f t="shared" ref="H528:Q528" si="357">SUM(H526:H527)</f>
        <v>13.125</v>
      </c>
      <c r="I528" s="148">
        <f t="shared" si="357"/>
        <v>9.6428571428571423</v>
      </c>
      <c r="J528" s="148">
        <f t="shared" si="357"/>
        <v>6.6964285714285712</v>
      </c>
      <c r="K528" s="148">
        <f t="shared" si="357"/>
        <v>4.2857142857142856</v>
      </c>
      <c r="L528" s="148">
        <f t="shared" si="357"/>
        <v>2.4107142857142856</v>
      </c>
      <c r="M528" s="148">
        <f t="shared" si="357"/>
        <v>1.0714285714285712</v>
      </c>
      <c r="N528" s="148">
        <f t="shared" si="357"/>
        <v>0.26785714285714257</v>
      </c>
      <c r="O528" s="148">
        <f t="shared" si="357"/>
        <v>0</v>
      </c>
      <c r="P528" s="148">
        <f t="shared" si="357"/>
        <v>0</v>
      </c>
      <c r="Q528" s="148">
        <f t="shared" si="357"/>
        <v>0</v>
      </c>
      <c r="R528" s="317"/>
    </row>
    <row r="529" spans="2:18" ht="13.5" customHeight="1" outlineLevel="1">
      <c r="B529" s="50"/>
      <c r="C529" s="50"/>
      <c r="D529" s="50"/>
      <c r="G529" s="50"/>
      <c r="H529" s="350"/>
      <c r="I529" s="350"/>
      <c r="J529" s="350"/>
      <c r="N529" s="57"/>
      <c r="R529" s="317"/>
    </row>
    <row r="530" spans="2:18" ht="13.5" customHeight="1" outlineLevel="1">
      <c r="B530" s="88" t="str">
        <f>"Standalone "&amp;acquirer&amp;" book depreciation"</f>
        <v>Standalone BuyerCo book depreciation</v>
      </c>
      <c r="C530" s="88"/>
      <c r="D530" s="88"/>
      <c r="E530" s="88"/>
      <c r="F530" s="88"/>
      <c r="G530" s="88"/>
      <c r="H530" s="351">
        <f>Acquirer!T375</f>
        <v>37.35</v>
      </c>
      <c r="I530" s="135">
        <f>Acquirer!H375</f>
        <v>85.4</v>
      </c>
      <c r="J530" s="135">
        <f>Acquirer!I375</f>
        <v>93.940000000000012</v>
      </c>
      <c r="K530" s="135">
        <f>Acquirer!J375</f>
        <v>103.33400000000003</v>
      </c>
      <c r="L530" s="135">
        <f>Acquirer!K375</f>
        <v>113.66740000000006</v>
      </c>
      <c r="M530" s="135">
        <f>Acquirer!L375</f>
        <v>125.03414000000006</v>
      </c>
      <c r="N530" s="135">
        <f>Acquirer!M375</f>
        <v>137.53755400000009</v>
      </c>
      <c r="O530" s="135">
        <f>Acquirer!N375</f>
        <v>151.2913094000001</v>
      </c>
      <c r="P530" s="135">
        <f>Acquirer!O375</f>
        <v>166.42044034000011</v>
      </c>
      <c r="Q530" s="135">
        <f>Acquirer!P375</f>
        <v>183.06248437400015</v>
      </c>
      <c r="R530" s="317"/>
    </row>
    <row r="531" spans="2:18" ht="13.5" customHeight="1" outlineLevel="1">
      <c r="B531" s="88" t="str">
        <f>"Standalone "&amp;target&amp;" book depreciation"</f>
        <v>Standalone TargetCo book depreciation</v>
      </c>
      <c r="C531" s="88"/>
      <c r="D531" s="88"/>
      <c r="E531" s="88"/>
      <c r="F531" s="88"/>
      <c r="G531" s="88"/>
      <c r="H531" s="184">
        <f>Target!T375</f>
        <v>7.05</v>
      </c>
      <c r="I531" s="126">
        <f>Target!H375</f>
        <v>14.1</v>
      </c>
      <c r="J531" s="126">
        <f>Target!I375</f>
        <v>14.241</v>
      </c>
      <c r="K531" s="126">
        <f>Target!J375</f>
        <v>14.38341</v>
      </c>
      <c r="L531" s="126">
        <f>Target!K375</f>
        <v>14.527244100000001</v>
      </c>
      <c r="M531" s="126">
        <f>Target!L375</f>
        <v>14.672516541</v>
      </c>
      <c r="N531" s="126">
        <f>Target!M375</f>
        <v>14.819241706410002</v>
      </c>
      <c r="O531" s="126">
        <f>Target!N375</f>
        <v>14.967434123474101</v>
      </c>
      <c r="P531" s="126">
        <f>Target!O375</f>
        <v>15.117108464708842</v>
      </c>
      <c r="Q531" s="126">
        <f>Target!P375</f>
        <v>15.268279549355931</v>
      </c>
      <c r="R531" s="317"/>
    </row>
    <row r="532" spans="2:18" ht="13.5" customHeight="1" outlineLevel="1">
      <c r="B532" s="88" t="s">
        <v>244</v>
      </c>
      <c r="C532" s="88"/>
      <c r="D532" s="88"/>
      <c r="E532" s="88"/>
      <c r="F532" s="88"/>
      <c r="G532" s="88"/>
      <c r="H532" s="118">
        <f t="shared" ref="H532:Q532" si="358">-H527</f>
        <v>1.875</v>
      </c>
      <c r="I532" s="118">
        <f t="shared" si="358"/>
        <v>3.4821428571428572</v>
      </c>
      <c r="J532" s="118">
        <f t="shared" si="358"/>
        <v>2.9464285714285712</v>
      </c>
      <c r="K532" s="118">
        <f t="shared" si="358"/>
        <v>2.4107142857142856</v>
      </c>
      <c r="L532" s="118">
        <f t="shared" si="358"/>
        <v>1.875</v>
      </c>
      <c r="M532" s="118">
        <f t="shared" si="358"/>
        <v>1.3392857142857144</v>
      </c>
      <c r="N532" s="118">
        <f t="shared" si="358"/>
        <v>0.8035714285714286</v>
      </c>
      <c r="O532" s="118">
        <f t="shared" si="358"/>
        <v>0.26785714285714257</v>
      </c>
      <c r="P532" s="118">
        <f t="shared" si="358"/>
        <v>0</v>
      </c>
      <c r="Q532" s="118">
        <f t="shared" si="358"/>
        <v>0</v>
      </c>
      <c r="R532" s="317"/>
    </row>
    <row r="533" spans="2:18" ht="13.5" customHeight="1" outlineLevel="1">
      <c r="B533" s="164" t="s">
        <v>532</v>
      </c>
      <c r="C533" s="164"/>
      <c r="D533" s="164"/>
      <c r="E533" s="164"/>
      <c r="F533" s="164"/>
      <c r="G533" s="164"/>
      <c r="H533" s="166">
        <f t="shared" ref="H533:Q533" si="359">SUM(H530:H532)</f>
        <v>46.274999999999999</v>
      </c>
      <c r="I533" s="166">
        <f t="shared" si="359"/>
        <v>102.98214285714286</v>
      </c>
      <c r="J533" s="166">
        <f t="shared" si="359"/>
        <v>111.12742857142858</v>
      </c>
      <c r="K533" s="166">
        <f t="shared" si="359"/>
        <v>120.12812428571432</v>
      </c>
      <c r="L533" s="166">
        <f t="shared" si="359"/>
        <v>130.06964410000006</v>
      </c>
      <c r="M533" s="166">
        <f t="shared" si="359"/>
        <v>141.04594225528578</v>
      </c>
      <c r="N533" s="166">
        <f t="shared" si="359"/>
        <v>153.1603671349815</v>
      </c>
      <c r="O533" s="166">
        <f t="shared" si="359"/>
        <v>166.52660066633135</v>
      </c>
      <c r="P533" s="166">
        <f t="shared" si="359"/>
        <v>181.53754880470896</v>
      </c>
      <c r="Q533" s="166">
        <f t="shared" si="359"/>
        <v>198.33076392335607</v>
      </c>
      <c r="R533" s="317"/>
    </row>
    <row r="534" spans="2:18" ht="13.5" customHeight="1" outlineLevel="1">
      <c r="B534" s="50"/>
      <c r="C534" s="50"/>
      <c r="D534" s="50"/>
      <c r="G534" s="50"/>
      <c r="H534" s="350"/>
      <c r="I534" s="350"/>
      <c r="J534" s="350"/>
      <c r="N534" s="57"/>
      <c r="R534" s="317"/>
    </row>
    <row r="535" spans="2:18" ht="13.5" customHeight="1" outlineLevel="1">
      <c r="B535" s="108" t="s">
        <v>535</v>
      </c>
      <c r="C535" s="109"/>
      <c r="D535" s="109"/>
      <c r="E535" s="306"/>
      <c r="F535" s="306"/>
      <c r="G535" s="306"/>
      <c r="H535" s="306"/>
      <c r="I535" s="109"/>
      <c r="J535" s="306"/>
      <c r="K535" s="306"/>
      <c r="L535" s="306"/>
      <c r="M535" s="306"/>
      <c r="N535" s="306"/>
      <c r="O535" s="306"/>
      <c r="P535" s="306"/>
      <c r="Q535" s="110"/>
    </row>
    <row r="536" spans="2:18" ht="13.5" customHeight="1" outlineLevel="1">
      <c r="B536" s="50"/>
      <c r="C536" s="50"/>
      <c r="D536" s="50"/>
      <c r="G536" s="50"/>
      <c r="H536" s="350"/>
      <c r="I536" s="350"/>
      <c r="J536" s="350"/>
      <c r="N536" s="57"/>
      <c r="R536" s="317"/>
    </row>
    <row r="537" spans="2:18" ht="13.5" customHeight="1" outlineLevel="1">
      <c r="B537" s="88" t="s">
        <v>159</v>
      </c>
      <c r="C537" s="321"/>
      <c r="D537" s="321"/>
      <c r="E537" s="321"/>
      <c r="F537" s="321"/>
      <c r="G537" s="126">
        <f>Inputs!M65</f>
        <v>9</v>
      </c>
      <c r="H537" s="275"/>
      <c r="I537" s="385"/>
      <c r="J537" s="385"/>
      <c r="K537" s="385"/>
      <c r="L537" s="385"/>
      <c r="M537" s="385"/>
      <c r="N537" s="385"/>
      <c r="O537" s="385"/>
      <c r="P537" s="385"/>
      <c r="Q537" s="385"/>
      <c r="R537" s="317"/>
    </row>
    <row r="538" spans="2:18" ht="13.5" customHeight="1" outlineLevel="1">
      <c r="B538" s="57" t="s">
        <v>218</v>
      </c>
      <c r="C538" s="321"/>
      <c r="D538" s="321"/>
      <c r="E538" s="321"/>
      <c r="F538" s="321"/>
      <c r="G538" s="386">
        <v>1</v>
      </c>
      <c r="H538" s="275"/>
      <c r="I538" s="385"/>
      <c r="J538" s="385"/>
      <c r="K538" s="385"/>
      <c r="L538" s="385"/>
      <c r="M538" s="385"/>
      <c r="N538" s="385"/>
      <c r="O538" s="385"/>
      <c r="P538" s="385"/>
      <c r="Q538" s="385"/>
      <c r="R538" s="317"/>
    </row>
    <row r="539" spans="2:18" ht="13.5" customHeight="1" outlineLevel="1">
      <c r="B539" s="381" t="s">
        <v>217</v>
      </c>
      <c r="C539" s="381"/>
      <c r="D539" s="387"/>
      <c r="E539" s="387"/>
      <c r="F539" s="387"/>
      <c r="H539" s="388">
        <f t="shared" ref="H539:Q539" si="360">IFERROR(SYD($G$546,0,$G$537,H$514),0)</f>
        <v>0</v>
      </c>
      <c r="I539" s="388">
        <f t="shared" si="360"/>
        <v>0</v>
      </c>
      <c r="J539" s="388">
        <f t="shared" si="360"/>
        <v>0</v>
      </c>
      <c r="K539" s="388">
        <f t="shared" si="360"/>
        <v>0</v>
      </c>
      <c r="L539" s="388">
        <f t="shared" si="360"/>
        <v>0</v>
      </c>
      <c r="M539" s="388">
        <f t="shared" si="360"/>
        <v>0</v>
      </c>
      <c r="N539" s="388">
        <f t="shared" si="360"/>
        <v>0</v>
      </c>
      <c r="O539" s="388">
        <f t="shared" si="360"/>
        <v>0</v>
      </c>
      <c r="P539" s="388">
        <f t="shared" si="360"/>
        <v>0</v>
      </c>
      <c r="Q539" s="388">
        <f t="shared" si="360"/>
        <v>0</v>
      </c>
      <c r="R539" s="317"/>
    </row>
    <row r="540" spans="2:18" ht="13.5" customHeight="1" outlineLevel="1">
      <c r="B540" s="381" t="s">
        <v>219</v>
      </c>
      <c r="C540" s="381"/>
      <c r="H540" s="199">
        <f t="shared" ref="H540:Q540" si="361">$G$546/$G$537</f>
        <v>0</v>
      </c>
      <c r="I540" s="199">
        <f t="shared" si="361"/>
        <v>0</v>
      </c>
      <c r="J540" s="199">
        <f t="shared" si="361"/>
        <v>0</v>
      </c>
      <c r="K540" s="199">
        <f t="shared" si="361"/>
        <v>0</v>
      </c>
      <c r="L540" s="199">
        <f t="shared" si="361"/>
        <v>0</v>
      </c>
      <c r="M540" s="199">
        <f t="shared" si="361"/>
        <v>0</v>
      </c>
      <c r="N540" s="199">
        <f t="shared" si="361"/>
        <v>0</v>
      </c>
      <c r="O540" s="199">
        <f t="shared" si="361"/>
        <v>0</v>
      </c>
      <c r="P540" s="199">
        <f t="shared" si="361"/>
        <v>0</v>
      </c>
      <c r="Q540" s="199">
        <f t="shared" si="361"/>
        <v>0</v>
      </c>
      <c r="R540" s="317"/>
    </row>
    <row r="541" spans="2:18" ht="13.5" customHeight="1" outlineLevel="1">
      <c r="B541" s="381" t="s">
        <v>220</v>
      </c>
      <c r="C541" s="381"/>
      <c r="G541" s="389" t="str">
        <f>CHOOSE($G$538,"SYD:","Straight line:")</f>
        <v>SYD:</v>
      </c>
      <c r="H541" s="199">
        <f t="shared" ref="H541:Q541" si="362">CHOOSE($G$538,H539,H540)</f>
        <v>0</v>
      </c>
      <c r="I541" s="199">
        <f t="shared" si="362"/>
        <v>0</v>
      </c>
      <c r="J541" s="199">
        <f t="shared" si="362"/>
        <v>0</v>
      </c>
      <c r="K541" s="199">
        <f t="shared" si="362"/>
        <v>0</v>
      </c>
      <c r="L541" s="199">
        <f t="shared" si="362"/>
        <v>0</v>
      </c>
      <c r="M541" s="199">
        <f t="shared" si="362"/>
        <v>0</v>
      </c>
      <c r="N541" s="199">
        <f t="shared" si="362"/>
        <v>0</v>
      </c>
      <c r="O541" s="199">
        <f t="shared" si="362"/>
        <v>0</v>
      </c>
      <c r="P541" s="199">
        <f t="shared" si="362"/>
        <v>0</v>
      </c>
      <c r="Q541" s="199">
        <f t="shared" si="362"/>
        <v>0</v>
      </c>
      <c r="R541" s="317"/>
    </row>
    <row r="542" spans="2:18" ht="13.5" customHeight="1" outlineLevel="1">
      <c r="B542" s="381" t="s">
        <v>221</v>
      </c>
      <c r="C542" s="381"/>
      <c r="H542" s="297">
        <f>$H515/4*H541</f>
        <v>0</v>
      </c>
      <c r="I542" s="199">
        <f t="shared" ref="I542:Q542" si="363">(4-$H515)/4*H541+$H515/4*I541</f>
        <v>0</v>
      </c>
      <c r="J542" s="199">
        <f t="shared" si="363"/>
        <v>0</v>
      </c>
      <c r="K542" s="199">
        <f t="shared" si="363"/>
        <v>0</v>
      </c>
      <c r="L542" s="199">
        <f t="shared" si="363"/>
        <v>0</v>
      </c>
      <c r="M542" s="199">
        <f t="shared" si="363"/>
        <v>0</v>
      </c>
      <c r="N542" s="199">
        <f t="shared" si="363"/>
        <v>0</v>
      </c>
      <c r="O542" s="199">
        <f t="shared" si="363"/>
        <v>0</v>
      </c>
      <c r="P542" s="199">
        <f t="shared" si="363"/>
        <v>0</v>
      </c>
      <c r="Q542" s="199">
        <f t="shared" si="363"/>
        <v>0</v>
      </c>
      <c r="R542" s="317"/>
    </row>
    <row r="543" spans="2:18" ht="13.5" customHeight="1" outlineLevel="1">
      <c r="B543" s="260"/>
      <c r="C543" s="260"/>
      <c r="D543" s="260"/>
      <c r="E543" s="260"/>
      <c r="F543" s="260"/>
      <c r="G543" s="50"/>
      <c r="H543" s="350"/>
      <c r="I543" s="350"/>
      <c r="J543" s="350"/>
      <c r="N543" s="57"/>
      <c r="R543" s="317"/>
    </row>
    <row r="544" spans="2:18" ht="13.5" customHeight="1" outlineLevel="1">
      <c r="B544" s="88" t="s">
        <v>160</v>
      </c>
      <c r="C544" s="260"/>
      <c r="D544" s="260"/>
      <c r="E544" s="260"/>
      <c r="F544" s="260"/>
      <c r="G544" s="260"/>
      <c r="H544" s="328">
        <f t="shared" ref="H544" si="364">G546</f>
        <v>0</v>
      </c>
      <c r="I544" s="328">
        <f t="shared" ref="I544" si="365">H546</f>
        <v>0</v>
      </c>
      <c r="J544" s="328">
        <f t="shared" ref="J544" si="366">I546</f>
        <v>0</v>
      </c>
      <c r="K544" s="328">
        <f t="shared" ref="K544" si="367">J546</f>
        <v>0</v>
      </c>
      <c r="L544" s="328">
        <f t="shared" ref="L544" si="368">K546</f>
        <v>0</v>
      </c>
      <c r="M544" s="328">
        <f t="shared" ref="M544" si="369">L546</f>
        <v>0</v>
      </c>
      <c r="N544" s="328">
        <f t="shared" ref="N544" si="370">M546</f>
        <v>0</v>
      </c>
      <c r="O544" s="328">
        <f t="shared" ref="O544" si="371">N546</f>
        <v>0</v>
      </c>
      <c r="P544" s="328">
        <f t="shared" ref="P544" si="372">O546</f>
        <v>0</v>
      </c>
      <c r="Q544" s="328">
        <f t="shared" ref="Q544" si="373">P546</f>
        <v>0</v>
      </c>
      <c r="R544" s="317"/>
    </row>
    <row r="545" spans="1:19" ht="13.5" customHeight="1" outlineLevel="1">
      <c r="B545" s="88" t="s">
        <v>482</v>
      </c>
      <c r="C545" s="260"/>
      <c r="D545" s="260"/>
      <c r="E545" s="260"/>
      <c r="F545" s="260"/>
      <c r="G545" s="260"/>
      <c r="H545" s="141">
        <f>-MIN(H542,H544)</f>
        <v>0</v>
      </c>
      <c r="I545" s="141">
        <f t="shared" ref="I545:Q545" si="374">-MIN(I542,I544)</f>
        <v>0</v>
      </c>
      <c r="J545" s="141">
        <f t="shared" si="374"/>
        <v>0</v>
      </c>
      <c r="K545" s="141">
        <f t="shared" si="374"/>
        <v>0</v>
      </c>
      <c r="L545" s="141">
        <f t="shared" si="374"/>
        <v>0</v>
      </c>
      <c r="M545" s="141">
        <f t="shared" si="374"/>
        <v>0</v>
      </c>
      <c r="N545" s="141">
        <f t="shared" si="374"/>
        <v>0</v>
      </c>
      <c r="O545" s="141">
        <f t="shared" si="374"/>
        <v>0</v>
      </c>
      <c r="P545" s="141">
        <f t="shared" si="374"/>
        <v>0</v>
      </c>
      <c r="Q545" s="141">
        <f t="shared" si="374"/>
        <v>0</v>
      </c>
      <c r="R545" s="317"/>
    </row>
    <row r="546" spans="1:19" ht="13.5" customHeight="1" outlineLevel="1">
      <c r="B546" s="119" t="s">
        <v>161</v>
      </c>
      <c r="C546" s="390"/>
      <c r="D546" s="390"/>
      <c r="E546" s="390"/>
      <c r="F546" s="390"/>
      <c r="G546" s="391">
        <f>IF(carryover,0,G528)</f>
        <v>0</v>
      </c>
      <c r="H546" s="148">
        <f t="shared" ref="H546:Q546" si="375">SUM(H544:H545)</f>
        <v>0</v>
      </c>
      <c r="I546" s="148">
        <f t="shared" si="375"/>
        <v>0</v>
      </c>
      <c r="J546" s="148">
        <f t="shared" si="375"/>
        <v>0</v>
      </c>
      <c r="K546" s="148">
        <f t="shared" si="375"/>
        <v>0</v>
      </c>
      <c r="L546" s="148">
        <f t="shared" si="375"/>
        <v>0</v>
      </c>
      <c r="M546" s="148">
        <f t="shared" si="375"/>
        <v>0</v>
      </c>
      <c r="N546" s="148">
        <f t="shared" si="375"/>
        <v>0</v>
      </c>
      <c r="O546" s="148">
        <f t="shared" si="375"/>
        <v>0</v>
      </c>
      <c r="P546" s="148">
        <f t="shared" si="375"/>
        <v>0</v>
      </c>
      <c r="Q546" s="148">
        <f t="shared" si="375"/>
        <v>0</v>
      </c>
      <c r="R546" s="317"/>
    </row>
    <row r="547" spans="1:19" ht="13.5" customHeight="1" outlineLevel="1">
      <c r="B547" s="50"/>
      <c r="C547" s="50"/>
      <c r="D547" s="50"/>
      <c r="G547" s="50"/>
      <c r="H547" s="350"/>
      <c r="I547" s="350"/>
      <c r="J547" s="350"/>
      <c r="N547" s="57"/>
      <c r="R547" s="317"/>
    </row>
    <row r="548" spans="1:19" ht="13.5" customHeight="1" outlineLevel="1">
      <c r="B548" s="88" t="str">
        <f>"Standalone "&amp;acquirer&amp;" tax depreciation"</f>
        <v>Standalone BuyerCo tax depreciation</v>
      </c>
      <c r="C548" s="88"/>
      <c r="D548" s="88"/>
      <c r="E548" s="88"/>
      <c r="F548" s="88"/>
      <c r="G548" s="88"/>
      <c r="H548" s="351">
        <f>Acquirer!T399</f>
        <v>37.35</v>
      </c>
      <c r="I548" s="135">
        <f>Acquirer!H399</f>
        <v>85.4</v>
      </c>
      <c r="J548" s="135">
        <f>Acquirer!I399</f>
        <v>93.940000000000012</v>
      </c>
      <c r="K548" s="135">
        <f>Acquirer!J399</f>
        <v>103.33400000000003</v>
      </c>
      <c r="L548" s="135">
        <f>Acquirer!K399</f>
        <v>113.66740000000006</v>
      </c>
      <c r="M548" s="135">
        <f>Acquirer!L399</f>
        <v>125.03414000000006</v>
      </c>
      <c r="N548" s="135">
        <f>Acquirer!M399</f>
        <v>137.53755400000009</v>
      </c>
      <c r="O548" s="135">
        <f>Acquirer!N399</f>
        <v>151.2913094000001</v>
      </c>
      <c r="P548" s="135">
        <f>Acquirer!O399</f>
        <v>166.42044034000011</v>
      </c>
      <c r="Q548" s="135">
        <f>Acquirer!P399</f>
        <v>183.06248437400015</v>
      </c>
      <c r="R548" s="317"/>
    </row>
    <row r="549" spans="1:19" ht="13.5" customHeight="1" outlineLevel="1">
      <c r="B549" s="88" t="str">
        <f>"Standalone "&amp;target&amp;" tax depreciation"</f>
        <v>Standalone TargetCo tax depreciation</v>
      </c>
      <c r="C549" s="88"/>
      <c r="D549" s="88"/>
      <c r="E549" s="88"/>
      <c r="F549" s="88"/>
      <c r="G549" s="88"/>
      <c r="H549" s="184">
        <f>Target!T399</f>
        <v>7.05</v>
      </c>
      <c r="I549" s="126">
        <f>Target!H399</f>
        <v>14.1</v>
      </c>
      <c r="J549" s="126">
        <f>Target!I399</f>
        <v>14.241</v>
      </c>
      <c r="K549" s="126">
        <f>Target!J399</f>
        <v>14.383409999999998</v>
      </c>
      <c r="L549" s="126">
        <f>Target!K399</f>
        <v>14.527244100000001</v>
      </c>
      <c r="M549" s="126">
        <f>Target!L399</f>
        <v>14.672516541</v>
      </c>
      <c r="N549" s="126">
        <f>Target!M399</f>
        <v>14.819241706410002</v>
      </c>
      <c r="O549" s="126">
        <f>Target!N399</f>
        <v>14.967434123474101</v>
      </c>
      <c r="P549" s="126">
        <f>Target!O399</f>
        <v>15.117108464708842</v>
      </c>
      <c r="Q549" s="126">
        <f>Target!P399</f>
        <v>15.268279549355931</v>
      </c>
      <c r="R549" s="317"/>
    </row>
    <row r="550" spans="1:19" ht="13.5" customHeight="1" outlineLevel="1">
      <c r="B550" s="88" t="s">
        <v>244</v>
      </c>
      <c r="C550" s="88"/>
      <c r="D550" s="88"/>
      <c r="E550" s="88"/>
      <c r="F550" s="88"/>
      <c r="G550" s="88"/>
      <c r="H550" s="118">
        <f t="shared" ref="H550:Q550" si="376">-H545</f>
        <v>0</v>
      </c>
      <c r="I550" s="118">
        <f t="shared" si="376"/>
        <v>0</v>
      </c>
      <c r="J550" s="118">
        <f t="shared" si="376"/>
        <v>0</v>
      </c>
      <c r="K550" s="118">
        <f t="shared" si="376"/>
        <v>0</v>
      </c>
      <c r="L550" s="118">
        <f t="shared" si="376"/>
        <v>0</v>
      </c>
      <c r="M550" s="118">
        <f t="shared" si="376"/>
        <v>0</v>
      </c>
      <c r="N550" s="118">
        <f t="shared" si="376"/>
        <v>0</v>
      </c>
      <c r="O550" s="118">
        <f t="shared" si="376"/>
        <v>0</v>
      </c>
      <c r="P550" s="118">
        <f t="shared" si="376"/>
        <v>0</v>
      </c>
      <c r="Q550" s="118">
        <f t="shared" si="376"/>
        <v>0</v>
      </c>
      <c r="R550" s="317"/>
    </row>
    <row r="551" spans="1:19" ht="13.5" customHeight="1" outlineLevel="1">
      <c r="B551" s="164" t="s">
        <v>533</v>
      </c>
      <c r="C551" s="164"/>
      <c r="D551" s="164"/>
      <c r="E551" s="164"/>
      <c r="F551" s="164"/>
      <c r="G551" s="164"/>
      <c r="H551" s="166">
        <f t="shared" ref="H551:Q551" si="377">SUM(H548:H550)</f>
        <v>44.4</v>
      </c>
      <c r="I551" s="166">
        <f t="shared" si="377"/>
        <v>99.5</v>
      </c>
      <c r="J551" s="166">
        <f t="shared" si="377"/>
        <v>108.18100000000001</v>
      </c>
      <c r="K551" s="166">
        <f t="shared" si="377"/>
        <v>117.71741000000003</v>
      </c>
      <c r="L551" s="166">
        <f t="shared" si="377"/>
        <v>128.19464410000006</v>
      </c>
      <c r="M551" s="166">
        <f t="shared" si="377"/>
        <v>139.70665654100006</v>
      </c>
      <c r="N551" s="166">
        <f t="shared" si="377"/>
        <v>152.35679570641008</v>
      </c>
      <c r="O551" s="166">
        <f t="shared" si="377"/>
        <v>166.25874352347421</v>
      </c>
      <c r="P551" s="166">
        <f t="shared" si="377"/>
        <v>181.53754880470896</v>
      </c>
      <c r="Q551" s="166">
        <f t="shared" si="377"/>
        <v>198.33076392335607</v>
      </c>
      <c r="R551" s="317"/>
    </row>
    <row r="552" spans="1:19" ht="5.0999999999999996" customHeight="1" outlineLevel="1" thickBot="1">
      <c r="B552" s="336"/>
      <c r="C552" s="336"/>
      <c r="D552" s="336"/>
      <c r="E552" s="209"/>
      <c r="F552" s="209"/>
      <c r="G552" s="336"/>
      <c r="H552" s="376"/>
      <c r="I552" s="376"/>
      <c r="J552" s="376"/>
      <c r="K552" s="209"/>
      <c r="L552" s="209"/>
      <c r="M552" s="209"/>
      <c r="N552" s="337"/>
      <c r="O552" s="209"/>
      <c r="P552" s="209"/>
      <c r="Q552" s="209"/>
      <c r="R552" s="317"/>
    </row>
    <row r="553" spans="1:19" ht="13.5" customHeight="1" outlineLevel="1">
      <c r="B553" s="50"/>
      <c r="C553" s="50"/>
      <c r="D553" s="50"/>
      <c r="G553" s="50"/>
      <c r="H553" s="350"/>
      <c r="I553" s="350"/>
      <c r="J553" s="350"/>
      <c r="N553" s="57"/>
      <c r="R553" s="317"/>
    </row>
    <row r="554" spans="1:19" ht="13.5" customHeight="1" outlineLevel="1" thickBot="1">
      <c r="B554" s="50"/>
      <c r="C554" s="50"/>
      <c r="D554" s="50"/>
      <c r="G554" s="50"/>
      <c r="H554" s="350"/>
      <c r="I554" s="350"/>
      <c r="J554" s="350"/>
      <c r="N554" s="57"/>
      <c r="R554" s="317"/>
    </row>
    <row r="555" spans="1:19" ht="20.7" thickTop="1">
      <c r="A555" s="281" t="s">
        <v>631</v>
      </c>
      <c r="B555" s="282" t="s">
        <v>422</v>
      </c>
      <c r="C555" s="283"/>
      <c r="D555" s="284"/>
      <c r="E555" s="284"/>
      <c r="F555" s="284"/>
      <c r="G555" s="284"/>
      <c r="H555" s="284"/>
      <c r="I555" s="284"/>
      <c r="J555" s="284"/>
      <c r="K555" s="284"/>
      <c r="L555" s="284"/>
      <c r="M555" s="284"/>
      <c r="N555" s="284"/>
      <c r="O555" s="284"/>
      <c r="P555" s="284"/>
      <c r="Q555" s="284"/>
    </row>
    <row r="556" spans="1:19" ht="5.0999999999999996" customHeight="1" outlineLevel="1">
      <c r="B556" s="107"/>
      <c r="C556" s="285"/>
      <c r="G556" s="285"/>
      <c r="N556" s="57"/>
      <c r="R556" s="317"/>
    </row>
    <row r="557" spans="1:19" ht="13.5" customHeight="1" outlineLevel="1">
      <c r="B557" s="286"/>
      <c r="C557" s="286"/>
      <c r="D557" s="286"/>
      <c r="E557" s="42"/>
      <c r="F557" s="42"/>
      <c r="G557" s="42" t="s">
        <v>38</v>
      </c>
      <c r="H557" s="42" t="s">
        <v>632</v>
      </c>
      <c r="I557" s="287" t="s">
        <v>629</v>
      </c>
      <c r="J557" s="287"/>
      <c r="K557" s="287"/>
      <c r="L557" s="287"/>
      <c r="M557" s="287"/>
      <c r="N557" s="287"/>
      <c r="O557" s="287"/>
      <c r="P557" s="287"/>
      <c r="Q557" s="287"/>
      <c r="R557" s="317"/>
      <c r="S557" s="392"/>
    </row>
    <row r="558" spans="1:19" ht="13.5" customHeight="1" outlineLevel="1" thickBot="1">
      <c r="B558" s="288" t="str">
        <f>"("&amp;curr&amp;" in millions)"</f>
        <v>($ in millions)</v>
      </c>
      <c r="C558" s="289"/>
      <c r="D558" s="289"/>
      <c r="E558" s="290"/>
      <c r="F558" s="290"/>
      <c r="G558" s="291">
        <f>close</f>
        <v>45107</v>
      </c>
      <c r="H558" s="291">
        <f>H$8</f>
        <v>45291</v>
      </c>
      <c r="I558" s="292">
        <f t="shared" ref="I558:Q558" si="378">I$8</f>
        <v>45657</v>
      </c>
      <c r="J558" s="292">
        <f t="shared" si="378"/>
        <v>46022</v>
      </c>
      <c r="K558" s="292">
        <f t="shared" si="378"/>
        <v>46387</v>
      </c>
      <c r="L558" s="292">
        <f t="shared" si="378"/>
        <v>46752</v>
      </c>
      <c r="M558" s="292">
        <f t="shared" si="378"/>
        <v>47118</v>
      </c>
      <c r="N558" s="292">
        <f t="shared" si="378"/>
        <v>47483</v>
      </c>
      <c r="O558" s="292">
        <f t="shared" si="378"/>
        <v>47848</v>
      </c>
      <c r="P558" s="292">
        <f t="shared" si="378"/>
        <v>48213</v>
      </c>
      <c r="Q558" s="292">
        <f t="shared" si="378"/>
        <v>48579</v>
      </c>
      <c r="R558" s="317"/>
    </row>
    <row r="559" spans="1:19" ht="5.0999999999999996" customHeight="1" outlineLevel="1">
      <c r="B559" s="50"/>
      <c r="C559" s="50"/>
      <c r="D559" s="50"/>
      <c r="G559" s="50"/>
      <c r="H559" s="350"/>
      <c r="I559" s="350"/>
      <c r="J559" s="350"/>
      <c r="N559" s="57"/>
      <c r="R559" s="317"/>
    </row>
    <row r="560" spans="1:19" ht="13.5" customHeight="1" outlineLevel="1">
      <c r="B560" s="88" t="s">
        <v>210</v>
      </c>
      <c r="C560" s="321"/>
      <c r="D560" s="377"/>
      <c r="E560" s="377"/>
      <c r="F560" s="377"/>
      <c r="G560" s="378"/>
      <c r="H560" s="379">
        <v>1</v>
      </c>
      <c r="I560" s="380">
        <f t="shared" ref="I560:Q560" si="379">H560+1</f>
        <v>2</v>
      </c>
      <c r="J560" s="380">
        <f t="shared" si="379"/>
        <v>3</v>
      </c>
      <c r="K560" s="380">
        <f t="shared" si="379"/>
        <v>4</v>
      </c>
      <c r="L560" s="380">
        <f t="shared" si="379"/>
        <v>5</v>
      </c>
      <c r="M560" s="380">
        <f t="shared" si="379"/>
        <v>6</v>
      </c>
      <c r="N560" s="380">
        <f t="shared" si="379"/>
        <v>7</v>
      </c>
      <c r="O560" s="380">
        <f t="shared" si="379"/>
        <v>8</v>
      </c>
      <c r="P560" s="380">
        <f t="shared" si="379"/>
        <v>9</v>
      </c>
      <c r="Q560" s="380">
        <f t="shared" si="379"/>
        <v>10</v>
      </c>
      <c r="R560" s="317"/>
    </row>
    <row r="561" spans="2:19" ht="13.5" customHeight="1" outlineLevel="1">
      <c r="B561" s="381" t="s">
        <v>41</v>
      </c>
      <c r="C561" s="381"/>
      <c r="D561" s="382"/>
      <c r="E561" s="382"/>
      <c r="F561" s="382"/>
      <c r="G561" s="383"/>
      <c r="H561" s="384">
        <f>H$3*4</f>
        <v>2</v>
      </c>
      <c r="I561" s="384">
        <f t="shared" ref="I561:Q561" si="380">I$3*4</f>
        <v>4</v>
      </c>
      <c r="J561" s="384">
        <f t="shared" si="380"/>
        <v>4</v>
      </c>
      <c r="K561" s="384">
        <f t="shared" si="380"/>
        <v>4</v>
      </c>
      <c r="L561" s="384">
        <f t="shared" si="380"/>
        <v>4</v>
      </c>
      <c r="M561" s="384">
        <f t="shared" si="380"/>
        <v>4</v>
      </c>
      <c r="N561" s="384">
        <f t="shared" si="380"/>
        <v>4</v>
      </c>
      <c r="O561" s="384">
        <f t="shared" si="380"/>
        <v>4</v>
      </c>
      <c r="P561" s="384">
        <f t="shared" si="380"/>
        <v>4</v>
      </c>
      <c r="Q561" s="384">
        <f t="shared" si="380"/>
        <v>4</v>
      </c>
      <c r="R561" s="317"/>
    </row>
    <row r="562" spans="2:19" s="57" customFormat="1" ht="13.5" customHeight="1" outlineLevel="1">
      <c r="B562" s="88"/>
      <c r="C562" s="321"/>
      <c r="D562" s="321"/>
      <c r="E562" s="321"/>
      <c r="F562" s="321"/>
      <c r="G562" s="393"/>
      <c r="H562" s="394"/>
      <c r="I562" s="394"/>
      <c r="J562" s="394"/>
      <c r="K562" s="394"/>
      <c r="L562" s="394"/>
      <c r="M562" s="394"/>
      <c r="N562" s="394"/>
      <c r="O562" s="394"/>
      <c r="P562" s="394"/>
      <c r="Q562" s="394"/>
      <c r="R562" s="317"/>
      <c r="S562" s="36"/>
    </row>
    <row r="563" spans="2:19" ht="13.5" customHeight="1" outlineLevel="1">
      <c r="B563" s="108" t="s">
        <v>538</v>
      </c>
      <c r="C563" s="109"/>
      <c r="D563" s="109"/>
      <c r="E563" s="306"/>
      <c r="F563" s="306"/>
      <c r="G563" s="306"/>
      <c r="H563" s="306"/>
      <c r="I563" s="109"/>
      <c r="J563" s="306"/>
      <c r="K563" s="306"/>
      <c r="L563" s="306"/>
      <c r="M563" s="306"/>
      <c r="N563" s="306"/>
      <c r="O563" s="306"/>
      <c r="P563" s="306"/>
      <c r="Q563" s="110"/>
    </row>
    <row r="564" spans="2:19" ht="13.5" customHeight="1" outlineLevel="1">
      <c r="B564" s="50"/>
      <c r="C564" s="50"/>
      <c r="D564" s="50"/>
      <c r="G564" s="50"/>
      <c r="H564" s="350"/>
      <c r="I564" s="350"/>
      <c r="J564" s="350"/>
      <c r="N564" s="57"/>
      <c r="R564" s="317"/>
    </row>
    <row r="565" spans="2:19" ht="13.5" customHeight="1" outlineLevel="1">
      <c r="B565" s="88" t="s">
        <v>211</v>
      </c>
      <c r="C565" s="321"/>
      <c r="D565" s="321"/>
      <c r="E565" s="321"/>
      <c r="F565" s="321"/>
      <c r="G565" s="126">
        <f>Inputs!M66</f>
        <v>5</v>
      </c>
      <c r="H565" s="275"/>
      <c r="I565" s="385"/>
      <c r="J565" s="385"/>
      <c r="K565" s="385"/>
      <c r="L565" s="385"/>
      <c r="M565" s="385"/>
      <c r="N565" s="385"/>
      <c r="O565" s="385"/>
      <c r="P565" s="385"/>
      <c r="Q565" s="385"/>
      <c r="R565" s="317"/>
    </row>
    <row r="566" spans="2:19" ht="13.5" customHeight="1" outlineLevel="1">
      <c r="B566" s="57" t="s">
        <v>212</v>
      </c>
      <c r="C566" s="321"/>
      <c r="D566" s="321"/>
      <c r="E566" s="321"/>
      <c r="F566" s="321"/>
      <c r="G566" s="379">
        <v>1</v>
      </c>
      <c r="H566" s="275"/>
      <c r="I566" s="385"/>
      <c r="J566" s="385"/>
      <c r="K566" s="385"/>
      <c r="L566" s="385"/>
      <c r="M566" s="385"/>
      <c r="N566" s="385"/>
      <c r="O566" s="385"/>
      <c r="P566" s="385"/>
      <c r="Q566" s="385"/>
      <c r="R566" s="317"/>
    </row>
    <row r="567" spans="2:19" ht="13.5" customHeight="1" outlineLevel="1">
      <c r="B567" s="381" t="s">
        <v>216</v>
      </c>
      <c r="C567" s="381"/>
      <c r="D567" s="387"/>
      <c r="E567" s="387"/>
      <c r="F567" s="387"/>
      <c r="H567" s="388">
        <f t="shared" ref="H567:Q567" ca="1" si="381">IFERROR(SYD($G$574,0,$G$565,H$560),0)</f>
        <v>22.254632617754812</v>
      </c>
      <c r="I567" s="388">
        <f t="shared" ca="1" si="381"/>
        <v>17.80370609420385</v>
      </c>
      <c r="J567" s="388">
        <f t="shared" ca="1" si="381"/>
        <v>13.352779570652888</v>
      </c>
      <c r="K567" s="388">
        <f t="shared" ca="1" si="381"/>
        <v>8.901853047101925</v>
      </c>
      <c r="L567" s="388">
        <f t="shared" ca="1" si="381"/>
        <v>4.4509265235509625</v>
      </c>
      <c r="M567" s="388">
        <f t="shared" ca="1" si="381"/>
        <v>0</v>
      </c>
      <c r="N567" s="388">
        <f t="shared" ca="1" si="381"/>
        <v>0</v>
      </c>
      <c r="O567" s="388">
        <f t="shared" ca="1" si="381"/>
        <v>0</v>
      </c>
      <c r="P567" s="388">
        <f t="shared" ca="1" si="381"/>
        <v>0</v>
      </c>
      <c r="Q567" s="388">
        <f t="shared" ca="1" si="381"/>
        <v>0</v>
      </c>
      <c r="R567" s="317"/>
    </row>
    <row r="568" spans="2:19" ht="13.5" customHeight="1" outlineLevel="1">
      <c r="B568" s="381" t="s">
        <v>215</v>
      </c>
      <c r="C568" s="381"/>
      <c r="H568" s="199">
        <f t="shared" ref="H568:Q568" ca="1" si="382">$G$574/$G$565</f>
        <v>13.352779570652888</v>
      </c>
      <c r="I568" s="199">
        <f t="shared" ca="1" si="382"/>
        <v>13.352779570652888</v>
      </c>
      <c r="J568" s="199">
        <f t="shared" ca="1" si="382"/>
        <v>13.352779570652888</v>
      </c>
      <c r="K568" s="199">
        <f t="shared" ca="1" si="382"/>
        <v>13.352779570652888</v>
      </c>
      <c r="L568" s="199">
        <f t="shared" ca="1" si="382"/>
        <v>13.352779570652888</v>
      </c>
      <c r="M568" s="199">
        <f t="shared" ca="1" si="382"/>
        <v>13.352779570652888</v>
      </c>
      <c r="N568" s="199">
        <f t="shared" ca="1" si="382"/>
        <v>13.352779570652888</v>
      </c>
      <c r="O568" s="199">
        <f t="shared" ca="1" si="382"/>
        <v>13.352779570652888</v>
      </c>
      <c r="P568" s="199">
        <f t="shared" ca="1" si="382"/>
        <v>13.352779570652888</v>
      </c>
      <c r="Q568" s="199">
        <f t="shared" ca="1" si="382"/>
        <v>13.352779570652888</v>
      </c>
      <c r="R568" s="317"/>
    </row>
    <row r="569" spans="2:19" ht="13.5" customHeight="1" outlineLevel="1">
      <c r="B569" s="381" t="s">
        <v>214</v>
      </c>
      <c r="C569" s="381"/>
      <c r="G569" s="389" t="str">
        <f>CHOOSE($G$566,"SYD:","Straight line:")</f>
        <v>SYD:</v>
      </c>
      <c r="H569" s="199">
        <f t="shared" ref="H569:Q569" ca="1" si="383">CHOOSE($G$566,H567,H568)</f>
        <v>22.254632617754812</v>
      </c>
      <c r="I569" s="199">
        <f t="shared" ca="1" si="383"/>
        <v>17.80370609420385</v>
      </c>
      <c r="J569" s="199">
        <f t="shared" ca="1" si="383"/>
        <v>13.352779570652888</v>
      </c>
      <c r="K569" s="199">
        <f t="shared" ca="1" si="383"/>
        <v>8.901853047101925</v>
      </c>
      <c r="L569" s="199">
        <f t="shared" ca="1" si="383"/>
        <v>4.4509265235509625</v>
      </c>
      <c r="M569" s="199">
        <f t="shared" ca="1" si="383"/>
        <v>0</v>
      </c>
      <c r="N569" s="199">
        <f t="shared" ca="1" si="383"/>
        <v>0</v>
      </c>
      <c r="O569" s="199">
        <f t="shared" ca="1" si="383"/>
        <v>0</v>
      </c>
      <c r="P569" s="199">
        <f t="shared" ca="1" si="383"/>
        <v>0</v>
      </c>
      <c r="Q569" s="199">
        <f t="shared" ca="1" si="383"/>
        <v>0</v>
      </c>
      <c r="R569" s="317"/>
    </row>
    <row r="570" spans="2:19" ht="13.5" customHeight="1" outlineLevel="1">
      <c r="B570" s="381" t="s">
        <v>213</v>
      </c>
      <c r="C570" s="381"/>
      <c r="H570" s="297">
        <f ca="1">$H561/4*H569</f>
        <v>11.127316308877406</v>
      </c>
      <c r="I570" s="199">
        <f t="shared" ref="I570:Q570" ca="1" si="384">(4-$H561)/4*H569+$H561/4*I569</f>
        <v>20.029169355979331</v>
      </c>
      <c r="J570" s="199">
        <f t="shared" ca="1" si="384"/>
        <v>15.578242832428369</v>
      </c>
      <c r="K570" s="199">
        <f t="shared" ca="1" si="384"/>
        <v>11.127316308877408</v>
      </c>
      <c r="L570" s="199">
        <f t="shared" ca="1" si="384"/>
        <v>6.6763897853264442</v>
      </c>
      <c r="M570" s="199">
        <f t="shared" ca="1" si="384"/>
        <v>2.2254632617754813</v>
      </c>
      <c r="N570" s="199">
        <f t="shared" ca="1" si="384"/>
        <v>0</v>
      </c>
      <c r="O570" s="199">
        <f t="shared" ca="1" si="384"/>
        <v>0</v>
      </c>
      <c r="P570" s="199">
        <f t="shared" ca="1" si="384"/>
        <v>0</v>
      </c>
      <c r="Q570" s="199">
        <f t="shared" ca="1" si="384"/>
        <v>0</v>
      </c>
      <c r="R570" s="317"/>
    </row>
    <row r="571" spans="2:19" ht="13.5" customHeight="1" outlineLevel="1">
      <c r="B571" s="50"/>
      <c r="C571" s="50"/>
      <c r="D571" s="50"/>
      <c r="G571" s="50"/>
      <c r="H571" s="350"/>
      <c r="I571" s="350"/>
      <c r="J571" s="350"/>
      <c r="N571" s="57"/>
      <c r="R571" s="317"/>
    </row>
    <row r="572" spans="2:19" ht="13.5" customHeight="1" outlineLevel="1">
      <c r="B572" s="88" t="s">
        <v>454</v>
      </c>
      <c r="C572" s="260"/>
      <c r="D572" s="260"/>
      <c r="E572" s="260"/>
      <c r="F572" s="260"/>
      <c r="G572" s="260"/>
      <c r="H572" s="328">
        <f t="shared" ref="H572:Q572" ca="1" si="385">G574</f>
        <v>66.763897853264439</v>
      </c>
      <c r="I572" s="328">
        <f t="shared" ca="1" si="385"/>
        <v>55.636581544387035</v>
      </c>
      <c r="J572" s="328">
        <f t="shared" ca="1" si="385"/>
        <v>35.607412188407707</v>
      </c>
      <c r="K572" s="328">
        <f t="shared" ca="1" si="385"/>
        <v>20.029169355979338</v>
      </c>
      <c r="L572" s="328">
        <f t="shared" ca="1" si="385"/>
        <v>8.9018530471019304</v>
      </c>
      <c r="M572" s="328">
        <f t="shared" ca="1" si="385"/>
        <v>2.2254632617754861</v>
      </c>
      <c r="N572" s="328">
        <f t="shared" ca="1" si="385"/>
        <v>4.8849813083506888E-15</v>
      </c>
      <c r="O572" s="328">
        <f t="shared" ca="1" si="385"/>
        <v>4.8849813083506888E-15</v>
      </c>
      <c r="P572" s="328">
        <f t="shared" ca="1" si="385"/>
        <v>4.8849813083506888E-15</v>
      </c>
      <c r="Q572" s="328">
        <f t="shared" ca="1" si="385"/>
        <v>4.8849813083506888E-15</v>
      </c>
      <c r="R572" s="317"/>
    </row>
    <row r="573" spans="2:19" ht="13.5" customHeight="1" outlineLevel="1">
      <c r="B573" s="88" t="s">
        <v>456</v>
      </c>
      <c r="C573" s="260"/>
      <c r="D573" s="260"/>
      <c r="E573" s="260"/>
      <c r="F573" s="260"/>
      <c r="G573" s="260"/>
      <c r="H573" s="141">
        <f ca="1">-MIN(H570,H572)</f>
        <v>-11.127316308877406</v>
      </c>
      <c r="I573" s="141">
        <f t="shared" ref="I573:Q573" ca="1" si="386">-MIN(I570,I572)</f>
        <v>-20.029169355979331</v>
      </c>
      <c r="J573" s="141">
        <f t="shared" ca="1" si="386"/>
        <v>-15.578242832428369</v>
      </c>
      <c r="K573" s="141">
        <f t="shared" ca="1" si="386"/>
        <v>-11.127316308877408</v>
      </c>
      <c r="L573" s="141">
        <f t="shared" ca="1" si="386"/>
        <v>-6.6763897853264442</v>
      </c>
      <c r="M573" s="141">
        <f t="shared" ca="1" si="386"/>
        <v>-2.2254632617754813</v>
      </c>
      <c r="N573" s="141">
        <f t="shared" ca="1" si="386"/>
        <v>0</v>
      </c>
      <c r="O573" s="141">
        <f t="shared" ca="1" si="386"/>
        <v>0</v>
      </c>
      <c r="P573" s="141">
        <f t="shared" ca="1" si="386"/>
        <v>0</v>
      </c>
      <c r="Q573" s="141">
        <f t="shared" ca="1" si="386"/>
        <v>0</v>
      </c>
      <c r="R573" s="317"/>
    </row>
    <row r="574" spans="2:19" ht="13.5" customHeight="1" outlineLevel="1">
      <c r="B574" s="119" t="s">
        <v>455</v>
      </c>
      <c r="C574" s="390"/>
      <c r="D574" s="390"/>
      <c r="E574" s="390"/>
      <c r="F574" s="390"/>
      <c r="G574" s="391">
        <f ca="1">Close!H59</f>
        <v>66.763897853264439</v>
      </c>
      <c r="H574" s="148">
        <f t="shared" ref="H574:Q574" ca="1" si="387">SUM(H572:H573)</f>
        <v>55.636581544387035</v>
      </c>
      <c r="I574" s="148">
        <f t="shared" ca="1" si="387"/>
        <v>35.607412188407707</v>
      </c>
      <c r="J574" s="148">
        <f t="shared" ca="1" si="387"/>
        <v>20.029169355979338</v>
      </c>
      <c r="K574" s="148">
        <f t="shared" ca="1" si="387"/>
        <v>8.9018530471019304</v>
      </c>
      <c r="L574" s="148">
        <f t="shared" ca="1" si="387"/>
        <v>2.2254632617754861</v>
      </c>
      <c r="M574" s="148">
        <f t="shared" ca="1" si="387"/>
        <v>4.8849813083506888E-15</v>
      </c>
      <c r="N574" s="148">
        <f t="shared" ca="1" si="387"/>
        <v>4.8849813083506888E-15</v>
      </c>
      <c r="O574" s="148">
        <f t="shared" ca="1" si="387"/>
        <v>4.8849813083506888E-15</v>
      </c>
      <c r="P574" s="148">
        <f t="shared" ca="1" si="387"/>
        <v>4.8849813083506888E-15</v>
      </c>
      <c r="Q574" s="148">
        <f t="shared" ca="1" si="387"/>
        <v>4.8849813083506888E-15</v>
      </c>
      <c r="R574" s="317"/>
    </row>
    <row r="575" spans="2:19" ht="13.5" customHeight="1" outlineLevel="1">
      <c r="B575" s="50"/>
      <c r="C575" s="50"/>
      <c r="D575" s="50"/>
      <c r="G575" s="50"/>
      <c r="H575" s="350"/>
      <c r="I575" s="350"/>
      <c r="J575" s="350"/>
      <c r="N575" s="57"/>
      <c r="R575" s="317"/>
    </row>
    <row r="576" spans="2:19" ht="13.5" customHeight="1" outlineLevel="1">
      <c r="B576" s="88" t="str">
        <f>"Standalone "&amp;acquirer&amp;" amortization"</f>
        <v>Standalone BuyerCo amortization</v>
      </c>
      <c r="C576" s="88"/>
      <c r="D576" s="88"/>
      <c r="E576" s="88"/>
      <c r="F576" s="88"/>
      <c r="G576" s="88"/>
      <c r="H576" s="351">
        <f>Acquirer!T16</f>
        <v>31</v>
      </c>
      <c r="I576" s="135">
        <f>Acquirer!H16</f>
        <v>62</v>
      </c>
      <c r="J576" s="135">
        <f>Acquirer!I16</f>
        <v>62</v>
      </c>
      <c r="K576" s="135">
        <f>Acquirer!J16</f>
        <v>62</v>
      </c>
      <c r="L576" s="135">
        <f>Acquirer!K16</f>
        <v>36.720000000000027</v>
      </c>
      <c r="M576" s="135">
        <f>Acquirer!L16</f>
        <v>0</v>
      </c>
      <c r="N576" s="135">
        <f>Acquirer!M16</f>
        <v>0</v>
      </c>
      <c r="O576" s="135">
        <f>Acquirer!N16</f>
        <v>0</v>
      </c>
      <c r="P576" s="135">
        <f>Acquirer!O16</f>
        <v>0</v>
      </c>
      <c r="Q576" s="135">
        <f>Acquirer!P16</f>
        <v>0</v>
      </c>
      <c r="R576" s="317"/>
    </row>
    <row r="577" spans="2:18" ht="13.5" customHeight="1" outlineLevel="1">
      <c r="B577" s="88" t="str">
        <f>"Standalone "&amp;target&amp;" amortization"</f>
        <v>Standalone TargetCo amortization</v>
      </c>
      <c r="C577" s="88"/>
      <c r="D577" s="88"/>
      <c r="E577" s="88"/>
      <c r="F577" s="88"/>
      <c r="G577" s="88"/>
      <c r="H577" s="184">
        <f>Target!T16</f>
        <v>5.8</v>
      </c>
      <c r="I577" s="126">
        <f>Target!H16</f>
        <v>11.6</v>
      </c>
      <c r="J577" s="126">
        <f>Target!I16</f>
        <v>11.6</v>
      </c>
      <c r="K577" s="126">
        <f>Target!J16</f>
        <v>2.6909999999999989</v>
      </c>
      <c r="L577" s="126">
        <f>Target!K16</f>
        <v>0</v>
      </c>
      <c r="M577" s="126">
        <f>Target!L16</f>
        <v>0</v>
      </c>
      <c r="N577" s="126">
        <f>Target!M16</f>
        <v>0</v>
      </c>
      <c r="O577" s="126">
        <f>Target!N16</f>
        <v>0</v>
      </c>
      <c r="P577" s="126">
        <f>Target!O16</f>
        <v>0</v>
      </c>
      <c r="Q577" s="126">
        <f>Target!P16</f>
        <v>0</v>
      </c>
      <c r="R577" s="317"/>
    </row>
    <row r="578" spans="2:18" ht="13.5" customHeight="1" outlineLevel="1">
      <c r="B578" s="88" t="str">
        <f>"( – ) Foregone "&amp;target&amp;" amortization from purchase accounting-related intangibles written off"</f>
        <v>( – ) Foregone TargetCo amortization from purchase accounting-related intangibles written off</v>
      </c>
      <c r="C578" s="88"/>
      <c r="D578" s="88"/>
      <c r="E578" s="88"/>
      <c r="F578" s="88"/>
      <c r="G578" s="88"/>
      <c r="H578" s="98">
        <v>0</v>
      </c>
      <c r="I578" s="98">
        <v>0</v>
      </c>
      <c r="J578" s="98">
        <v>0</v>
      </c>
      <c r="K578" s="98">
        <v>0</v>
      </c>
      <c r="L578" s="98">
        <v>0</v>
      </c>
      <c r="M578" s="98">
        <v>0</v>
      </c>
      <c r="N578" s="98">
        <v>0</v>
      </c>
      <c r="O578" s="98">
        <v>0</v>
      </c>
      <c r="P578" s="98">
        <v>0</v>
      </c>
      <c r="Q578" s="98">
        <v>0</v>
      </c>
      <c r="R578" s="317"/>
    </row>
    <row r="579" spans="2:18" ht="13.5" customHeight="1" outlineLevel="1">
      <c r="B579" s="88" t="s">
        <v>457</v>
      </c>
      <c r="C579" s="88"/>
      <c r="D579" s="88"/>
      <c r="E579" s="88"/>
      <c r="F579" s="88"/>
      <c r="G579" s="88"/>
      <c r="H579" s="118">
        <f t="shared" ref="H579:Q579" ca="1" si="388">-H573</f>
        <v>11.127316308877406</v>
      </c>
      <c r="I579" s="118">
        <f t="shared" ca="1" si="388"/>
        <v>20.029169355979331</v>
      </c>
      <c r="J579" s="118">
        <f t="shared" ca="1" si="388"/>
        <v>15.578242832428369</v>
      </c>
      <c r="K579" s="118">
        <f t="shared" ca="1" si="388"/>
        <v>11.127316308877408</v>
      </c>
      <c r="L579" s="118">
        <f t="shared" ca="1" si="388"/>
        <v>6.6763897853264442</v>
      </c>
      <c r="M579" s="118">
        <f t="shared" ca="1" si="388"/>
        <v>2.2254632617754813</v>
      </c>
      <c r="N579" s="118">
        <f t="shared" ca="1" si="388"/>
        <v>0</v>
      </c>
      <c r="O579" s="118">
        <f t="shared" ca="1" si="388"/>
        <v>0</v>
      </c>
      <c r="P579" s="118">
        <f t="shared" ca="1" si="388"/>
        <v>0</v>
      </c>
      <c r="Q579" s="118">
        <f t="shared" ca="1" si="388"/>
        <v>0</v>
      </c>
      <c r="R579" s="317"/>
    </row>
    <row r="580" spans="2:18" ht="13.5" customHeight="1" outlineLevel="1">
      <c r="B580" s="164" t="s">
        <v>537</v>
      </c>
      <c r="C580" s="164"/>
      <c r="D580" s="164"/>
      <c r="E580" s="164"/>
      <c r="F580" s="164"/>
      <c r="G580" s="164"/>
      <c r="H580" s="166">
        <f t="shared" ref="H580:Q580" ca="1" si="389">SUM(H576:H579)</f>
        <v>47.927316308877401</v>
      </c>
      <c r="I580" s="166">
        <f t="shared" ca="1" si="389"/>
        <v>93.629169355979329</v>
      </c>
      <c r="J580" s="166">
        <f t="shared" ca="1" si="389"/>
        <v>89.178242832428367</v>
      </c>
      <c r="K580" s="166">
        <f t="shared" ca="1" si="389"/>
        <v>75.818316308877414</v>
      </c>
      <c r="L580" s="166">
        <f t="shared" ca="1" si="389"/>
        <v>43.39638978532647</v>
      </c>
      <c r="M580" s="166">
        <f t="shared" ca="1" si="389"/>
        <v>2.2254632617754813</v>
      </c>
      <c r="N580" s="166">
        <f t="shared" ca="1" si="389"/>
        <v>0</v>
      </c>
      <c r="O580" s="166">
        <f t="shared" ca="1" si="389"/>
        <v>0</v>
      </c>
      <c r="P580" s="166">
        <f t="shared" ca="1" si="389"/>
        <v>0</v>
      </c>
      <c r="Q580" s="166">
        <f t="shared" ca="1" si="389"/>
        <v>0</v>
      </c>
      <c r="R580" s="317"/>
    </row>
    <row r="581" spans="2:18" ht="13.5" customHeight="1" outlineLevel="1">
      <c r="B581" s="50"/>
      <c r="C581" s="50"/>
      <c r="D581" s="50"/>
      <c r="G581" s="50"/>
      <c r="H581" s="350"/>
      <c r="I581" s="350"/>
      <c r="J581" s="350"/>
      <c r="N581" s="57"/>
      <c r="R581" s="317"/>
    </row>
    <row r="582" spans="2:18" ht="13.5" customHeight="1" outlineLevel="1">
      <c r="B582" s="108" t="s">
        <v>539</v>
      </c>
      <c r="C582" s="109"/>
      <c r="D582" s="109"/>
      <c r="E582" s="306"/>
      <c r="F582" s="306"/>
      <c r="G582" s="306"/>
      <c r="H582" s="306"/>
      <c r="I582" s="109"/>
      <c r="J582" s="306"/>
      <c r="K582" s="306"/>
      <c r="L582" s="306"/>
      <c r="M582" s="306"/>
      <c r="N582" s="306"/>
      <c r="O582" s="306"/>
      <c r="P582" s="306"/>
      <c r="Q582" s="110"/>
    </row>
    <row r="583" spans="2:18" ht="13.5" customHeight="1" outlineLevel="1">
      <c r="B583" s="50"/>
      <c r="C583" s="50"/>
      <c r="D583" s="50"/>
      <c r="G583" s="50"/>
      <c r="H583" s="350"/>
      <c r="I583" s="350"/>
      <c r="J583" s="350"/>
      <c r="N583" s="57"/>
      <c r="R583" s="317"/>
    </row>
    <row r="584" spans="2:18" ht="13.5" customHeight="1" outlineLevel="1">
      <c r="B584" s="354" t="s">
        <v>165</v>
      </c>
      <c r="C584" s="50"/>
      <c r="D584" s="50"/>
      <c r="G584" s="50"/>
      <c r="H584" s="350"/>
      <c r="I584" s="350"/>
      <c r="J584" s="350"/>
      <c r="N584" s="57"/>
      <c r="R584" s="317"/>
    </row>
    <row r="585" spans="2:18" ht="13.5" customHeight="1" outlineLevel="1">
      <c r="B585" s="88" t="s">
        <v>211</v>
      </c>
      <c r="C585" s="321"/>
      <c r="D585" s="321"/>
      <c r="E585" s="321"/>
      <c r="F585" s="321"/>
      <c r="G585" s="126">
        <f>Inputs!M67</f>
        <v>15</v>
      </c>
      <c r="H585" s="275"/>
      <c r="I585" s="385"/>
      <c r="J585" s="385"/>
      <c r="K585" s="385"/>
      <c r="L585" s="385"/>
      <c r="M585" s="385"/>
      <c r="N585" s="385"/>
      <c r="O585" s="385"/>
      <c r="P585" s="385"/>
      <c r="Q585" s="385"/>
      <c r="R585" s="317"/>
    </row>
    <row r="586" spans="2:18" ht="13.5" customHeight="1" outlineLevel="1">
      <c r="B586" s="50"/>
      <c r="C586" s="50"/>
      <c r="D586" s="50"/>
      <c r="G586" s="50"/>
      <c r="H586" s="350"/>
      <c r="I586" s="350"/>
      <c r="J586" s="350"/>
      <c r="N586" s="57"/>
      <c r="R586" s="317"/>
    </row>
    <row r="587" spans="2:18" ht="13.5" customHeight="1" outlineLevel="1">
      <c r="B587" s="88" t="s">
        <v>454</v>
      </c>
      <c r="C587" s="260"/>
      <c r="D587" s="260"/>
      <c r="E587" s="260"/>
      <c r="F587" s="260"/>
      <c r="G587" s="260"/>
      <c r="H587" s="328">
        <f t="shared" ref="H587" si="390">G589</f>
        <v>0</v>
      </c>
      <c r="I587" s="328">
        <f t="shared" ref="I587" si="391">H589</f>
        <v>0</v>
      </c>
      <c r="J587" s="328">
        <f t="shared" ref="J587" si="392">I589</f>
        <v>0</v>
      </c>
      <c r="K587" s="328">
        <f t="shared" ref="K587" si="393">J589</f>
        <v>0</v>
      </c>
      <c r="L587" s="328">
        <f t="shared" ref="L587" si="394">K589</f>
        <v>0</v>
      </c>
      <c r="M587" s="328">
        <f t="shared" ref="M587" si="395">L589</f>
        <v>0</v>
      </c>
      <c r="N587" s="328">
        <f t="shared" ref="N587" si="396">M589</f>
        <v>0</v>
      </c>
      <c r="O587" s="328">
        <f t="shared" ref="O587" si="397">N589</f>
        <v>0</v>
      </c>
      <c r="P587" s="328">
        <f t="shared" ref="P587" si="398">O589</f>
        <v>0</v>
      </c>
      <c r="Q587" s="328">
        <f t="shared" ref="Q587" si="399">P589</f>
        <v>0</v>
      </c>
      <c r="R587" s="317"/>
    </row>
    <row r="588" spans="2:18" ht="13.5" customHeight="1" outlineLevel="1">
      <c r="B588" s="88" t="s">
        <v>541</v>
      </c>
      <c r="C588" s="260"/>
      <c r="D588" s="260"/>
      <c r="E588" s="260"/>
      <c r="F588" s="260"/>
      <c r="G588" s="260"/>
      <c r="H588" s="141">
        <f t="shared" ref="H588:Q588" si="400">-MIN($G589/$G585*H$3,H587)</f>
        <v>0</v>
      </c>
      <c r="I588" s="141">
        <f t="shared" si="400"/>
        <v>0</v>
      </c>
      <c r="J588" s="141">
        <f t="shared" si="400"/>
        <v>0</v>
      </c>
      <c r="K588" s="141">
        <f t="shared" si="400"/>
        <v>0</v>
      </c>
      <c r="L588" s="141">
        <f t="shared" si="400"/>
        <v>0</v>
      </c>
      <c r="M588" s="141">
        <f t="shared" si="400"/>
        <v>0</v>
      </c>
      <c r="N588" s="141">
        <f t="shared" si="400"/>
        <v>0</v>
      </c>
      <c r="O588" s="141">
        <f t="shared" si="400"/>
        <v>0</v>
      </c>
      <c r="P588" s="141">
        <f t="shared" si="400"/>
        <v>0</v>
      </c>
      <c r="Q588" s="141">
        <f t="shared" si="400"/>
        <v>0</v>
      </c>
      <c r="R588" s="317"/>
    </row>
    <row r="589" spans="2:18" ht="13.5" customHeight="1" outlineLevel="1">
      <c r="B589" s="119" t="s">
        <v>455</v>
      </c>
      <c r="C589" s="390"/>
      <c r="D589" s="390"/>
      <c r="E589" s="390"/>
      <c r="F589" s="390"/>
      <c r="G589" s="391">
        <f>IF(carryover,0,G574)</f>
        <v>0</v>
      </c>
      <c r="H589" s="148">
        <f t="shared" ref="H589:Q589" si="401">SUM(H587:H588)</f>
        <v>0</v>
      </c>
      <c r="I589" s="148">
        <f t="shared" si="401"/>
        <v>0</v>
      </c>
      <c r="J589" s="148">
        <f t="shared" si="401"/>
        <v>0</v>
      </c>
      <c r="K589" s="148">
        <f t="shared" si="401"/>
        <v>0</v>
      </c>
      <c r="L589" s="148">
        <f t="shared" si="401"/>
        <v>0</v>
      </c>
      <c r="M589" s="148">
        <f t="shared" si="401"/>
        <v>0</v>
      </c>
      <c r="N589" s="148">
        <f t="shared" si="401"/>
        <v>0</v>
      </c>
      <c r="O589" s="148">
        <f t="shared" si="401"/>
        <v>0</v>
      </c>
      <c r="P589" s="148">
        <f t="shared" si="401"/>
        <v>0</v>
      </c>
      <c r="Q589" s="148">
        <f t="shared" si="401"/>
        <v>0</v>
      </c>
      <c r="R589" s="317"/>
    </row>
    <row r="590" spans="2:18" ht="13.5" customHeight="1" outlineLevel="1">
      <c r="B590" s="50"/>
      <c r="C590" s="50"/>
      <c r="D590" s="50"/>
      <c r="G590" s="50"/>
      <c r="H590" s="350"/>
      <c r="I590" s="350"/>
      <c r="J590" s="350"/>
      <c r="N590" s="57"/>
      <c r="R590" s="317"/>
    </row>
    <row r="591" spans="2:18" ht="13.5" customHeight="1" outlineLevel="1">
      <c r="B591" s="354" t="s">
        <v>11</v>
      </c>
      <c r="C591" s="50"/>
      <c r="D591" s="50"/>
      <c r="G591" s="50"/>
      <c r="H591" s="350"/>
      <c r="I591" s="350"/>
      <c r="J591" s="350"/>
      <c r="N591" s="57"/>
      <c r="R591" s="317"/>
    </row>
    <row r="592" spans="2:18" ht="13.5" customHeight="1" outlineLevel="1">
      <c r="B592" s="88" t="s">
        <v>451</v>
      </c>
      <c r="C592" s="321"/>
      <c r="D592" s="321"/>
      <c r="E592" s="321"/>
      <c r="F592" s="321"/>
      <c r="G592" s="126">
        <f>Inputs!M68</f>
        <v>15</v>
      </c>
      <c r="H592" s="275"/>
      <c r="I592" s="385"/>
      <c r="J592" s="385"/>
      <c r="K592" s="385"/>
      <c r="L592" s="385"/>
      <c r="M592" s="385"/>
      <c r="N592" s="385"/>
      <c r="O592" s="385"/>
      <c r="P592" s="385"/>
      <c r="Q592" s="385"/>
      <c r="R592" s="317"/>
    </row>
    <row r="593" spans="1:18" ht="13.5" customHeight="1" outlineLevel="1">
      <c r="B593" s="50"/>
      <c r="C593" s="50"/>
      <c r="D593" s="50"/>
      <c r="G593" s="50"/>
      <c r="H593" s="350"/>
      <c r="I593" s="350"/>
      <c r="J593" s="350"/>
      <c r="N593" s="57"/>
      <c r="R593" s="317"/>
    </row>
    <row r="594" spans="1:18" ht="13.5" customHeight="1" outlineLevel="1">
      <c r="B594" s="88" t="s">
        <v>452</v>
      </c>
      <c r="C594" s="260"/>
      <c r="D594" s="260"/>
      <c r="E594" s="260"/>
      <c r="F594" s="260"/>
      <c r="G594" s="260"/>
      <c r="H594" s="328">
        <f t="shared" ref="H594" si="402">G596</f>
        <v>0</v>
      </c>
      <c r="I594" s="328">
        <f t="shared" ref="I594" si="403">H596</f>
        <v>0</v>
      </c>
      <c r="J594" s="328">
        <f t="shared" ref="J594" si="404">I596</f>
        <v>0</v>
      </c>
      <c r="K594" s="328">
        <f t="shared" ref="K594" si="405">J596</f>
        <v>0</v>
      </c>
      <c r="L594" s="328">
        <f t="shared" ref="L594" si="406">K596</f>
        <v>0</v>
      </c>
      <c r="M594" s="328">
        <f t="shared" ref="M594" si="407">L596</f>
        <v>0</v>
      </c>
      <c r="N594" s="328">
        <f t="shared" ref="N594" si="408">M596</f>
        <v>0</v>
      </c>
      <c r="O594" s="328">
        <f t="shared" ref="O594" si="409">N596</f>
        <v>0</v>
      </c>
      <c r="P594" s="328">
        <f t="shared" ref="P594" si="410">O596</f>
        <v>0</v>
      </c>
      <c r="Q594" s="328">
        <f t="shared" ref="Q594" si="411">P596</f>
        <v>0</v>
      </c>
      <c r="R594" s="317"/>
    </row>
    <row r="595" spans="1:18" ht="13.5" customHeight="1" outlineLevel="1">
      <c r="B595" s="88" t="s">
        <v>541</v>
      </c>
      <c r="C595" s="260"/>
      <c r="D595" s="260"/>
      <c r="E595" s="260"/>
      <c r="F595" s="260"/>
      <c r="G595" s="260"/>
      <c r="H595" s="141">
        <f t="shared" ref="H595:Q595" si="412">-MIN($G596/$G592*H$3,H594)</f>
        <v>0</v>
      </c>
      <c r="I595" s="141">
        <f t="shared" si="412"/>
        <v>0</v>
      </c>
      <c r="J595" s="141">
        <f t="shared" si="412"/>
        <v>0</v>
      </c>
      <c r="K595" s="141">
        <f t="shared" si="412"/>
        <v>0</v>
      </c>
      <c r="L595" s="141">
        <f t="shared" si="412"/>
        <v>0</v>
      </c>
      <c r="M595" s="141">
        <f t="shared" si="412"/>
        <v>0</v>
      </c>
      <c r="N595" s="141">
        <f t="shared" si="412"/>
        <v>0</v>
      </c>
      <c r="O595" s="141">
        <f t="shared" si="412"/>
        <v>0</v>
      </c>
      <c r="P595" s="141">
        <f t="shared" si="412"/>
        <v>0</v>
      </c>
      <c r="Q595" s="141">
        <f t="shared" si="412"/>
        <v>0</v>
      </c>
      <c r="R595" s="317"/>
    </row>
    <row r="596" spans="1:18" ht="13.5" customHeight="1" outlineLevel="1">
      <c r="B596" s="119" t="s">
        <v>453</v>
      </c>
      <c r="C596" s="390"/>
      <c r="D596" s="390"/>
      <c r="E596" s="390"/>
      <c r="F596" s="390"/>
      <c r="G596" s="391">
        <f>IF(carryover,0,Close!O41)</f>
        <v>0</v>
      </c>
      <c r="H596" s="148">
        <f t="shared" ref="H596:Q596" si="413">SUM(H594:H595)</f>
        <v>0</v>
      </c>
      <c r="I596" s="148">
        <f t="shared" si="413"/>
        <v>0</v>
      </c>
      <c r="J596" s="148">
        <f t="shared" si="413"/>
        <v>0</v>
      </c>
      <c r="K596" s="148">
        <f t="shared" si="413"/>
        <v>0</v>
      </c>
      <c r="L596" s="148">
        <f t="shared" si="413"/>
        <v>0</v>
      </c>
      <c r="M596" s="148">
        <f t="shared" si="413"/>
        <v>0</v>
      </c>
      <c r="N596" s="148">
        <f t="shared" si="413"/>
        <v>0</v>
      </c>
      <c r="O596" s="148">
        <f t="shared" si="413"/>
        <v>0</v>
      </c>
      <c r="P596" s="148">
        <f t="shared" si="413"/>
        <v>0</v>
      </c>
      <c r="Q596" s="148">
        <f t="shared" si="413"/>
        <v>0</v>
      </c>
      <c r="R596" s="317"/>
    </row>
    <row r="597" spans="1:18" ht="13.5" customHeight="1" outlineLevel="1">
      <c r="B597" s="50"/>
      <c r="C597" s="50"/>
      <c r="D597" s="50"/>
      <c r="G597" s="50"/>
      <c r="H597" s="350"/>
      <c r="I597" s="350"/>
      <c r="J597" s="350"/>
      <c r="N597" s="57"/>
      <c r="R597" s="317"/>
    </row>
    <row r="598" spans="1:18" ht="16" customHeight="1" outlineLevel="1">
      <c r="B598" s="88" t="str">
        <f>"Standalone "&amp;acquirer&amp;" amortization"</f>
        <v>Standalone BuyerCo amortization</v>
      </c>
      <c r="C598" s="88"/>
      <c r="D598" s="88"/>
      <c r="E598" s="88"/>
      <c r="F598" s="88"/>
      <c r="G598" s="88"/>
      <c r="H598" s="351">
        <f>-Acquirer!T418-Acquirer!T419</f>
        <v>31</v>
      </c>
      <c r="I598" s="135">
        <f>-Acquirer!H418-Acquirer!H419</f>
        <v>62</v>
      </c>
      <c r="J598" s="135">
        <f>-Acquirer!I418-Acquirer!I419</f>
        <v>62</v>
      </c>
      <c r="K598" s="135">
        <f>-Acquirer!J418-Acquirer!J419</f>
        <v>62</v>
      </c>
      <c r="L598" s="135">
        <f>-Acquirer!K418-Acquirer!K419</f>
        <v>36.720000000000027</v>
      </c>
      <c r="M598" s="135">
        <f>-Acquirer!L418-Acquirer!L419</f>
        <v>0</v>
      </c>
      <c r="N598" s="135">
        <f>-Acquirer!M418-Acquirer!M419</f>
        <v>0</v>
      </c>
      <c r="O598" s="135">
        <f>-Acquirer!N418-Acquirer!N419</f>
        <v>0</v>
      </c>
      <c r="P598" s="135">
        <f>-Acquirer!O418-Acquirer!O419</f>
        <v>0</v>
      </c>
      <c r="Q598" s="135">
        <f>-Acquirer!P418-Acquirer!P419</f>
        <v>0</v>
      </c>
      <c r="R598" s="317"/>
    </row>
    <row r="599" spans="1:18" ht="16" customHeight="1" outlineLevel="1">
      <c r="B599" s="88" t="str">
        <f>"Standalone "&amp;target&amp;" amortization"</f>
        <v>Standalone TargetCo amortization</v>
      </c>
      <c r="C599" s="88"/>
      <c r="D599" s="88"/>
      <c r="E599" s="88"/>
      <c r="F599" s="88"/>
      <c r="G599" s="88"/>
      <c r="H599" s="184">
        <f>-Target!T418-Target!T419</f>
        <v>5.8</v>
      </c>
      <c r="I599" s="126">
        <f>-Target!H418-Target!H419</f>
        <v>11.6</v>
      </c>
      <c r="J599" s="126">
        <f>-Target!I418-Target!I419</f>
        <v>11.6</v>
      </c>
      <c r="K599" s="126">
        <f>-Target!J418-Target!J419</f>
        <v>2.6909999999999989</v>
      </c>
      <c r="L599" s="126">
        <f>-Target!K418-Target!K419</f>
        <v>0</v>
      </c>
      <c r="M599" s="126">
        <f>-Target!L418-Target!L419</f>
        <v>0</v>
      </c>
      <c r="N599" s="126">
        <f>-Target!M418-Target!M419</f>
        <v>0</v>
      </c>
      <c r="O599" s="126">
        <f>-Target!N418-Target!N419</f>
        <v>0</v>
      </c>
      <c r="P599" s="126">
        <f>-Target!O418-Target!O419</f>
        <v>0</v>
      </c>
      <c r="Q599" s="126">
        <f>-Target!P418-Target!P419</f>
        <v>0</v>
      </c>
      <c r="R599" s="317"/>
    </row>
    <row r="600" spans="1:18" ht="16" customHeight="1" outlineLevel="1">
      <c r="B600" s="88" t="str">
        <f>"( – ) Foregone "&amp;target&amp;" amortization from purchase accounting-related intangibles written off"</f>
        <v>( – ) Foregone TargetCo amortization from purchase accounting-related intangibles written off</v>
      </c>
      <c r="C600" s="88"/>
      <c r="D600" s="88"/>
      <c r="E600" s="88"/>
      <c r="F600" s="88"/>
      <c r="G600" s="88"/>
      <c r="H600" s="98">
        <v>0</v>
      </c>
      <c r="I600" s="98">
        <v>0</v>
      </c>
      <c r="J600" s="98">
        <v>0</v>
      </c>
      <c r="K600" s="98">
        <v>0</v>
      </c>
      <c r="L600" s="98">
        <v>0</v>
      </c>
      <c r="M600" s="98">
        <v>0</v>
      </c>
      <c r="N600" s="98">
        <v>0</v>
      </c>
      <c r="O600" s="98">
        <v>0</v>
      </c>
      <c r="P600" s="98">
        <v>0</v>
      </c>
      <c r="Q600" s="98">
        <v>0</v>
      </c>
      <c r="R600" s="317"/>
    </row>
    <row r="601" spans="1:18" ht="16" customHeight="1" outlineLevel="1">
      <c r="B601" s="88" t="s">
        <v>542</v>
      </c>
      <c r="C601" s="88"/>
      <c r="D601" s="88"/>
      <c r="E601" s="88"/>
      <c r="F601" s="88"/>
      <c r="G601" s="88"/>
      <c r="H601" s="118">
        <f>-H588-H595</f>
        <v>0</v>
      </c>
      <c r="I601" s="118">
        <f t="shared" ref="I601:Q601" si="414">-I588-I595</f>
        <v>0</v>
      </c>
      <c r="J601" s="118">
        <f t="shared" si="414"/>
        <v>0</v>
      </c>
      <c r="K601" s="118">
        <f t="shared" si="414"/>
        <v>0</v>
      </c>
      <c r="L601" s="118">
        <f t="shared" si="414"/>
        <v>0</v>
      </c>
      <c r="M601" s="118">
        <f t="shared" si="414"/>
        <v>0</v>
      </c>
      <c r="N601" s="118">
        <f t="shared" si="414"/>
        <v>0</v>
      </c>
      <c r="O601" s="118">
        <f t="shared" si="414"/>
        <v>0</v>
      </c>
      <c r="P601" s="118">
        <f t="shared" si="414"/>
        <v>0</v>
      </c>
      <c r="Q601" s="118">
        <f t="shared" si="414"/>
        <v>0</v>
      </c>
      <c r="R601" s="317"/>
    </row>
    <row r="602" spans="1:18" ht="16" customHeight="1" outlineLevel="1">
      <c r="B602" s="164" t="s">
        <v>540</v>
      </c>
      <c r="C602" s="164"/>
      <c r="D602" s="164"/>
      <c r="E602" s="164"/>
      <c r="F602" s="164"/>
      <c r="G602" s="164"/>
      <c r="H602" s="166">
        <f t="shared" ref="H602:I602" si="415">SUM(H598:H601)</f>
        <v>36.799999999999997</v>
      </c>
      <c r="I602" s="166">
        <f t="shared" si="415"/>
        <v>73.599999999999994</v>
      </c>
      <c r="J602" s="166">
        <f t="shared" ref="J602:Q602" si="416">SUM(J598:J601)</f>
        <v>73.599999999999994</v>
      </c>
      <c r="K602" s="166">
        <f t="shared" si="416"/>
        <v>64.691000000000003</v>
      </c>
      <c r="L602" s="166">
        <f t="shared" si="416"/>
        <v>36.720000000000027</v>
      </c>
      <c r="M602" s="166">
        <f t="shared" si="416"/>
        <v>0</v>
      </c>
      <c r="N602" s="166">
        <f t="shared" si="416"/>
        <v>0</v>
      </c>
      <c r="O602" s="166">
        <f t="shared" si="416"/>
        <v>0</v>
      </c>
      <c r="P602" s="166">
        <f t="shared" si="416"/>
        <v>0</v>
      </c>
      <c r="Q602" s="166">
        <f t="shared" si="416"/>
        <v>0</v>
      </c>
      <c r="R602" s="317"/>
    </row>
    <row r="603" spans="1:18" ht="5.0999999999999996" customHeight="1" outlineLevel="1" thickBot="1">
      <c r="B603" s="336"/>
      <c r="C603" s="336"/>
      <c r="D603" s="336"/>
      <c r="E603" s="209"/>
      <c r="F603" s="209"/>
      <c r="G603" s="336"/>
      <c r="H603" s="376"/>
      <c r="I603" s="376"/>
      <c r="J603" s="376"/>
      <c r="K603" s="209"/>
      <c r="L603" s="209"/>
      <c r="M603" s="209"/>
      <c r="N603" s="337"/>
      <c r="O603" s="209"/>
      <c r="P603" s="209"/>
      <c r="Q603" s="209"/>
      <c r="R603" s="317"/>
    </row>
    <row r="604" spans="1:18" ht="13.5" customHeight="1" outlineLevel="1">
      <c r="B604" s="50"/>
      <c r="C604" s="50"/>
      <c r="D604" s="50"/>
      <c r="G604" s="50"/>
      <c r="H604" s="350"/>
      <c r="I604" s="350"/>
      <c r="J604" s="350"/>
      <c r="N604" s="57"/>
      <c r="R604" s="317"/>
    </row>
    <row r="605" spans="1:18" ht="13.5" customHeight="1" outlineLevel="1" thickBot="1">
      <c r="B605" s="50"/>
      <c r="C605" s="50"/>
      <c r="D605" s="50"/>
      <c r="G605" s="50"/>
      <c r="H605" s="350"/>
      <c r="I605" s="350"/>
      <c r="J605" s="350"/>
      <c r="N605" s="57"/>
      <c r="R605" s="317"/>
    </row>
    <row r="606" spans="1:18" ht="20.7" thickTop="1">
      <c r="A606" s="281" t="s">
        <v>631</v>
      </c>
      <c r="B606" s="282" t="s">
        <v>423</v>
      </c>
      <c r="C606" s="283"/>
      <c r="D606" s="284"/>
      <c r="E606" s="284"/>
      <c r="F606" s="284"/>
      <c r="G606" s="284"/>
      <c r="H606" s="284"/>
      <c r="I606" s="284"/>
      <c r="J606" s="284"/>
      <c r="K606" s="284"/>
      <c r="L606" s="284"/>
      <c r="M606" s="284"/>
      <c r="N606" s="284"/>
      <c r="O606" s="284"/>
      <c r="P606" s="284"/>
      <c r="Q606" s="284"/>
    </row>
    <row r="607" spans="1:18" ht="5.0999999999999996" customHeight="1" outlineLevel="1">
      <c r="B607" s="107"/>
      <c r="C607" s="285"/>
      <c r="G607" s="285"/>
      <c r="N607" s="57"/>
      <c r="R607" s="317"/>
    </row>
    <row r="608" spans="1:18" ht="13.5" customHeight="1" outlineLevel="1">
      <c r="B608" s="286"/>
      <c r="C608" s="286"/>
      <c r="D608" s="286"/>
      <c r="E608" s="42"/>
      <c r="F608" s="42"/>
      <c r="G608" s="42" t="s">
        <v>38</v>
      </c>
      <c r="H608" s="42" t="s">
        <v>632</v>
      </c>
      <c r="I608" s="287" t="s">
        <v>629</v>
      </c>
      <c r="J608" s="287"/>
      <c r="K608" s="287"/>
      <c r="L608" s="287"/>
      <c r="M608" s="287"/>
      <c r="N608" s="287"/>
      <c r="O608" s="287"/>
      <c r="P608" s="287"/>
      <c r="Q608" s="287"/>
      <c r="R608" s="317"/>
    </row>
    <row r="609" spans="2:18" ht="13.5" customHeight="1" outlineLevel="1" thickBot="1">
      <c r="B609" s="288" t="str">
        <f>"("&amp;curr&amp;" in millions)"</f>
        <v>($ in millions)</v>
      </c>
      <c r="C609" s="289"/>
      <c r="D609" s="289"/>
      <c r="E609" s="290"/>
      <c r="F609" s="290"/>
      <c r="G609" s="291">
        <f>close</f>
        <v>45107</v>
      </c>
      <c r="H609" s="291">
        <f>H$8</f>
        <v>45291</v>
      </c>
      <c r="I609" s="292">
        <f t="shared" ref="I609:Q609" si="417">I$8</f>
        <v>45657</v>
      </c>
      <c r="J609" s="292">
        <f t="shared" si="417"/>
        <v>46022</v>
      </c>
      <c r="K609" s="292">
        <f t="shared" si="417"/>
        <v>46387</v>
      </c>
      <c r="L609" s="292">
        <f t="shared" si="417"/>
        <v>46752</v>
      </c>
      <c r="M609" s="292">
        <f t="shared" si="417"/>
        <v>47118</v>
      </c>
      <c r="N609" s="292">
        <f t="shared" si="417"/>
        <v>47483</v>
      </c>
      <c r="O609" s="292">
        <f t="shared" si="417"/>
        <v>47848</v>
      </c>
      <c r="P609" s="292">
        <f t="shared" si="417"/>
        <v>48213</v>
      </c>
      <c r="Q609" s="292">
        <f t="shared" si="417"/>
        <v>48579</v>
      </c>
      <c r="R609" s="317"/>
    </row>
    <row r="610" spans="2:18" ht="5.0999999999999996" customHeight="1" outlineLevel="1">
      <c r="B610" s="318"/>
      <c r="C610" s="318"/>
      <c r="D610" s="318"/>
      <c r="E610" s="319"/>
      <c r="F610" s="319"/>
      <c r="G610" s="326"/>
      <c r="H610" s="319"/>
      <c r="I610" s="319"/>
      <c r="J610" s="319"/>
      <c r="K610" s="319"/>
      <c r="L610" s="319"/>
      <c r="M610" s="319"/>
      <c r="N610" s="327"/>
      <c r="R610" s="317"/>
    </row>
    <row r="611" spans="2:18" ht="13.5" customHeight="1" outlineLevel="1">
      <c r="B611" s="395" t="s">
        <v>566</v>
      </c>
      <c r="C611" s="395"/>
      <c r="D611" s="395"/>
      <c r="E611" s="396"/>
      <c r="F611" s="396"/>
      <c r="G611" s="395"/>
      <c r="H611" s="396"/>
      <c r="I611" s="396"/>
      <c r="J611" s="396"/>
      <c r="K611" s="396"/>
      <c r="L611" s="396"/>
      <c r="M611" s="396"/>
      <c r="N611" s="397"/>
      <c r="O611" s="398"/>
      <c r="P611" s="398"/>
      <c r="Q611" s="398"/>
      <c r="R611" s="317"/>
    </row>
    <row r="612" spans="2:18" ht="13.5" customHeight="1" outlineLevel="1">
      <c r="B612" s="318"/>
      <c r="C612" s="318"/>
      <c r="D612" s="318"/>
      <c r="E612" s="319"/>
      <c r="F612" s="319"/>
      <c r="G612" s="326"/>
      <c r="H612" s="319"/>
      <c r="I612" s="319"/>
      <c r="J612" s="319"/>
      <c r="K612" s="319"/>
      <c r="L612" s="319"/>
      <c r="M612" s="319"/>
      <c r="N612" s="327"/>
      <c r="R612" s="317"/>
    </row>
    <row r="613" spans="2:18" ht="13.5" customHeight="1" outlineLevel="1">
      <c r="B613" s="36" t="s">
        <v>489</v>
      </c>
      <c r="C613" s="318"/>
      <c r="D613" s="318"/>
      <c r="E613" s="319"/>
      <c r="F613" s="319"/>
      <c r="G613" s="326"/>
      <c r="H613" s="399">
        <f>Acquirer!T410</f>
        <v>0.32990000000000003</v>
      </c>
      <c r="I613" s="94">
        <f>Acquirer!H410</f>
        <v>0.32990000000000003</v>
      </c>
      <c r="J613" s="94">
        <f>Acquirer!I410</f>
        <v>0.32990000000000003</v>
      </c>
      <c r="K613" s="94">
        <f>Acquirer!J410</f>
        <v>0.32990000000000003</v>
      </c>
      <c r="L613" s="94">
        <f>Acquirer!K410</f>
        <v>0.32990000000000003</v>
      </c>
      <c r="M613" s="94">
        <f>Acquirer!L410</f>
        <v>0.32990000000000003</v>
      </c>
      <c r="N613" s="94">
        <f>Acquirer!M410</f>
        <v>0.32990000000000003</v>
      </c>
      <c r="O613" s="94">
        <f>Acquirer!N410</f>
        <v>0.32990000000000003</v>
      </c>
      <c r="P613" s="94">
        <f>Acquirer!O410</f>
        <v>0.32990000000000003</v>
      </c>
      <c r="Q613" s="94">
        <f>Acquirer!P410</f>
        <v>0.32990000000000003</v>
      </c>
      <c r="R613" s="317"/>
    </row>
    <row r="614" spans="2:18" ht="13.5" customHeight="1" outlineLevel="1">
      <c r="B614" s="36" t="s">
        <v>490</v>
      </c>
      <c r="C614" s="318"/>
      <c r="D614" s="318"/>
      <c r="E614" s="319"/>
      <c r="F614" s="319"/>
      <c r="G614" s="326"/>
      <c r="H614" s="399">
        <f>Acquirer!T411</f>
        <v>0.03</v>
      </c>
      <c r="I614" s="94">
        <f>Acquirer!H411</f>
        <v>0.03</v>
      </c>
      <c r="J614" s="94">
        <f>Acquirer!I411</f>
        <v>0.03</v>
      </c>
      <c r="K614" s="94">
        <f>Acquirer!J411</f>
        <v>0.03</v>
      </c>
      <c r="L614" s="94">
        <f>Acquirer!K411</f>
        <v>0.03</v>
      </c>
      <c r="M614" s="94">
        <f>Acquirer!L411</f>
        <v>0.03</v>
      </c>
      <c r="N614" s="94">
        <f>Acquirer!M411</f>
        <v>0.03</v>
      </c>
      <c r="O614" s="94">
        <f>Acquirer!N411</f>
        <v>0.03</v>
      </c>
      <c r="P614" s="94">
        <f>Acquirer!O411</f>
        <v>0.03</v>
      </c>
      <c r="Q614" s="94">
        <f>Acquirer!P411</f>
        <v>0.03</v>
      </c>
      <c r="R614" s="317"/>
    </row>
    <row r="615" spans="2:18" ht="13.5" customHeight="1" outlineLevel="1">
      <c r="B615" s="36" t="s">
        <v>491</v>
      </c>
      <c r="C615" s="318"/>
      <c r="D615" s="318"/>
      <c r="E615" s="319"/>
      <c r="F615" s="177"/>
      <c r="G615" s="177"/>
      <c r="H615" s="177">
        <f>H613*(1-H614)+H614</f>
        <v>0.35000300000000006</v>
      </c>
      <c r="I615" s="177">
        <f t="shared" ref="I615:Q615" si="418">I613*(1-I614)+I614</f>
        <v>0.35000300000000006</v>
      </c>
      <c r="J615" s="177">
        <f t="shared" si="418"/>
        <v>0.35000300000000006</v>
      </c>
      <c r="K615" s="177">
        <f t="shared" si="418"/>
        <v>0.35000300000000006</v>
      </c>
      <c r="L615" s="177">
        <f t="shared" si="418"/>
        <v>0.35000300000000006</v>
      </c>
      <c r="M615" s="177">
        <f t="shared" si="418"/>
        <v>0.35000300000000006</v>
      </c>
      <c r="N615" s="177">
        <f t="shared" si="418"/>
        <v>0.35000300000000006</v>
      </c>
      <c r="O615" s="177">
        <f t="shared" si="418"/>
        <v>0.35000300000000006</v>
      </c>
      <c r="P615" s="177">
        <f t="shared" si="418"/>
        <v>0.35000300000000006</v>
      </c>
      <c r="Q615" s="177">
        <f t="shared" si="418"/>
        <v>0.35000300000000006</v>
      </c>
      <c r="R615" s="317"/>
    </row>
    <row r="616" spans="2:18" ht="13.5" customHeight="1" outlineLevel="1">
      <c r="C616" s="318"/>
      <c r="D616" s="318"/>
      <c r="E616" s="319"/>
      <c r="F616" s="400"/>
      <c r="G616" s="400"/>
      <c r="H616" s="319"/>
      <c r="I616" s="319"/>
      <c r="J616" s="319"/>
      <c r="K616" s="319"/>
      <c r="L616" s="319"/>
      <c r="M616" s="319"/>
      <c r="N616" s="319"/>
      <c r="O616" s="319"/>
      <c r="P616" s="319"/>
      <c r="Q616" s="319"/>
      <c r="R616" s="317"/>
    </row>
    <row r="617" spans="2:18" ht="13.5" customHeight="1" outlineLevel="1">
      <c r="B617" s="108" t="s">
        <v>544</v>
      </c>
      <c r="C617" s="109"/>
      <c r="D617" s="109"/>
      <c r="E617" s="306"/>
      <c r="F617" s="306"/>
      <c r="G617" s="306"/>
      <c r="H617" s="306"/>
      <c r="I617" s="109"/>
      <c r="J617" s="306"/>
      <c r="K617" s="306"/>
      <c r="L617" s="306"/>
      <c r="M617" s="306"/>
      <c r="N617" s="306"/>
      <c r="O617" s="306"/>
      <c r="P617" s="306"/>
      <c r="Q617" s="110"/>
    </row>
    <row r="618" spans="2:18" ht="13.5" customHeight="1" outlineLevel="1">
      <c r="C618" s="381"/>
      <c r="H618" s="199"/>
      <c r="I618" s="199"/>
      <c r="J618" s="199"/>
      <c r="K618" s="199"/>
      <c r="L618" s="199"/>
      <c r="M618" s="199"/>
      <c r="N618" s="199"/>
      <c r="O618" s="199"/>
      <c r="P618" s="199"/>
      <c r="Q618" s="199"/>
      <c r="R618" s="317"/>
    </row>
    <row r="619" spans="2:18" ht="13.5" customHeight="1" outlineLevel="1">
      <c r="B619" s="36" t="s">
        <v>93</v>
      </c>
      <c r="F619" s="170"/>
      <c r="G619" s="170"/>
      <c r="H619" s="401">
        <f t="shared" ref="H619:Q619" ca="1" si="419">H14</f>
        <v>440.55749999999983</v>
      </c>
      <c r="I619" s="401">
        <f t="shared" ca="1" si="419"/>
        <v>989.35249999999985</v>
      </c>
      <c r="J619" s="401">
        <f t="shared" ca="1" si="419"/>
        <v>1084.3744499999996</v>
      </c>
      <c r="K619" s="401">
        <f t="shared" ca="1" si="419"/>
        <v>1177.5554944999997</v>
      </c>
      <c r="L619" s="401">
        <f t="shared" ca="1" si="419"/>
        <v>1279.9120794450009</v>
      </c>
      <c r="M619" s="401">
        <f t="shared" ca="1" si="419"/>
        <v>1392.36033323945</v>
      </c>
      <c r="N619" s="401">
        <f t="shared" ca="1" si="419"/>
        <v>1515.9079828718454</v>
      </c>
      <c r="O619" s="401">
        <f t="shared" ca="1" si="419"/>
        <v>1651.6635136305633</v>
      </c>
      <c r="P619" s="401">
        <f t="shared" ca="1" si="419"/>
        <v>1800.8462447898694</v>
      </c>
      <c r="Q619" s="401">
        <f t="shared" ca="1" si="419"/>
        <v>1964.7974128630692</v>
      </c>
      <c r="R619" s="317"/>
    </row>
    <row r="620" spans="2:18" ht="13.5" customHeight="1" outlineLevel="1">
      <c r="B620" s="36" t="s">
        <v>482</v>
      </c>
      <c r="F620" s="170"/>
      <c r="G620" s="170"/>
      <c r="H620" s="118">
        <f t="shared" ref="H620:Q620" si="420">-H551</f>
        <v>-44.4</v>
      </c>
      <c r="I620" s="118">
        <f t="shared" si="420"/>
        <v>-99.5</v>
      </c>
      <c r="J620" s="118">
        <f t="shared" si="420"/>
        <v>-108.18100000000001</v>
      </c>
      <c r="K620" s="118">
        <f t="shared" si="420"/>
        <v>-117.71741000000003</v>
      </c>
      <c r="L620" s="118">
        <f t="shared" si="420"/>
        <v>-128.19464410000006</v>
      </c>
      <c r="M620" s="118">
        <f t="shared" si="420"/>
        <v>-139.70665654100006</v>
      </c>
      <c r="N620" s="118">
        <f t="shared" si="420"/>
        <v>-152.35679570641008</v>
      </c>
      <c r="O620" s="118">
        <f t="shared" si="420"/>
        <v>-166.25874352347421</v>
      </c>
      <c r="P620" s="118">
        <f t="shared" si="420"/>
        <v>-181.53754880470896</v>
      </c>
      <c r="Q620" s="118">
        <f t="shared" si="420"/>
        <v>-198.33076392335607</v>
      </c>
      <c r="R620" s="317"/>
    </row>
    <row r="621" spans="2:18" ht="13.5" customHeight="1" outlineLevel="1">
      <c r="B621" s="36" t="s">
        <v>483</v>
      </c>
      <c r="F621" s="170"/>
      <c r="G621" s="170"/>
      <c r="H621" s="163">
        <f t="shared" ref="H621:Q621" si="421">-H602</f>
        <v>-36.799999999999997</v>
      </c>
      <c r="I621" s="163">
        <f t="shared" si="421"/>
        <v>-73.599999999999994</v>
      </c>
      <c r="J621" s="163">
        <f t="shared" si="421"/>
        <v>-73.599999999999994</v>
      </c>
      <c r="K621" s="163">
        <f t="shared" si="421"/>
        <v>-64.691000000000003</v>
      </c>
      <c r="L621" s="163">
        <f t="shared" si="421"/>
        <v>-36.720000000000027</v>
      </c>
      <c r="M621" s="163">
        <f t="shared" si="421"/>
        <v>0</v>
      </c>
      <c r="N621" s="163">
        <f t="shared" si="421"/>
        <v>0</v>
      </c>
      <c r="O621" s="163">
        <f t="shared" si="421"/>
        <v>0</v>
      </c>
      <c r="P621" s="163">
        <f t="shared" si="421"/>
        <v>0</v>
      </c>
      <c r="Q621" s="163">
        <f t="shared" si="421"/>
        <v>0</v>
      </c>
      <c r="R621" s="317"/>
    </row>
    <row r="622" spans="2:18" ht="13.5" customHeight="1" outlineLevel="1">
      <c r="B622" s="36" t="s">
        <v>485</v>
      </c>
      <c r="F622" s="170"/>
      <c r="G622" s="170"/>
      <c r="H622" s="163">
        <f t="shared" ref="H622:Q622" si="422">-H17</f>
        <v>-32.15</v>
      </c>
      <c r="I622" s="163">
        <f t="shared" si="422"/>
        <v>-70.3</v>
      </c>
      <c r="J622" s="163">
        <f t="shared" si="422"/>
        <v>-76.367000000000004</v>
      </c>
      <c r="K622" s="163">
        <f t="shared" si="422"/>
        <v>-83.031070000000014</v>
      </c>
      <c r="L622" s="163">
        <f t="shared" si="422"/>
        <v>-90.351820700000033</v>
      </c>
      <c r="M622" s="163">
        <f t="shared" si="422"/>
        <v>-98.394822907000048</v>
      </c>
      <c r="N622" s="163">
        <f t="shared" si="422"/>
        <v>-107.23220353607006</v>
      </c>
      <c r="O622" s="163">
        <f t="shared" si="422"/>
        <v>-116.94330121143076</v>
      </c>
      <c r="P622" s="163">
        <f t="shared" si="422"/>
        <v>-127.6153874275451</v>
      </c>
      <c r="Q622" s="163">
        <f t="shared" si="422"/>
        <v>-139.34445982622057</v>
      </c>
      <c r="R622" s="317"/>
    </row>
    <row r="623" spans="2:18" ht="13.5" customHeight="1" outlineLevel="1">
      <c r="B623" s="57" t="s">
        <v>487</v>
      </c>
      <c r="F623" s="170"/>
      <c r="G623" s="170"/>
      <c r="H623" s="163">
        <f t="shared" ref="H623:Q623" ca="1" si="423">-H33</f>
        <v>-37.888133455670513</v>
      </c>
      <c r="I623" s="163">
        <f t="shared" ca="1" si="423"/>
        <v>-60.500441866126309</v>
      </c>
      <c r="J623" s="163">
        <f t="shared" ca="1" si="423"/>
        <v>-64.178014115971507</v>
      </c>
      <c r="K623" s="163">
        <f t="shared" ca="1" si="423"/>
        <v>-66.778967222308722</v>
      </c>
      <c r="L623" s="163">
        <f t="shared" ca="1" si="423"/>
        <v>-58.029777331816618</v>
      </c>
      <c r="M623" s="163">
        <f t="shared" ca="1" si="423"/>
        <v>-56.647121597049804</v>
      </c>
      <c r="N623" s="163">
        <f t="shared" ca="1" si="423"/>
        <v>-55.170476850221633</v>
      </c>
      <c r="O623" s="163">
        <f t="shared" ca="1" si="423"/>
        <v>-53.555346601630184</v>
      </c>
      <c r="P623" s="163">
        <f t="shared" ca="1" si="423"/>
        <v>-51.788070753156987</v>
      </c>
      <c r="Q623" s="163">
        <f t="shared" ca="1" si="423"/>
        <v>-49.853623170951415</v>
      </c>
      <c r="R623" s="317"/>
    </row>
    <row r="624" spans="2:18" ht="13.5" customHeight="1" outlineLevel="1">
      <c r="B624" s="88" t="s">
        <v>486</v>
      </c>
      <c r="F624" s="170"/>
      <c r="G624" s="170"/>
      <c r="H624" s="163">
        <f t="shared" ref="H624:Q624" si="424">-H276*(1-$G279)-H288*(1-$G291)</f>
        <v>0</v>
      </c>
      <c r="I624" s="163">
        <f t="shared" si="424"/>
        <v>0</v>
      </c>
      <c r="J624" s="163">
        <f t="shared" si="424"/>
        <v>0</v>
      </c>
      <c r="K624" s="163">
        <f t="shared" si="424"/>
        <v>0</v>
      </c>
      <c r="L624" s="163">
        <f t="shared" si="424"/>
        <v>0</v>
      </c>
      <c r="M624" s="163">
        <f t="shared" si="424"/>
        <v>0</v>
      </c>
      <c r="N624" s="163">
        <f t="shared" si="424"/>
        <v>0</v>
      </c>
      <c r="O624" s="163">
        <f t="shared" si="424"/>
        <v>0</v>
      </c>
      <c r="P624" s="163">
        <f t="shared" si="424"/>
        <v>0</v>
      </c>
      <c r="Q624" s="163">
        <f t="shared" si="424"/>
        <v>0</v>
      </c>
      <c r="R624" s="317"/>
    </row>
    <row r="625" spans="2:19" ht="13.5" customHeight="1" outlineLevel="1">
      <c r="B625" s="301" t="s">
        <v>488</v>
      </c>
      <c r="F625" s="170"/>
      <c r="G625" s="170"/>
      <c r="H625" s="163">
        <f t="shared" ref="H625:Q625" si="425">-H35</f>
        <v>0</v>
      </c>
      <c r="I625" s="163">
        <f t="shared" si="425"/>
        <v>0</v>
      </c>
      <c r="J625" s="163">
        <f t="shared" si="425"/>
        <v>0</v>
      </c>
      <c r="K625" s="163">
        <f t="shared" si="425"/>
        <v>0</v>
      </c>
      <c r="L625" s="163">
        <f t="shared" si="425"/>
        <v>0</v>
      </c>
      <c r="M625" s="163">
        <f t="shared" si="425"/>
        <v>0</v>
      </c>
      <c r="N625" s="163">
        <f t="shared" si="425"/>
        <v>0</v>
      </c>
      <c r="O625" s="163">
        <f t="shared" si="425"/>
        <v>0</v>
      </c>
      <c r="P625" s="163">
        <f t="shared" si="425"/>
        <v>0</v>
      </c>
      <c r="Q625" s="163">
        <f t="shared" si="425"/>
        <v>0</v>
      </c>
      <c r="R625" s="317"/>
    </row>
    <row r="626" spans="2:19" ht="13.5" customHeight="1" outlineLevel="1">
      <c r="B626" s="301" t="s">
        <v>529</v>
      </c>
      <c r="F626" s="170"/>
      <c r="G626" s="170"/>
      <c r="H626" s="163">
        <f t="shared" ref="H626:Q626" si="426">-H36</f>
        <v>0</v>
      </c>
      <c r="I626" s="163">
        <f t="shared" si="426"/>
        <v>0</v>
      </c>
      <c r="J626" s="163">
        <f t="shared" si="426"/>
        <v>0</v>
      </c>
      <c r="K626" s="163">
        <f t="shared" si="426"/>
        <v>0</v>
      </c>
      <c r="L626" s="163">
        <f t="shared" si="426"/>
        <v>0</v>
      </c>
      <c r="M626" s="163">
        <f t="shared" si="426"/>
        <v>0</v>
      </c>
      <c r="N626" s="163">
        <f t="shared" si="426"/>
        <v>0</v>
      </c>
      <c r="O626" s="163">
        <f t="shared" si="426"/>
        <v>0</v>
      </c>
      <c r="P626" s="163">
        <f t="shared" si="426"/>
        <v>0</v>
      </c>
      <c r="Q626" s="163">
        <f t="shared" si="426"/>
        <v>0</v>
      </c>
      <c r="R626" s="317"/>
    </row>
    <row r="627" spans="2:19" ht="13.5" customHeight="1" outlineLevel="1">
      <c r="B627" s="301" t="s">
        <v>530</v>
      </c>
      <c r="F627" s="170"/>
      <c r="G627" s="170"/>
      <c r="H627" s="98">
        <v>0</v>
      </c>
      <c r="I627" s="98">
        <v>0</v>
      </c>
      <c r="J627" s="98">
        <v>0</v>
      </c>
      <c r="K627" s="98">
        <v>0</v>
      </c>
      <c r="L627" s="98">
        <v>0</v>
      </c>
      <c r="M627" s="98">
        <v>0</v>
      </c>
      <c r="N627" s="98">
        <v>0</v>
      </c>
      <c r="O627" s="98">
        <v>0</v>
      </c>
      <c r="P627" s="98">
        <v>0</v>
      </c>
      <c r="Q627" s="98">
        <v>0</v>
      </c>
      <c r="R627" s="317"/>
      <c r="S627" s="392"/>
    </row>
    <row r="628" spans="2:19" ht="13.5" customHeight="1" outlineLevel="1">
      <c r="B628" s="301" t="s">
        <v>531</v>
      </c>
      <c r="F628" s="170"/>
      <c r="G628" s="170"/>
      <c r="H628" s="163">
        <f t="shared" ref="H628:Q628" si="427">-H38</f>
        <v>-50</v>
      </c>
      <c r="I628" s="163">
        <f t="shared" si="427"/>
        <v>-75</v>
      </c>
      <c r="J628" s="163">
        <f t="shared" si="427"/>
        <v>-25</v>
      </c>
      <c r="K628" s="163">
        <f t="shared" si="427"/>
        <v>0</v>
      </c>
      <c r="L628" s="163">
        <f t="shared" si="427"/>
        <v>0</v>
      </c>
      <c r="M628" s="163">
        <f t="shared" si="427"/>
        <v>0</v>
      </c>
      <c r="N628" s="163">
        <f t="shared" si="427"/>
        <v>0</v>
      </c>
      <c r="O628" s="163">
        <f t="shared" si="427"/>
        <v>0</v>
      </c>
      <c r="P628" s="163">
        <f t="shared" si="427"/>
        <v>0</v>
      </c>
      <c r="Q628" s="163">
        <f t="shared" si="427"/>
        <v>0</v>
      </c>
      <c r="R628" s="317"/>
    </row>
    <row r="629" spans="2:19" ht="13.5" customHeight="1" outlineLevel="1">
      <c r="B629" s="116" t="s">
        <v>564</v>
      </c>
      <c r="C629" s="116"/>
      <c r="D629" s="116"/>
      <c r="E629" s="116"/>
      <c r="F629" s="402"/>
      <c r="G629" s="402"/>
      <c r="H629" s="144">
        <f t="shared" ref="H629:Q629" ca="1" si="428">SUM(H619:H628)</f>
        <v>239.31936654432934</v>
      </c>
      <c r="I629" s="144">
        <f t="shared" ca="1" si="428"/>
        <v>610.45205813387361</v>
      </c>
      <c r="J629" s="144">
        <f t="shared" ca="1" si="428"/>
        <v>737.04843588402809</v>
      </c>
      <c r="K629" s="144">
        <f t="shared" ca="1" si="428"/>
        <v>845.337047277691</v>
      </c>
      <c r="L629" s="144">
        <f t="shared" ca="1" si="428"/>
        <v>966.61583731318433</v>
      </c>
      <c r="M629" s="144">
        <f t="shared" ca="1" si="428"/>
        <v>1097.6117321944</v>
      </c>
      <c r="N629" s="144">
        <f t="shared" ca="1" si="428"/>
        <v>1201.1485067791436</v>
      </c>
      <c r="O629" s="144">
        <f t="shared" ca="1" si="428"/>
        <v>1314.9061222940281</v>
      </c>
      <c r="P629" s="144">
        <f t="shared" ca="1" si="428"/>
        <v>1439.9052378044585</v>
      </c>
      <c r="Q629" s="144">
        <f t="shared" ca="1" si="428"/>
        <v>1577.2685659425413</v>
      </c>
      <c r="R629" s="317"/>
    </row>
    <row r="630" spans="2:19" ht="13.5" customHeight="1" outlineLevel="1">
      <c r="B630" s="36" t="s">
        <v>518</v>
      </c>
      <c r="C630" s="88"/>
      <c r="D630" s="88"/>
      <c r="E630" s="88"/>
      <c r="F630" s="170"/>
      <c r="G630" s="170"/>
      <c r="H630" s="118">
        <f t="shared" ref="H630:Q630" ca="1" si="429">H667+H653</f>
        <v>-5.7414762659999994</v>
      </c>
      <c r="I630" s="118">
        <f t="shared" ca="1" si="429"/>
        <v>-11.482952531999999</v>
      </c>
      <c r="J630" s="118">
        <f t="shared" ca="1" si="429"/>
        <v>-11.482952531999999</v>
      </c>
      <c r="K630" s="118">
        <f t="shared" ca="1" si="429"/>
        <v>-1.9098405450000016</v>
      </c>
      <c r="L630" s="118">
        <f t="shared" ca="1" si="429"/>
        <v>0</v>
      </c>
      <c r="M630" s="118">
        <f t="shared" ca="1" si="429"/>
        <v>0</v>
      </c>
      <c r="N630" s="118">
        <f t="shared" ca="1" si="429"/>
        <v>0</v>
      </c>
      <c r="O630" s="118">
        <f t="shared" ca="1" si="429"/>
        <v>0</v>
      </c>
      <c r="P630" s="118">
        <f t="shared" ca="1" si="429"/>
        <v>0</v>
      </c>
      <c r="Q630" s="118">
        <f t="shared" ca="1" si="429"/>
        <v>0</v>
      </c>
      <c r="R630" s="317"/>
    </row>
    <row r="631" spans="2:19" ht="13.5" customHeight="1" outlineLevel="1">
      <c r="B631" s="116" t="s">
        <v>549</v>
      </c>
      <c r="C631" s="116"/>
      <c r="D631" s="116"/>
      <c r="E631" s="116"/>
      <c r="F631" s="402"/>
      <c r="G631" s="402"/>
      <c r="H631" s="144">
        <f ca="1">SUM(H629:H630)</f>
        <v>233.57789027832933</v>
      </c>
      <c r="I631" s="144">
        <f t="shared" ref="I631:Q631" ca="1" si="430">SUM(I629:I630)</f>
        <v>598.96910560187359</v>
      </c>
      <c r="J631" s="144">
        <f t="shared" ca="1" si="430"/>
        <v>725.56548335202808</v>
      </c>
      <c r="K631" s="144">
        <f t="shared" ca="1" si="430"/>
        <v>843.42720673269105</v>
      </c>
      <c r="L631" s="144">
        <f t="shared" ca="1" si="430"/>
        <v>966.61583731318433</v>
      </c>
      <c r="M631" s="144">
        <f t="shared" ca="1" si="430"/>
        <v>1097.6117321944</v>
      </c>
      <c r="N631" s="144">
        <f t="shared" ca="1" si="430"/>
        <v>1201.1485067791436</v>
      </c>
      <c r="O631" s="144">
        <f t="shared" ca="1" si="430"/>
        <v>1314.9061222940281</v>
      </c>
      <c r="P631" s="144">
        <f t="shared" ca="1" si="430"/>
        <v>1439.9052378044585</v>
      </c>
      <c r="Q631" s="144">
        <f t="shared" ca="1" si="430"/>
        <v>1577.2685659425413</v>
      </c>
      <c r="R631" s="317"/>
    </row>
    <row r="632" spans="2:19" ht="13.5" customHeight="1" outlineLevel="1">
      <c r="B632" s="36" t="s">
        <v>551</v>
      </c>
      <c r="G632" s="163"/>
      <c r="H632" s="163">
        <f ca="1">-MAX(0,H631*H614)</f>
        <v>-7.0073367083498797</v>
      </c>
      <c r="I632" s="163">
        <f t="shared" ref="I632:Q632" ca="1" si="431">-MAX(0,I631*I614)</f>
        <v>-17.969073168056209</v>
      </c>
      <c r="J632" s="163">
        <f t="shared" ca="1" si="431"/>
        <v>-21.766964500560842</v>
      </c>
      <c r="K632" s="163">
        <f t="shared" ca="1" si="431"/>
        <v>-25.302816201980729</v>
      </c>
      <c r="L632" s="163">
        <f t="shared" ca="1" si="431"/>
        <v>-28.998475119395529</v>
      </c>
      <c r="M632" s="163">
        <f t="shared" ca="1" si="431"/>
        <v>-32.928351965832</v>
      </c>
      <c r="N632" s="163">
        <f t="shared" ca="1" si="431"/>
        <v>-36.034455203374307</v>
      </c>
      <c r="O632" s="163">
        <f t="shared" ca="1" si="431"/>
        <v>-39.447183668820841</v>
      </c>
      <c r="P632" s="163">
        <f t="shared" ca="1" si="431"/>
        <v>-43.197157134133754</v>
      </c>
      <c r="Q632" s="163">
        <f t="shared" ca="1" si="431"/>
        <v>-47.318056978276239</v>
      </c>
      <c r="R632" s="317"/>
    </row>
    <row r="633" spans="2:19" ht="13.5" customHeight="1" outlineLevel="1">
      <c r="B633" s="116" t="s">
        <v>550</v>
      </c>
      <c r="C633" s="116"/>
      <c r="D633" s="116"/>
      <c r="E633" s="116"/>
      <c r="F633" s="116"/>
      <c r="G633" s="144"/>
      <c r="H633" s="403">
        <f t="shared" ref="H633" ca="1" si="432">SUM(H631:H632)</f>
        <v>226.57055356997947</v>
      </c>
      <c r="I633" s="403">
        <f t="shared" ref="I633" ca="1" si="433">SUM(I631:I632)</f>
        <v>581.00003243381741</v>
      </c>
      <c r="J633" s="403">
        <f t="shared" ref="J633" ca="1" si="434">SUM(J631:J632)</f>
        <v>703.79851885146729</v>
      </c>
      <c r="K633" s="403">
        <f t="shared" ref="K633" ca="1" si="435">SUM(K631:K632)</f>
        <v>818.12439053071034</v>
      </c>
      <c r="L633" s="403">
        <f t="shared" ref="L633" ca="1" si="436">SUM(L631:L632)</f>
        <v>937.61736219378884</v>
      </c>
      <c r="M633" s="403">
        <f t="shared" ref="M633" ca="1" si="437">SUM(M631:M632)</f>
        <v>1064.683380228568</v>
      </c>
      <c r="N633" s="403">
        <f t="shared" ref="N633" ca="1" si="438">SUM(N631:N632)</f>
        <v>1165.1140515757693</v>
      </c>
      <c r="O633" s="403">
        <f t="shared" ref="O633" ca="1" si="439">SUM(O631:O632)</f>
        <v>1275.4589386252073</v>
      </c>
      <c r="P633" s="403">
        <f t="shared" ref="P633" ca="1" si="440">SUM(P631:P632)</f>
        <v>1396.7080806703248</v>
      </c>
      <c r="Q633" s="403">
        <f t="shared" ref="Q633" ca="1" si="441">SUM(Q631:Q632)</f>
        <v>1529.9505089642651</v>
      </c>
      <c r="R633" s="317"/>
    </row>
    <row r="634" spans="2:19" ht="13.5" customHeight="1" outlineLevel="1">
      <c r="B634" s="88"/>
      <c r="C634" s="88"/>
      <c r="D634" s="88"/>
      <c r="E634" s="88"/>
      <c r="F634" s="170"/>
      <c r="G634" s="170"/>
      <c r="H634" s="177"/>
      <c r="I634" s="177"/>
      <c r="J634" s="177"/>
      <c r="K634" s="177"/>
      <c r="L634" s="177"/>
      <c r="M634" s="177"/>
      <c r="N634" s="177"/>
      <c r="O634" s="177"/>
      <c r="P634" s="177"/>
      <c r="Q634" s="177"/>
      <c r="R634" s="317"/>
    </row>
    <row r="635" spans="2:19" ht="13.5" customHeight="1" outlineLevel="1">
      <c r="B635" s="36" t="s">
        <v>552</v>
      </c>
      <c r="C635" s="88"/>
      <c r="D635" s="88"/>
      <c r="E635" s="88"/>
      <c r="F635" s="170"/>
      <c r="G635" s="170"/>
      <c r="H635" s="401">
        <f ca="1">H682</f>
        <v>74.073970060236221</v>
      </c>
      <c r="I635" s="401">
        <f t="shared" ref="I635:Q635" ca="1" si="442">I682</f>
        <v>191.67191069991637</v>
      </c>
      <c r="J635" s="401">
        <f t="shared" ca="1" si="442"/>
        <v>232.18313136909907</v>
      </c>
      <c r="K635" s="401">
        <f t="shared" ca="1" si="442"/>
        <v>269.89923643608137</v>
      </c>
      <c r="L635" s="401">
        <f t="shared" ca="1" si="442"/>
        <v>309.31996778773095</v>
      </c>
      <c r="M635" s="401">
        <f t="shared" ca="1" si="442"/>
        <v>351.23904713740461</v>
      </c>
      <c r="N635" s="401">
        <f t="shared" ca="1" si="442"/>
        <v>384.37112561484633</v>
      </c>
      <c r="O635" s="401">
        <f t="shared" ca="1" si="442"/>
        <v>420.77390385245593</v>
      </c>
      <c r="P635" s="401">
        <f t="shared" ca="1" si="442"/>
        <v>460.77399581314017</v>
      </c>
      <c r="Q635" s="401">
        <f t="shared" ca="1" si="442"/>
        <v>504.73067290731109</v>
      </c>
      <c r="R635" s="317"/>
    </row>
    <row r="636" spans="2:19" ht="13.5" customHeight="1" outlineLevel="1">
      <c r="B636" s="36" t="s">
        <v>553</v>
      </c>
      <c r="C636" s="88"/>
      <c r="D636" s="88"/>
      <c r="E636" s="88"/>
      <c r="F636" s="170"/>
      <c r="G636" s="170"/>
      <c r="H636" s="90">
        <f ca="1">-H632</f>
        <v>7.0073367083498797</v>
      </c>
      <c r="I636" s="90">
        <f t="shared" ref="I636:Q636" ca="1" si="443">-I632</f>
        <v>17.969073168056209</v>
      </c>
      <c r="J636" s="90">
        <f t="shared" ca="1" si="443"/>
        <v>21.766964500560842</v>
      </c>
      <c r="K636" s="90">
        <f t="shared" ca="1" si="443"/>
        <v>25.302816201980729</v>
      </c>
      <c r="L636" s="90">
        <f t="shared" ca="1" si="443"/>
        <v>28.998475119395529</v>
      </c>
      <c r="M636" s="90">
        <f t="shared" ca="1" si="443"/>
        <v>32.928351965832</v>
      </c>
      <c r="N636" s="90">
        <f t="shared" ca="1" si="443"/>
        <v>36.034455203374307</v>
      </c>
      <c r="O636" s="90">
        <f t="shared" ca="1" si="443"/>
        <v>39.447183668820841</v>
      </c>
      <c r="P636" s="90">
        <f t="shared" ca="1" si="443"/>
        <v>43.197157134133754</v>
      </c>
      <c r="Q636" s="90">
        <f t="shared" ca="1" si="443"/>
        <v>47.318056978276239</v>
      </c>
      <c r="R636" s="317"/>
    </row>
    <row r="637" spans="2:19" ht="13.5" customHeight="1" outlineLevel="1">
      <c r="B637" s="404" t="s">
        <v>554</v>
      </c>
      <c r="C637" s="404"/>
      <c r="D637" s="404"/>
      <c r="E637" s="404"/>
      <c r="F637" s="405"/>
      <c r="G637" s="405"/>
      <c r="H637" s="406">
        <f ca="1">SUM(H635:H636)</f>
        <v>81.081306768586103</v>
      </c>
      <c r="I637" s="406">
        <f t="shared" ref="I637:Q637" ca="1" si="444">SUM(I635:I636)</f>
        <v>209.64098386797258</v>
      </c>
      <c r="J637" s="406">
        <f t="shared" ca="1" si="444"/>
        <v>253.95009586965992</v>
      </c>
      <c r="K637" s="406">
        <f t="shared" ca="1" si="444"/>
        <v>295.20205263806207</v>
      </c>
      <c r="L637" s="406">
        <f t="shared" ca="1" si="444"/>
        <v>338.3184429071265</v>
      </c>
      <c r="M637" s="406">
        <f t="shared" ca="1" si="444"/>
        <v>384.16739910323662</v>
      </c>
      <c r="N637" s="406">
        <f t="shared" ca="1" si="444"/>
        <v>420.40558081822064</v>
      </c>
      <c r="O637" s="406">
        <f t="shared" ca="1" si="444"/>
        <v>460.22108752127679</v>
      </c>
      <c r="P637" s="406">
        <f t="shared" ca="1" si="444"/>
        <v>503.97115294727394</v>
      </c>
      <c r="Q637" s="406">
        <f t="shared" ca="1" si="444"/>
        <v>552.04872988558736</v>
      </c>
      <c r="R637" s="317"/>
    </row>
    <row r="638" spans="2:19" ht="13.5" customHeight="1" outlineLevel="1">
      <c r="B638" s="36" t="s">
        <v>515</v>
      </c>
      <c r="F638" s="170"/>
      <c r="G638" s="170"/>
      <c r="H638" s="163">
        <f ca="1">H639-H637</f>
        <v>-1.9484109100272065</v>
      </c>
      <c r="I638" s="163">
        <f t="shared" ref="I638:Q638" ca="1" si="445">I639-I637</f>
        <v>-4.3674633234718101</v>
      </c>
      <c r="J638" s="163">
        <f t="shared" ca="1" si="445"/>
        <v>-2.6221240803065484</v>
      </c>
      <c r="K638" s="163">
        <f t="shared" ca="1" si="445"/>
        <v>-4.2274027519272863</v>
      </c>
      <c r="L638" s="163">
        <f t="shared" ca="1" si="445"/>
        <v>-3.1505134290336514</v>
      </c>
      <c r="M638" s="163">
        <f t="shared" ca="1" si="445"/>
        <v>-1.3264235108682101</v>
      </c>
      <c r="N638" s="163">
        <f t="shared" ca="1" si="445"/>
        <v>-0.28125241071421669</v>
      </c>
      <c r="O638" s="163">
        <f t="shared" ca="1" si="445"/>
        <v>-9.3750803571367669E-2</v>
      </c>
      <c r="P638" s="163">
        <f t="shared" ca="1" si="445"/>
        <v>0</v>
      </c>
      <c r="Q638" s="163">
        <f t="shared" ca="1" si="445"/>
        <v>0</v>
      </c>
      <c r="R638" s="317"/>
    </row>
    <row r="639" spans="2:19" ht="13.5" customHeight="1" outlineLevel="1">
      <c r="B639" s="116" t="s">
        <v>514</v>
      </c>
      <c r="C639" s="116"/>
      <c r="D639" s="116"/>
      <c r="E639" s="116"/>
      <c r="F639" s="402"/>
      <c r="G639" s="402"/>
      <c r="H639" s="403">
        <f t="shared" ref="H639:Q639" ca="1" si="446">H40</f>
        <v>79.132895858558896</v>
      </c>
      <c r="I639" s="403">
        <f t="shared" ca="1" si="446"/>
        <v>205.27352054450077</v>
      </c>
      <c r="J639" s="403">
        <f t="shared" ca="1" si="446"/>
        <v>251.32797178935337</v>
      </c>
      <c r="K639" s="403">
        <f t="shared" ca="1" si="446"/>
        <v>290.97464988613478</v>
      </c>
      <c r="L639" s="403">
        <f t="shared" ca="1" si="446"/>
        <v>335.16792947809284</v>
      </c>
      <c r="M639" s="403">
        <f t="shared" ca="1" si="446"/>
        <v>382.84097559236841</v>
      </c>
      <c r="N639" s="403">
        <f t="shared" ca="1" si="446"/>
        <v>420.12432840750643</v>
      </c>
      <c r="O639" s="403">
        <f t="shared" ca="1" si="446"/>
        <v>460.12733671770542</v>
      </c>
      <c r="P639" s="403">
        <f t="shared" ca="1" si="446"/>
        <v>503.97115294727388</v>
      </c>
      <c r="Q639" s="403">
        <f t="shared" ca="1" si="446"/>
        <v>552.04872988558736</v>
      </c>
      <c r="R639" s="317"/>
    </row>
    <row r="640" spans="2:19" ht="13.5" customHeight="1" outlineLevel="1">
      <c r="F640" s="170"/>
      <c r="G640" s="170"/>
      <c r="H640" s="163"/>
      <c r="I640" s="163"/>
      <c r="J640" s="163"/>
      <c r="K640" s="163"/>
      <c r="L640" s="163"/>
      <c r="M640" s="163"/>
      <c r="N640" s="163"/>
      <c r="O640" s="163"/>
      <c r="P640" s="163"/>
      <c r="Q640" s="163"/>
      <c r="R640" s="317"/>
    </row>
    <row r="641" spans="2:18" ht="13.5" customHeight="1" outlineLevel="1">
      <c r="B641" s="36" t="s">
        <v>526</v>
      </c>
      <c r="F641" s="170"/>
      <c r="G641" s="170"/>
      <c r="H641" s="401">
        <f ca="1">G643</f>
        <v>26.766790265893928</v>
      </c>
      <c r="I641" s="401">
        <f t="shared" ref="I641:Q641" ca="1" si="447">H643</f>
        <v>24.818379355866721</v>
      </c>
      <c r="J641" s="401">
        <f t="shared" ca="1" si="447"/>
        <v>20.450916032394911</v>
      </c>
      <c r="K641" s="401">
        <f t="shared" ca="1" si="447"/>
        <v>17.828791952088363</v>
      </c>
      <c r="L641" s="401">
        <f t="shared" ca="1" si="447"/>
        <v>13.601389200161076</v>
      </c>
      <c r="M641" s="401">
        <f t="shared" ca="1" si="447"/>
        <v>10.450875771127425</v>
      </c>
      <c r="N641" s="401">
        <f t="shared" ca="1" si="447"/>
        <v>9.1244522602592149</v>
      </c>
      <c r="O641" s="401">
        <f t="shared" ca="1" si="447"/>
        <v>8.8431998495449982</v>
      </c>
      <c r="P641" s="401">
        <f t="shared" ca="1" si="447"/>
        <v>8.7494490459736305</v>
      </c>
      <c r="Q641" s="401">
        <f t="shared" ca="1" si="447"/>
        <v>8.7494490459736305</v>
      </c>
      <c r="R641" s="317"/>
    </row>
    <row r="642" spans="2:18" ht="13.5" customHeight="1" outlineLevel="1">
      <c r="B642" s="36" t="s">
        <v>525</v>
      </c>
      <c r="F642" s="170"/>
      <c r="G642" s="170"/>
      <c r="H642" s="163">
        <f ca="1">H638</f>
        <v>-1.9484109100272065</v>
      </c>
      <c r="I642" s="163">
        <f t="shared" ref="I642:Q642" ca="1" si="448">I638</f>
        <v>-4.3674633234718101</v>
      </c>
      <c r="J642" s="163">
        <f t="shared" ca="1" si="448"/>
        <v>-2.6221240803065484</v>
      </c>
      <c r="K642" s="163">
        <f t="shared" ca="1" si="448"/>
        <v>-4.2274027519272863</v>
      </c>
      <c r="L642" s="163">
        <f t="shared" ca="1" si="448"/>
        <v>-3.1505134290336514</v>
      </c>
      <c r="M642" s="163">
        <f t="shared" ca="1" si="448"/>
        <v>-1.3264235108682101</v>
      </c>
      <c r="N642" s="163">
        <f t="shared" ca="1" si="448"/>
        <v>-0.28125241071421669</v>
      </c>
      <c r="O642" s="163">
        <f t="shared" ca="1" si="448"/>
        <v>-9.3750803571367669E-2</v>
      </c>
      <c r="P642" s="163">
        <f t="shared" ca="1" si="448"/>
        <v>0</v>
      </c>
      <c r="Q642" s="163">
        <f t="shared" ca="1" si="448"/>
        <v>0</v>
      </c>
      <c r="R642" s="317"/>
    </row>
    <row r="643" spans="2:18" ht="13.5" customHeight="1" outlineLevel="1">
      <c r="B643" s="407" t="s">
        <v>659</v>
      </c>
      <c r="C643" s="407"/>
      <c r="D643" s="407"/>
      <c r="E643" s="407"/>
      <c r="F643" s="157"/>
      <c r="G643" s="408">
        <f ca="1">Close!S154</f>
        <v>26.766790265893928</v>
      </c>
      <c r="H643" s="409">
        <f ca="1">SUM(H641:H642)</f>
        <v>24.818379355866721</v>
      </c>
      <c r="I643" s="409">
        <f t="shared" ref="I643:Q643" ca="1" si="449">SUM(I641:I642)</f>
        <v>20.450916032394911</v>
      </c>
      <c r="J643" s="409">
        <f t="shared" ca="1" si="449"/>
        <v>17.828791952088363</v>
      </c>
      <c r="K643" s="409">
        <f t="shared" ca="1" si="449"/>
        <v>13.601389200161076</v>
      </c>
      <c r="L643" s="409">
        <f t="shared" ca="1" si="449"/>
        <v>10.450875771127425</v>
      </c>
      <c r="M643" s="409">
        <f t="shared" ca="1" si="449"/>
        <v>9.1244522602592149</v>
      </c>
      <c r="N643" s="409">
        <f t="shared" ca="1" si="449"/>
        <v>8.8431998495449982</v>
      </c>
      <c r="O643" s="409">
        <f t="shared" ca="1" si="449"/>
        <v>8.7494490459736305</v>
      </c>
      <c r="P643" s="409">
        <f t="shared" ca="1" si="449"/>
        <v>8.7494490459736305</v>
      </c>
      <c r="Q643" s="409">
        <f t="shared" ca="1" si="449"/>
        <v>8.7494490459736305</v>
      </c>
      <c r="R643" s="317"/>
    </row>
    <row r="644" spans="2:18" ht="13.5" customHeight="1" outlineLevel="1">
      <c r="B644" s="50"/>
      <c r="C644" s="50"/>
      <c r="D644" s="50"/>
      <c r="G644" s="50"/>
      <c r="H644" s="350"/>
      <c r="I644" s="350"/>
      <c r="J644" s="350"/>
      <c r="N644" s="57"/>
      <c r="R644" s="317"/>
    </row>
    <row r="645" spans="2:18" ht="13.5" customHeight="1" outlineLevel="1">
      <c r="B645" s="108" t="s">
        <v>650</v>
      </c>
      <c r="C645" s="109"/>
      <c r="D645" s="109"/>
      <c r="E645" s="306"/>
      <c r="F645" s="306"/>
      <c r="G645" s="306"/>
      <c r="H645" s="306"/>
      <c r="I645" s="109"/>
      <c r="J645" s="306"/>
      <c r="K645" s="306"/>
      <c r="L645" s="306"/>
      <c r="M645" s="306"/>
      <c r="N645" s="306"/>
      <c r="O645" s="306"/>
      <c r="P645" s="306"/>
      <c r="Q645" s="110"/>
    </row>
    <row r="646" spans="2:18" ht="13.5" customHeight="1" outlineLevel="1">
      <c r="C646" s="318"/>
      <c r="D646" s="318"/>
      <c r="E646" s="319"/>
      <c r="F646" s="319"/>
      <c r="G646" s="319"/>
      <c r="H646" s="319"/>
      <c r="I646" s="319"/>
      <c r="J646" s="319"/>
      <c r="K646" s="319"/>
      <c r="L646" s="319"/>
      <c r="M646" s="319"/>
      <c r="N646" s="319"/>
      <c r="O646" s="319"/>
      <c r="P646" s="327"/>
      <c r="R646" s="317"/>
    </row>
    <row r="647" spans="2:18" ht="13.5" customHeight="1" outlineLevel="1">
      <c r="B647" s="36" t="str">
        <f>"Annual NOL limitation – acquired "&amp;target&amp;" NOL"</f>
        <v>Annual NOL limitation – acquired TargetCo NOL</v>
      </c>
      <c r="C647" s="318"/>
      <c r="D647" s="318"/>
      <c r="E647" s="319"/>
      <c r="F647" s="319"/>
      <c r="G647" s="135">
        <f ca="1">IF(carryover,Close!O10,0)</f>
        <v>11.482952531999999</v>
      </c>
      <c r="H647" s="401">
        <f ca="1">$G647*H$3</f>
        <v>5.7414762659999994</v>
      </c>
      <c r="I647" s="401">
        <f t="shared" ref="I647:Q648" ca="1" si="450">$G647*I$3</f>
        <v>11.482952531999999</v>
      </c>
      <c r="J647" s="401">
        <f t="shared" ca="1" si="450"/>
        <v>11.482952531999999</v>
      </c>
      <c r="K647" s="401">
        <f t="shared" ca="1" si="450"/>
        <v>11.482952531999999</v>
      </c>
      <c r="L647" s="401">
        <f t="shared" ca="1" si="450"/>
        <v>11.482952531999999</v>
      </c>
      <c r="M647" s="401">
        <f t="shared" ca="1" si="450"/>
        <v>11.482952531999999</v>
      </c>
      <c r="N647" s="401">
        <f t="shared" ca="1" si="450"/>
        <v>11.482952531999999</v>
      </c>
      <c r="O647" s="401">
        <f t="shared" ca="1" si="450"/>
        <v>11.482952531999999</v>
      </c>
      <c r="P647" s="401">
        <f t="shared" ca="1" si="450"/>
        <v>11.482952531999999</v>
      </c>
      <c r="Q647" s="401">
        <f t="shared" ca="1" si="450"/>
        <v>11.482952531999999</v>
      </c>
      <c r="R647" s="317"/>
    </row>
    <row r="648" spans="2:18" ht="13.5" customHeight="1" outlineLevel="1">
      <c r="B648" s="36" t="str">
        <f>"Annual NOL limitation – "&amp;acquirer&amp;" encumbered NOL"</f>
        <v>Annual NOL limitation – BuyerCo encumbered NOL</v>
      </c>
      <c r="C648" s="318"/>
      <c r="D648" s="318"/>
      <c r="E648" s="319"/>
      <c r="F648" s="319"/>
      <c r="G648" s="126">
        <f>Acquirer!F442</f>
        <v>0</v>
      </c>
      <c r="H648" s="163">
        <f>$G648*H$3</f>
        <v>0</v>
      </c>
      <c r="I648" s="163">
        <f t="shared" si="450"/>
        <v>0</v>
      </c>
      <c r="J648" s="163">
        <f t="shared" si="450"/>
        <v>0</v>
      </c>
      <c r="K648" s="163">
        <f t="shared" si="450"/>
        <v>0</v>
      </c>
      <c r="L648" s="163">
        <f t="shared" si="450"/>
        <v>0</v>
      </c>
      <c r="M648" s="163">
        <f t="shared" si="450"/>
        <v>0</v>
      </c>
      <c r="N648" s="163">
        <f t="shared" si="450"/>
        <v>0</v>
      </c>
      <c r="O648" s="163">
        <f t="shared" si="450"/>
        <v>0</v>
      </c>
      <c r="P648" s="163">
        <f t="shared" si="450"/>
        <v>0</v>
      </c>
      <c r="Q648" s="163">
        <f t="shared" si="450"/>
        <v>0</v>
      </c>
      <c r="R648" s="317"/>
    </row>
    <row r="649" spans="2:18" ht="13.5" customHeight="1" outlineLevel="1">
      <c r="B649" s="116" t="s">
        <v>658</v>
      </c>
      <c r="C649" s="116"/>
      <c r="D649" s="116"/>
      <c r="E649" s="402"/>
      <c r="F649" s="402"/>
      <c r="G649" s="403">
        <f ca="1">SUM(G647:G648)</f>
        <v>11.482952531999999</v>
      </c>
      <c r="H649" s="403">
        <f t="shared" ref="H649:Q649" ca="1" si="451">SUM(H647:H648)</f>
        <v>5.7414762659999994</v>
      </c>
      <c r="I649" s="403">
        <f t="shared" ca="1" si="451"/>
        <v>11.482952531999999</v>
      </c>
      <c r="J649" s="403">
        <f t="shared" ca="1" si="451"/>
        <v>11.482952531999999</v>
      </c>
      <c r="K649" s="403">
        <f t="shared" ca="1" si="451"/>
        <v>11.482952531999999</v>
      </c>
      <c r="L649" s="403">
        <f t="shared" ca="1" si="451"/>
        <v>11.482952531999999</v>
      </c>
      <c r="M649" s="403">
        <f t="shared" ca="1" si="451"/>
        <v>11.482952531999999</v>
      </c>
      <c r="N649" s="403">
        <f t="shared" ca="1" si="451"/>
        <v>11.482952531999999</v>
      </c>
      <c r="O649" s="403">
        <f t="shared" ca="1" si="451"/>
        <v>11.482952531999999</v>
      </c>
      <c r="P649" s="403">
        <f t="shared" ca="1" si="451"/>
        <v>11.482952531999999</v>
      </c>
      <c r="Q649" s="403">
        <f t="shared" ca="1" si="451"/>
        <v>11.482952531999999</v>
      </c>
      <c r="R649" s="317"/>
    </row>
    <row r="650" spans="2:18" ht="13.5" customHeight="1" outlineLevel="1">
      <c r="C650" s="318"/>
      <c r="D650" s="318"/>
      <c r="E650" s="319"/>
      <c r="F650" s="319"/>
      <c r="G650" s="319"/>
      <c r="H650" s="319"/>
      <c r="I650" s="319"/>
      <c r="J650" s="319"/>
      <c r="K650" s="319"/>
      <c r="L650" s="319"/>
      <c r="M650" s="319"/>
      <c r="N650" s="319"/>
      <c r="O650" s="319"/>
      <c r="P650" s="327"/>
      <c r="R650" s="317"/>
    </row>
    <row r="651" spans="2:18" ht="13.75" customHeight="1" outlineLevel="1">
      <c r="B651" s="354" t="s">
        <v>653</v>
      </c>
      <c r="G651" s="163"/>
      <c r="H651" s="163"/>
      <c r="I651" s="163"/>
      <c r="J651" s="163"/>
      <c r="K651" s="163"/>
      <c r="L651" s="163"/>
      <c r="M651" s="163"/>
      <c r="N651" s="163"/>
      <c r="O651" s="163"/>
      <c r="P651" s="163"/>
      <c r="Q651" s="163"/>
      <c r="R651" s="317"/>
    </row>
    <row r="652" spans="2:18" ht="13.75" customHeight="1" outlineLevel="1">
      <c r="B652" s="36" t="s">
        <v>394</v>
      </c>
      <c r="H652" s="401">
        <f t="shared" ref="H652:Q652" ca="1" si="452">G655</f>
        <v>30.617221874999998</v>
      </c>
      <c r="I652" s="401">
        <f t="shared" ca="1" si="452"/>
        <v>24.875745608999999</v>
      </c>
      <c r="J652" s="401">
        <f t="shared" ca="1" si="452"/>
        <v>13.392793077</v>
      </c>
      <c r="K652" s="401">
        <f t="shared" ca="1" si="452"/>
        <v>1.9098405450000016</v>
      </c>
      <c r="L652" s="401">
        <f t="shared" ca="1" si="452"/>
        <v>0</v>
      </c>
      <c r="M652" s="401">
        <f t="shared" ca="1" si="452"/>
        <v>0</v>
      </c>
      <c r="N652" s="401">
        <f t="shared" ca="1" si="452"/>
        <v>0</v>
      </c>
      <c r="O652" s="401">
        <f t="shared" ca="1" si="452"/>
        <v>0</v>
      </c>
      <c r="P652" s="401">
        <f t="shared" ca="1" si="452"/>
        <v>0</v>
      </c>
      <c r="Q652" s="401">
        <f t="shared" ca="1" si="452"/>
        <v>0</v>
      </c>
      <c r="R652" s="317"/>
    </row>
    <row r="653" spans="2:18" ht="13.75" customHeight="1" outlineLevel="1">
      <c r="B653" s="36" t="s">
        <v>518</v>
      </c>
      <c r="H653" s="163">
        <f t="shared" ref="H653:Q653" ca="1" si="453">IF(H629&gt;0,-MIN(H629,H652,H649+H658),0)</f>
        <v>-5.7414762659999994</v>
      </c>
      <c r="I653" s="163">
        <f t="shared" ca="1" si="453"/>
        <v>-11.482952531999999</v>
      </c>
      <c r="J653" s="163">
        <f t="shared" ca="1" si="453"/>
        <v>-11.482952531999999</v>
      </c>
      <c r="K653" s="163">
        <f t="shared" ca="1" si="453"/>
        <v>-1.9098405450000016</v>
      </c>
      <c r="L653" s="163">
        <f t="shared" ca="1" si="453"/>
        <v>0</v>
      </c>
      <c r="M653" s="163">
        <f t="shared" ca="1" si="453"/>
        <v>0</v>
      </c>
      <c r="N653" s="163">
        <f t="shared" ca="1" si="453"/>
        <v>0</v>
      </c>
      <c r="O653" s="163">
        <f t="shared" ca="1" si="453"/>
        <v>0</v>
      </c>
      <c r="P653" s="163">
        <f t="shared" ca="1" si="453"/>
        <v>0</v>
      </c>
      <c r="Q653" s="163">
        <f t="shared" ca="1" si="453"/>
        <v>0</v>
      </c>
      <c r="R653" s="317"/>
    </row>
    <row r="654" spans="2:18" ht="13.75" customHeight="1" outlineLevel="1">
      <c r="B654" s="36" t="s">
        <v>519</v>
      </c>
      <c r="H654" s="184">
        <f ca="1">MAX(-SUM(H652:H653),Acquirer!T448+IF(carryover,Target!T448+Target!T464,0))</f>
        <v>0</v>
      </c>
      <c r="I654" s="126">
        <f ca="1">MAX(-SUM(I652:I653),Acquirer!H448+IF(carryover,Target!H448+Target!H464,0))</f>
        <v>0</v>
      </c>
      <c r="J654" s="126">
        <f ca="1">MAX(-SUM(J652:J653),Acquirer!I448+IF(carryover,Target!I448+Target!I464,0))</f>
        <v>0</v>
      </c>
      <c r="K654" s="126">
        <f ca="1">MAX(-SUM(K652:K653),Acquirer!J448+IF(carryover,Target!J448+Target!J464,0))</f>
        <v>0</v>
      </c>
      <c r="L654" s="126">
        <f ca="1">MAX(-SUM(L652:L653),Acquirer!K448+IF(carryover,Target!K448+Target!K464,0))</f>
        <v>0</v>
      </c>
      <c r="M654" s="126">
        <f ca="1">MAX(-SUM(M652:M653),Acquirer!L448+IF(carryover,Target!L448+Target!L464,0))</f>
        <v>0</v>
      </c>
      <c r="N654" s="126">
        <f ca="1">MAX(-SUM(N652:N653),Acquirer!M448+IF(carryover,Target!M448+Target!M464,0))</f>
        <v>0</v>
      </c>
      <c r="O654" s="126">
        <f ca="1">MAX(-SUM(O652:O653),Acquirer!N448+IF(carryover,Target!N448+Target!N464,0))</f>
        <v>0</v>
      </c>
      <c r="P654" s="126">
        <f ca="1">MAX(-SUM(P652:P653),Acquirer!O448+IF(carryover,Target!O448+Target!O464,0))</f>
        <v>0</v>
      </c>
      <c r="Q654" s="126">
        <f ca="1">MAX(-SUM(Q652:Q653),Acquirer!P448+IF(carryover,Target!P448+Target!P464,0))</f>
        <v>0</v>
      </c>
      <c r="R654" s="317"/>
    </row>
    <row r="655" spans="2:18" ht="13.75" customHeight="1" outlineLevel="1">
      <c r="B655" s="116" t="s">
        <v>397</v>
      </c>
      <c r="C655" s="116"/>
      <c r="D655" s="116"/>
      <c r="E655" s="116"/>
      <c r="F655" s="116"/>
      <c r="G655" s="356">
        <f ca="1">Acquirer!S449+IF(carryover,Target!S449+Target!S465,0)</f>
        <v>30.617221874999998</v>
      </c>
      <c r="H655" s="403">
        <f t="shared" ref="H655:Q655" ca="1" si="454">SUM(H652:H654)</f>
        <v>24.875745608999999</v>
      </c>
      <c r="I655" s="403">
        <f t="shared" ca="1" si="454"/>
        <v>13.392793077</v>
      </c>
      <c r="J655" s="403">
        <f t="shared" ca="1" si="454"/>
        <v>1.9098405450000016</v>
      </c>
      <c r="K655" s="403">
        <f t="shared" ca="1" si="454"/>
        <v>0</v>
      </c>
      <c r="L655" s="403">
        <f t="shared" ca="1" si="454"/>
        <v>0</v>
      </c>
      <c r="M655" s="403">
        <f t="shared" ca="1" si="454"/>
        <v>0</v>
      </c>
      <c r="N655" s="403">
        <f t="shared" ca="1" si="454"/>
        <v>0</v>
      </c>
      <c r="O655" s="403">
        <f t="shared" ca="1" si="454"/>
        <v>0</v>
      </c>
      <c r="P655" s="403">
        <f t="shared" ca="1" si="454"/>
        <v>0</v>
      </c>
      <c r="Q655" s="403">
        <f t="shared" ca="1" si="454"/>
        <v>0</v>
      </c>
      <c r="R655" s="317"/>
    </row>
    <row r="656" spans="2:18" ht="13.5" customHeight="1" outlineLevel="1">
      <c r="C656" s="50"/>
      <c r="D656" s="50"/>
      <c r="G656" s="50"/>
      <c r="H656" s="350"/>
      <c r="I656" s="350"/>
      <c r="J656" s="350"/>
      <c r="N656" s="57"/>
      <c r="R656" s="317"/>
    </row>
    <row r="657" spans="2:18" ht="13.5" customHeight="1" outlineLevel="1">
      <c r="B657" s="354" t="s">
        <v>654</v>
      </c>
      <c r="C657" s="50"/>
      <c r="D657" s="50"/>
      <c r="G657" s="50"/>
      <c r="H657" s="350"/>
      <c r="I657" s="350"/>
      <c r="J657" s="350"/>
      <c r="N657" s="57"/>
      <c r="R657" s="317"/>
    </row>
    <row r="658" spans="2:18" ht="13.5" customHeight="1" outlineLevel="1">
      <c r="B658" s="36" t="s">
        <v>394</v>
      </c>
      <c r="C658" s="50"/>
      <c r="D658" s="50"/>
      <c r="G658" s="50"/>
      <c r="H658" s="401">
        <f t="shared" ref="H658:Q658" ca="1" si="455">G661</f>
        <v>0</v>
      </c>
      <c r="I658" s="401">
        <f t="shared" ca="1" si="455"/>
        <v>0</v>
      </c>
      <c r="J658" s="401">
        <f t="shared" ca="1" si="455"/>
        <v>0</v>
      </c>
      <c r="K658" s="401">
        <f t="shared" ca="1" si="455"/>
        <v>0</v>
      </c>
      <c r="L658" s="401">
        <f t="shared" ca="1" si="455"/>
        <v>0</v>
      </c>
      <c r="M658" s="401">
        <f t="shared" ca="1" si="455"/>
        <v>0</v>
      </c>
      <c r="N658" s="401">
        <f t="shared" ca="1" si="455"/>
        <v>0</v>
      </c>
      <c r="O658" s="401">
        <f t="shared" ca="1" si="455"/>
        <v>0</v>
      </c>
      <c r="P658" s="401">
        <f t="shared" ca="1" si="455"/>
        <v>0</v>
      </c>
      <c r="Q658" s="401">
        <f t="shared" ca="1" si="455"/>
        <v>0</v>
      </c>
      <c r="R658" s="317"/>
    </row>
    <row r="659" spans="2:18" ht="13.5" customHeight="1" outlineLevel="1">
      <c r="B659" s="36" t="s">
        <v>655</v>
      </c>
      <c r="C659" s="50"/>
      <c r="D659" s="50"/>
      <c r="G659" s="50"/>
      <c r="H659" s="118">
        <f t="shared" ref="H659:Q659" ca="1" si="456">IF(H655&gt;0,MAX(0,H649+H653),0)</f>
        <v>0</v>
      </c>
      <c r="I659" s="118">
        <f t="shared" ca="1" si="456"/>
        <v>0</v>
      </c>
      <c r="J659" s="118">
        <f t="shared" ca="1" si="456"/>
        <v>0</v>
      </c>
      <c r="K659" s="118">
        <f t="shared" ca="1" si="456"/>
        <v>0</v>
      </c>
      <c r="L659" s="118">
        <f t="shared" ca="1" si="456"/>
        <v>0</v>
      </c>
      <c r="M659" s="118">
        <f t="shared" ca="1" si="456"/>
        <v>0</v>
      </c>
      <c r="N659" s="118">
        <f t="shared" ca="1" si="456"/>
        <v>0</v>
      </c>
      <c r="O659" s="118">
        <f t="shared" ca="1" si="456"/>
        <v>0</v>
      </c>
      <c r="P659" s="118">
        <f t="shared" ca="1" si="456"/>
        <v>0</v>
      </c>
      <c r="Q659" s="118">
        <f t="shared" ca="1" si="456"/>
        <v>0</v>
      </c>
      <c r="R659" s="317"/>
    </row>
    <row r="660" spans="2:18" ht="13.5" customHeight="1" outlineLevel="1">
      <c r="B660" s="36" t="s">
        <v>656</v>
      </c>
      <c r="C660" s="50"/>
      <c r="D660" s="50"/>
      <c r="G660" s="50"/>
      <c r="H660" s="118">
        <f t="shared" ref="H660:Q660" ca="1" si="457">-MAX(0,-H653-H649)</f>
        <v>0</v>
      </c>
      <c r="I660" s="118">
        <f t="shared" ca="1" si="457"/>
        <v>0</v>
      </c>
      <c r="J660" s="118">
        <f t="shared" ca="1" si="457"/>
        <v>0</v>
      </c>
      <c r="K660" s="118">
        <f t="shared" ca="1" si="457"/>
        <v>0</v>
      </c>
      <c r="L660" s="118">
        <f t="shared" ca="1" si="457"/>
        <v>0</v>
      </c>
      <c r="M660" s="118">
        <f t="shared" ca="1" si="457"/>
        <v>0</v>
      </c>
      <c r="N660" s="118">
        <f t="shared" ca="1" si="457"/>
        <v>0</v>
      </c>
      <c r="O660" s="118">
        <f t="shared" ca="1" si="457"/>
        <v>0</v>
      </c>
      <c r="P660" s="118">
        <f t="shared" ca="1" si="457"/>
        <v>0</v>
      </c>
      <c r="Q660" s="118">
        <f t="shared" ca="1" si="457"/>
        <v>0</v>
      </c>
      <c r="R660" s="317"/>
    </row>
    <row r="661" spans="2:18" ht="13.75" customHeight="1" outlineLevel="1">
      <c r="B661" s="116" t="s">
        <v>397</v>
      </c>
      <c r="C661" s="116"/>
      <c r="D661" s="116"/>
      <c r="E661" s="116"/>
      <c r="F661" s="116"/>
      <c r="G661" s="391">
        <f ca="1">Acquirer!S455+IF(carryover,Target!S455,0)</f>
        <v>0</v>
      </c>
      <c r="H661" s="403">
        <f ca="1">SUM(H658:H660)</f>
        <v>0</v>
      </c>
      <c r="I661" s="403">
        <f t="shared" ref="I661:Q661" ca="1" si="458">SUM(I658:I660)</f>
        <v>0</v>
      </c>
      <c r="J661" s="403">
        <f t="shared" ca="1" si="458"/>
        <v>0</v>
      </c>
      <c r="K661" s="403">
        <f t="shared" ca="1" si="458"/>
        <v>0</v>
      </c>
      <c r="L661" s="403">
        <f t="shared" ca="1" si="458"/>
        <v>0</v>
      </c>
      <c r="M661" s="403">
        <f t="shared" ca="1" si="458"/>
        <v>0</v>
      </c>
      <c r="N661" s="403">
        <f t="shared" ca="1" si="458"/>
        <v>0</v>
      </c>
      <c r="O661" s="403">
        <f t="shared" ca="1" si="458"/>
        <v>0</v>
      </c>
      <c r="P661" s="403">
        <f t="shared" ca="1" si="458"/>
        <v>0</v>
      </c>
      <c r="Q661" s="403">
        <f t="shared" ca="1" si="458"/>
        <v>0</v>
      </c>
      <c r="R661" s="317"/>
    </row>
    <row r="662" spans="2:18" ht="13.5" customHeight="1" outlineLevel="1">
      <c r="C662" s="50"/>
      <c r="D662" s="50"/>
      <c r="G662" s="50"/>
      <c r="H662" s="350"/>
      <c r="I662" s="350"/>
      <c r="J662" s="350"/>
      <c r="N662" s="57"/>
      <c r="R662" s="317"/>
    </row>
    <row r="663" spans="2:18" ht="13.5" customHeight="1" outlineLevel="1">
      <c r="B663" s="108" t="s">
        <v>657</v>
      </c>
      <c r="C663" s="109"/>
      <c r="D663" s="109"/>
      <c r="E663" s="306"/>
      <c r="F663" s="306"/>
      <c r="G663" s="306"/>
      <c r="H663" s="306"/>
      <c r="I663" s="109"/>
      <c r="J663" s="306"/>
      <c r="K663" s="306"/>
      <c r="L663" s="306"/>
      <c r="M663" s="306"/>
      <c r="N663" s="306"/>
      <c r="O663" s="306"/>
      <c r="P663" s="306"/>
      <c r="Q663" s="110"/>
      <c r="R663" s="317"/>
    </row>
    <row r="664" spans="2:18" ht="13.75" customHeight="1" outlineLevel="1">
      <c r="B664" s="53"/>
      <c r="G664" s="163"/>
      <c r="H664" s="163"/>
      <c r="I664" s="163"/>
      <c r="J664" s="163"/>
      <c r="K664" s="163"/>
      <c r="L664" s="163"/>
      <c r="M664" s="163"/>
      <c r="N664" s="163"/>
      <c r="O664" s="163"/>
      <c r="P664" s="163"/>
      <c r="Q664" s="163"/>
      <c r="R664" s="317"/>
    </row>
    <row r="665" spans="2:18" ht="13.75" customHeight="1" outlineLevel="1">
      <c r="B665" s="36" t="s">
        <v>516</v>
      </c>
      <c r="H665" s="401">
        <f t="shared" ref="H665:Q665" ca="1" si="459">G669</f>
        <v>0</v>
      </c>
      <c r="I665" s="401">
        <f t="shared" ca="1" si="459"/>
        <v>0</v>
      </c>
      <c r="J665" s="401">
        <f t="shared" ca="1" si="459"/>
        <v>0</v>
      </c>
      <c r="K665" s="401">
        <f t="shared" ca="1" si="459"/>
        <v>0</v>
      </c>
      <c r="L665" s="401">
        <f t="shared" ca="1" si="459"/>
        <v>0</v>
      </c>
      <c r="M665" s="401">
        <f t="shared" ca="1" si="459"/>
        <v>0</v>
      </c>
      <c r="N665" s="401">
        <f t="shared" ca="1" si="459"/>
        <v>0</v>
      </c>
      <c r="O665" s="401">
        <f t="shared" ca="1" si="459"/>
        <v>0</v>
      </c>
      <c r="P665" s="401">
        <f t="shared" ca="1" si="459"/>
        <v>0</v>
      </c>
      <c r="Q665" s="401">
        <f t="shared" ca="1" si="459"/>
        <v>0</v>
      </c>
      <c r="R665" s="317"/>
    </row>
    <row r="666" spans="2:18" ht="13.75" customHeight="1" outlineLevel="1">
      <c r="B666" s="36" t="s">
        <v>517</v>
      </c>
      <c r="H666" s="163">
        <f t="shared" ref="H666:Q666" ca="1" si="460">MAX(0,-H629)</f>
        <v>0</v>
      </c>
      <c r="I666" s="163">
        <f t="shared" ca="1" si="460"/>
        <v>0</v>
      </c>
      <c r="J666" s="163">
        <f t="shared" ca="1" si="460"/>
        <v>0</v>
      </c>
      <c r="K666" s="163">
        <f t="shared" ca="1" si="460"/>
        <v>0</v>
      </c>
      <c r="L666" s="163">
        <f t="shared" ca="1" si="460"/>
        <v>0</v>
      </c>
      <c r="M666" s="163">
        <f t="shared" ca="1" si="460"/>
        <v>0</v>
      </c>
      <c r="N666" s="163">
        <f t="shared" ca="1" si="460"/>
        <v>0</v>
      </c>
      <c r="O666" s="163">
        <f t="shared" ca="1" si="460"/>
        <v>0</v>
      </c>
      <c r="P666" s="163">
        <f t="shared" ca="1" si="460"/>
        <v>0</v>
      </c>
      <c r="Q666" s="163">
        <f t="shared" ca="1" si="460"/>
        <v>0</v>
      </c>
      <c r="R666" s="317"/>
    </row>
    <row r="667" spans="2:18" ht="13.75" customHeight="1" outlineLevel="1">
      <c r="B667" s="36" t="s">
        <v>518</v>
      </c>
      <c r="H667" s="163">
        <f ca="1">IF(H629+H653&gt;0,-MIN(H665+H666,H629+H653),0)</f>
        <v>0</v>
      </c>
      <c r="I667" s="163">
        <f t="shared" ref="I667:Q667" ca="1" si="461">IF(I629+I653&gt;0,-MIN(I665+I666,I629+I653),0)</f>
        <v>0</v>
      </c>
      <c r="J667" s="163">
        <f t="shared" ca="1" si="461"/>
        <v>0</v>
      </c>
      <c r="K667" s="163">
        <f t="shared" ca="1" si="461"/>
        <v>0</v>
      </c>
      <c r="L667" s="163">
        <f t="shared" ca="1" si="461"/>
        <v>0</v>
      </c>
      <c r="M667" s="163">
        <f t="shared" ca="1" si="461"/>
        <v>0</v>
      </c>
      <c r="N667" s="163">
        <f t="shared" ca="1" si="461"/>
        <v>0</v>
      </c>
      <c r="O667" s="163">
        <f t="shared" ca="1" si="461"/>
        <v>0</v>
      </c>
      <c r="P667" s="163">
        <f t="shared" ca="1" si="461"/>
        <v>0</v>
      </c>
      <c r="Q667" s="163">
        <f t="shared" ca="1" si="461"/>
        <v>0</v>
      </c>
      <c r="R667" s="317"/>
    </row>
    <row r="668" spans="2:18" ht="13.75" customHeight="1" outlineLevel="1">
      <c r="B668" s="36" t="s">
        <v>519</v>
      </c>
      <c r="H668" s="184">
        <f ca="1">Acquirer!T464</f>
        <v>0</v>
      </c>
      <c r="I668" s="126">
        <f ca="1">Acquirer!H464</f>
        <v>0</v>
      </c>
      <c r="J668" s="126">
        <f ca="1">Acquirer!I464</f>
        <v>0</v>
      </c>
      <c r="K668" s="126">
        <f ca="1">Acquirer!J464</f>
        <v>0</v>
      </c>
      <c r="L668" s="126">
        <f ca="1">Acquirer!K464</f>
        <v>0</v>
      </c>
      <c r="M668" s="126">
        <f ca="1">Acquirer!L464</f>
        <v>0</v>
      </c>
      <c r="N668" s="126">
        <f ca="1">Acquirer!M464</f>
        <v>0</v>
      </c>
      <c r="O668" s="126">
        <f ca="1">Acquirer!N464</f>
        <v>0</v>
      </c>
      <c r="P668" s="126">
        <f ca="1">Acquirer!O464</f>
        <v>0</v>
      </c>
      <c r="Q668" s="126">
        <f ca="1">Acquirer!P464</f>
        <v>0</v>
      </c>
      <c r="R668" s="317"/>
    </row>
    <row r="669" spans="2:18" ht="13.75" customHeight="1" outlineLevel="1">
      <c r="B669" s="116" t="s">
        <v>528</v>
      </c>
      <c r="C669" s="116"/>
      <c r="D669" s="116"/>
      <c r="E669" s="116"/>
      <c r="F669" s="116"/>
      <c r="G669" s="391">
        <f ca="1">Acquirer!S465</f>
        <v>0</v>
      </c>
      <c r="H669" s="403">
        <f t="shared" ref="H669" ca="1" si="462">SUM(H665:H668)</f>
        <v>0</v>
      </c>
      <c r="I669" s="403">
        <f t="shared" ref="I669" ca="1" si="463">SUM(I665:I668)</f>
        <v>0</v>
      </c>
      <c r="J669" s="403">
        <f t="shared" ref="J669" ca="1" si="464">SUM(J665:J668)</f>
        <v>0</v>
      </c>
      <c r="K669" s="403">
        <f t="shared" ref="K669" ca="1" si="465">SUM(K665:K668)</f>
        <v>0</v>
      </c>
      <c r="L669" s="403">
        <f t="shared" ref="L669" ca="1" si="466">SUM(L665:L668)</f>
        <v>0</v>
      </c>
      <c r="M669" s="403">
        <f t="shared" ref="M669" ca="1" si="467">SUM(M665:M668)</f>
        <v>0</v>
      </c>
      <c r="N669" s="403">
        <f t="shared" ref="N669" ca="1" si="468">SUM(N665:N668)</f>
        <v>0</v>
      </c>
      <c r="O669" s="403">
        <f t="shared" ref="O669" ca="1" si="469">SUM(O665:O668)</f>
        <v>0</v>
      </c>
      <c r="P669" s="403">
        <f t="shared" ref="P669" ca="1" si="470">SUM(P665:P668)</f>
        <v>0</v>
      </c>
      <c r="Q669" s="403">
        <f t="shared" ref="Q669" ca="1" si="471">SUM(Q665:Q668)</f>
        <v>0</v>
      </c>
      <c r="R669" s="317"/>
    </row>
    <row r="670" spans="2:18" ht="13.5" customHeight="1" outlineLevel="1">
      <c r="B670" s="50"/>
      <c r="C670" s="50"/>
      <c r="D670" s="50"/>
      <c r="G670" s="50"/>
      <c r="H670" s="350"/>
      <c r="I670" s="350"/>
      <c r="J670" s="350"/>
      <c r="N670" s="57"/>
      <c r="R670" s="317"/>
    </row>
    <row r="671" spans="2:18" ht="13.5" customHeight="1" outlineLevel="1">
      <c r="B671" s="108" t="s">
        <v>546</v>
      </c>
      <c r="C671" s="109"/>
      <c r="D671" s="109"/>
      <c r="E671" s="306"/>
      <c r="F671" s="306"/>
      <c r="G671" s="306"/>
      <c r="H671" s="306"/>
      <c r="I671" s="109"/>
      <c r="J671" s="306"/>
      <c r="K671" s="306"/>
      <c r="L671" s="306"/>
      <c r="M671" s="306"/>
      <c r="N671" s="306"/>
      <c r="O671" s="306"/>
      <c r="P671" s="306"/>
      <c r="Q671" s="110"/>
    </row>
    <row r="672" spans="2:18" ht="13.5" customHeight="1" outlineLevel="1">
      <c r="C672" s="381"/>
      <c r="H672" s="199"/>
      <c r="I672" s="199"/>
      <c r="J672" s="199"/>
      <c r="K672" s="199"/>
      <c r="L672" s="199"/>
      <c r="M672" s="199"/>
      <c r="N672" s="199"/>
      <c r="O672" s="199"/>
      <c r="P672" s="199"/>
      <c r="Q672" s="199"/>
      <c r="R672" s="317"/>
    </row>
    <row r="673" spans="2:18" ht="13.5" customHeight="1" outlineLevel="1">
      <c r="B673" s="36" t="s">
        <v>565</v>
      </c>
      <c r="C673" s="50"/>
      <c r="D673" s="50"/>
      <c r="G673" s="50"/>
      <c r="H673" s="94">
        <f>Acquirer!G477</f>
        <v>0.2</v>
      </c>
      <c r="I673" s="94">
        <f>Acquirer!H477</f>
        <v>0.2</v>
      </c>
      <c r="J673" s="94">
        <f>Acquirer!I477</f>
        <v>0.2</v>
      </c>
      <c r="K673" s="94">
        <f>Acquirer!J477</f>
        <v>0.2</v>
      </c>
      <c r="L673" s="94">
        <f>Acquirer!K477</f>
        <v>0.2</v>
      </c>
      <c r="M673" s="94">
        <f>Acquirer!L477</f>
        <v>0.2</v>
      </c>
      <c r="N673" s="94">
        <f>Acquirer!M477</f>
        <v>0.2</v>
      </c>
      <c r="O673" s="94">
        <f>Acquirer!N477</f>
        <v>0.2</v>
      </c>
      <c r="P673" s="94">
        <f>Acquirer!O477</f>
        <v>0.2</v>
      </c>
      <c r="Q673" s="94">
        <f>Acquirer!P477</f>
        <v>0.2</v>
      </c>
      <c r="R673" s="317"/>
    </row>
    <row r="674" spans="2:18" ht="13.5" customHeight="1" outlineLevel="1">
      <c r="B674" s="36" t="s">
        <v>547</v>
      </c>
      <c r="C674" s="50"/>
      <c r="D674" s="50"/>
      <c r="G674" s="50"/>
      <c r="H674" s="94">
        <f>Acquirer!G478</f>
        <v>0.9</v>
      </c>
      <c r="I674" s="94">
        <f>Acquirer!H478</f>
        <v>0.9</v>
      </c>
      <c r="J674" s="94">
        <f>Acquirer!I478</f>
        <v>0.9</v>
      </c>
      <c r="K674" s="94">
        <f>Acquirer!J478</f>
        <v>0.9</v>
      </c>
      <c r="L674" s="94">
        <f>Acquirer!K478</f>
        <v>0.9</v>
      </c>
      <c r="M674" s="94">
        <f>Acquirer!L478</f>
        <v>0.9</v>
      </c>
      <c r="N674" s="94">
        <f>Acquirer!M478</f>
        <v>0.9</v>
      </c>
      <c r="O674" s="94">
        <f>Acquirer!N478</f>
        <v>0.9</v>
      </c>
      <c r="P674" s="94">
        <f>Acquirer!O478</f>
        <v>0.9</v>
      </c>
      <c r="Q674" s="94">
        <f>Acquirer!P478</f>
        <v>0.9</v>
      </c>
      <c r="R674" s="317"/>
    </row>
    <row r="675" spans="2:18" ht="13.5" customHeight="1" outlineLevel="1">
      <c r="B675" s="36" t="s">
        <v>548</v>
      </c>
      <c r="C675" s="50"/>
      <c r="D675" s="50"/>
      <c r="G675" s="50"/>
      <c r="H675" s="177">
        <f t="shared" ref="H675:I675" si="472">H673*(1-H674)</f>
        <v>1.9999999999999997E-2</v>
      </c>
      <c r="I675" s="177">
        <f t="shared" si="472"/>
        <v>1.9999999999999997E-2</v>
      </c>
      <c r="J675" s="177">
        <f t="shared" ref="J675:Q675" si="473">J673*(1-J674)</f>
        <v>1.9999999999999997E-2</v>
      </c>
      <c r="K675" s="177">
        <f t="shared" si="473"/>
        <v>1.9999999999999997E-2</v>
      </c>
      <c r="L675" s="177">
        <f t="shared" si="473"/>
        <v>1.9999999999999997E-2</v>
      </c>
      <c r="M675" s="177">
        <f t="shared" si="473"/>
        <v>1.9999999999999997E-2</v>
      </c>
      <c r="N675" s="177">
        <f t="shared" si="473"/>
        <v>1.9999999999999997E-2</v>
      </c>
      <c r="O675" s="177">
        <f t="shared" si="473"/>
        <v>1.9999999999999997E-2</v>
      </c>
      <c r="P675" s="177">
        <f t="shared" si="473"/>
        <v>1.9999999999999997E-2</v>
      </c>
      <c r="Q675" s="177">
        <f t="shared" si="473"/>
        <v>1.9999999999999997E-2</v>
      </c>
      <c r="R675" s="317"/>
    </row>
    <row r="676" spans="2:18" ht="13.5" customHeight="1" outlineLevel="1">
      <c r="C676" s="50"/>
      <c r="D676" s="50"/>
      <c r="G676" s="50"/>
      <c r="H676" s="350"/>
      <c r="I676" s="350"/>
      <c r="J676" s="350"/>
      <c r="N676" s="57"/>
      <c r="R676" s="317"/>
    </row>
    <row r="677" spans="2:18" ht="13.5" customHeight="1" outlineLevel="1">
      <c r="B677" s="36" t="s">
        <v>563</v>
      </c>
      <c r="G677" s="50"/>
      <c r="H677" s="401">
        <f t="shared" ref="H677:Q677" ca="1" si="474">MAX(0,H633*H613)</f>
        <v>74.745625622736227</v>
      </c>
      <c r="I677" s="401">
        <f t="shared" ca="1" si="474"/>
        <v>191.67191069991637</v>
      </c>
      <c r="J677" s="401">
        <f t="shared" ca="1" si="474"/>
        <v>232.18313136909907</v>
      </c>
      <c r="K677" s="401">
        <f t="shared" ca="1" si="474"/>
        <v>269.89923643608137</v>
      </c>
      <c r="L677" s="401">
        <f t="shared" ca="1" si="474"/>
        <v>309.31996778773095</v>
      </c>
      <c r="M677" s="401">
        <f t="shared" ca="1" si="474"/>
        <v>351.23904713740461</v>
      </c>
      <c r="N677" s="401">
        <f t="shared" ca="1" si="474"/>
        <v>384.37112561484633</v>
      </c>
      <c r="O677" s="401">
        <f t="shared" ca="1" si="474"/>
        <v>420.77390385245593</v>
      </c>
      <c r="P677" s="401">
        <f t="shared" ca="1" si="474"/>
        <v>460.77399581314017</v>
      </c>
      <c r="Q677" s="401">
        <f t="shared" ca="1" si="474"/>
        <v>504.73067290731109</v>
      </c>
      <c r="R677" s="317"/>
    </row>
    <row r="678" spans="2:18" ht="13.5" customHeight="1" outlineLevel="1">
      <c r="B678" s="36" t="s">
        <v>555</v>
      </c>
      <c r="G678" s="50"/>
      <c r="H678" s="163">
        <f t="shared" ref="H678:Q678" ca="1" si="475">MAX(0,(H629+H632)*H675)</f>
        <v>4.646240596719589</v>
      </c>
      <c r="I678" s="163">
        <f t="shared" ca="1" si="475"/>
        <v>11.849659699316346</v>
      </c>
      <c r="J678" s="163">
        <f t="shared" ca="1" si="475"/>
        <v>14.305629427669343</v>
      </c>
      <c r="K678" s="163">
        <f t="shared" ca="1" si="475"/>
        <v>16.400684621514202</v>
      </c>
      <c r="L678" s="163">
        <f t="shared" ca="1" si="475"/>
        <v>18.752347243875775</v>
      </c>
      <c r="M678" s="163">
        <f t="shared" ca="1" si="475"/>
        <v>21.293667604571358</v>
      </c>
      <c r="N678" s="163">
        <f t="shared" ca="1" si="475"/>
        <v>23.302281031515381</v>
      </c>
      <c r="O678" s="163">
        <f t="shared" ca="1" si="475"/>
        <v>25.509178772504143</v>
      </c>
      <c r="P678" s="163">
        <f t="shared" ca="1" si="475"/>
        <v>27.934161613406491</v>
      </c>
      <c r="Q678" s="163">
        <f t="shared" ca="1" si="475"/>
        <v>30.599010179285298</v>
      </c>
      <c r="R678" s="317"/>
    </row>
    <row r="679" spans="2:18" ht="13.5" customHeight="1" outlineLevel="1">
      <c r="G679" s="50"/>
      <c r="H679" s="350"/>
      <c r="I679" s="350"/>
      <c r="J679" s="350"/>
      <c r="N679" s="57"/>
      <c r="R679" s="317"/>
    </row>
    <row r="680" spans="2:18" ht="13.5" customHeight="1" outlineLevel="1">
      <c r="B680" s="36" t="s">
        <v>556</v>
      </c>
      <c r="G680" s="401"/>
      <c r="H680" s="401">
        <f t="shared" ref="H680:Q680" ca="1" si="476">MAX(H677,H678)</f>
        <v>74.745625622736227</v>
      </c>
      <c r="I680" s="401">
        <f t="shared" ca="1" si="476"/>
        <v>191.67191069991637</v>
      </c>
      <c r="J680" s="401">
        <f t="shared" ca="1" si="476"/>
        <v>232.18313136909907</v>
      </c>
      <c r="K680" s="401">
        <f t="shared" ca="1" si="476"/>
        <v>269.89923643608137</v>
      </c>
      <c r="L680" s="401">
        <f t="shared" ca="1" si="476"/>
        <v>309.31996778773095</v>
      </c>
      <c r="M680" s="401">
        <f t="shared" ca="1" si="476"/>
        <v>351.23904713740461</v>
      </c>
      <c r="N680" s="401">
        <f t="shared" ca="1" si="476"/>
        <v>384.37112561484633</v>
      </c>
      <c r="O680" s="401">
        <f t="shared" ca="1" si="476"/>
        <v>420.77390385245593</v>
      </c>
      <c r="P680" s="401">
        <f t="shared" ca="1" si="476"/>
        <v>460.77399581314017</v>
      </c>
      <c r="Q680" s="401">
        <f t="shared" ca="1" si="476"/>
        <v>504.73067290731109</v>
      </c>
      <c r="R680" s="317"/>
    </row>
    <row r="681" spans="2:18" ht="13.5" customHeight="1" outlineLevel="1">
      <c r="B681" s="36" t="s">
        <v>557</v>
      </c>
      <c r="G681" s="163"/>
      <c r="H681" s="163">
        <f ca="1">H688</f>
        <v>-0.67165556250000003</v>
      </c>
      <c r="I681" s="163">
        <f t="shared" ref="I681:Q681" ca="1" si="477">I688</f>
        <v>0</v>
      </c>
      <c r="J681" s="163">
        <f t="shared" ca="1" si="477"/>
        <v>0</v>
      </c>
      <c r="K681" s="163">
        <f t="shared" ca="1" si="477"/>
        <v>0</v>
      </c>
      <c r="L681" s="163">
        <f t="shared" ca="1" si="477"/>
        <v>0</v>
      </c>
      <c r="M681" s="163">
        <f t="shared" ca="1" si="477"/>
        <v>0</v>
      </c>
      <c r="N681" s="163">
        <f t="shared" ca="1" si="477"/>
        <v>0</v>
      </c>
      <c r="O681" s="163">
        <f t="shared" ca="1" si="477"/>
        <v>0</v>
      </c>
      <c r="P681" s="163">
        <f t="shared" ca="1" si="477"/>
        <v>0</v>
      </c>
      <c r="Q681" s="163">
        <f t="shared" ca="1" si="477"/>
        <v>0</v>
      </c>
      <c r="R681" s="317"/>
    </row>
    <row r="682" spans="2:18" ht="13.5" customHeight="1" outlineLevel="1">
      <c r="B682" s="116" t="s">
        <v>552</v>
      </c>
      <c r="C682" s="116"/>
      <c r="D682" s="116"/>
      <c r="E682" s="116"/>
      <c r="F682" s="116"/>
      <c r="G682" s="403"/>
      <c r="H682" s="403">
        <f ca="1">SUM(H680:H681)</f>
        <v>74.073970060236221</v>
      </c>
      <c r="I682" s="403">
        <f t="shared" ref="I682:Q682" ca="1" si="478">SUM(I680:I681)</f>
        <v>191.67191069991637</v>
      </c>
      <c r="J682" s="403">
        <f t="shared" ca="1" si="478"/>
        <v>232.18313136909907</v>
      </c>
      <c r="K682" s="403">
        <f t="shared" ca="1" si="478"/>
        <v>269.89923643608137</v>
      </c>
      <c r="L682" s="403">
        <f t="shared" ca="1" si="478"/>
        <v>309.31996778773095</v>
      </c>
      <c r="M682" s="403">
        <f t="shared" ca="1" si="478"/>
        <v>351.23904713740461</v>
      </c>
      <c r="N682" s="403">
        <f t="shared" ca="1" si="478"/>
        <v>384.37112561484633</v>
      </c>
      <c r="O682" s="403">
        <f t="shared" ca="1" si="478"/>
        <v>420.77390385245593</v>
      </c>
      <c r="P682" s="403">
        <f t="shared" ca="1" si="478"/>
        <v>460.77399581314017</v>
      </c>
      <c r="Q682" s="403">
        <f t="shared" ca="1" si="478"/>
        <v>504.73067290731109</v>
      </c>
      <c r="R682" s="317"/>
    </row>
    <row r="683" spans="2:18" ht="13.5" customHeight="1" outlineLevel="1">
      <c r="B683" s="59" t="s">
        <v>558</v>
      </c>
      <c r="G683" s="50"/>
      <c r="H683" s="177">
        <f t="shared" ref="H683:Q683" ca="1" si="479">IFERROR(H682/(H629+H632),"NA")</f>
        <v>0.31885550702017051</v>
      </c>
      <c r="I683" s="177">
        <f t="shared" ca="1" si="479"/>
        <v>0.32350618593878211</v>
      </c>
      <c r="J683" s="177">
        <f t="shared" ca="1" si="479"/>
        <v>0.32460386667086488</v>
      </c>
      <c r="K683" s="177">
        <f t="shared" ca="1" si="479"/>
        <v>0.32913167061578763</v>
      </c>
      <c r="L683" s="177">
        <f t="shared" ca="1" si="479"/>
        <v>0.32990000000000003</v>
      </c>
      <c r="M683" s="177">
        <f t="shared" ca="1" si="479"/>
        <v>0.32990000000000003</v>
      </c>
      <c r="N683" s="177">
        <f t="shared" ca="1" si="479"/>
        <v>0.32990000000000003</v>
      </c>
      <c r="O683" s="177">
        <f t="shared" ca="1" si="479"/>
        <v>0.32990000000000003</v>
      </c>
      <c r="P683" s="177">
        <f t="shared" ca="1" si="479"/>
        <v>0.32990000000000003</v>
      </c>
      <c r="Q683" s="177">
        <f t="shared" ca="1" si="479"/>
        <v>0.32990000000000003</v>
      </c>
      <c r="R683" s="317"/>
    </row>
    <row r="684" spans="2:18" ht="13.5" customHeight="1" outlineLevel="1">
      <c r="C684" s="50"/>
      <c r="D684" s="50"/>
      <c r="G684" s="50"/>
      <c r="H684" s="350"/>
      <c r="I684" s="350"/>
      <c r="J684" s="350"/>
      <c r="N684" s="57"/>
      <c r="R684" s="317"/>
    </row>
    <row r="685" spans="2:18" ht="13.5" customHeight="1" outlineLevel="1">
      <c r="B685" s="53" t="s">
        <v>559</v>
      </c>
      <c r="G685" s="163"/>
      <c r="H685" s="350"/>
      <c r="I685" s="350"/>
      <c r="J685" s="350"/>
      <c r="N685" s="57"/>
      <c r="R685" s="317"/>
    </row>
    <row r="686" spans="2:18" ht="13.5" customHeight="1" outlineLevel="1">
      <c r="B686" s="36" t="s">
        <v>560</v>
      </c>
      <c r="H686" s="401">
        <f ca="1">G689</f>
        <v>0.67165556250000003</v>
      </c>
      <c r="I686" s="401">
        <f t="shared" ref="I686:Q686" ca="1" si="480">H689</f>
        <v>0</v>
      </c>
      <c r="J686" s="401">
        <f t="shared" ca="1" si="480"/>
        <v>0</v>
      </c>
      <c r="K686" s="401">
        <f t="shared" ca="1" si="480"/>
        <v>0</v>
      </c>
      <c r="L686" s="401">
        <f t="shared" ca="1" si="480"/>
        <v>0</v>
      </c>
      <c r="M686" s="401">
        <f t="shared" ca="1" si="480"/>
        <v>0</v>
      </c>
      <c r="N686" s="401">
        <f t="shared" ca="1" si="480"/>
        <v>0</v>
      </c>
      <c r="O686" s="401">
        <f t="shared" ca="1" si="480"/>
        <v>0</v>
      </c>
      <c r="P686" s="401">
        <f t="shared" ca="1" si="480"/>
        <v>0</v>
      </c>
      <c r="Q686" s="401">
        <f t="shared" ca="1" si="480"/>
        <v>0</v>
      </c>
      <c r="R686" s="317"/>
    </row>
    <row r="687" spans="2:18" ht="13.5" customHeight="1" outlineLevel="1">
      <c r="B687" s="36" t="s">
        <v>562</v>
      </c>
      <c r="H687" s="163">
        <f ca="1">IF(H678&gt;H677,H682,0)</f>
        <v>0</v>
      </c>
      <c r="I687" s="163">
        <f t="shared" ref="I687:Q687" ca="1" si="481">IF(I678&gt;I677,I682,0)</f>
        <v>0</v>
      </c>
      <c r="J687" s="163">
        <f t="shared" ca="1" si="481"/>
        <v>0</v>
      </c>
      <c r="K687" s="163">
        <f t="shared" ca="1" si="481"/>
        <v>0</v>
      </c>
      <c r="L687" s="163">
        <f t="shared" ca="1" si="481"/>
        <v>0</v>
      </c>
      <c r="M687" s="163">
        <f t="shared" ca="1" si="481"/>
        <v>0</v>
      </c>
      <c r="N687" s="163">
        <f t="shared" ca="1" si="481"/>
        <v>0</v>
      </c>
      <c r="O687" s="163">
        <f t="shared" ca="1" si="481"/>
        <v>0</v>
      </c>
      <c r="P687" s="163">
        <f t="shared" ca="1" si="481"/>
        <v>0</v>
      </c>
      <c r="Q687" s="163">
        <f t="shared" ca="1" si="481"/>
        <v>0</v>
      </c>
      <c r="R687" s="317"/>
    </row>
    <row r="688" spans="2:18" ht="13.5" customHeight="1" outlineLevel="1">
      <c r="B688" s="36" t="s">
        <v>557</v>
      </c>
      <c r="H688" s="163">
        <f ca="1">IF(H677&gt;H678,-MIN(H686,H680-H678),0)</f>
        <v>-0.67165556250000003</v>
      </c>
      <c r="I688" s="163">
        <f t="shared" ref="I688:Q688" ca="1" si="482">IF(I677&gt;I678,-MIN(I686,I680-I678),0)</f>
        <v>0</v>
      </c>
      <c r="J688" s="163">
        <f t="shared" ca="1" si="482"/>
        <v>0</v>
      </c>
      <c r="K688" s="163">
        <f t="shared" ca="1" si="482"/>
        <v>0</v>
      </c>
      <c r="L688" s="163">
        <f t="shared" ca="1" si="482"/>
        <v>0</v>
      </c>
      <c r="M688" s="163">
        <f t="shared" ca="1" si="482"/>
        <v>0</v>
      </c>
      <c r="N688" s="163">
        <f t="shared" ca="1" si="482"/>
        <v>0</v>
      </c>
      <c r="O688" s="163">
        <f t="shared" ca="1" si="482"/>
        <v>0</v>
      </c>
      <c r="P688" s="163">
        <f t="shared" ca="1" si="482"/>
        <v>0</v>
      </c>
      <c r="Q688" s="163">
        <f t="shared" ca="1" si="482"/>
        <v>0</v>
      </c>
      <c r="R688" s="317"/>
    </row>
    <row r="689" spans="2:18" ht="13.5" customHeight="1" outlineLevel="1">
      <c r="B689" s="116" t="s">
        <v>561</v>
      </c>
      <c r="C689" s="116"/>
      <c r="D689" s="116"/>
      <c r="E689" s="116"/>
      <c r="F689" s="116"/>
      <c r="G689" s="356">
        <f ca="1">Acquirer!S493+Target!S493</f>
        <v>0.67165556250000003</v>
      </c>
      <c r="H689" s="403">
        <f ca="1">SUM(H686:H688)</f>
        <v>0</v>
      </c>
      <c r="I689" s="403">
        <f t="shared" ref="I689:Q689" ca="1" si="483">SUM(I686:I688)</f>
        <v>0</v>
      </c>
      <c r="J689" s="403">
        <f t="shared" ca="1" si="483"/>
        <v>0</v>
      </c>
      <c r="K689" s="403">
        <f t="shared" ca="1" si="483"/>
        <v>0</v>
      </c>
      <c r="L689" s="403">
        <f t="shared" ca="1" si="483"/>
        <v>0</v>
      </c>
      <c r="M689" s="403">
        <f t="shared" ca="1" si="483"/>
        <v>0</v>
      </c>
      <c r="N689" s="403">
        <f t="shared" ca="1" si="483"/>
        <v>0</v>
      </c>
      <c r="O689" s="403">
        <f t="shared" ca="1" si="483"/>
        <v>0</v>
      </c>
      <c r="P689" s="403">
        <f t="shared" ca="1" si="483"/>
        <v>0</v>
      </c>
      <c r="Q689" s="403">
        <f t="shared" ca="1" si="483"/>
        <v>0</v>
      </c>
      <c r="R689" s="317"/>
    </row>
    <row r="690" spans="2:18" ht="13.5" customHeight="1" outlineLevel="1">
      <c r="C690" s="50"/>
      <c r="D690" s="50"/>
      <c r="G690" s="50"/>
      <c r="H690" s="350"/>
      <c r="I690" s="350"/>
      <c r="J690" s="350"/>
      <c r="N690" s="57"/>
      <c r="R690" s="317"/>
    </row>
    <row r="691" spans="2:18" ht="13.5" customHeight="1" outlineLevel="1">
      <c r="B691" s="108" t="s">
        <v>545</v>
      </c>
      <c r="C691" s="109"/>
      <c r="D691" s="109"/>
      <c r="E691" s="306"/>
      <c r="F691" s="306"/>
      <c r="G691" s="306"/>
      <c r="H691" s="306"/>
      <c r="I691" s="109"/>
      <c r="J691" s="306"/>
      <c r="K691" s="306"/>
      <c r="L691" s="306"/>
      <c r="M691" s="306"/>
      <c r="N691" s="306"/>
      <c r="O691" s="306"/>
      <c r="P691" s="306"/>
      <c r="Q691" s="110"/>
    </row>
    <row r="692" spans="2:18" ht="13.5" customHeight="1" outlineLevel="1">
      <c r="C692" s="381"/>
      <c r="H692" s="199"/>
      <c r="I692" s="199"/>
      <c r="J692" s="199"/>
      <c r="K692" s="199"/>
      <c r="L692" s="199"/>
      <c r="M692" s="199"/>
      <c r="N692" s="199"/>
      <c r="O692" s="199"/>
      <c r="P692" s="199"/>
      <c r="Q692" s="199"/>
      <c r="R692" s="317"/>
    </row>
    <row r="693" spans="2:18" ht="13.5" customHeight="1" outlineLevel="1">
      <c r="B693" s="354" t="s">
        <v>465</v>
      </c>
      <c r="C693" s="50"/>
      <c r="D693" s="50"/>
      <c r="G693" s="50"/>
      <c r="H693" s="350"/>
      <c r="I693" s="350"/>
      <c r="J693" s="350"/>
      <c r="N693" s="57"/>
      <c r="R693" s="317"/>
    </row>
    <row r="694" spans="2:18" ht="13.5" customHeight="1" outlineLevel="1">
      <c r="B694" s="88" t="s">
        <v>459</v>
      </c>
      <c r="C694" s="50"/>
      <c r="D694" s="50"/>
      <c r="G694" s="50"/>
      <c r="H694" s="114">
        <f>G696</f>
        <v>5.250045000000001</v>
      </c>
      <c r="I694" s="114">
        <f t="shared" ref="I694:Q694" si="484">H696</f>
        <v>4.593789375000001</v>
      </c>
      <c r="J694" s="114">
        <f t="shared" si="484"/>
        <v>3.375028928571429</v>
      </c>
      <c r="K694" s="114">
        <f t="shared" si="484"/>
        <v>2.3437700892857145</v>
      </c>
      <c r="L694" s="114">
        <f t="shared" si="484"/>
        <v>1.5000128571428573</v>
      </c>
      <c r="M694" s="114">
        <f t="shared" si="484"/>
        <v>0.84375723214285714</v>
      </c>
      <c r="N694" s="114">
        <f t="shared" si="484"/>
        <v>0.37500321428571415</v>
      </c>
      <c r="O694" s="114">
        <f t="shared" si="484"/>
        <v>9.3750803571428398E-2</v>
      </c>
      <c r="P694" s="114">
        <f t="shared" si="484"/>
        <v>0</v>
      </c>
      <c r="Q694" s="114">
        <f t="shared" si="484"/>
        <v>0</v>
      </c>
      <c r="R694" s="317"/>
    </row>
    <row r="695" spans="2:18" ht="13.5" customHeight="1" outlineLevel="1">
      <c r="B695" s="88" t="s">
        <v>461</v>
      </c>
      <c r="C695" s="50"/>
      <c r="D695" s="50"/>
      <c r="G695" s="50"/>
      <c r="H695" s="163">
        <f t="shared" ref="H695:Q695" si="485">(H550-H532)*H615*IF(carryover,1,-1)</f>
        <v>-0.65625562500000012</v>
      </c>
      <c r="I695" s="163">
        <f t="shared" si="485"/>
        <v>-1.2187604464285717</v>
      </c>
      <c r="J695" s="163">
        <f t="shared" si="485"/>
        <v>-1.0312588392857145</v>
      </c>
      <c r="K695" s="163">
        <f t="shared" si="485"/>
        <v>-0.84375723214285725</v>
      </c>
      <c r="L695" s="163">
        <f t="shared" si="485"/>
        <v>-0.65625562500000012</v>
      </c>
      <c r="M695" s="163">
        <f t="shared" si="485"/>
        <v>-0.46875401785714299</v>
      </c>
      <c r="N695" s="163">
        <f t="shared" si="485"/>
        <v>-0.28125241071428575</v>
      </c>
      <c r="O695" s="163">
        <f t="shared" si="485"/>
        <v>-9.3750803571428495E-2</v>
      </c>
      <c r="P695" s="163">
        <f t="shared" si="485"/>
        <v>0</v>
      </c>
      <c r="Q695" s="163">
        <f t="shared" si="485"/>
        <v>0</v>
      </c>
      <c r="R695" s="317"/>
    </row>
    <row r="696" spans="2:18" ht="13.5" customHeight="1" outlineLevel="1">
      <c r="B696" s="119" t="s">
        <v>460</v>
      </c>
      <c r="C696" s="119"/>
      <c r="D696" s="119"/>
      <c r="E696" s="119"/>
      <c r="F696" s="119"/>
      <c r="G696" s="391">
        <f>Close!J58</f>
        <v>5.250045000000001</v>
      </c>
      <c r="H696" s="120">
        <f>SUM(H694:H695)</f>
        <v>4.593789375000001</v>
      </c>
      <c r="I696" s="120">
        <f t="shared" ref="I696:Q696" si="486">SUM(I694:I695)</f>
        <v>3.375028928571429</v>
      </c>
      <c r="J696" s="120">
        <f t="shared" si="486"/>
        <v>2.3437700892857145</v>
      </c>
      <c r="K696" s="120">
        <f t="shared" si="486"/>
        <v>1.5000128571428573</v>
      </c>
      <c r="L696" s="120">
        <f t="shared" si="486"/>
        <v>0.84375723214285714</v>
      </c>
      <c r="M696" s="120">
        <f t="shared" si="486"/>
        <v>0.37500321428571415</v>
      </c>
      <c r="N696" s="120">
        <f t="shared" si="486"/>
        <v>9.3750803571428398E-2</v>
      </c>
      <c r="O696" s="120">
        <f t="shared" si="486"/>
        <v>0</v>
      </c>
      <c r="P696" s="120">
        <f t="shared" si="486"/>
        <v>0</v>
      </c>
      <c r="Q696" s="120">
        <f t="shared" si="486"/>
        <v>0</v>
      </c>
      <c r="R696" s="317"/>
    </row>
    <row r="697" spans="2:18" ht="13.5" customHeight="1" outlineLevel="1">
      <c r="B697" s="88"/>
      <c r="C697" s="50"/>
      <c r="D697" s="50"/>
      <c r="G697" s="50"/>
      <c r="H697" s="350"/>
      <c r="I697" s="350"/>
      <c r="J697" s="350"/>
      <c r="N697" s="57"/>
      <c r="R697" s="317"/>
    </row>
    <row r="698" spans="2:18" ht="13.5" customHeight="1" outlineLevel="1">
      <c r="B698" s="354" t="s">
        <v>466</v>
      </c>
      <c r="C698" s="50"/>
      <c r="D698" s="50"/>
      <c r="G698" s="50"/>
      <c r="H698" s="350"/>
      <c r="I698" s="350"/>
      <c r="J698" s="350"/>
      <c r="N698" s="57"/>
      <c r="R698" s="317"/>
    </row>
    <row r="699" spans="2:18" ht="13.5" customHeight="1" outlineLevel="1">
      <c r="B699" s="88" t="s">
        <v>523</v>
      </c>
      <c r="C699" s="50"/>
      <c r="D699" s="50"/>
      <c r="G699" s="50"/>
      <c r="H699" s="114">
        <f ca="1">G701</f>
        <v>23.367564540336119</v>
      </c>
      <c r="I699" s="114">
        <f t="shared" ref="I699:Q699" ca="1" si="487">H701</f>
        <v>19.472970450280101</v>
      </c>
      <c r="J699" s="114">
        <f t="shared" ca="1" si="487"/>
        <v>12.462701088179266</v>
      </c>
      <c r="K699" s="114">
        <f t="shared" ca="1" si="487"/>
        <v>7.0102693621008383</v>
      </c>
      <c r="L699" s="114">
        <f t="shared" ca="1" si="487"/>
        <v>3.1156752720448182</v>
      </c>
      <c r="M699" s="114">
        <f t="shared" ca="1" si="487"/>
        <v>0.77891881801120633</v>
      </c>
      <c r="N699" s="114">
        <f t="shared" ca="1" si="487"/>
        <v>2.4424906541753444E-15</v>
      </c>
      <c r="O699" s="114">
        <f t="shared" ca="1" si="487"/>
        <v>2.4424906541753444E-15</v>
      </c>
      <c r="P699" s="114">
        <f t="shared" ca="1" si="487"/>
        <v>2.4424906541753444E-15</v>
      </c>
      <c r="Q699" s="114">
        <f t="shared" ca="1" si="487"/>
        <v>2.4424906541753444E-15</v>
      </c>
      <c r="R699" s="317"/>
    </row>
    <row r="700" spans="2:18" ht="13.5" customHeight="1" outlineLevel="1">
      <c r="B700" s="88" t="s">
        <v>461</v>
      </c>
      <c r="C700" s="50"/>
      <c r="D700" s="50"/>
      <c r="G700" s="50"/>
      <c r="H700" s="163">
        <f t="shared" ref="H700:Q700" ca="1" si="488">(-H588-H579)*H615*IF(carryover,1,-1)</f>
        <v>-3.8945940900560192</v>
      </c>
      <c r="I700" s="163">
        <f t="shared" ca="1" si="488"/>
        <v>-7.0102693621008347</v>
      </c>
      <c r="J700" s="163">
        <f t="shared" ca="1" si="488"/>
        <v>-5.4524317260784274</v>
      </c>
      <c r="K700" s="163">
        <f t="shared" ca="1" si="488"/>
        <v>-3.8945940900560201</v>
      </c>
      <c r="L700" s="163">
        <f t="shared" ca="1" si="488"/>
        <v>-2.3367564540336119</v>
      </c>
      <c r="M700" s="163">
        <f t="shared" ca="1" si="488"/>
        <v>-0.77891881801120388</v>
      </c>
      <c r="N700" s="163">
        <f t="shared" ca="1" si="488"/>
        <v>0</v>
      </c>
      <c r="O700" s="163">
        <f t="shared" ca="1" si="488"/>
        <v>0</v>
      </c>
      <c r="P700" s="163">
        <f t="shared" ca="1" si="488"/>
        <v>0</v>
      </c>
      <c r="Q700" s="163">
        <f t="shared" ca="1" si="488"/>
        <v>0</v>
      </c>
      <c r="R700" s="317"/>
    </row>
    <row r="701" spans="2:18" ht="13.5" customHeight="1" outlineLevel="1">
      <c r="B701" s="119" t="s">
        <v>462</v>
      </c>
      <c r="C701" s="119"/>
      <c r="D701" s="119"/>
      <c r="E701" s="119"/>
      <c r="F701" s="119"/>
      <c r="G701" s="391">
        <f ca="1">Close!J59</f>
        <v>23.367564540336119</v>
      </c>
      <c r="H701" s="120">
        <f ca="1">SUM(H699:H700)</f>
        <v>19.472970450280101</v>
      </c>
      <c r="I701" s="120">
        <f t="shared" ref="I701:Q701" ca="1" si="489">SUM(I699:I700)</f>
        <v>12.462701088179266</v>
      </c>
      <c r="J701" s="120">
        <f t="shared" ca="1" si="489"/>
        <v>7.0102693621008383</v>
      </c>
      <c r="K701" s="120">
        <f t="shared" ca="1" si="489"/>
        <v>3.1156752720448182</v>
      </c>
      <c r="L701" s="120">
        <f t="shared" ca="1" si="489"/>
        <v>0.77891881801120633</v>
      </c>
      <c r="M701" s="120">
        <f t="shared" ca="1" si="489"/>
        <v>2.4424906541753444E-15</v>
      </c>
      <c r="N701" s="120">
        <f t="shared" ca="1" si="489"/>
        <v>2.4424906541753444E-15</v>
      </c>
      <c r="O701" s="120">
        <f t="shared" ca="1" si="489"/>
        <v>2.4424906541753444E-15</v>
      </c>
      <c r="P701" s="120">
        <f t="shared" ca="1" si="489"/>
        <v>2.4424906541753444E-15</v>
      </c>
      <c r="Q701" s="120">
        <f t="shared" ca="1" si="489"/>
        <v>2.4424906541753444E-15</v>
      </c>
      <c r="R701" s="317"/>
    </row>
    <row r="702" spans="2:18" ht="13.5" customHeight="1" outlineLevel="1">
      <c r="B702" s="88"/>
      <c r="C702" s="50"/>
      <c r="D702" s="50"/>
      <c r="G702" s="50"/>
      <c r="H702" s="350"/>
      <c r="I702" s="350"/>
      <c r="J702" s="350"/>
      <c r="N702" s="57"/>
      <c r="R702" s="317"/>
    </row>
    <row r="703" spans="2:18" ht="13.5" customHeight="1" outlineLevel="1">
      <c r="B703" s="354" t="s">
        <v>467</v>
      </c>
      <c r="C703" s="50"/>
      <c r="D703" s="50"/>
      <c r="G703" s="50"/>
      <c r="H703" s="350"/>
      <c r="I703" s="350"/>
      <c r="J703" s="350"/>
      <c r="N703" s="57"/>
      <c r="R703" s="317"/>
    </row>
    <row r="704" spans="2:18" ht="13.5" customHeight="1" outlineLevel="1">
      <c r="B704" s="88" t="s">
        <v>463</v>
      </c>
      <c r="C704" s="50"/>
      <c r="D704" s="50"/>
      <c r="G704" s="50"/>
      <c r="H704" s="114">
        <f>G706</f>
        <v>0</v>
      </c>
      <c r="I704" s="114">
        <f t="shared" ref="I704:Q704" si="490">H706</f>
        <v>0</v>
      </c>
      <c r="J704" s="114">
        <f t="shared" si="490"/>
        <v>0</v>
      </c>
      <c r="K704" s="114">
        <f t="shared" si="490"/>
        <v>0</v>
      </c>
      <c r="L704" s="114">
        <f t="shared" si="490"/>
        <v>0</v>
      </c>
      <c r="M704" s="114">
        <f t="shared" si="490"/>
        <v>0</v>
      </c>
      <c r="N704" s="114">
        <f t="shared" si="490"/>
        <v>0</v>
      </c>
      <c r="O704" s="114">
        <f t="shared" si="490"/>
        <v>0</v>
      </c>
      <c r="P704" s="114">
        <f t="shared" si="490"/>
        <v>0</v>
      </c>
      <c r="Q704" s="114">
        <f t="shared" si="490"/>
        <v>0</v>
      </c>
      <c r="R704" s="317"/>
    </row>
    <row r="705" spans="1:18" ht="13.5" customHeight="1" outlineLevel="1">
      <c r="B705" s="88" t="s">
        <v>464</v>
      </c>
      <c r="C705" s="50"/>
      <c r="D705" s="50"/>
      <c r="G705" s="50"/>
      <c r="H705" s="163">
        <f t="shared" ref="H705:Q705" si="491">-H595*H615</f>
        <v>0</v>
      </c>
      <c r="I705" s="163">
        <f t="shared" si="491"/>
        <v>0</v>
      </c>
      <c r="J705" s="163">
        <f t="shared" si="491"/>
        <v>0</v>
      </c>
      <c r="K705" s="163">
        <f t="shared" si="491"/>
        <v>0</v>
      </c>
      <c r="L705" s="163">
        <f t="shared" si="491"/>
        <v>0</v>
      </c>
      <c r="M705" s="163">
        <f t="shared" si="491"/>
        <v>0</v>
      </c>
      <c r="N705" s="163">
        <f t="shared" si="491"/>
        <v>0</v>
      </c>
      <c r="O705" s="163">
        <f t="shared" si="491"/>
        <v>0</v>
      </c>
      <c r="P705" s="163">
        <f t="shared" si="491"/>
        <v>0</v>
      </c>
      <c r="Q705" s="163">
        <f t="shared" si="491"/>
        <v>0</v>
      </c>
      <c r="R705" s="317"/>
    </row>
    <row r="706" spans="1:18" ht="13.5" customHeight="1" outlineLevel="1">
      <c r="B706" s="119" t="s">
        <v>463</v>
      </c>
      <c r="C706" s="119"/>
      <c r="D706" s="119"/>
      <c r="E706" s="119"/>
      <c r="F706" s="119"/>
      <c r="G706" s="410">
        <v>0</v>
      </c>
      <c r="H706" s="120">
        <f>SUM(H704:H705)</f>
        <v>0</v>
      </c>
      <c r="I706" s="120">
        <f t="shared" ref="I706:Q706" si="492">SUM(I704:I705)</f>
        <v>0</v>
      </c>
      <c r="J706" s="120">
        <f t="shared" si="492"/>
        <v>0</v>
      </c>
      <c r="K706" s="120">
        <f t="shared" si="492"/>
        <v>0</v>
      </c>
      <c r="L706" s="120">
        <f t="shared" si="492"/>
        <v>0</v>
      </c>
      <c r="M706" s="120">
        <f t="shared" si="492"/>
        <v>0</v>
      </c>
      <c r="N706" s="120">
        <f t="shared" si="492"/>
        <v>0</v>
      </c>
      <c r="O706" s="120">
        <f t="shared" si="492"/>
        <v>0</v>
      </c>
      <c r="P706" s="120">
        <f t="shared" si="492"/>
        <v>0</v>
      </c>
      <c r="Q706" s="120">
        <f t="shared" si="492"/>
        <v>0</v>
      </c>
      <c r="R706" s="317"/>
    </row>
    <row r="707" spans="1:18" ht="5.0999999999999996" customHeight="1" outlineLevel="1" thickBot="1">
      <c r="B707" s="336"/>
      <c r="C707" s="336"/>
      <c r="D707" s="336"/>
      <c r="E707" s="209"/>
      <c r="F707" s="209"/>
      <c r="G707" s="336"/>
      <c r="H707" s="376"/>
      <c r="I707" s="376"/>
      <c r="J707" s="376"/>
      <c r="K707" s="209"/>
      <c r="L707" s="209"/>
      <c r="M707" s="209"/>
      <c r="N707" s="337"/>
      <c r="O707" s="209"/>
      <c r="P707" s="209"/>
      <c r="Q707" s="209"/>
      <c r="R707" s="317"/>
    </row>
    <row r="708" spans="1:18" ht="13.5" customHeight="1" outlineLevel="1">
      <c r="B708" s="50"/>
      <c r="C708" s="50"/>
      <c r="D708" s="50"/>
      <c r="G708" s="50"/>
      <c r="H708" s="350"/>
      <c r="I708" s="350"/>
      <c r="J708" s="350"/>
      <c r="N708" s="57"/>
      <c r="R708" s="317"/>
    </row>
    <row r="709" spans="1:18" ht="13.5" customHeight="1" outlineLevel="1" thickBot="1">
      <c r="B709" s="50"/>
      <c r="C709" s="50"/>
      <c r="D709" s="50"/>
      <c r="G709" s="50"/>
      <c r="H709" s="350"/>
      <c r="I709" s="350"/>
      <c r="J709" s="350"/>
      <c r="N709" s="57"/>
      <c r="R709" s="317"/>
    </row>
    <row r="710" spans="1:18" ht="20.7" thickTop="1">
      <c r="A710" s="281" t="s">
        <v>631</v>
      </c>
      <c r="B710" s="282" t="s">
        <v>237</v>
      </c>
      <c r="C710" s="283"/>
      <c r="D710" s="284"/>
      <c r="E710" s="284"/>
      <c r="F710" s="284"/>
      <c r="G710" s="284"/>
      <c r="H710" s="284"/>
      <c r="I710" s="284"/>
      <c r="J710" s="284"/>
      <c r="K710" s="284"/>
      <c r="L710" s="284"/>
      <c r="M710" s="284"/>
      <c r="N710" s="284"/>
      <c r="O710" s="284"/>
      <c r="P710" s="284"/>
      <c r="Q710" s="284"/>
    </row>
    <row r="711" spans="1:18" ht="5.0999999999999996" customHeight="1" outlineLevel="1">
      <c r="B711" s="107"/>
      <c r="C711" s="285"/>
      <c r="G711" s="285"/>
      <c r="N711" s="57"/>
      <c r="R711" s="317"/>
    </row>
    <row r="712" spans="1:18" ht="13.5" customHeight="1" outlineLevel="1">
      <c r="B712" s="286"/>
      <c r="C712" s="286"/>
      <c r="D712" s="286"/>
      <c r="E712" s="42"/>
      <c r="F712" s="42"/>
      <c r="G712" s="42"/>
      <c r="H712" s="42" t="s">
        <v>632</v>
      </c>
      <c r="I712" s="287" t="s">
        <v>629</v>
      </c>
      <c r="J712" s="287"/>
      <c r="K712" s="287"/>
      <c r="L712" s="287"/>
      <c r="M712" s="287"/>
      <c r="N712" s="287"/>
      <c r="O712" s="287"/>
      <c r="P712" s="287"/>
      <c r="Q712" s="287"/>
      <c r="R712" s="317"/>
    </row>
    <row r="713" spans="1:18" ht="13.5" customHeight="1" outlineLevel="1" thickBot="1">
      <c r="B713" s="288" t="str">
        <f>"("&amp;curr&amp;" in millions)"</f>
        <v>($ in millions)</v>
      </c>
      <c r="C713" s="289"/>
      <c r="D713" s="289"/>
      <c r="E713" s="290"/>
      <c r="F713" s="290"/>
      <c r="G713" s="291"/>
      <c r="H713" s="291">
        <f>H$8</f>
        <v>45291</v>
      </c>
      <c r="I713" s="292">
        <f t="shared" ref="I713:Q713" si="493">I$8</f>
        <v>45657</v>
      </c>
      <c r="J713" s="292">
        <f t="shared" si="493"/>
        <v>46022</v>
      </c>
      <c r="K713" s="292">
        <f t="shared" si="493"/>
        <v>46387</v>
      </c>
      <c r="L713" s="292">
        <f t="shared" si="493"/>
        <v>46752</v>
      </c>
      <c r="M713" s="292">
        <f t="shared" si="493"/>
        <v>47118</v>
      </c>
      <c r="N713" s="292">
        <f t="shared" si="493"/>
        <v>47483</v>
      </c>
      <c r="O713" s="292">
        <f t="shared" si="493"/>
        <v>47848</v>
      </c>
      <c r="P713" s="292">
        <f t="shared" si="493"/>
        <v>48213</v>
      </c>
      <c r="Q713" s="292">
        <f t="shared" si="493"/>
        <v>48579</v>
      </c>
      <c r="R713" s="317"/>
    </row>
    <row r="714" spans="1:18" ht="5.0999999999999996" customHeight="1" outlineLevel="1">
      <c r="B714" s="318"/>
      <c r="C714" s="318"/>
      <c r="D714" s="318"/>
      <c r="E714" s="319"/>
      <c r="F714" s="319"/>
      <c r="G714" s="326"/>
      <c r="H714" s="319"/>
      <c r="I714" s="319"/>
      <c r="J714" s="319"/>
      <c r="K714" s="319"/>
      <c r="L714" s="319"/>
      <c r="M714" s="319"/>
      <c r="N714" s="327"/>
      <c r="R714" s="317"/>
    </row>
    <row r="715" spans="1:18" ht="13.5" customHeight="1" outlineLevel="1">
      <c r="B715" s="108" t="s">
        <v>205</v>
      </c>
      <c r="C715" s="109"/>
      <c r="D715" s="109"/>
      <c r="E715" s="306"/>
      <c r="F715" s="306"/>
      <c r="G715" s="306"/>
      <c r="H715" s="306"/>
      <c r="I715" s="109"/>
      <c r="J715" s="306"/>
      <c r="K715" s="306"/>
      <c r="L715" s="306"/>
      <c r="M715" s="306"/>
      <c r="N715" s="306"/>
      <c r="O715" s="306"/>
      <c r="P715" s="306"/>
      <c r="Q715" s="110"/>
    </row>
    <row r="716" spans="1:18" ht="13.5" customHeight="1" outlineLevel="1">
      <c r="C716" s="381"/>
      <c r="H716" s="199"/>
      <c r="I716" s="199"/>
      <c r="J716" s="199"/>
      <c r="K716" s="199"/>
      <c r="L716" s="199"/>
      <c r="M716" s="199"/>
      <c r="N716" s="199"/>
      <c r="O716" s="199"/>
      <c r="P716" s="199"/>
      <c r="Q716" s="199"/>
      <c r="R716" s="317"/>
    </row>
    <row r="717" spans="1:18" ht="13.5" customHeight="1" outlineLevel="1">
      <c r="B717" s="88" t="s">
        <v>325</v>
      </c>
      <c r="C717" s="50"/>
      <c r="D717" s="50"/>
      <c r="G717" s="50"/>
      <c r="H717" s="135">
        <f ca="1">Inputs!G14</f>
        <v>10</v>
      </c>
      <c r="I717" s="114">
        <f ca="1">H717</f>
        <v>10</v>
      </c>
      <c r="J717" s="114">
        <f t="shared" ref="J717:Q717" ca="1" si="494">I717</f>
        <v>10</v>
      </c>
      <c r="K717" s="114">
        <f t="shared" ca="1" si="494"/>
        <v>10</v>
      </c>
      <c r="L717" s="114">
        <f t="shared" ca="1" si="494"/>
        <v>10</v>
      </c>
      <c r="M717" s="114">
        <f t="shared" ca="1" si="494"/>
        <v>10</v>
      </c>
      <c r="N717" s="114">
        <f t="shared" ca="1" si="494"/>
        <v>10</v>
      </c>
      <c r="O717" s="114">
        <f t="shared" ca="1" si="494"/>
        <v>10</v>
      </c>
      <c r="P717" s="114">
        <f t="shared" ca="1" si="494"/>
        <v>10</v>
      </c>
      <c r="Q717" s="114">
        <f t="shared" ca="1" si="494"/>
        <v>10</v>
      </c>
      <c r="R717" s="317"/>
    </row>
    <row r="718" spans="1:18" ht="13.5" customHeight="1" outlineLevel="1">
      <c r="B718" s="381" t="s">
        <v>42</v>
      </c>
      <c r="C718" s="50"/>
      <c r="D718" s="50"/>
      <c r="G718" s="50"/>
      <c r="H718" s="411">
        <f>Inputs!M41</f>
        <v>0.5</v>
      </c>
      <c r="I718" s="411">
        <f>Inputs!M42</f>
        <v>1</v>
      </c>
      <c r="J718" s="412">
        <f>I718</f>
        <v>1</v>
      </c>
      <c r="K718" s="412">
        <f>J718</f>
        <v>1</v>
      </c>
      <c r="L718" s="412">
        <f t="shared" ref="L718:Q718" si="495">K718</f>
        <v>1</v>
      </c>
      <c r="M718" s="412">
        <f t="shared" si="495"/>
        <v>1</v>
      </c>
      <c r="N718" s="412">
        <f t="shared" si="495"/>
        <v>1</v>
      </c>
      <c r="O718" s="412">
        <f t="shared" si="495"/>
        <v>1</v>
      </c>
      <c r="P718" s="412">
        <f t="shared" si="495"/>
        <v>1</v>
      </c>
      <c r="Q718" s="412">
        <f t="shared" si="495"/>
        <v>1</v>
      </c>
      <c r="R718" s="317"/>
    </row>
    <row r="719" spans="1:18" ht="13.5" customHeight="1" outlineLevel="1">
      <c r="B719" s="413" t="s">
        <v>326</v>
      </c>
      <c r="C719" s="413"/>
      <c r="D719" s="249"/>
      <c r="E719" s="249"/>
      <c r="F719" s="249"/>
      <c r="G719" s="249"/>
      <c r="H719" s="414">
        <f ca="1">PRODUCT(H717:H718)</f>
        <v>5</v>
      </c>
      <c r="I719" s="414">
        <f t="shared" ref="I719:Q719" ca="1" si="496">PRODUCT(I717:I718)</f>
        <v>10</v>
      </c>
      <c r="J719" s="414">
        <f t="shared" ca="1" si="496"/>
        <v>10</v>
      </c>
      <c r="K719" s="414">
        <f t="shared" ca="1" si="496"/>
        <v>10</v>
      </c>
      <c r="L719" s="414">
        <f t="shared" ca="1" si="496"/>
        <v>10</v>
      </c>
      <c r="M719" s="414">
        <f t="shared" ca="1" si="496"/>
        <v>10</v>
      </c>
      <c r="N719" s="414">
        <f t="shared" ca="1" si="496"/>
        <v>10</v>
      </c>
      <c r="O719" s="414">
        <f t="shared" ca="1" si="496"/>
        <v>10</v>
      </c>
      <c r="P719" s="414">
        <f t="shared" ca="1" si="496"/>
        <v>10</v>
      </c>
      <c r="Q719" s="414">
        <f t="shared" ca="1" si="496"/>
        <v>10</v>
      </c>
      <c r="R719" s="317"/>
    </row>
    <row r="720" spans="1:18" ht="13.5" customHeight="1" outlineLevel="1">
      <c r="B720" s="381" t="s">
        <v>41</v>
      </c>
      <c r="C720" s="381"/>
      <c r="H720" s="384">
        <f>H$3*4</f>
        <v>2</v>
      </c>
      <c r="I720" s="384">
        <f t="shared" ref="I720:Q720" si="497">I$3*4</f>
        <v>4</v>
      </c>
      <c r="J720" s="384">
        <f t="shared" si="497"/>
        <v>4</v>
      </c>
      <c r="K720" s="384">
        <f t="shared" si="497"/>
        <v>4</v>
      </c>
      <c r="L720" s="384">
        <f t="shared" si="497"/>
        <v>4</v>
      </c>
      <c r="M720" s="384">
        <f t="shared" si="497"/>
        <v>4</v>
      </c>
      <c r="N720" s="384">
        <f t="shared" si="497"/>
        <v>4</v>
      </c>
      <c r="O720" s="384">
        <f t="shared" si="497"/>
        <v>4</v>
      </c>
      <c r="P720" s="384">
        <f t="shared" si="497"/>
        <v>4</v>
      </c>
      <c r="Q720" s="384">
        <f t="shared" si="497"/>
        <v>4</v>
      </c>
      <c r="R720" s="317"/>
    </row>
    <row r="721" spans="2:18" ht="13.5" customHeight="1" outlineLevel="1">
      <c r="B721" s="415" t="s">
        <v>206</v>
      </c>
      <c r="C721" s="415"/>
      <c r="D721" s="254"/>
      <c r="E721" s="254"/>
      <c r="F721" s="254"/>
      <c r="G721" s="254"/>
      <c r="H721" s="416">
        <f ca="1">$H720/4*H719</f>
        <v>2.5</v>
      </c>
      <c r="I721" s="256">
        <f t="shared" ref="I721:Q721" ca="1" si="498">(4-$H720)/4*H719+$H720/4*I719</f>
        <v>7.5</v>
      </c>
      <c r="J721" s="256">
        <f t="shared" ca="1" si="498"/>
        <v>10</v>
      </c>
      <c r="K721" s="256">
        <f t="shared" ca="1" si="498"/>
        <v>10</v>
      </c>
      <c r="L721" s="256">
        <f t="shared" ca="1" si="498"/>
        <v>10</v>
      </c>
      <c r="M721" s="256">
        <f t="shared" ca="1" si="498"/>
        <v>10</v>
      </c>
      <c r="N721" s="256">
        <f t="shared" ca="1" si="498"/>
        <v>10</v>
      </c>
      <c r="O721" s="256">
        <f t="shared" ca="1" si="498"/>
        <v>10</v>
      </c>
      <c r="P721" s="256">
        <f t="shared" ca="1" si="498"/>
        <v>10</v>
      </c>
      <c r="Q721" s="256">
        <f t="shared" ca="1" si="498"/>
        <v>10</v>
      </c>
      <c r="R721" s="317"/>
    </row>
    <row r="722" spans="2:18" ht="13.5" customHeight="1" outlineLevel="1">
      <c r="B722" s="88"/>
      <c r="C722" s="50"/>
      <c r="D722" s="50"/>
      <c r="G722" s="50"/>
      <c r="H722" s="350"/>
      <c r="I722" s="350"/>
      <c r="J722" s="350"/>
      <c r="N722" s="57"/>
      <c r="R722" s="317"/>
    </row>
    <row r="723" spans="2:18" ht="13.5" customHeight="1" outlineLevel="1">
      <c r="B723" s="88" t="str">
        <f>acquirer&amp;" revenue"</f>
        <v>BuyerCo revenue</v>
      </c>
      <c r="C723" s="50"/>
      <c r="D723" s="50"/>
      <c r="G723" s="50"/>
      <c r="H723" s="351">
        <f>Acquirer!T10</f>
        <v>1735</v>
      </c>
      <c r="I723" s="135">
        <f>Acquirer!H10</f>
        <v>3856</v>
      </c>
      <c r="J723" s="135">
        <f>Acquirer!I10</f>
        <v>4241.6000000000004</v>
      </c>
      <c r="K723" s="135">
        <f>Acquirer!J10</f>
        <v>4665.7600000000011</v>
      </c>
      <c r="L723" s="135">
        <f>Acquirer!K10</f>
        <v>5132.3360000000021</v>
      </c>
      <c r="M723" s="135">
        <f>Acquirer!L10</f>
        <v>5645.5696000000025</v>
      </c>
      <c r="N723" s="135">
        <f>Acquirer!M10</f>
        <v>6210.1265600000033</v>
      </c>
      <c r="O723" s="135">
        <f>Acquirer!N10</f>
        <v>6831.1392160000041</v>
      </c>
      <c r="P723" s="135">
        <f>Acquirer!O10</f>
        <v>7514.2531376000052</v>
      </c>
      <c r="Q723" s="135">
        <f>Acquirer!P10</f>
        <v>8265.6784513600069</v>
      </c>
      <c r="R723" s="317"/>
    </row>
    <row r="724" spans="2:18" ht="13.5" customHeight="1" outlineLevel="1">
      <c r="B724" s="88" t="str">
        <f>target&amp;" revenue"</f>
        <v>TargetCo revenue</v>
      </c>
      <c r="C724" s="50"/>
      <c r="D724" s="50"/>
      <c r="G724" s="50"/>
      <c r="H724" s="184">
        <f>Target!T10</f>
        <v>234</v>
      </c>
      <c r="I724" s="126">
        <f>Target!H10</f>
        <v>470.5</v>
      </c>
      <c r="J724" s="126">
        <f>Target!I10</f>
        <v>475.20499999999998</v>
      </c>
      <c r="K724" s="126">
        <f>Target!J10</f>
        <v>479.95704999999998</v>
      </c>
      <c r="L724" s="126">
        <f>Target!K10</f>
        <v>484.7566205</v>
      </c>
      <c r="M724" s="126">
        <f>Target!L10</f>
        <v>489.60418670500002</v>
      </c>
      <c r="N724" s="126">
        <f>Target!M10</f>
        <v>494.50022857205005</v>
      </c>
      <c r="O724" s="126">
        <f>Target!N10</f>
        <v>499.44523085777053</v>
      </c>
      <c r="P724" s="126">
        <f>Target!O10</f>
        <v>504.43968316634823</v>
      </c>
      <c r="Q724" s="126">
        <f>Target!P10</f>
        <v>509.48407999801174</v>
      </c>
      <c r="R724" s="317"/>
    </row>
    <row r="725" spans="2:18" ht="13.5" customHeight="1" outlineLevel="1">
      <c r="B725" s="88" t="s">
        <v>145</v>
      </c>
      <c r="C725" s="50"/>
      <c r="D725" s="50"/>
      <c r="G725" s="50"/>
      <c r="H725" s="163">
        <f ca="1">H721</f>
        <v>2.5</v>
      </c>
      <c r="I725" s="163">
        <f t="shared" ref="I725:Q725" ca="1" si="499">I721</f>
        <v>7.5</v>
      </c>
      <c r="J725" s="163">
        <f t="shared" ca="1" si="499"/>
        <v>10</v>
      </c>
      <c r="K725" s="163">
        <f t="shared" ca="1" si="499"/>
        <v>10</v>
      </c>
      <c r="L725" s="163">
        <f t="shared" ca="1" si="499"/>
        <v>10</v>
      </c>
      <c r="M725" s="163">
        <f t="shared" ca="1" si="499"/>
        <v>10</v>
      </c>
      <c r="N725" s="163">
        <f t="shared" ca="1" si="499"/>
        <v>10</v>
      </c>
      <c r="O725" s="163">
        <f t="shared" ca="1" si="499"/>
        <v>10</v>
      </c>
      <c r="P725" s="163">
        <f t="shared" ca="1" si="499"/>
        <v>10</v>
      </c>
      <c r="Q725" s="163">
        <f t="shared" ca="1" si="499"/>
        <v>10</v>
      </c>
      <c r="R725" s="317"/>
    </row>
    <row r="726" spans="2:18" ht="13.5" customHeight="1" outlineLevel="1">
      <c r="B726" s="415" t="s">
        <v>476</v>
      </c>
      <c r="C726" s="415"/>
      <c r="D726" s="254"/>
      <c r="E726" s="254"/>
      <c r="F726" s="254"/>
      <c r="G726" s="254"/>
      <c r="H726" s="417">
        <f ca="1">SUM(H723:H725)</f>
        <v>1971.5</v>
      </c>
      <c r="I726" s="256">
        <f t="shared" ref="I726:Q726" ca="1" si="500">SUM(I723:I725)</f>
        <v>4334</v>
      </c>
      <c r="J726" s="256">
        <f t="shared" ca="1" si="500"/>
        <v>4726.8050000000003</v>
      </c>
      <c r="K726" s="256">
        <f t="shared" ca="1" si="500"/>
        <v>5155.7170500000011</v>
      </c>
      <c r="L726" s="256">
        <f t="shared" ca="1" si="500"/>
        <v>5627.0926205000023</v>
      </c>
      <c r="M726" s="256">
        <f t="shared" ca="1" si="500"/>
        <v>6145.1737867050024</v>
      </c>
      <c r="N726" s="256">
        <f t="shared" ca="1" si="500"/>
        <v>6714.6267885720536</v>
      </c>
      <c r="O726" s="256">
        <f t="shared" ca="1" si="500"/>
        <v>7340.5844468577743</v>
      </c>
      <c r="P726" s="256">
        <f t="shared" ca="1" si="500"/>
        <v>8028.6928207663532</v>
      </c>
      <c r="Q726" s="256">
        <f t="shared" ca="1" si="500"/>
        <v>8785.1625313580189</v>
      </c>
      <c r="R726" s="317"/>
    </row>
    <row r="727" spans="2:18" ht="13.5" customHeight="1" outlineLevel="1">
      <c r="B727" s="88"/>
      <c r="C727" s="50"/>
      <c r="D727" s="50"/>
      <c r="G727" s="50"/>
      <c r="H727" s="350"/>
      <c r="I727" s="350"/>
      <c r="J727" s="350"/>
      <c r="N727" s="57"/>
      <c r="R727" s="317"/>
    </row>
    <row r="728" spans="2:18" ht="13.5" customHeight="1" outlineLevel="1">
      <c r="B728" s="108" t="s">
        <v>156</v>
      </c>
      <c r="C728" s="109"/>
      <c r="D728" s="109"/>
      <c r="E728" s="306"/>
      <c r="F728" s="306"/>
      <c r="G728" s="306"/>
      <c r="H728" s="306"/>
      <c r="I728" s="109"/>
      <c r="J728" s="306"/>
      <c r="K728" s="306"/>
      <c r="L728" s="306"/>
      <c r="M728" s="306"/>
      <c r="N728" s="306"/>
      <c r="O728" s="306"/>
      <c r="P728" s="306"/>
      <c r="Q728" s="110"/>
    </row>
    <row r="729" spans="2:18" ht="13.5" customHeight="1" outlineLevel="1">
      <c r="C729" s="381"/>
      <c r="H729" s="199"/>
      <c r="I729" s="199"/>
      <c r="J729" s="199"/>
      <c r="K729" s="199"/>
      <c r="L729" s="199"/>
      <c r="M729" s="199"/>
      <c r="N729" s="199"/>
      <c r="O729" s="199"/>
      <c r="P729" s="199"/>
      <c r="Q729" s="199"/>
      <c r="R729" s="317"/>
    </row>
    <row r="730" spans="2:18" ht="13.5" customHeight="1" outlineLevel="1">
      <c r="B730" s="381" t="str">
        <f>target&amp;" standalone COGS"</f>
        <v>TargetCo standalone COGS</v>
      </c>
      <c r="C730" s="381"/>
      <c r="D730" s="387"/>
      <c r="E730" s="387"/>
      <c r="F730" s="387"/>
      <c r="G730" s="418"/>
      <c r="H730" s="419">
        <f>IFERROR(H738/H$3,0)</f>
        <v>249.8</v>
      </c>
      <c r="I730" s="316">
        <f t="shared" ref="I730:Q730" si="501">I738/I$3</f>
        <v>252.2</v>
      </c>
      <c r="J730" s="316">
        <f t="shared" si="501"/>
        <v>254.72199999999998</v>
      </c>
      <c r="K730" s="316">
        <f t="shared" si="501"/>
        <v>257.26921999999996</v>
      </c>
      <c r="L730" s="316">
        <f t="shared" si="501"/>
        <v>259.84191219999997</v>
      </c>
      <c r="M730" s="316">
        <f t="shared" si="501"/>
        <v>262.44033132199996</v>
      </c>
      <c r="N730" s="316">
        <f t="shared" si="501"/>
        <v>265.06473463522002</v>
      </c>
      <c r="O730" s="316">
        <f t="shared" si="501"/>
        <v>267.71538198157219</v>
      </c>
      <c r="P730" s="316">
        <f t="shared" si="501"/>
        <v>270.39253580138791</v>
      </c>
      <c r="Q730" s="316">
        <f t="shared" si="501"/>
        <v>273.09646115940183</v>
      </c>
      <c r="R730" s="317"/>
    </row>
    <row r="731" spans="2:18" ht="13.5" customHeight="1" outlineLevel="1">
      <c r="B731" s="381" t="s">
        <v>223</v>
      </c>
      <c r="C731" s="381"/>
      <c r="G731" s="420"/>
      <c r="H731" s="94">
        <f ca="1">Inputs!G15</f>
        <v>0.05</v>
      </c>
      <c r="I731" s="313">
        <f t="shared" ref="I731:Q731" ca="1" si="502">H731</f>
        <v>0.05</v>
      </c>
      <c r="J731" s="313">
        <f t="shared" ca="1" si="502"/>
        <v>0.05</v>
      </c>
      <c r="K731" s="313">
        <f t="shared" ca="1" si="502"/>
        <v>0.05</v>
      </c>
      <c r="L731" s="313">
        <f t="shared" ca="1" si="502"/>
        <v>0.05</v>
      </c>
      <c r="M731" s="313">
        <f t="shared" ca="1" si="502"/>
        <v>0.05</v>
      </c>
      <c r="N731" s="313">
        <f t="shared" ca="1" si="502"/>
        <v>0.05</v>
      </c>
      <c r="O731" s="313">
        <f t="shared" ca="1" si="502"/>
        <v>0.05</v>
      </c>
      <c r="P731" s="313">
        <f t="shared" ca="1" si="502"/>
        <v>0.05</v>
      </c>
      <c r="Q731" s="313">
        <f t="shared" ca="1" si="502"/>
        <v>0.05</v>
      </c>
      <c r="R731" s="317"/>
    </row>
    <row r="732" spans="2:18" ht="13.5" customHeight="1" outlineLevel="1">
      <c r="B732" s="381" t="s">
        <v>42</v>
      </c>
      <c r="C732" s="381"/>
      <c r="G732" s="420"/>
      <c r="H732" s="411">
        <f>Inputs!M43</f>
        <v>0.5</v>
      </c>
      <c r="I732" s="411">
        <f>Inputs!M44</f>
        <v>1</v>
      </c>
      <c r="J732" s="421">
        <f t="shared" ref="J732:Q732" si="503">I732</f>
        <v>1</v>
      </c>
      <c r="K732" s="421">
        <f t="shared" si="503"/>
        <v>1</v>
      </c>
      <c r="L732" s="421">
        <f t="shared" si="503"/>
        <v>1</v>
      </c>
      <c r="M732" s="421">
        <f t="shared" si="503"/>
        <v>1</v>
      </c>
      <c r="N732" s="421">
        <f t="shared" si="503"/>
        <v>1</v>
      </c>
      <c r="O732" s="421">
        <f t="shared" si="503"/>
        <v>1</v>
      </c>
      <c r="P732" s="421">
        <f t="shared" si="503"/>
        <v>1</v>
      </c>
      <c r="Q732" s="421">
        <f t="shared" si="503"/>
        <v>1</v>
      </c>
      <c r="R732" s="317"/>
    </row>
    <row r="733" spans="2:18" ht="13.5" customHeight="1" outlineLevel="1">
      <c r="B733" s="413" t="s">
        <v>222</v>
      </c>
      <c r="C733" s="413"/>
      <c r="D733" s="249"/>
      <c r="E733" s="249"/>
      <c r="F733" s="249"/>
      <c r="G733" s="249"/>
      <c r="H733" s="414">
        <f ca="1">PRODUCT(H730:H732)</f>
        <v>6.245000000000001</v>
      </c>
      <c r="I733" s="414">
        <f t="shared" ref="I733:Q733" ca="1" si="504">PRODUCT(I730:I732)</f>
        <v>12.61</v>
      </c>
      <c r="J733" s="414">
        <f t="shared" ca="1" si="504"/>
        <v>12.7361</v>
      </c>
      <c r="K733" s="414">
        <f t="shared" ca="1" si="504"/>
        <v>12.863460999999999</v>
      </c>
      <c r="L733" s="414">
        <f t="shared" ca="1" si="504"/>
        <v>12.99209561</v>
      </c>
      <c r="M733" s="414">
        <f t="shared" ca="1" si="504"/>
        <v>13.122016566099999</v>
      </c>
      <c r="N733" s="414">
        <f t="shared" ca="1" si="504"/>
        <v>13.253236731761001</v>
      </c>
      <c r="O733" s="414">
        <f t="shared" ca="1" si="504"/>
        <v>13.38576909907861</v>
      </c>
      <c r="P733" s="414">
        <f t="shared" ca="1" si="504"/>
        <v>13.519626790069395</v>
      </c>
      <c r="Q733" s="414">
        <f t="shared" ca="1" si="504"/>
        <v>13.654823057970091</v>
      </c>
      <c r="R733" s="317"/>
    </row>
    <row r="734" spans="2:18" ht="13.5" customHeight="1" outlineLevel="1">
      <c r="B734" s="381" t="s">
        <v>41</v>
      </c>
      <c r="C734" s="381"/>
      <c r="H734" s="384">
        <f>H$3*4</f>
        <v>2</v>
      </c>
      <c r="I734" s="384">
        <f t="shared" ref="I734:Q734" si="505">I$3*4</f>
        <v>4</v>
      </c>
      <c r="J734" s="384">
        <f t="shared" si="505"/>
        <v>4</v>
      </c>
      <c r="K734" s="384">
        <f t="shared" si="505"/>
        <v>4</v>
      </c>
      <c r="L734" s="384">
        <f t="shared" si="505"/>
        <v>4</v>
      </c>
      <c r="M734" s="384">
        <f t="shared" si="505"/>
        <v>4</v>
      </c>
      <c r="N734" s="384">
        <f t="shared" si="505"/>
        <v>4</v>
      </c>
      <c r="O734" s="384">
        <f t="shared" si="505"/>
        <v>4</v>
      </c>
      <c r="P734" s="384">
        <f t="shared" si="505"/>
        <v>4</v>
      </c>
      <c r="Q734" s="384">
        <f t="shared" si="505"/>
        <v>4</v>
      </c>
      <c r="R734" s="317"/>
    </row>
    <row r="735" spans="2:18" ht="13.5" customHeight="1" outlineLevel="1">
      <c r="B735" s="415" t="s">
        <v>207</v>
      </c>
      <c r="C735" s="415"/>
      <c r="D735" s="254"/>
      <c r="E735" s="254"/>
      <c r="F735" s="254"/>
      <c r="G735" s="254"/>
      <c r="H735" s="416">
        <f ca="1">$H734/4*H733</f>
        <v>3.1225000000000005</v>
      </c>
      <c r="I735" s="256">
        <f t="shared" ref="I735:Q735" ca="1" si="506">(4-$H734)/4*H733+$H734/4*I733</f>
        <v>9.4275000000000002</v>
      </c>
      <c r="J735" s="256">
        <f t="shared" ca="1" si="506"/>
        <v>12.67305</v>
      </c>
      <c r="K735" s="256">
        <f t="shared" ca="1" si="506"/>
        <v>12.799780500000001</v>
      </c>
      <c r="L735" s="256">
        <f t="shared" ca="1" si="506"/>
        <v>12.927778305</v>
      </c>
      <c r="M735" s="256">
        <f t="shared" ca="1" si="506"/>
        <v>13.05705608805</v>
      </c>
      <c r="N735" s="256">
        <f t="shared" ca="1" si="506"/>
        <v>13.1876266489305</v>
      </c>
      <c r="O735" s="256">
        <f t="shared" ca="1" si="506"/>
        <v>13.319502915419806</v>
      </c>
      <c r="P735" s="256">
        <f t="shared" ca="1" si="506"/>
        <v>13.452697944574002</v>
      </c>
      <c r="Q735" s="256">
        <f t="shared" ca="1" si="506"/>
        <v>13.587224924019743</v>
      </c>
      <c r="R735" s="317"/>
    </row>
    <row r="736" spans="2:18" ht="13.5" customHeight="1" outlineLevel="1">
      <c r="B736" s="88"/>
      <c r="C736" s="50"/>
      <c r="D736" s="50"/>
      <c r="G736" s="50"/>
      <c r="H736" s="350"/>
      <c r="I736" s="350"/>
      <c r="J736" s="350"/>
      <c r="N736" s="57"/>
      <c r="R736" s="317"/>
    </row>
    <row r="737" spans="2:18" ht="13.5" customHeight="1" outlineLevel="1">
      <c r="B737" s="88" t="str">
        <f>acquirer&amp;" COGS"</f>
        <v>BuyerCo COGS</v>
      </c>
      <c r="C737" s="50"/>
      <c r="D737" s="50"/>
      <c r="G737" s="50"/>
      <c r="H737" s="351">
        <f>Acquirer!T11</f>
        <v>1056.75</v>
      </c>
      <c r="I737" s="135">
        <f>Acquirer!H11</f>
        <v>2347.8000000000002</v>
      </c>
      <c r="J737" s="135">
        <f>Acquirer!I11</f>
        <v>2582.5800000000004</v>
      </c>
      <c r="K737" s="135">
        <f>Acquirer!J11</f>
        <v>2840.8380000000011</v>
      </c>
      <c r="L737" s="135">
        <f>Acquirer!K11</f>
        <v>3124.9218000000014</v>
      </c>
      <c r="M737" s="135">
        <f>Acquirer!L11</f>
        <v>3437.4139800000021</v>
      </c>
      <c r="N737" s="135">
        <f>Acquirer!M11</f>
        <v>3781.1553780000022</v>
      </c>
      <c r="O737" s="135">
        <f>Acquirer!N11</f>
        <v>4159.2709158000025</v>
      </c>
      <c r="P737" s="135">
        <f>Acquirer!O11</f>
        <v>4575.1980073800032</v>
      </c>
      <c r="Q737" s="135">
        <f>Acquirer!P11</f>
        <v>5032.7178081180045</v>
      </c>
      <c r="R737" s="317"/>
    </row>
    <row r="738" spans="2:18" ht="13.5" customHeight="1" outlineLevel="1">
      <c r="B738" s="88" t="str">
        <f>target&amp;" COGS"</f>
        <v>TargetCo COGS</v>
      </c>
      <c r="C738" s="50"/>
      <c r="D738" s="50"/>
      <c r="G738" s="50"/>
      <c r="H738" s="184">
        <f>Target!T11</f>
        <v>124.9</v>
      </c>
      <c r="I738" s="126">
        <f>Target!H11</f>
        <v>252.2</v>
      </c>
      <c r="J738" s="126">
        <f>Target!I11</f>
        <v>254.72199999999998</v>
      </c>
      <c r="K738" s="126">
        <f>Target!J11</f>
        <v>257.26921999999996</v>
      </c>
      <c r="L738" s="126">
        <f>Target!K11</f>
        <v>259.84191219999997</v>
      </c>
      <c r="M738" s="126">
        <f>Target!L11</f>
        <v>262.44033132199996</v>
      </c>
      <c r="N738" s="126">
        <f>Target!M11</f>
        <v>265.06473463522002</v>
      </c>
      <c r="O738" s="126">
        <f>Target!N11</f>
        <v>267.71538198157219</v>
      </c>
      <c r="P738" s="126">
        <f>Target!O11</f>
        <v>270.39253580138791</v>
      </c>
      <c r="Q738" s="126">
        <f>Target!P11</f>
        <v>273.09646115940183</v>
      </c>
      <c r="R738" s="317"/>
    </row>
    <row r="739" spans="2:18" ht="13.5" customHeight="1" outlineLevel="1">
      <c r="B739" s="88" t="s">
        <v>146</v>
      </c>
      <c r="C739" s="50"/>
      <c r="D739" s="50"/>
      <c r="G739" s="50"/>
      <c r="H739" s="163">
        <f ca="1">-H735</f>
        <v>-3.1225000000000005</v>
      </c>
      <c r="I739" s="163">
        <f t="shared" ref="I739:Q739" ca="1" si="507">-I735</f>
        <v>-9.4275000000000002</v>
      </c>
      <c r="J739" s="163">
        <f t="shared" ca="1" si="507"/>
        <v>-12.67305</v>
      </c>
      <c r="K739" s="163">
        <f t="shared" ca="1" si="507"/>
        <v>-12.799780500000001</v>
      </c>
      <c r="L739" s="163">
        <f t="shared" ca="1" si="507"/>
        <v>-12.927778305</v>
      </c>
      <c r="M739" s="163">
        <f t="shared" ca="1" si="507"/>
        <v>-13.05705608805</v>
      </c>
      <c r="N739" s="163">
        <f t="shared" ca="1" si="507"/>
        <v>-13.1876266489305</v>
      </c>
      <c r="O739" s="163">
        <f t="shared" ca="1" si="507"/>
        <v>-13.319502915419806</v>
      </c>
      <c r="P739" s="163">
        <f t="shared" ca="1" si="507"/>
        <v>-13.452697944574002</v>
      </c>
      <c r="Q739" s="163">
        <f t="shared" ca="1" si="507"/>
        <v>-13.587224924019743</v>
      </c>
      <c r="R739" s="317"/>
    </row>
    <row r="740" spans="2:18" ht="13.5" customHeight="1" outlineLevel="1">
      <c r="B740" s="415" t="s">
        <v>477</v>
      </c>
      <c r="C740" s="415"/>
      <c r="D740" s="254"/>
      <c r="E740" s="254"/>
      <c r="F740" s="254"/>
      <c r="G740" s="254"/>
      <c r="H740" s="417">
        <f ca="1">SUM(H737:H739)</f>
        <v>1178.5275000000001</v>
      </c>
      <c r="I740" s="256">
        <f t="shared" ref="I740" ca="1" si="508">SUM(I737:I739)</f>
        <v>2590.5725000000002</v>
      </c>
      <c r="J740" s="256">
        <f t="shared" ref="J740" ca="1" si="509">SUM(J737:J739)</f>
        <v>2824.6289500000007</v>
      </c>
      <c r="K740" s="256">
        <f t="shared" ref="K740" ca="1" si="510">SUM(K737:K739)</f>
        <v>3085.3074395000012</v>
      </c>
      <c r="L740" s="256">
        <f t="shared" ref="L740" ca="1" si="511">SUM(L737:L739)</f>
        <v>3371.8359338950013</v>
      </c>
      <c r="M740" s="256">
        <f t="shared" ref="M740" ca="1" si="512">SUM(M737:M739)</f>
        <v>3686.797255233952</v>
      </c>
      <c r="N740" s="256">
        <f t="shared" ref="N740" ca="1" si="513">SUM(N737:N739)</f>
        <v>4033.0324859862917</v>
      </c>
      <c r="O740" s="256">
        <f t="shared" ref="O740" ca="1" si="514">SUM(O737:O739)</f>
        <v>4413.6667948661552</v>
      </c>
      <c r="P740" s="256">
        <f t="shared" ref="P740" ca="1" si="515">SUM(P737:P739)</f>
        <v>4832.1378452368172</v>
      </c>
      <c r="Q740" s="256">
        <f t="shared" ref="Q740" ca="1" si="516">SUM(Q737:Q739)</f>
        <v>5292.2270443533862</v>
      </c>
      <c r="R740" s="317"/>
    </row>
    <row r="741" spans="2:18" ht="13.5" customHeight="1" outlineLevel="1">
      <c r="B741" s="88"/>
      <c r="C741" s="50"/>
      <c r="D741" s="50"/>
      <c r="G741" s="50"/>
      <c r="H741" s="350"/>
      <c r="I741" s="350"/>
      <c r="J741" s="350"/>
      <c r="N741" s="57"/>
      <c r="R741" s="317"/>
    </row>
    <row r="742" spans="2:18" ht="13.5" customHeight="1" outlineLevel="1">
      <c r="B742" s="108" t="s">
        <v>157</v>
      </c>
      <c r="C742" s="109"/>
      <c r="D742" s="109"/>
      <c r="E742" s="306"/>
      <c r="F742" s="306"/>
      <c r="G742" s="306"/>
      <c r="H742" s="306"/>
      <c r="I742" s="109"/>
      <c r="J742" s="306"/>
      <c r="K742" s="306"/>
      <c r="L742" s="306"/>
      <c r="M742" s="306"/>
      <c r="N742" s="306"/>
      <c r="O742" s="306"/>
      <c r="P742" s="306"/>
      <c r="Q742" s="110"/>
    </row>
    <row r="743" spans="2:18" ht="13.5" customHeight="1" outlineLevel="1">
      <c r="C743" s="381"/>
      <c r="H743" s="199"/>
      <c r="I743" s="199"/>
      <c r="J743" s="199"/>
      <c r="K743" s="199"/>
      <c r="L743" s="199"/>
      <c r="M743" s="199"/>
      <c r="N743" s="199"/>
      <c r="O743" s="199"/>
      <c r="P743" s="199"/>
      <c r="Q743" s="199"/>
      <c r="R743" s="317"/>
    </row>
    <row r="744" spans="2:18" ht="13.5" customHeight="1" outlineLevel="1">
      <c r="B744" s="381" t="str">
        <f>target&amp;" standalone SG&amp;A"</f>
        <v>TargetCo standalone SG&amp;A</v>
      </c>
      <c r="C744" s="381"/>
      <c r="D744" s="387"/>
      <c r="E744" s="387"/>
      <c r="F744" s="387"/>
      <c r="G744" s="418"/>
      <c r="H744" s="419">
        <f>IFERROR(H752/H$3,0)</f>
        <v>91.7</v>
      </c>
      <c r="I744" s="316">
        <f t="shared" ref="I744:Q744" si="517">I752/I$3</f>
        <v>92.4</v>
      </c>
      <c r="J744" s="316">
        <f t="shared" si="517"/>
        <v>93.323999999999998</v>
      </c>
      <c r="K744" s="316">
        <f t="shared" si="517"/>
        <v>94.257239999999996</v>
      </c>
      <c r="L744" s="316">
        <f t="shared" si="517"/>
        <v>95.199812399999999</v>
      </c>
      <c r="M744" s="316">
        <f t="shared" si="517"/>
        <v>96.151810524000012</v>
      </c>
      <c r="N744" s="316">
        <f t="shared" si="517"/>
        <v>97.113328629240016</v>
      </c>
      <c r="O744" s="316">
        <f t="shared" si="517"/>
        <v>98.084461915532415</v>
      </c>
      <c r="P744" s="316">
        <f t="shared" si="517"/>
        <v>99.065306534687736</v>
      </c>
      <c r="Q744" s="316">
        <f t="shared" si="517"/>
        <v>100.05595960003461</v>
      </c>
      <c r="R744" s="317"/>
    </row>
    <row r="745" spans="2:18" ht="13.5" customHeight="1" outlineLevel="1">
      <c r="B745" s="381" t="s">
        <v>224</v>
      </c>
      <c r="C745" s="381"/>
      <c r="G745" s="420"/>
      <c r="H745" s="94">
        <f ca="1">Inputs!G16</f>
        <v>0.2</v>
      </c>
      <c r="I745" s="313">
        <f t="shared" ref="I745" ca="1" si="518">H745</f>
        <v>0.2</v>
      </c>
      <c r="J745" s="313">
        <f t="shared" ref="J745" ca="1" si="519">I745</f>
        <v>0.2</v>
      </c>
      <c r="K745" s="313">
        <f t="shared" ref="K745" ca="1" si="520">J745</f>
        <v>0.2</v>
      </c>
      <c r="L745" s="313">
        <f t="shared" ref="L745" ca="1" si="521">K745</f>
        <v>0.2</v>
      </c>
      <c r="M745" s="313">
        <f t="shared" ref="M745" ca="1" si="522">L745</f>
        <v>0.2</v>
      </c>
      <c r="N745" s="313">
        <f t="shared" ref="N745" ca="1" si="523">M745</f>
        <v>0.2</v>
      </c>
      <c r="O745" s="313">
        <f t="shared" ref="O745" ca="1" si="524">N745</f>
        <v>0.2</v>
      </c>
      <c r="P745" s="313">
        <f t="shared" ref="P745" ca="1" si="525">O745</f>
        <v>0.2</v>
      </c>
      <c r="Q745" s="313">
        <f t="shared" ref="Q745" ca="1" si="526">P745</f>
        <v>0.2</v>
      </c>
      <c r="R745" s="317"/>
    </row>
    <row r="746" spans="2:18" ht="13.5" customHeight="1" outlineLevel="1">
      <c r="B746" s="381" t="s">
        <v>42</v>
      </c>
      <c r="C746" s="381"/>
      <c r="G746" s="420"/>
      <c r="H746" s="411">
        <f>Inputs!M45</f>
        <v>0.5</v>
      </c>
      <c r="I746" s="411">
        <f>Inputs!M46</f>
        <v>1</v>
      </c>
      <c r="J746" s="421">
        <f t="shared" ref="J746:Q746" si="527">I746</f>
        <v>1</v>
      </c>
      <c r="K746" s="421">
        <f t="shared" si="527"/>
        <v>1</v>
      </c>
      <c r="L746" s="421">
        <f t="shared" si="527"/>
        <v>1</v>
      </c>
      <c r="M746" s="421">
        <f t="shared" si="527"/>
        <v>1</v>
      </c>
      <c r="N746" s="421">
        <f t="shared" si="527"/>
        <v>1</v>
      </c>
      <c r="O746" s="421">
        <f t="shared" si="527"/>
        <v>1</v>
      </c>
      <c r="P746" s="421">
        <f t="shared" si="527"/>
        <v>1</v>
      </c>
      <c r="Q746" s="421">
        <f t="shared" si="527"/>
        <v>1</v>
      </c>
      <c r="R746" s="317"/>
    </row>
    <row r="747" spans="2:18" ht="13.5" customHeight="1" outlineLevel="1">
      <c r="B747" s="413" t="s">
        <v>225</v>
      </c>
      <c r="C747" s="413"/>
      <c r="D747" s="249"/>
      <c r="E747" s="249"/>
      <c r="F747" s="249"/>
      <c r="G747" s="249"/>
      <c r="H747" s="414">
        <f ca="1">PRODUCT(H744:H746)</f>
        <v>9.17</v>
      </c>
      <c r="I747" s="414">
        <f t="shared" ref="I747:Q747" ca="1" si="528">PRODUCT(I744:I746)</f>
        <v>18.48</v>
      </c>
      <c r="J747" s="414">
        <f t="shared" ca="1" si="528"/>
        <v>18.6648</v>
      </c>
      <c r="K747" s="414">
        <f t="shared" ca="1" si="528"/>
        <v>18.851448000000001</v>
      </c>
      <c r="L747" s="414">
        <f t="shared" ca="1" si="528"/>
        <v>19.03996248</v>
      </c>
      <c r="M747" s="414">
        <f t="shared" ca="1" si="528"/>
        <v>19.230362104800005</v>
      </c>
      <c r="N747" s="414">
        <f t="shared" ca="1" si="528"/>
        <v>19.422665725848006</v>
      </c>
      <c r="O747" s="414">
        <f t="shared" ca="1" si="528"/>
        <v>19.616892383106485</v>
      </c>
      <c r="P747" s="414">
        <f t="shared" ca="1" si="528"/>
        <v>19.813061306937549</v>
      </c>
      <c r="Q747" s="414">
        <f t="shared" ca="1" si="528"/>
        <v>20.011191920006922</v>
      </c>
      <c r="R747" s="317"/>
    </row>
    <row r="748" spans="2:18" ht="13.5" customHeight="1" outlineLevel="1">
      <c r="B748" s="381" t="s">
        <v>41</v>
      </c>
      <c r="C748" s="381"/>
      <c r="H748" s="384">
        <f>H$3*4</f>
        <v>2</v>
      </c>
      <c r="I748" s="384">
        <f t="shared" ref="I748:Q748" si="529">I$3*4</f>
        <v>4</v>
      </c>
      <c r="J748" s="384">
        <f t="shared" si="529"/>
        <v>4</v>
      </c>
      <c r="K748" s="384">
        <f t="shared" si="529"/>
        <v>4</v>
      </c>
      <c r="L748" s="384">
        <f t="shared" si="529"/>
        <v>4</v>
      </c>
      <c r="M748" s="384">
        <f t="shared" si="529"/>
        <v>4</v>
      </c>
      <c r="N748" s="384">
        <f t="shared" si="529"/>
        <v>4</v>
      </c>
      <c r="O748" s="384">
        <f t="shared" si="529"/>
        <v>4</v>
      </c>
      <c r="P748" s="384">
        <f t="shared" si="529"/>
        <v>4</v>
      </c>
      <c r="Q748" s="384">
        <f t="shared" si="529"/>
        <v>4</v>
      </c>
      <c r="R748" s="317"/>
    </row>
    <row r="749" spans="2:18" ht="13.5" customHeight="1" outlineLevel="1">
      <c r="B749" s="415" t="s">
        <v>208</v>
      </c>
      <c r="C749" s="415"/>
      <c r="D749" s="254"/>
      <c r="E749" s="254"/>
      <c r="F749" s="254"/>
      <c r="G749" s="254"/>
      <c r="H749" s="416">
        <f ca="1">$H748/4*H747</f>
        <v>4.585</v>
      </c>
      <c r="I749" s="256">
        <f t="shared" ref="I749:Q749" ca="1" si="530">(4-$H748)/4*H747+$H748/4*I747</f>
        <v>13.824999999999999</v>
      </c>
      <c r="J749" s="256">
        <f t="shared" ca="1" si="530"/>
        <v>18.572400000000002</v>
      </c>
      <c r="K749" s="256">
        <f t="shared" ca="1" si="530"/>
        <v>18.758124000000002</v>
      </c>
      <c r="L749" s="256">
        <f t="shared" ca="1" si="530"/>
        <v>18.945705240000002</v>
      </c>
      <c r="M749" s="256">
        <f t="shared" ca="1" si="530"/>
        <v>19.135162292400004</v>
      </c>
      <c r="N749" s="256">
        <f t="shared" ca="1" si="530"/>
        <v>19.326513915324007</v>
      </c>
      <c r="O749" s="256">
        <f t="shared" ca="1" si="530"/>
        <v>19.519779054477247</v>
      </c>
      <c r="P749" s="256">
        <f t="shared" ca="1" si="530"/>
        <v>19.714976845022015</v>
      </c>
      <c r="Q749" s="256">
        <f t="shared" ca="1" si="530"/>
        <v>19.912126613472235</v>
      </c>
      <c r="R749" s="317"/>
    </row>
    <row r="750" spans="2:18" ht="13.5" customHeight="1" outlineLevel="1">
      <c r="B750" s="50"/>
      <c r="C750" s="50"/>
      <c r="D750" s="50"/>
      <c r="G750" s="50"/>
      <c r="H750" s="350"/>
      <c r="I750" s="350"/>
      <c r="J750" s="350"/>
      <c r="N750" s="57"/>
      <c r="R750" s="317"/>
    </row>
    <row r="751" spans="2:18" ht="13.5" customHeight="1" outlineLevel="1">
      <c r="B751" s="88" t="str">
        <f>acquirer&amp;" SG&amp;A"</f>
        <v>BuyerCo SG&amp;A</v>
      </c>
      <c r="C751" s="50"/>
      <c r="D751" s="50"/>
      <c r="G751" s="50"/>
      <c r="H751" s="351">
        <f>Acquirer!T13</f>
        <v>311.14999999999998</v>
      </c>
      <c r="I751" s="135">
        <f>Acquirer!H13</f>
        <v>675.5</v>
      </c>
      <c r="J751" s="135">
        <f>Acquirer!I13</f>
        <v>743.05000000000007</v>
      </c>
      <c r="K751" s="135">
        <f>Acquirer!J13</f>
        <v>817.35500000000013</v>
      </c>
      <c r="L751" s="135">
        <f>Acquirer!K13</f>
        <v>899.09050000000025</v>
      </c>
      <c r="M751" s="135">
        <f>Acquirer!L13</f>
        <v>988.99955000000034</v>
      </c>
      <c r="N751" s="135">
        <f>Acquirer!M13</f>
        <v>1087.8995050000005</v>
      </c>
      <c r="O751" s="135">
        <f>Acquirer!N13</f>
        <v>1196.6894555000006</v>
      </c>
      <c r="P751" s="135">
        <f>Acquirer!O13</f>
        <v>1316.3584010500008</v>
      </c>
      <c r="Q751" s="135">
        <f>Acquirer!P13</f>
        <v>1447.9942411550012</v>
      </c>
      <c r="R751" s="317"/>
    </row>
    <row r="752" spans="2:18" ht="13.5" customHeight="1" outlineLevel="1">
      <c r="B752" s="88" t="str">
        <f>target&amp;" SG&amp;A"</f>
        <v>TargetCo SG&amp;A</v>
      </c>
      <c r="C752" s="50"/>
      <c r="D752" s="50"/>
      <c r="G752" s="50"/>
      <c r="H752" s="184">
        <f>Target!T13</f>
        <v>45.85</v>
      </c>
      <c r="I752" s="126">
        <f>Target!H13</f>
        <v>92.4</v>
      </c>
      <c r="J752" s="126">
        <f>Target!I13</f>
        <v>93.323999999999998</v>
      </c>
      <c r="K752" s="126">
        <f>Target!J13</f>
        <v>94.257239999999996</v>
      </c>
      <c r="L752" s="126">
        <f>Target!K13</f>
        <v>95.199812399999999</v>
      </c>
      <c r="M752" s="126">
        <f>Target!L13</f>
        <v>96.151810524000012</v>
      </c>
      <c r="N752" s="126">
        <f>Target!M13</f>
        <v>97.113328629240016</v>
      </c>
      <c r="O752" s="126">
        <f>Target!N13</f>
        <v>98.084461915532415</v>
      </c>
      <c r="P752" s="126">
        <f>Target!O13</f>
        <v>99.065306534687736</v>
      </c>
      <c r="Q752" s="126">
        <f>Target!P13</f>
        <v>100.05595960003461</v>
      </c>
      <c r="R752" s="317"/>
    </row>
    <row r="753" spans="1:18" ht="13.5" customHeight="1" outlineLevel="1">
      <c r="B753" s="88" t="s">
        <v>147</v>
      </c>
      <c r="C753" s="50"/>
      <c r="D753" s="50"/>
      <c r="G753" s="50"/>
      <c r="H753" s="163">
        <f ca="1">-H749</f>
        <v>-4.585</v>
      </c>
      <c r="I753" s="163">
        <f t="shared" ref="I753:Q753" ca="1" si="531">-I749</f>
        <v>-13.824999999999999</v>
      </c>
      <c r="J753" s="163">
        <f t="shared" ca="1" si="531"/>
        <v>-18.572400000000002</v>
      </c>
      <c r="K753" s="163">
        <f t="shared" ca="1" si="531"/>
        <v>-18.758124000000002</v>
      </c>
      <c r="L753" s="163">
        <f t="shared" ca="1" si="531"/>
        <v>-18.945705240000002</v>
      </c>
      <c r="M753" s="163">
        <f t="shared" ca="1" si="531"/>
        <v>-19.135162292400004</v>
      </c>
      <c r="N753" s="163">
        <f t="shared" ca="1" si="531"/>
        <v>-19.326513915324007</v>
      </c>
      <c r="O753" s="163">
        <f t="shared" ca="1" si="531"/>
        <v>-19.519779054477247</v>
      </c>
      <c r="P753" s="163">
        <f t="shared" ca="1" si="531"/>
        <v>-19.714976845022015</v>
      </c>
      <c r="Q753" s="163">
        <f t="shared" ca="1" si="531"/>
        <v>-19.912126613472235</v>
      </c>
      <c r="R753" s="317"/>
    </row>
    <row r="754" spans="1:18" ht="13.5" customHeight="1" outlineLevel="1">
      <c r="B754" s="415" t="s">
        <v>478</v>
      </c>
      <c r="C754" s="415"/>
      <c r="D754" s="254"/>
      <c r="E754" s="254"/>
      <c r="F754" s="254"/>
      <c r="G754" s="254"/>
      <c r="H754" s="417">
        <f ca="1">SUM(H751:H753)</f>
        <v>352.41500000000002</v>
      </c>
      <c r="I754" s="256">
        <f t="shared" ref="I754" ca="1" si="532">SUM(I751:I753)</f>
        <v>754.07499999999993</v>
      </c>
      <c r="J754" s="256">
        <f t="shared" ref="J754" ca="1" si="533">SUM(J751:J753)</f>
        <v>817.80160000000001</v>
      </c>
      <c r="K754" s="256">
        <f t="shared" ref="K754" ca="1" si="534">SUM(K751:K753)</f>
        <v>892.8541160000002</v>
      </c>
      <c r="L754" s="256">
        <f t="shared" ref="L754" ca="1" si="535">SUM(L751:L753)</f>
        <v>975.34460716000024</v>
      </c>
      <c r="M754" s="256">
        <f t="shared" ref="M754" ca="1" si="536">SUM(M751:M753)</f>
        <v>1066.0161982316004</v>
      </c>
      <c r="N754" s="256">
        <f t="shared" ref="N754" ca="1" si="537">SUM(N751:N753)</f>
        <v>1165.6863197139164</v>
      </c>
      <c r="O754" s="256">
        <f t="shared" ref="O754" ca="1" si="538">SUM(O751:O753)</f>
        <v>1275.2541383610558</v>
      </c>
      <c r="P754" s="256">
        <f t="shared" ref="P754" ca="1" si="539">SUM(P751:P753)</f>
        <v>1395.7087307396666</v>
      </c>
      <c r="Q754" s="256">
        <f t="shared" ref="Q754" ca="1" si="540">SUM(Q751:Q753)</f>
        <v>1528.1380741415635</v>
      </c>
      <c r="R754" s="317"/>
    </row>
    <row r="755" spans="1:18" ht="13.5" customHeight="1" outlineLevel="1">
      <c r="B755" s="50"/>
      <c r="C755" s="50"/>
      <c r="D755" s="50"/>
      <c r="G755" s="50"/>
      <c r="H755" s="350"/>
      <c r="I755" s="350"/>
      <c r="J755" s="350"/>
      <c r="N755" s="57"/>
      <c r="R755" s="317"/>
    </row>
    <row r="756" spans="1:18" ht="13.5" customHeight="1" outlineLevel="1">
      <c r="B756" s="108" t="s">
        <v>155</v>
      </c>
      <c r="C756" s="109"/>
      <c r="D756" s="109"/>
      <c r="E756" s="306"/>
      <c r="F756" s="306"/>
      <c r="G756" s="306"/>
      <c r="H756" s="306"/>
      <c r="I756" s="109"/>
      <c r="J756" s="306"/>
      <c r="K756" s="306"/>
      <c r="L756" s="306"/>
      <c r="M756" s="306"/>
      <c r="N756" s="306"/>
      <c r="O756" s="306"/>
      <c r="P756" s="306"/>
      <c r="Q756" s="110"/>
    </row>
    <row r="757" spans="1:18" ht="13.5" customHeight="1" outlineLevel="1">
      <c r="C757" s="381"/>
      <c r="H757" s="199"/>
      <c r="I757" s="199"/>
      <c r="J757" s="199"/>
      <c r="K757" s="199"/>
      <c r="L757" s="199"/>
      <c r="M757" s="199"/>
      <c r="N757" s="199"/>
      <c r="O757" s="199"/>
      <c r="P757" s="199"/>
      <c r="Q757" s="199"/>
      <c r="R757" s="317"/>
    </row>
    <row r="758" spans="1:18" ht="13.5" customHeight="1" outlineLevel="1">
      <c r="B758" s="36" t="s">
        <v>235</v>
      </c>
      <c r="C758" s="422"/>
      <c r="D758" s="318"/>
      <c r="E758" s="318"/>
      <c r="F758" s="318"/>
      <c r="G758" s="318"/>
      <c r="H758" s="315">
        <f>Inputs!M50</f>
        <v>200</v>
      </c>
      <c r="I758" s="318"/>
      <c r="J758" s="318"/>
      <c r="K758" s="318"/>
      <c r="L758" s="318"/>
      <c r="M758" s="318"/>
      <c r="N758" s="318"/>
      <c r="O758" s="318"/>
      <c r="P758" s="318"/>
      <c r="Q758" s="318"/>
      <c r="R758" s="317"/>
    </row>
    <row r="759" spans="1:18" ht="13.5" customHeight="1" outlineLevel="1">
      <c r="B759" s="36" t="s">
        <v>236</v>
      </c>
      <c r="H759" s="411">
        <f>1-Inputs!M51</f>
        <v>0.75</v>
      </c>
      <c r="I759" s="423"/>
      <c r="J759" s="423"/>
      <c r="K759" s="423"/>
      <c r="L759" s="423"/>
      <c r="M759" s="423"/>
      <c r="N759" s="423"/>
      <c r="O759" s="423"/>
      <c r="P759" s="423"/>
      <c r="Q759" s="423"/>
      <c r="R759" s="317"/>
    </row>
    <row r="760" spans="1:18" ht="13.5" customHeight="1" outlineLevel="1">
      <c r="B760" s="249" t="s">
        <v>234</v>
      </c>
      <c r="C760" s="249"/>
      <c r="D760" s="249"/>
      <c r="E760" s="249"/>
      <c r="F760" s="249"/>
      <c r="G760" s="249"/>
      <c r="H760" s="414">
        <f>H758*H759</f>
        <v>150</v>
      </c>
      <c r="I760" s="388"/>
      <c r="J760" s="423"/>
      <c r="K760" s="423"/>
      <c r="L760" s="423"/>
      <c r="M760" s="423"/>
      <c r="N760" s="423"/>
      <c r="O760" s="423"/>
      <c r="P760" s="423"/>
      <c r="Q760" s="423"/>
      <c r="R760" s="317"/>
    </row>
    <row r="761" spans="1:18" ht="13.5" customHeight="1" outlineLevel="1">
      <c r="B761" s="381" t="s">
        <v>42</v>
      </c>
      <c r="C761" s="381"/>
      <c r="H761" s="411">
        <f>Inputs!M52/H759</f>
        <v>0.66666666666666663</v>
      </c>
      <c r="I761" s="411">
        <f>Inputs!M53/H759</f>
        <v>0.33333333333333331</v>
      </c>
      <c r="J761" s="421">
        <f>1-SUM($H$761:I761)</f>
        <v>0</v>
      </c>
      <c r="K761" s="421">
        <f>1-SUM($H$761:J761)</f>
        <v>0</v>
      </c>
      <c r="L761" s="421">
        <f>1-SUM($H$761:K761)</f>
        <v>0</v>
      </c>
      <c r="M761" s="421">
        <f>1-SUM($H$761:L761)</f>
        <v>0</v>
      </c>
      <c r="N761" s="421">
        <f>1-SUM($H$761:M761)</f>
        <v>0</v>
      </c>
      <c r="O761" s="421">
        <f>1-SUM($H$761:N761)</f>
        <v>0</v>
      </c>
      <c r="P761" s="421">
        <f>1-SUM($H$761:O761)</f>
        <v>0</v>
      </c>
      <c r="Q761" s="421">
        <f>1-SUM($H$761:P761)</f>
        <v>0</v>
      </c>
      <c r="R761" s="317"/>
    </row>
    <row r="762" spans="1:18" ht="13.5" customHeight="1" outlineLevel="1">
      <c r="B762" s="249" t="s">
        <v>233</v>
      </c>
      <c r="C762" s="413"/>
      <c r="D762" s="249"/>
      <c r="E762" s="249"/>
      <c r="F762" s="249"/>
      <c r="G762" s="249"/>
      <c r="H762" s="414">
        <f t="shared" ref="H762:Q762" si="541">H761*$H$760</f>
        <v>100</v>
      </c>
      <c r="I762" s="414">
        <f t="shared" si="541"/>
        <v>50</v>
      </c>
      <c r="J762" s="414">
        <f t="shared" si="541"/>
        <v>0</v>
      </c>
      <c r="K762" s="414">
        <f t="shared" si="541"/>
        <v>0</v>
      </c>
      <c r="L762" s="414">
        <f t="shared" si="541"/>
        <v>0</v>
      </c>
      <c r="M762" s="414">
        <f t="shared" si="541"/>
        <v>0</v>
      </c>
      <c r="N762" s="414">
        <f t="shared" si="541"/>
        <v>0</v>
      </c>
      <c r="O762" s="414">
        <f t="shared" si="541"/>
        <v>0</v>
      </c>
      <c r="P762" s="414">
        <f t="shared" si="541"/>
        <v>0</v>
      </c>
      <c r="Q762" s="414">
        <f t="shared" si="541"/>
        <v>0</v>
      </c>
      <c r="R762" s="317"/>
    </row>
    <row r="763" spans="1:18" ht="13.5" customHeight="1" outlineLevel="1">
      <c r="B763" s="36" t="s">
        <v>41</v>
      </c>
      <c r="C763" s="381"/>
      <c r="H763" s="384">
        <f>H$3*4</f>
        <v>2</v>
      </c>
      <c r="I763" s="384">
        <f t="shared" ref="I763:Q763" si="542">I$3*4</f>
        <v>4</v>
      </c>
      <c r="J763" s="384">
        <f t="shared" si="542"/>
        <v>4</v>
      </c>
      <c r="K763" s="384">
        <f t="shared" si="542"/>
        <v>4</v>
      </c>
      <c r="L763" s="384">
        <f t="shared" si="542"/>
        <v>4</v>
      </c>
      <c r="M763" s="384">
        <f t="shared" si="542"/>
        <v>4</v>
      </c>
      <c r="N763" s="384">
        <f t="shared" si="542"/>
        <v>4</v>
      </c>
      <c r="O763" s="384">
        <f t="shared" si="542"/>
        <v>4</v>
      </c>
      <c r="P763" s="384">
        <f t="shared" si="542"/>
        <v>4</v>
      </c>
      <c r="Q763" s="384">
        <f t="shared" si="542"/>
        <v>4</v>
      </c>
      <c r="R763" s="317"/>
    </row>
    <row r="764" spans="1:18" ht="13.5" customHeight="1" outlineLevel="1">
      <c r="B764" s="254" t="s">
        <v>232</v>
      </c>
      <c r="C764" s="415"/>
      <c r="D764" s="254"/>
      <c r="E764" s="254"/>
      <c r="F764" s="254"/>
      <c r="G764" s="254"/>
      <c r="H764" s="416">
        <f>$H763/4*H762</f>
        <v>50</v>
      </c>
      <c r="I764" s="256">
        <f t="shared" ref="I764:Q764" si="543">(4-$H763)/4*H762+$H763/4*I762</f>
        <v>75</v>
      </c>
      <c r="J764" s="256">
        <f t="shared" si="543"/>
        <v>25</v>
      </c>
      <c r="K764" s="256">
        <f t="shared" si="543"/>
        <v>0</v>
      </c>
      <c r="L764" s="256">
        <f t="shared" si="543"/>
        <v>0</v>
      </c>
      <c r="M764" s="256">
        <f t="shared" si="543"/>
        <v>0</v>
      </c>
      <c r="N764" s="256">
        <f t="shared" si="543"/>
        <v>0</v>
      </c>
      <c r="O764" s="256">
        <f t="shared" si="543"/>
        <v>0</v>
      </c>
      <c r="P764" s="256">
        <f t="shared" si="543"/>
        <v>0</v>
      </c>
      <c r="Q764" s="256">
        <f t="shared" si="543"/>
        <v>0</v>
      </c>
      <c r="R764" s="317"/>
    </row>
    <row r="765" spans="1:18" ht="5.0999999999999996" customHeight="1" outlineLevel="1" thickBot="1">
      <c r="B765" s="336"/>
      <c r="C765" s="336"/>
      <c r="D765" s="336"/>
      <c r="E765" s="209"/>
      <c r="F765" s="209"/>
      <c r="G765" s="336"/>
      <c r="H765" s="376"/>
      <c r="I765" s="376"/>
      <c r="J765" s="376"/>
      <c r="K765" s="209"/>
      <c r="L765" s="209"/>
      <c r="M765" s="209"/>
      <c r="N765" s="337"/>
      <c r="O765" s="209"/>
      <c r="P765" s="209"/>
      <c r="Q765" s="209"/>
      <c r="R765" s="317"/>
    </row>
    <row r="766" spans="1:18" ht="13.5" customHeight="1" outlineLevel="1">
      <c r="B766" s="50"/>
      <c r="C766" s="50"/>
      <c r="D766" s="50"/>
      <c r="G766" s="50"/>
      <c r="H766" s="350"/>
      <c r="I766" s="350"/>
      <c r="J766" s="350"/>
      <c r="N766" s="57"/>
      <c r="R766" s="317"/>
    </row>
    <row r="767" spans="1:18" ht="13.5" customHeight="1" outlineLevel="1" thickBot="1">
      <c r="B767" s="50"/>
      <c r="C767" s="50"/>
      <c r="D767" s="50"/>
      <c r="G767" s="50"/>
      <c r="H767" s="350"/>
      <c r="I767" s="350"/>
      <c r="J767" s="350"/>
      <c r="N767" s="57"/>
      <c r="R767" s="317"/>
    </row>
    <row r="768" spans="1:18" ht="20.7" thickTop="1">
      <c r="A768" s="281" t="s">
        <v>631</v>
      </c>
      <c r="B768" s="282" t="s">
        <v>385</v>
      </c>
      <c r="C768" s="283"/>
      <c r="D768" s="284"/>
      <c r="E768" s="284"/>
      <c r="F768" s="284"/>
      <c r="G768" s="284"/>
      <c r="H768" s="284"/>
      <c r="I768" s="284"/>
      <c r="J768" s="284"/>
      <c r="K768" s="284"/>
      <c r="L768" s="284"/>
      <c r="M768" s="284"/>
      <c r="N768" s="284"/>
      <c r="O768" s="284"/>
      <c r="P768" s="284"/>
      <c r="Q768" s="284"/>
    </row>
    <row r="769" spans="1:18" ht="5.0999999999999996" customHeight="1" outlineLevel="1">
      <c r="B769" s="107"/>
      <c r="C769" s="285"/>
      <c r="G769" s="285"/>
      <c r="N769" s="57"/>
      <c r="R769" s="317"/>
    </row>
    <row r="770" spans="1:18" ht="13.5" customHeight="1" outlineLevel="1">
      <c r="B770" s="286"/>
      <c r="C770" s="286"/>
      <c r="D770" s="424"/>
      <c r="E770" s="424" t="s">
        <v>95</v>
      </c>
      <c r="F770" s="424" t="s">
        <v>384</v>
      </c>
      <c r="G770" s="42"/>
      <c r="H770" s="42" t="s">
        <v>632</v>
      </c>
      <c r="I770" s="287" t="s">
        <v>629</v>
      </c>
      <c r="J770" s="287"/>
      <c r="K770" s="287"/>
      <c r="L770" s="287"/>
      <c r="M770" s="287"/>
      <c r="N770" s="287"/>
      <c r="O770" s="287"/>
      <c r="P770" s="287"/>
      <c r="Q770" s="287"/>
      <c r="R770" s="317"/>
    </row>
    <row r="771" spans="1:18" ht="13.5" customHeight="1" outlineLevel="1" thickBot="1">
      <c r="B771" s="288" t="str">
        <f>"("&amp;curr&amp;" in millions)"</f>
        <v>($ in millions)</v>
      </c>
      <c r="C771" s="289"/>
      <c r="D771" s="291" t="s">
        <v>280</v>
      </c>
      <c r="E771" s="291" t="s">
        <v>383</v>
      </c>
      <c r="F771" s="291" t="s">
        <v>382</v>
      </c>
      <c r="G771" s="291"/>
      <c r="H771" s="291">
        <f>H$8</f>
        <v>45291</v>
      </c>
      <c r="I771" s="292">
        <f t="shared" ref="I771:Q771" si="544">I$8</f>
        <v>45657</v>
      </c>
      <c r="J771" s="292">
        <f t="shared" si="544"/>
        <v>46022</v>
      </c>
      <c r="K771" s="292">
        <f t="shared" si="544"/>
        <v>46387</v>
      </c>
      <c r="L771" s="292">
        <f t="shared" si="544"/>
        <v>46752</v>
      </c>
      <c r="M771" s="292">
        <f t="shared" si="544"/>
        <v>47118</v>
      </c>
      <c r="N771" s="292">
        <f t="shared" si="544"/>
        <v>47483</v>
      </c>
      <c r="O771" s="292">
        <f t="shared" si="544"/>
        <v>47848</v>
      </c>
      <c r="P771" s="292">
        <f t="shared" si="544"/>
        <v>48213</v>
      </c>
      <c r="Q771" s="292">
        <f t="shared" si="544"/>
        <v>48579</v>
      </c>
      <c r="R771" s="317"/>
    </row>
    <row r="772" spans="1:18" ht="5.0999999999999996" customHeight="1" outlineLevel="1">
      <c r="B772" s="318"/>
      <c r="C772" s="318"/>
      <c r="D772" s="319"/>
      <c r="E772" s="319"/>
      <c r="F772" s="319"/>
      <c r="G772" s="326"/>
      <c r="H772" s="319"/>
      <c r="I772" s="319"/>
      <c r="J772" s="319"/>
      <c r="K772" s="319"/>
      <c r="L772" s="319"/>
      <c r="M772" s="319"/>
      <c r="N772" s="327"/>
      <c r="R772" s="317"/>
    </row>
    <row r="773" spans="1:18" ht="13.5" customHeight="1" outlineLevel="1">
      <c r="B773" s="381" t="str">
        <f>Close!B86</f>
        <v>Senior credit facility 3</v>
      </c>
      <c r="C773" s="50"/>
      <c r="D773" s="135">
        <f ca="1">Close!H86</f>
        <v>2.25</v>
      </c>
      <c r="E773" s="126">
        <f>Close!G86</f>
        <v>5</v>
      </c>
      <c r="F773" s="341">
        <f ca="1">IFERROR(D773/E773,0)</f>
        <v>0.45</v>
      </c>
      <c r="G773" s="50"/>
      <c r="H773" s="351">
        <f ca="1">F773*H$3</f>
        <v>0.22500000000000001</v>
      </c>
      <c r="I773" s="328">
        <f ca="1">MAX(0,MIN($F773,$D773-SUM($H773:H773)))</f>
        <v>0.45</v>
      </c>
      <c r="J773" s="328">
        <f ca="1">MAX(0,MIN($F773,$D773-SUM($H773:I773)))</f>
        <v>0.45</v>
      </c>
      <c r="K773" s="328">
        <f ca="1">MAX(0,MIN($F773,$D773-SUM($H773:J773)))</f>
        <v>0.45</v>
      </c>
      <c r="L773" s="328">
        <f ca="1">MAX(0,MIN($F773,$D773-SUM($H773:K773)))</f>
        <v>0.45</v>
      </c>
      <c r="M773" s="328">
        <f ca="1">MAX(0,MIN($F773,$D773-SUM($H773:L773)))</f>
        <v>0.22500000000000009</v>
      </c>
      <c r="N773" s="328">
        <f ca="1">MAX(0,MIN($F773,$D773-SUM($H773:M773)))</f>
        <v>0</v>
      </c>
      <c r="O773" s="328">
        <f ca="1">MAX(0,MIN($F773,$D773-SUM($H773:N773)))</f>
        <v>0</v>
      </c>
      <c r="P773" s="328">
        <f ca="1">MAX(0,MIN($F773,$D773-SUM($H773:O773)))</f>
        <v>0</v>
      </c>
      <c r="Q773" s="328">
        <f ca="1">MAX(0,MIN($F773,$D773-SUM($H773:P773)))</f>
        <v>0</v>
      </c>
      <c r="R773" s="317"/>
    </row>
    <row r="774" spans="1:18" ht="13.5" customHeight="1" outlineLevel="1">
      <c r="B774" s="381" t="str">
        <f>Close!B87</f>
        <v>Subordinated note 3</v>
      </c>
      <c r="C774" s="50"/>
      <c r="D774" s="126">
        <f ca="1">Close!H87</f>
        <v>0</v>
      </c>
      <c r="E774" s="126">
        <f>Close!G87</f>
        <v>7</v>
      </c>
      <c r="F774" s="163">
        <f t="shared" ref="F774:F775" ca="1" si="545">IFERROR(D774/E774,0)</f>
        <v>0</v>
      </c>
      <c r="G774" s="50"/>
      <c r="H774" s="184">
        <f ca="1">F774*H$3</f>
        <v>0</v>
      </c>
      <c r="I774" s="163">
        <f ca="1">MAX(0,MIN($F774,$D774-SUM($H774:H774)))</f>
        <v>0</v>
      </c>
      <c r="J774" s="163">
        <f ca="1">MAX(0,MIN($F774,$D774-SUM($H774:I774)))</f>
        <v>0</v>
      </c>
      <c r="K774" s="163">
        <f ca="1">MAX(0,MIN($F774,$D774-SUM($H774:J774)))</f>
        <v>0</v>
      </c>
      <c r="L774" s="163">
        <f ca="1">MAX(0,MIN($F774,$D774-SUM($H774:K774)))</f>
        <v>0</v>
      </c>
      <c r="M774" s="163">
        <f ca="1">MAX(0,MIN($F774,$D774-SUM($H774:L774)))</f>
        <v>0</v>
      </c>
      <c r="N774" s="163">
        <f ca="1">MAX(0,MIN($F774,$D774-SUM($H774:M774)))</f>
        <v>0</v>
      </c>
      <c r="O774" s="163">
        <f ca="1">MAX(0,MIN($F774,$D774-SUM($H774:N774)))</f>
        <v>0</v>
      </c>
      <c r="P774" s="163">
        <f ca="1">MAX(0,MIN($F774,$D774-SUM($H774:O774)))</f>
        <v>0</v>
      </c>
      <c r="Q774" s="163">
        <f ca="1">MAX(0,MIN($F774,$D774-SUM($H774:P774)))</f>
        <v>0</v>
      </c>
      <c r="R774" s="317"/>
    </row>
    <row r="775" spans="1:18" ht="13.5" customHeight="1" outlineLevel="1">
      <c r="B775" s="381" t="str">
        <f>Close!B88</f>
        <v>Convertible bond 3</v>
      </c>
      <c r="C775" s="50"/>
      <c r="D775" s="126">
        <f ca="1">Close!H88</f>
        <v>0</v>
      </c>
      <c r="E775" s="126">
        <f>Close!G88</f>
        <v>7</v>
      </c>
      <c r="F775" s="163">
        <f t="shared" ca="1" si="545"/>
        <v>0</v>
      </c>
      <c r="G775" s="50"/>
      <c r="H775" s="184">
        <f ca="1">F775*H$3</f>
        <v>0</v>
      </c>
      <c r="I775" s="163">
        <f ca="1">MAX(0,MIN($F775,$D775-SUM($H775:H775)))</f>
        <v>0</v>
      </c>
      <c r="J775" s="163">
        <f ca="1">MAX(0,MIN($F775,$D775-SUM($H775:I775)))</f>
        <v>0</v>
      </c>
      <c r="K775" s="163">
        <f ca="1">MAX(0,MIN($F775,$D775-SUM($H775:J775)))</f>
        <v>0</v>
      </c>
      <c r="L775" s="163">
        <f ca="1">MAX(0,MIN($F775,$D775-SUM($H775:K775)))</f>
        <v>0</v>
      </c>
      <c r="M775" s="163">
        <f ca="1">MAX(0,MIN($F775,$D775-SUM($H775:L775)))</f>
        <v>0</v>
      </c>
      <c r="N775" s="163">
        <f ca="1">MAX(0,MIN($F775,$D775-SUM($H775:M775)))</f>
        <v>0</v>
      </c>
      <c r="O775" s="163">
        <f ca="1">MAX(0,MIN($F775,$D775-SUM($H775:N775)))</f>
        <v>0</v>
      </c>
      <c r="P775" s="163">
        <f ca="1">MAX(0,MIN($F775,$D775-SUM($H775:O775)))</f>
        <v>0</v>
      </c>
      <c r="Q775" s="163">
        <f ca="1">MAX(0,MIN($F775,$D775-SUM($H775:P775)))</f>
        <v>0</v>
      </c>
      <c r="R775" s="317"/>
    </row>
    <row r="776" spans="1:18" ht="13.5" customHeight="1" outlineLevel="1">
      <c r="B776" s="249" t="s">
        <v>381</v>
      </c>
      <c r="C776" s="413"/>
      <c r="D776" s="249"/>
      <c r="E776" s="249"/>
      <c r="F776" s="249"/>
      <c r="G776" s="249"/>
      <c r="H776" s="414">
        <f ca="1">SUM(H773:H775)</f>
        <v>0.22500000000000001</v>
      </c>
      <c r="I776" s="414">
        <f t="shared" ref="I776:Q776" ca="1" si="546">SUM(I773:I775)</f>
        <v>0.45</v>
      </c>
      <c r="J776" s="414">
        <f t="shared" ca="1" si="546"/>
        <v>0.45</v>
      </c>
      <c r="K776" s="414">
        <f t="shared" ca="1" si="546"/>
        <v>0.45</v>
      </c>
      <c r="L776" s="414">
        <f t="shared" ca="1" si="546"/>
        <v>0.45</v>
      </c>
      <c r="M776" s="414">
        <f t="shared" ca="1" si="546"/>
        <v>0.22500000000000009</v>
      </c>
      <c r="N776" s="414">
        <f t="shared" ca="1" si="546"/>
        <v>0</v>
      </c>
      <c r="O776" s="414">
        <f t="shared" ca="1" si="546"/>
        <v>0</v>
      </c>
      <c r="P776" s="414">
        <f t="shared" ca="1" si="546"/>
        <v>0</v>
      </c>
      <c r="Q776" s="414">
        <f t="shared" ca="1" si="546"/>
        <v>0</v>
      </c>
      <c r="R776" s="317"/>
    </row>
    <row r="777" spans="1:18" ht="5.0999999999999996" customHeight="1" outlineLevel="1" thickBot="1">
      <c r="B777" s="336"/>
      <c r="C777" s="336"/>
      <c r="D777" s="336"/>
      <c r="E777" s="209"/>
      <c r="F777" s="209"/>
      <c r="G777" s="336"/>
      <c r="H777" s="376"/>
      <c r="I777" s="376"/>
      <c r="J777" s="376"/>
      <c r="K777" s="209"/>
      <c r="L777" s="209"/>
      <c r="M777" s="209"/>
      <c r="N777" s="337"/>
      <c r="O777" s="209"/>
      <c r="P777" s="209"/>
      <c r="Q777" s="209"/>
      <c r="R777" s="317"/>
    </row>
    <row r="778" spans="1:18" ht="13.5" customHeight="1" outlineLevel="1">
      <c r="R778" s="317"/>
    </row>
    <row r="779" spans="1:18" ht="13.5" customHeight="1" outlineLevel="1" thickBot="1">
      <c r="R779" s="317"/>
    </row>
    <row r="780" spans="1:18" ht="20.7" thickTop="1">
      <c r="A780" s="281" t="s">
        <v>631</v>
      </c>
      <c r="B780" s="282" t="s">
        <v>647</v>
      </c>
      <c r="C780" s="283"/>
      <c r="D780" s="284"/>
      <c r="E780" s="284"/>
      <c r="F780" s="284"/>
      <c r="G780" s="284"/>
      <c r="H780" s="284"/>
      <c r="I780" s="284"/>
      <c r="J780" s="284"/>
      <c r="K780" s="284"/>
      <c r="L780" s="284"/>
      <c r="M780" s="284"/>
      <c r="N780" s="284"/>
      <c r="O780" s="284"/>
      <c r="P780" s="284"/>
      <c r="Q780" s="284"/>
    </row>
    <row r="781" spans="1:18" ht="5.0999999999999996" customHeight="1" outlineLevel="1">
      <c r="B781" s="107"/>
    </row>
    <row r="782" spans="1:18" ht="13.5" customHeight="1" outlineLevel="1">
      <c r="B782" s="286"/>
      <c r="C782" s="286"/>
      <c r="D782" s="424"/>
      <c r="E782" s="424"/>
      <c r="F782" s="424"/>
      <c r="G782" s="42"/>
      <c r="H782" s="42" t="s">
        <v>632</v>
      </c>
      <c r="I782" s="287" t="s">
        <v>629</v>
      </c>
      <c r="J782" s="287"/>
      <c r="K782" s="287"/>
      <c r="L782" s="287"/>
      <c r="M782" s="287"/>
      <c r="N782" s="287"/>
      <c r="O782" s="287"/>
      <c r="P782" s="287"/>
      <c r="Q782" s="287"/>
      <c r="R782" s="317"/>
    </row>
    <row r="783" spans="1:18" ht="13.5" customHeight="1" outlineLevel="1" thickBot="1">
      <c r="B783" s="288" t="str">
        <f>"("&amp;curr&amp;" in millions)"</f>
        <v>($ in millions)</v>
      </c>
      <c r="C783" s="289"/>
      <c r="D783" s="291"/>
      <c r="E783" s="291"/>
      <c r="F783" s="291"/>
      <c r="G783" s="291"/>
      <c r="H783" s="291">
        <f>H$8</f>
        <v>45291</v>
      </c>
      <c r="I783" s="292">
        <f t="shared" ref="I783:Q783" si="547">I$8</f>
        <v>45657</v>
      </c>
      <c r="J783" s="292">
        <f t="shared" si="547"/>
        <v>46022</v>
      </c>
      <c r="K783" s="292">
        <f t="shared" si="547"/>
        <v>46387</v>
      </c>
      <c r="L783" s="292">
        <f t="shared" si="547"/>
        <v>46752</v>
      </c>
      <c r="M783" s="292">
        <f t="shared" si="547"/>
        <v>47118</v>
      </c>
      <c r="N783" s="292">
        <f t="shared" si="547"/>
        <v>47483</v>
      </c>
      <c r="O783" s="292">
        <f t="shared" si="547"/>
        <v>47848</v>
      </c>
      <c r="P783" s="292">
        <f t="shared" si="547"/>
        <v>48213</v>
      </c>
      <c r="Q783" s="292">
        <f t="shared" si="547"/>
        <v>48579</v>
      </c>
      <c r="R783" s="317"/>
    </row>
    <row r="784" spans="1:18" ht="5.0999999999999996" customHeight="1" outlineLevel="1">
      <c r="B784" s="318"/>
      <c r="C784" s="318"/>
      <c r="D784" s="319"/>
      <c r="E784" s="319"/>
      <c r="F784" s="319"/>
      <c r="G784" s="326"/>
      <c r="H784" s="319"/>
      <c r="I784" s="319"/>
      <c r="J784" s="319"/>
      <c r="K784" s="319"/>
      <c r="L784" s="319"/>
      <c r="M784" s="319"/>
      <c r="N784" s="327"/>
      <c r="R784" s="317"/>
    </row>
    <row r="785" spans="2:17" ht="13.5" customHeight="1" outlineLevel="1">
      <c r="B785" s="108" t="s">
        <v>617</v>
      </c>
      <c r="C785" s="109"/>
      <c r="D785" s="109"/>
      <c r="E785" s="306"/>
      <c r="F785" s="306"/>
      <c r="G785" s="306"/>
      <c r="H785" s="306"/>
      <c r="I785" s="109"/>
      <c r="J785" s="306"/>
      <c r="K785" s="306"/>
      <c r="L785" s="306"/>
      <c r="M785" s="306"/>
      <c r="N785" s="306"/>
      <c r="O785" s="306"/>
      <c r="P785" s="306"/>
      <c r="Q785" s="110"/>
    </row>
    <row r="786" spans="2:17" ht="13.5" customHeight="1" outlineLevel="1"/>
    <row r="787" spans="2:17" ht="13.5" customHeight="1" outlineLevel="1">
      <c r="B787" s="36" t="s">
        <v>298</v>
      </c>
      <c r="H787" s="231">
        <f t="shared" ref="H787:Q787" ca="1" si="548">H350+H359+H365+H371+H377+H383+H389+H395+H401+H407</f>
        <v>568.76531249999994</v>
      </c>
      <c r="I787" s="231">
        <f t="shared" ca="1" si="548"/>
        <v>615.67301718750002</v>
      </c>
      <c r="J787" s="231">
        <f t="shared" ca="1" si="548"/>
        <v>654.19596966210941</v>
      </c>
      <c r="K787" s="231">
        <f t="shared" ca="1" si="548"/>
        <v>579.19596966210941</v>
      </c>
      <c r="L787" s="231">
        <f t="shared" ca="1" si="548"/>
        <v>579.19596966210941</v>
      </c>
      <c r="M787" s="231">
        <f t="shared" ca="1" si="548"/>
        <v>579.19596966210941</v>
      </c>
      <c r="N787" s="231">
        <f t="shared" ca="1" si="548"/>
        <v>579.19596966210941</v>
      </c>
      <c r="O787" s="231">
        <f t="shared" ca="1" si="548"/>
        <v>579.19596966210941</v>
      </c>
      <c r="P787" s="231">
        <f t="shared" ca="1" si="548"/>
        <v>579.19596966210941</v>
      </c>
      <c r="Q787" s="231">
        <f t="shared" ca="1" si="548"/>
        <v>579.19596966210941</v>
      </c>
    </row>
    <row r="788" spans="2:17" ht="13.5" customHeight="1" outlineLevel="1">
      <c r="B788" s="36" t="s">
        <v>609</v>
      </c>
      <c r="H788" s="163">
        <f t="shared" ref="H788:Q788" ca="1" si="549">H787-H103</f>
        <v>-854.75981604947583</v>
      </c>
      <c r="I788" s="163">
        <f t="shared" ca="1" si="549"/>
        <v>-1243.2984895488985</v>
      </c>
      <c r="J788" s="163">
        <f t="shared" ca="1" si="549"/>
        <v>-1705.6139885745615</v>
      </c>
      <c r="K788" s="163">
        <f t="shared" ca="1" si="549"/>
        <v>-2218.3399447714023</v>
      </c>
      <c r="L788" s="163">
        <f t="shared" ca="1" si="549"/>
        <v>-2771.4022386781267</v>
      </c>
      <c r="M788" s="163">
        <f t="shared" ca="1" si="549"/>
        <v>-3362.0601374093935</v>
      </c>
      <c r="N788" s="163">
        <f t="shared" ca="1" si="549"/>
        <v>-4008.1122368459733</v>
      </c>
      <c r="O788" s="163">
        <f t="shared" ca="1" si="549"/>
        <v>-4715.0225762352538</v>
      </c>
      <c r="P788" s="163">
        <f t="shared" ca="1" si="549"/>
        <v>-5488.8016091174804</v>
      </c>
      <c r="Q788" s="163">
        <f t="shared" ca="1" si="549"/>
        <v>-6336.0608884845806</v>
      </c>
    </row>
    <row r="789" spans="2:17" ht="13.5" customHeight="1" outlineLevel="1">
      <c r="B789" s="36" t="s">
        <v>610</v>
      </c>
      <c r="H789" s="163">
        <f t="shared" ref="H789:Q789" ca="1" si="550">H350+H359+H365+H371</f>
        <v>75</v>
      </c>
      <c r="I789" s="163">
        <f t="shared" ca="1" si="550"/>
        <v>75</v>
      </c>
      <c r="J789" s="163">
        <f t="shared" ca="1" si="550"/>
        <v>75</v>
      </c>
      <c r="K789" s="163">
        <f t="shared" ca="1" si="550"/>
        <v>0</v>
      </c>
      <c r="L789" s="163">
        <f t="shared" ca="1" si="550"/>
        <v>0</v>
      </c>
      <c r="M789" s="163">
        <f t="shared" ca="1" si="550"/>
        <v>0</v>
      </c>
      <c r="N789" s="163">
        <f t="shared" ca="1" si="550"/>
        <v>0</v>
      </c>
      <c r="O789" s="163">
        <f t="shared" ca="1" si="550"/>
        <v>0</v>
      </c>
      <c r="P789" s="163">
        <f t="shared" ca="1" si="550"/>
        <v>0</v>
      </c>
      <c r="Q789" s="163">
        <f t="shared" ca="1" si="550"/>
        <v>0</v>
      </c>
    </row>
    <row r="790" spans="2:17" ht="13.5" customHeight="1" outlineLevel="1">
      <c r="B790" s="36" t="s">
        <v>611</v>
      </c>
      <c r="H790" s="163">
        <f t="shared" ref="H790:Q790" ca="1" si="551">H413+H419+H425</f>
        <v>128.203125</v>
      </c>
      <c r="I790" s="163">
        <f t="shared" ca="1" si="551"/>
        <v>134.77353515625001</v>
      </c>
      <c r="J790" s="163">
        <f t="shared" ca="1" si="551"/>
        <v>141.68067883300782</v>
      </c>
      <c r="K790" s="163">
        <f t="shared" ca="1" si="551"/>
        <v>148.94181362319947</v>
      </c>
      <c r="L790" s="163">
        <f t="shared" ca="1" si="551"/>
        <v>156.57508157138844</v>
      </c>
      <c r="M790" s="163">
        <f t="shared" ca="1" si="551"/>
        <v>164.59955450192209</v>
      </c>
      <c r="N790" s="163">
        <f t="shared" ca="1" si="551"/>
        <v>173.03528167014559</v>
      </c>
      <c r="O790" s="163">
        <f t="shared" ca="1" si="551"/>
        <v>181.90333985574057</v>
      </c>
      <c r="P790" s="163">
        <f t="shared" ca="1" si="551"/>
        <v>191.22588602334727</v>
      </c>
      <c r="Q790" s="163">
        <f t="shared" ca="1" si="551"/>
        <v>201.02621268204382</v>
      </c>
    </row>
    <row r="791" spans="2:17" ht="13.5" customHeight="1" outlineLevel="1">
      <c r="B791" s="36" t="s">
        <v>612</v>
      </c>
      <c r="H791" s="163">
        <f t="shared" ref="H791:Q791" ca="1" si="552">H787+H790+SUM(H148:H152)</f>
        <v>3987.3148763790487</v>
      </c>
      <c r="I791" s="163">
        <f t="shared" ca="1" si="552"/>
        <v>4470.2526918021604</v>
      </c>
      <c r="J791" s="163">
        <f t="shared" ca="1" si="552"/>
        <v>5036.06458880644</v>
      </c>
      <c r="K791" s="163">
        <f t="shared" ca="1" si="552"/>
        <v>5568.2921863288229</v>
      </c>
      <c r="L791" s="163">
        <f t="shared" ca="1" si="552"/>
        <v>6264.540552646009</v>
      </c>
      <c r="M791" s="163">
        <f t="shared" ca="1" si="552"/>
        <v>7056.9752057640553</v>
      </c>
      <c r="N791" s="163">
        <f t="shared" ca="1" si="552"/>
        <v>7927.0755845905787</v>
      </c>
      <c r="O791" s="163">
        <f t="shared" ca="1" si="552"/>
        <v>8880.7450515654891</v>
      </c>
      <c r="P791" s="163">
        <f t="shared" ca="1" si="552"/>
        <v>9926.0552731982243</v>
      </c>
      <c r="Q791" s="163">
        <f t="shared" ca="1" si="552"/>
        <v>11071.902537938309</v>
      </c>
    </row>
    <row r="792" spans="2:17" ht="13.5" customHeight="1" outlineLevel="1"/>
    <row r="793" spans="2:17" ht="13.5" customHeight="1" outlineLevel="1">
      <c r="B793" s="108" t="s">
        <v>586</v>
      </c>
      <c r="C793" s="109"/>
      <c r="D793" s="109"/>
      <c r="E793" s="306"/>
      <c r="F793" s="306"/>
      <c r="G793" s="306"/>
      <c r="H793" s="306"/>
      <c r="I793" s="109"/>
      <c r="J793" s="306"/>
      <c r="K793" s="306"/>
      <c r="L793" s="306"/>
      <c r="M793" s="306"/>
      <c r="N793" s="306"/>
      <c r="O793" s="306"/>
      <c r="P793" s="306"/>
      <c r="Q793" s="110"/>
    </row>
    <row r="794" spans="2:17" ht="13.5" customHeight="1" outlineLevel="1"/>
    <row r="795" spans="2:17" ht="13.5" customHeight="1" outlineLevel="1">
      <c r="B795" s="36" t="s">
        <v>584</v>
      </c>
      <c r="H795" s="231">
        <f t="shared" ref="H795:Q795" ca="1" si="553">H465</f>
        <v>17.285905766483953</v>
      </c>
      <c r="I795" s="231">
        <f t="shared" ca="1" si="553"/>
        <v>17.15155</v>
      </c>
      <c r="J795" s="231">
        <f t="shared" ca="1" si="553"/>
        <v>17.461506249999999</v>
      </c>
      <c r="K795" s="231">
        <f t="shared" ca="1" si="553"/>
        <v>17.654875000000001</v>
      </c>
      <c r="L795" s="231">
        <f t="shared" ca="1" si="553"/>
        <v>10</v>
      </c>
      <c r="M795" s="231">
        <f t="shared" ca="1" si="553"/>
        <v>10</v>
      </c>
      <c r="N795" s="231">
        <f t="shared" ca="1" si="553"/>
        <v>10</v>
      </c>
      <c r="O795" s="231">
        <f t="shared" ca="1" si="553"/>
        <v>10</v>
      </c>
      <c r="P795" s="231">
        <f t="shared" ca="1" si="553"/>
        <v>10</v>
      </c>
      <c r="Q795" s="231">
        <f t="shared" ca="1" si="553"/>
        <v>10</v>
      </c>
    </row>
    <row r="796" spans="2:17" ht="13.5" customHeight="1" outlineLevel="1">
      <c r="B796" s="36" t="s">
        <v>585</v>
      </c>
      <c r="H796" s="163">
        <f t="shared" ref="H796:Q796" ca="1" si="554">H466</f>
        <v>17.285905766483957</v>
      </c>
      <c r="I796" s="163">
        <f t="shared" ca="1" si="554"/>
        <v>17.15155</v>
      </c>
      <c r="J796" s="163">
        <f t="shared" ca="1" si="554"/>
        <v>30.30249040820312</v>
      </c>
      <c r="K796" s="163">
        <f t="shared" ca="1" si="554"/>
        <v>72.67849211790039</v>
      </c>
      <c r="L796" s="163">
        <f t="shared" ca="1" si="554"/>
        <v>65.023617117900386</v>
      </c>
      <c r="M796" s="163">
        <f t="shared" ca="1" si="554"/>
        <v>65.023617117900386</v>
      </c>
      <c r="N796" s="163">
        <f t="shared" ca="1" si="554"/>
        <v>65.023617117900386</v>
      </c>
      <c r="O796" s="163">
        <f t="shared" ca="1" si="554"/>
        <v>65.023617117900386</v>
      </c>
      <c r="P796" s="163">
        <f t="shared" ca="1" si="554"/>
        <v>65.023617117900386</v>
      </c>
      <c r="Q796" s="163">
        <f t="shared" ca="1" si="554"/>
        <v>65.023617117900386</v>
      </c>
    </row>
    <row r="797" spans="2:17" ht="13.5" customHeight="1" outlineLevel="1">
      <c r="B797" s="36" t="s">
        <v>575</v>
      </c>
      <c r="H797" s="163">
        <f t="shared" ref="H797:Q797" ca="1" si="555">H467</f>
        <v>39.676218266483957</v>
      </c>
      <c r="I797" s="163">
        <f t="shared" ca="1" si="555"/>
        <v>64.059254687500001</v>
      </c>
      <c r="J797" s="163">
        <f t="shared" ca="1" si="555"/>
        <v>68.825442882812496</v>
      </c>
      <c r="K797" s="163">
        <f t="shared" ca="1" si="555"/>
        <v>72.67849211790039</v>
      </c>
      <c r="L797" s="163">
        <f t="shared" ca="1" si="555"/>
        <v>65.023617117900386</v>
      </c>
      <c r="M797" s="163">
        <f t="shared" ca="1" si="555"/>
        <v>65.023617117900386</v>
      </c>
      <c r="N797" s="163">
        <f t="shared" ca="1" si="555"/>
        <v>65.023617117900386</v>
      </c>
      <c r="O797" s="163">
        <f t="shared" ca="1" si="555"/>
        <v>65.023617117900386</v>
      </c>
      <c r="P797" s="163">
        <f t="shared" ca="1" si="555"/>
        <v>65.023617117900386</v>
      </c>
      <c r="Q797" s="163">
        <f t="shared" ca="1" si="555"/>
        <v>65.023617117900386</v>
      </c>
    </row>
    <row r="798" spans="2:17" ht="13.5" customHeight="1" outlineLevel="1">
      <c r="B798" s="36" t="s">
        <v>587</v>
      </c>
      <c r="H798" s="163">
        <f t="shared" ref="H798:Q798" ca="1" si="556">H467+H470</f>
        <v>46.082468266483957</v>
      </c>
      <c r="I798" s="163">
        <f t="shared" ca="1" si="556"/>
        <v>77.200074999999998</v>
      </c>
      <c r="J798" s="163">
        <f t="shared" ca="1" si="556"/>
        <v>82.63973023632812</v>
      </c>
      <c r="K798" s="163">
        <f t="shared" ca="1" si="556"/>
        <v>87.200761698283685</v>
      </c>
      <c r="L798" s="163">
        <f t="shared" ca="1" si="556"/>
        <v>80.290153014278332</v>
      </c>
      <c r="M798" s="163">
        <f t="shared" ca="1" si="556"/>
        <v>81.072562978967696</v>
      </c>
      <c r="N798" s="163">
        <f t="shared" ca="1" si="556"/>
        <v>81.895071454347402</v>
      </c>
      <c r="O798" s="163">
        <f t="shared" ca="1" si="556"/>
        <v>82.759733489090308</v>
      </c>
      <c r="P798" s="163">
        <f t="shared" ca="1" si="556"/>
        <v>83.668709453113792</v>
      </c>
      <c r="Q798" s="163">
        <f t="shared" ca="1" si="556"/>
        <v>84.624270435293482</v>
      </c>
    </row>
    <row r="799" spans="2:17" ht="13.5" customHeight="1" outlineLevel="1"/>
    <row r="800" spans="2:17" ht="13.5" customHeight="1" outlineLevel="1">
      <c r="B800" s="108" t="s">
        <v>616</v>
      </c>
      <c r="C800" s="109"/>
      <c r="D800" s="109"/>
      <c r="E800" s="306"/>
      <c r="F800" s="306"/>
      <c r="G800" s="306"/>
      <c r="H800" s="306"/>
      <c r="I800" s="109"/>
      <c r="J800" s="306"/>
      <c r="K800" s="306"/>
      <c r="L800" s="306"/>
      <c r="M800" s="306"/>
      <c r="N800" s="306"/>
      <c r="O800" s="306"/>
      <c r="P800" s="306"/>
      <c r="Q800" s="110"/>
    </row>
    <row r="801" spans="2:17" ht="13.5" customHeight="1" outlineLevel="1"/>
    <row r="802" spans="2:17" ht="13.5" customHeight="1" outlineLevel="1">
      <c r="B802" s="53" t="s">
        <v>93</v>
      </c>
      <c r="H802" s="231">
        <f t="shared" ref="H802:Q802" ca="1" si="557">H14</f>
        <v>440.55749999999983</v>
      </c>
      <c r="I802" s="163">
        <f t="shared" ca="1" si="557"/>
        <v>989.35249999999985</v>
      </c>
      <c r="J802" s="163">
        <f t="shared" ca="1" si="557"/>
        <v>1084.3744499999996</v>
      </c>
      <c r="K802" s="163">
        <f t="shared" ca="1" si="557"/>
        <v>1177.5554944999997</v>
      </c>
      <c r="L802" s="163">
        <f t="shared" ca="1" si="557"/>
        <v>1279.9120794450009</v>
      </c>
      <c r="M802" s="163">
        <f t="shared" ca="1" si="557"/>
        <v>1392.36033323945</v>
      </c>
      <c r="N802" s="163">
        <f t="shared" ca="1" si="557"/>
        <v>1515.9079828718454</v>
      </c>
      <c r="O802" s="163">
        <f t="shared" ca="1" si="557"/>
        <v>1651.6635136305633</v>
      </c>
      <c r="P802" s="163">
        <f t="shared" ca="1" si="557"/>
        <v>1800.8462447898694</v>
      </c>
      <c r="Q802" s="163">
        <f t="shared" ca="1" si="557"/>
        <v>1964.7974128630692</v>
      </c>
    </row>
    <row r="803" spans="2:17" ht="13.5" customHeight="1" outlineLevel="1">
      <c r="B803" s="36" t="s">
        <v>588</v>
      </c>
      <c r="H803" s="425">
        <f ca="1">IFERROR(H$802/H795,0)</f>
        <v>25.486515196340306</v>
      </c>
      <c r="I803" s="425">
        <f t="shared" ref="I803:Q803" ca="1" si="558">IFERROR(I$802/I795,0)</f>
        <v>57.682979089353431</v>
      </c>
      <c r="J803" s="425">
        <f t="shared" ca="1" si="558"/>
        <v>62.100853985606172</v>
      </c>
      <c r="K803" s="425">
        <f t="shared" ca="1" si="558"/>
        <v>66.698602765525081</v>
      </c>
      <c r="L803" s="425">
        <f t="shared" ca="1" si="558"/>
        <v>127.99120794450009</v>
      </c>
      <c r="M803" s="425">
        <f t="shared" ca="1" si="558"/>
        <v>139.23603332394501</v>
      </c>
      <c r="N803" s="425">
        <f t="shared" ca="1" si="558"/>
        <v>151.59079828718455</v>
      </c>
      <c r="O803" s="425">
        <f t="shared" ca="1" si="558"/>
        <v>165.16635136305632</v>
      </c>
      <c r="P803" s="425">
        <f t="shared" ca="1" si="558"/>
        <v>180.08462447898694</v>
      </c>
      <c r="Q803" s="425">
        <f t="shared" ca="1" si="558"/>
        <v>196.47974128630693</v>
      </c>
    </row>
    <row r="804" spans="2:17" ht="13.5" customHeight="1" outlineLevel="1">
      <c r="B804" s="36" t="s">
        <v>589</v>
      </c>
      <c r="H804" s="425">
        <f t="shared" ref="H804:Q806" ca="1" si="559">IFERROR(H$802/H796,0)</f>
        <v>25.486515196340303</v>
      </c>
      <c r="I804" s="425">
        <f t="shared" ca="1" si="559"/>
        <v>57.682979089353431</v>
      </c>
      <c r="J804" s="425">
        <f t="shared" ca="1" si="559"/>
        <v>35.784994414401368</v>
      </c>
      <c r="K804" s="425">
        <f t="shared" ca="1" si="559"/>
        <v>16.202255442913529</v>
      </c>
      <c r="L804" s="425">
        <f t="shared" ca="1" si="559"/>
        <v>19.683803149927403</v>
      </c>
      <c r="M804" s="425">
        <f t="shared" ca="1" si="559"/>
        <v>21.413147944612671</v>
      </c>
      <c r="N804" s="425">
        <f t="shared" ca="1" si="559"/>
        <v>23.313190653839069</v>
      </c>
      <c r="O804" s="425">
        <f t="shared" ca="1" si="559"/>
        <v>25.400978703411379</v>
      </c>
      <c r="P804" s="425">
        <f t="shared" ca="1" si="559"/>
        <v>27.695264038058465</v>
      </c>
      <c r="Q804" s="425">
        <f t="shared" ca="1" si="559"/>
        <v>30.216673571088975</v>
      </c>
    </row>
    <row r="805" spans="2:17" ht="13.5" customHeight="1" outlineLevel="1">
      <c r="B805" s="36" t="s">
        <v>590</v>
      </c>
      <c r="H805" s="425">
        <f t="shared" ca="1" si="559"/>
        <v>11.103817834678964</v>
      </c>
      <c r="I805" s="425">
        <f t="shared" ca="1" si="559"/>
        <v>15.444333606851252</v>
      </c>
      <c r="J805" s="425">
        <f t="shared" ca="1" si="559"/>
        <v>15.755430035464343</v>
      </c>
      <c r="K805" s="425">
        <f t="shared" ca="1" si="559"/>
        <v>16.202255442913529</v>
      </c>
      <c r="L805" s="425">
        <f t="shared" ca="1" si="559"/>
        <v>19.683803149927403</v>
      </c>
      <c r="M805" s="425">
        <f t="shared" ca="1" si="559"/>
        <v>21.413147944612671</v>
      </c>
      <c r="N805" s="425">
        <f t="shared" ca="1" si="559"/>
        <v>23.313190653839069</v>
      </c>
      <c r="O805" s="425">
        <f t="shared" ca="1" si="559"/>
        <v>25.400978703411379</v>
      </c>
      <c r="P805" s="425">
        <f t="shared" ca="1" si="559"/>
        <v>27.695264038058465</v>
      </c>
      <c r="Q805" s="425">
        <f t="shared" ca="1" si="559"/>
        <v>30.216673571088975</v>
      </c>
    </row>
    <row r="806" spans="2:17" ht="13.5" customHeight="1" outlineLevel="1">
      <c r="B806" s="36" t="s">
        <v>591</v>
      </c>
      <c r="H806" s="425">
        <f t="shared" ca="1" si="559"/>
        <v>9.5601975452434651</v>
      </c>
      <c r="I806" s="425">
        <f t="shared" ca="1" si="559"/>
        <v>12.815434440963948</v>
      </c>
      <c r="J806" s="425">
        <f t="shared" ca="1" si="559"/>
        <v>13.121708491774729</v>
      </c>
      <c r="K806" s="425">
        <f t="shared" ca="1" si="559"/>
        <v>13.503958813735645</v>
      </c>
      <c r="L806" s="425">
        <f t="shared" ca="1" si="559"/>
        <v>15.941084073128978</v>
      </c>
      <c r="M806" s="425">
        <f t="shared" ca="1" si="559"/>
        <v>17.174248377970535</v>
      </c>
      <c r="N806" s="425">
        <f t="shared" ca="1" si="559"/>
        <v>18.510368889743162</v>
      </c>
      <c r="O806" s="425">
        <f t="shared" ca="1" si="559"/>
        <v>19.957332436894468</v>
      </c>
      <c r="P806" s="425">
        <f t="shared" ca="1" si="559"/>
        <v>21.523533188939961</v>
      </c>
      <c r="Q806" s="425">
        <f t="shared" ca="1" si="559"/>
        <v>23.217894851636192</v>
      </c>
    </row>
    <row r="807" spans="2:17" ht="13.5" customHeight="1" outlineLevel="1"/>
    <row r="808" spans="2:17" ht="13.5" customHeight="1" outlineLevel="1">
      <c r="B808" s="53" t="s">
        <v>593</v>
      </c>
      <c r="H808" s="231">
        <f t="shared" ref="H808:Q808" ca="1" si="560">H802-H53</f>
        <v>331.70749999999987</v>
      </c>
      <c r="I808" s="231">
        <f t="shared" ca="1" si="560"/>
        <v>748.05249999999978</v>
      </c>
      <c r="J808" s="231">
        <f t="shared" ca="1" si="560"/>
        <v>820.29444999999964</v>
      </c>
      <c r="K808" s="231">
        <f t="shared" ca="1" si="560"/>
        <v>888.43099449999954</v>
      </c>
      <c r="L808" s="231">
        <f t="shared" ca="1" si="560"/>
        <v>963.25226444500072</v>
      </c>
      <c r="M808" s="231">
        <f t="shared" ca="1" si="560"/>
        <v>1045.4254430894498</v>
      </c>
      <c r="N808" s="231">
        <f t="shared" ca="1" si="560"/>
        <v>1135.6844191203452</v>
      </c>
      <c r="O808" s="231">
        <f t="shared" ca="1" si="560"/>
        <v>1234.836457071548</v>
      </c>
      <c r="P808" s="231">
        <f t="shared" ca="1" si="560"/>
        <v>1343.769534778264</v>
      </c>
      <c r="Q808" s="231">
        <f t="shared" ca="1" si="560"/>
        <v>1463.4604145756475</v>
      </c>
    </row>
    <row r="809" spans="2:17" ht="13.5" customHeight="1" outlineLevel="1">
      <c r="B809" s="36" t="s">
        <v>592</v>
      </c>
      <c r="H809" s="425">
        <f ca="1">IFERROR(H$808/H795,0)</f>
        <v>19.18947751312837</v>
      </c>
      <c r="I809" s="425">
        <f t="shared" ref="I809:Q809" ca="1" si="561">IFERROR(I$808/I795,0)</f>
        <v>43.614279758972209</v>
      </c>
      <c r="J809" s="425">
        <f t="shared" ca="1" si="561"/>
        <v>46.977301857908145</v>
      </c>
      <c r="K809" s="425">
        <f t="shared" ca="1" si="561"/>
        <v>50.3221345095901</v>
      </c>
      <c r="L809" s="425">
        <f t="shared" ca="1" si="561"/>
        <v>96.325226444500075</v>
      </c>
      <c r="M809" s="425">
        <f t="shared" ca="1" si="561"/>
        <v>104.54254430894498</v>
      </c>
      <c r="N809" s="425">
        <f t="shared" ca="1" si="561"/>
        <v>113.56844191203452</v>
      </c>
      <c r="O809" s="425">
        <f t="shared" ca="1" si="561"/>
        <v>123.48364570715481</v>
      </c>
      <c r="P809" s="425">
        <f t="shared" ca="1" si="561"/>
        <v>134.37695347782639</v>
      </c>
      <c r="Q809" s="425">
        <f t="shared" ca="1" si="561"/>
        <v>146.34604145756475</v>
      </c>
    </row>
    <row r="810" spans="2:17" ht="13.5" customHeight="1" outlineLevel="1">
      <c r="B810" s="36" t="s">
        <v>595</v>
      </c>
      <c r="H810" s="425">
        <f t="shared" ref="H810:Q812" ca="1" si="562">IFERROR(H$808/H796,0)</f>
        <v>19.189477513128367</v>
      </c>
      <c r="I810" s="425">
        <f t="shared" ca="1" si="562"/>
        <v>43.614279758972209</v>
      </c>
      <c r="J810" s="425">
        <f t="shared" ca="1" si="562"/>
        <v>27.070199146996167</v>
      </c>
      <c r="K810" s="425">
        <f t="shared" ca="1" si="562"/>
        <v>12.224125303243364</v>
      </c>
      <c r="L810" s="425">
        <f t="shared" ca="1" si="562"/>
        <v>14.813883126471389</v>
      </c>
      <c r="M810" s="425">
        <f t="shared" ca="1" si="562"/>
        <v>16.077626705907353</v>
      </c>
      <c r="N810" s="425">
        <f t="shared" ca="1" si="562"/>
        <v>17.465721986230477</v>
      </c>
      <c r="O810" s="425">
        <f t="shared" ca="1" si="562"/>
        <v>18.990583910958858</v>
      </c>
      <c r="P810" s="425">
        <f t="shared" ca="1" si="562"/>
        <v>20.665868715696792</v>
      </c>
      <c r="Q810" s="425">
        <f t="shared" ca="1" si="562"/>
        <v>22.506598055320591</v>
      </c>
    </row>
    <row r="811" spans="2:17" ht="13.5" customHeight="1" outlineLevel="1">
      <c r="B811" s="36" t="s">
        <v>594</v>
      </c>
      <c r="H811" s="425">
        <f t="shared" ca="1" si="562"/>
        <v>8.3603608028390664</v>
      </c>
      <c r="I811" s="425">
        <f t="shared" ca="1" si="562"/>
        <v>11.677508638669327</v>
      </c>
      <c r="J811" s="425">
        <f t="shared" ca="1" si="562"/>
        <v>11.918476883566099</v>
      </c>
      <c r="K811" s="425">
        <f t="shared" ca="1" si="562"/>
        <v>12.224125303243364</v>
      </c>
      <c r="L811" s="425">
        <f t="shared" ca="1" si="562"/>
        <v>14.813883126471389</v>
      </c>
      <c r="M811" s="425">
        <f t="shared" ca="1" si="562"/>
        <v>16.077626705907353</v>
      </c>
      <c r="N811" s="425">
        <f t="shared" ca="1" si="562"/>
        <v>17.465721986230477</v>
      </c>
      <c r="O811" s="425">
        <f t="shared" ca="1" si="562"/>
        <v>18.990583910958858</v>
      </c>
      <c r="P811" s="425">
        <f t="shared" ca="1" si="562"/>
        <v>20.665868715696792</v>
      </c>
      <c r="Q811" s="425">
        <f t="shared" ca="1" si="562"/>
        <v>22.506598055320591</v>
      </c>
    </row>
    <row r="812" spans="2:17" ht="13.5" customHeight="1" outlineLevel="1">
      <c r="B812" s="36" t="s">
        <v>596</v>
      </c>
      <c r="H812" s="425">
        <f t="shared" ca="1" si="562"/>
        <v>7.1981278885022881</v>
      </c>
      <c r="I812" s="425">
        <f t="shared" ca="1" si="562"/>
        <v>9.689789809142022</v>
      </c>
      <c r="J812" s="425">
        <f t="shared" ca="1" si="562"/>
        <v>9.9261511098132953</v>
      </c>
      <c r="K812" s="425">
        <f t="shared" ca="1" si="562"/>
        <v>10.188339840126488</v>
      </c>
      <c r="L812" s="425">
        <f t="shared" ca="1" si="562"/>
        <v>11.997140723765984</v>
      </c>
      <c r="M812" s="425">
        <f t="shared" ca="1" si="562"/>
        <v>12.894935162721573</v>
      </c>
      <c r="N812" s="425">
        <f t="shared" ca="1" si="562"/>
        <v>13.867555140402253</v>
      </c>
      <c r="O812" s="425">
        <f t="shared" ca="1" si="562"/>
        <v>14.92073989380752</v>
      </c>
      <c r="P812" s="425">
        <f t="shared" ca="1" si="562"/>
        <v>16.060598323573814</v>
      </c>
      <c r="Q812" s="425">
        <f t="shared" ca="1" si="562"/>
        <v>17.293625186342467</v>
      </c>
    </row>
    <row r="813" spans="2:17" ht="13.5" customHeight="1" outlineLevel="1">
      <c r="H813" s="425"/>
    </row>
    <row r="814" spans="2:17" ht="13.5" customHeight="1" outlineLevel="1">
      <c r="B814" s="53" t="s">
        <v>604</v>
      </c>
      <c r="H814" s="231">
        <f t="shared" ref="H814:Q814" ca="1" si="563">H808-(H241-G241)</f>
        <v>384.0992064486519</v>
      </c>
      <c r="I814" s="231">
        <f t="shared" ca="1" si="563"/>
        <v>749.16721387416146</v>
      </c>
      <c r="J814" s="231">
        <f t="shared" ca="1" si="563"/>
        <v>821.26745717244194</v>
      </c>
      <c r="K814" s="231">
        <f t="shared" ca="1" si="563"/>
        <v>890.88481533179333</v>
      </c>
      <c r="L814" s="231">
        <f t="shared" ca="1" si="563"/>
        <v>965.96048657824622</v>
      </c>
      <c r="M814" s="231">
        <f t="shared" ca="1" si="563"/>
        <v>1048.4135968464766</v>
      </c>
      <c r="N814" s="231">
        <f t="shared" ca="1" si="563"/>
        <v>1138.9805887576354</v>
      </c>
      <c r="O814" s="231">
        <f t="shared" ca="1" si="563"/>
        <v>1238.4715361821727</v>
      </c>
      <c r="P814" s="231">
        <f t="shared" ca="1" si="563"/>
        <v>1347.7775072346537</v>
      </c>
      <c r="Q814" s="231">
        <f t="shared" ca="1" si="563"/>
        <v>1467.8786635667252</v>
      </c>
    </row>
    <row r="815" spans="2:17" ht="13.5" customHeight="1" outlineLevel="1">
      <c r="B815" s="36" t="s">
        <v>605</v>
      </c>
      <c r="H815" s="425">
        <f ca="1">IFERROR(H$814/H795,0)</f>
        <v>22.220369105181103</v>
      </c>
      <c r="I815" s="425">
        <f t="shared" ref="I815:Q815" ca="1" si="564">IFERROR(I$814/I795,0)</f>
        <v>43.679271778595023</v>
      </c>
      <c r="J815" s="425">
        <f t="shared" ca="1" si="564"/>
        <v>47.033024838418044</v>
      </c>
      <c r="K815" s="425">
        <f t="shared" ca="1" si="564"/>
        <v>50.46112279649634</v>
      </c>
      <c r="L815" s="425">
        <f t="shared" ca="1" si="564"/>
        <v>96.596048657824625</v>
      </c>
      <c r="M815" s="425">
        <f t="shared" ca="1" si="564"/>
        <v>104.84135968464766</v>
      </c>
      <c r="N815" s="425">
        <f t="shared" ca="1" si="564"/>
        <v>113.89805887576354</v>
      </c>
      <c r="O815" s="425">
        <f t="shared" ca="1" si="564"/>
        <v>123.84715361821728</v>
      </c>
      <c r="P815" s="425">
        <f t="shared" ca="1" si="564"/>
        <v>134.77775072346537</v>
      </c>
      <c r="Q815" s="425">
        <f t="shared" ca="1" si="564"/>
        <v>146.78786635667251</v>
      </c>
    </row>
    <row r="816" spans="2:17" ht="13.5" customHeight="1" outlineLevel="1">
      <c r="B816" s="36" t="s">
        <v>606</v>
      </c>
      <c r="H816" s="425">
        <f t="shared" ref="H816:Q818" ca="1" si="565">IFERROR(H$814/H796,0)</f>
        <v>22.220369105181099</v>
      </c>
      <c r="I816" s="425">
        <f t="shared" ca="1" si="565"/>
        <v>43.679271778595023</v>
      </c>
      <c r="J816" s="425">
        <f t="shared" ca="1" si="565"/>
        <v>27.102308955772113</v>
      </c>
      <c r="K816" s="425">
        <f t="shared" ca="1" si="565"/>
        <v>12.257887985438437</v>
      </c>
      <c r="L816" s="425">
        <f t="shared" ca="1" si="565"/>
        <v>14.855532949309374</v>
      </c>
      <c r="M816" s="425">
        <f t="shared" ca="1" si="565"/>
        <v>16.123581604903649</v>
      </c>
      <c r="N816" s="425">
        <f t="shared" ca="1" si="565"/>
        <v>17.516413869939647</v>
      </c>
      <c r="O816" s="425">
        <f t="shared" ca="1" si="565"/>
        <v>19.046487892800311</v>
      </c>
      <c r="P816" s="425">
        <f t="shared" ca="1" si="565"/>
        <v>20.727507434581387</v>
      </c>
      <c r="Q816" s="425">
        <f t="shared" ca="1" si="565"/>
        <v>22.574546428341222</v>
      </c>
    </row>
    <row r="817" spans="2:18" ht="13.5" customHeight="1" outlineLevel="1">
      <c r="B817" s="36" t="s">
        <v>607</v>
      </c>
      <c r="H817" s="425">
        <f t="shared" ca="1" si="565"/>
        <v>9.6808421576084385</v>
      </c>
      <c r="I817" s="425">
        <f t="shared" ca="1" si="565"/>
        <v>11.694909931887606</v>
      </c>
      <c r="J817" s="425">
        <f t="shared" ca="1" si="565"/>
        <v>11.932614201564895</v>
      </c>
      <c r="K817" s="425">
        <f t="shared" ca="1" si="565"/>
        <v>12.257887985438437</v>
      </c>
      <c r="L817" s="425">
        <f t="shared" ca="1" si="565"/>
        <v>14.855532949309374</v>
      </c>
      <c r="M817" s="425">
        <f t="shared" ca="1" si="565"/>
        <v>16.123581604903649</v>
      </c>
      <c r="N817" s="425">
        <f t="shared" ca="1" si="565"/>
        <v>17.516413869939647</v>
      </c>
      <c r="O817" s="425">
        <f t="shared" ca="1" si="565"/>
        <v>19.046487892800311</v>
      </c>
      <c r="P817" s="425">
        <f t="shared" ca="1" si="565"/>
        <v>20.727507434581387</v>
      </c>
      <c r="Q817" s="425">
        <f t="shared" ca="1" si="565"/>
        <v>22.574546428341222</v>
      </c>
    </row>
    <row r="818" spans="2:18" ht="13.5" customHeight="1" outlineLevel="1">
      <c r="B818" s="36" t="s">
        <v>608</v>
      </c>
      <c r="H818" s="425">
        <f t="shared" ca="1" si="565"/>
        <v>8.3350397862262398</v>
      </c>
      <c r="I818" s="425">
        <f t="shared" ca="1" si="565"/>
        <v>9.7042290940023239</v>
      </c>
      <c r="J818" s="425">
        <f t="shared" ca="1" si="565"/>
        <v>9.9379251943808473</v>
      </c>
      <c r="K818" s="425">
        <f t="shared" ca="1" si="565"/>
        <v>10.21647974147602</v>
      </c>
      <c r="L818" s="425">
        <f t="shared" ca="1" si="565"/>
        <v>12.030871163073577</v>
      </c>
      <c r="M818" s="425">
        <f t="shared" ca="1" si="565"/>
        <v>12.931792931209809</v>
      </c>
      <c r="N818" s="425">
        <f t="shared" ca="1" si="565"/>
        <v>13.907803833989727</v>
      </c>
      <c r="O818" s="425">
        <f t="shared" ca="1" si="565"/>
        <v>14.964663175787445</v>
      </c>
      <c r="P818" s="425">
        <f t="shared" ca="1" si="565"/>
        <v>16.108501207251443</v>
      </c>
      <c r="Q818" s="425">
        <f t="shared" ca="1" si="565"/>
        <v>17.345835373424151</v>
      </c>
    </row>
    <row r="819" spans="2:18" ht="13.5" customHeight="1" outlineLevel="1">
      <c r="H819" s="425"/>
    </row>
    <row r="820" spans="2:18" ht="13.5" customHeight="1" outlineLevel="1">
      <c r="B820" s="108" t="s">
        <v>597</v>
      </c>
      <c r="C820" s="109"/>
      <c r="D820" s="109"/>
      <c r="E820" s="306"/>
      <c r="F820" s="306"/>
      <c r="G820" s="306"/>
      <c r="H820" s="306"/>
      <c r="I820" s="109"/>
      <c r="J820" s="306"/>
      <c r="K820" s="306"/>
      <c r="L820" s="306"/>
      <c r="M820" s="306"/>
      <c r="N820" s="306"/>
      <c r="O820" s="306"/>
      <c r="P820" s="306"/>
      <c r="Q820" s="110"/>
    </row>
    <row r="821" spans="2:18" ht="13.5" customHeight="1" outlineLevel="1"/>
    <row r="822" spans="2:18" ht="13.5" customHeight="1" outlineLevel="1">
      <c r="B822" s="36" t="s">
        <v>598</v>
      </c>
      <c r="H822" s="426">
        <f t="shared" ref="H822:Q822" ca="1" si="566">H789/H791</f>
        <v>1.880965068605488E-2</v>
      </c>
      <c r="I822" s="426">
        <f t="shared" ca="1" si="566"/>
        <v>1.6777575043473464E-2</v>
      </c>
      <c r="J822" s="426">
        <f t="shared" ca="1" si="566"/>
        <v>1.4892581037721597E-2</v>
      </c>
      <c r="K822" s="426">
        <f t="shared" ca="1" si="566"/>
        <v>0</v>
      </c>
      <c r="L822" s="426">
        <f t="shared" ca="1" si="566"/>
        <v>0</v>
      </c>
      <c r="M822" s="426">
        <f t="shared" ca="1" si="566"/>
        <v>0</v>
      </c>
      <c r="N822" s="426">
        <f t="shared" ca="1" si="566"/>
        <v>0</v>
      </c>
      <c r="O822" s="426">
        <f t="shared" ca="1" si="566"/>
        <v>0</v>
      </c>
      <c r="P822" s="426">
        <f t="shared" ca="1" si="566"/>
        <v>0</v>
      </c>
      <c r="Q822" s="426">
        <f t="shared" ca="1" si="566"/>
        <v>0</v>
      </c>
    </row>
    <row r="823" spans="2:18" ht="13.5" customHeight="1" outlineLevel="1">
      <c r="B823" s="36" t="s">
        <v>599</v>
      </c>
      <c r="H823" s="426" t="str">
        <f t="shared" ref="H823:Q823" ca="1" si="567">IF(H788/H791&lt;0,"NM",H788/H791)</f>
        <v>NM</v>
      </c>
      <c r="I823" s="426" t="str">
        <f t="shared" ca="1" si="567"/>
        <v>NM</v>
      </c>
      <c r="J823" s="426" t="str">
        <f t="shared" ca="1" si="567"/>
        <v>NM</v>
      </c>
      <c r="K823" s="426" t="str">
        <f t="shared" ca="1" si="567"/>
        <v>NM</v>
      </c>
      <c r="L823" s="426" t="str">
        <f t="shared" ca="1" si="567"/>
        <v>NM</v>
      </c>
      <c r="M823" s="426" t="str">
        <f t="shared" ca="1" si="567"/>
        <v>NM</v>
      </c>
      <c r="N823" s="426" t="str">
        <f t="shared" ca="1" si="567"/>
        <v>NM</v>
      </c>
      <c r="O823" s="426" t="str">
        <f t="shared" ca="1" si="567"/>
        <v>NM</v>
      </c>
      <c r="P823" s="426" t="str">
        <f t="shared" ca="1" si="567"/>
        <v>NM</v>
      </c>
      <c r="Q823" s="426" t="str">
        <f t="shared" ca="1" si="567"/>
        <v>NM</v>
      </c>
    </row>
    <row r="824" spans="2:18" ht="13.5" customHeight="1" outlineLevel="1"/>
    <row r="825" spans="2:18" ht="13.5" customHeight="1" outlineLevel="1">
      <c r="B825" s="36" t="s">
        <v>600</v>
      </c>
      <c r="H825" s="427">
        <f t="shared" ref="H825:Q825" ca="1" si="568">IFERROR(IF(H789/H802&lt;0,"NM",H789/H802),"NA")</f>
        <v>0.17023884509967491</v>
      </c>
      <c r="I825" s="427">
        <f t="shared" ca="1" si="568"/>
        <v>7.5807156700973627E-2</v>
      </c>
      <c r="J825" s="427">
        <f t="shared" ca="1" si="568"/>
        <v>6.9164300210135005E-2</v>
      </c>
      <c r="K825" s="427">
        <f t="shared" ca="1" si="568"/>
        <v>0</v>
      </c>
      <c r="L825" s="427">
        <f t="shared" ca="1" si="568"/>
        <v>0</v>
      </c>
      <c r="M825" s="427">
        <f t="shared" ca="1" si="568"/>
        <v>0</v>
      </c>
      <c r="N825" s="427">
        <f t="shared" ca="1" si="568"/>
        <v>0</v>
      </c>
      <c r="O825" s="427">
        <f t="shared" ca="1" si="568"/>
        <v>0</v>
      </c>
      <c r="P825" s="427">
        <f t="shared" ca="1" si="568"/>
        <v>0</v>
      </c>
      <c r="Q825" s="427">
        <f t="shared" ca="1" si="568"/>
        <v>0</v>
      </c>
    </row>
    <row r="826" spans="2:18" ht="13.5" customHeight="1" outlineLevel="1">
      <c r="B826" s="36" t="s">
        <v>601</v>
      </c>
      <c r="H826" s="427">
        <f t="shared" ref="H826:Q826" ca="1" si="569">IFERROR(IF(H787/H802&lt;0,"NM",H787/H802),"NA")</f>
        <v>1.2910126657700758</v>
      </c>
      <c r="I826" s="427">
        <f t="shared" ca="1" si="569"/>
        <v>0.62229894520658724</v>
      </c>
      <c r="J826" s="427">
        <f t="shared" ca="1" si="569"/>
        <v>0.60329341922627344</v>
      </c>
      <c r="K826" s="427">
        <f t="shared" ca="1" si="569"/>
        <v>0.49186299275690704</v>
      </c>
      <c r="L826" s="427">
        <f t="shared" ca="1" si="569"/>
        <v>0.45252793450723738</v>
      </c>
      <c r="M826" s="427">
        <f t="shared" ca="1" si="569"/>
        <v>0.41598137769018351</v>
      </c>
      <c r="N826" s="427">
        <f t="shared" ca="1" si="569"/>
        <v>0.38207858010275714</v>
      </c>
      <c r="O826" s="427">
        <f t="shared" ca="1" si="569"/>
        <v>0.350674314036861</v>
      </c>
      <c r="P826" s="427">
        <f t="shared" ca="1" si="569"/>
        <v>0.32162433152625558</v>
      </c>
      <c r="Q826" s="427">
        <f t="shared" ca="1" si="569"/>
        <v>0.29478661050256316</v>
      </c>
    </row>
    <row r="827" spans="2:18" ht="13.5" customHeight="1" outlineLevel="1">
      <c r="B827" s="36" t="s">
        <v>602</v>
      </c>
      <c r="H827" s="427" t="str">
        <f t="shared" ref="H827:Q827" ca="1" si="570">IFERROR(IF(H788/H802&lt;0,"NM",H788/H802),"NA")</f>
        <v>NM</v>
      </c>
      <c r="I827" s="427" t="str">
        <f t="shared" ca="1" si="570"/>
        <v>NM</v>
      </c>
      <c r="J827" s="427" t="str">
        <f t="shared" ca="1" si="570"/>
        <v>NM</v>
      </c>
      <c r="K827" s="427" t="str">
        <f t="shared" ca="1" si="570"/>
        <v>NM</v>
      </c>
      <c r="L827" s="427" t="str">
        <f t="shared" ca="1" si="570"/>
        <v>NM</v>
      </c>
      <c r="M827" s="427" t="str">
        <f t="shared" ca="1" si="570"/>
        <v>NM</v>
      </c>
      <c r="N827" s="427" t="str">
        <f t="shared" ca="1" si="570"/>
        <v>NM</v>
      </c>
      <c r="O827" s="427" t="str">
        <f t="shared" ca="1" si="570"/>
        <v>NM</v>
      </c>
      <c r="P827" s="427" t="str">
        <f t="shared" ca="1" si="570"/>
        <v>NM</v>
      </c>
      <c r="Q827" s="427" t="str">
        <f t="shared" ca="1" si="570"/>
        <v>NM</v>
      </c>
    </row>
    <row r="828" spans="2:18" ht="13.5" customHeight="1" outlineLevel="1">
      <c r="B828" s="36" t="s">
        <v>603</v>
      </c>
      <c r="H828" s="427" t="str">
        <f t="shared" ref="H828:Q828" ca="1" si="571">IFERROR(IF((H788+H790)/H802&lt;0,"NM",(H788+H790)/H802),"NA")</f>
        <v>NM</v>
      </c>
      <c r="I828" s="427" t="str">
        <f t="shared" ca="1" si="571"/>
        <v>NM</v>
      </c>
      <c r="J828" s="427" t="str">
        <f t="shared" ca="1" si="571"/>
        <v>NM</v>
      </c>
      <c r="K828" s="427" t="str">
        <f t="shared" ca="1" si="571"/>
        <v>NM</v>
      </c>
      <c r="L828" s="427" t="str">
        <f t="shared" ca="1" si="571"/>
        <v>NM</v>
      </c>
      <c r="M828" s="427" t="str">
        <f t="shared" ca="1" si="571"/>
        <v>NM</v>
      </c>
      <c r="N828" s="427" t="str">
        <f t="shared" ca="1" si="571"/>
        <v>NM</v>
      </c>
      <c r="O828" s="427" t="str">
        <f t="shared" ca="1" si="571"/>
        <v>NM</v>
      </c>
      <c r="P828" s="427" t="str">
        <f t="shared" ca="1" si="571"/>
        <v>NM</v>
      </c>
      <c r="Q828" s="427" t="str">
        <f t="shared" ca="1" si="571"/>
        <v>NM</v>
      </c>
    </row>
    <row r="829" spans="2:18" ht="5.0999999999999996" customHeight="1" outlineLevel="1" thickBot="1">
      <c r="B829" s="336"/>
      <c r="C829" s="336"/>
      <c r="D829" s="336"/>
      <c r="E829" s="209"/>
      <c r="F829" s="209"/>
      <c r="G829" s="336"/>
      <c r="H829" s="376"/>
      <c r="I829" s="376"/>
      <c r="J829" s="376"/>
      <c r="K829" s="209"/>
      <c r="L829" s="209"/>
      <c r="M829" s="209"/>
      <c r="N829" s="337"/>
      <c r="O829" s="209"/>
      <c r="P829" s="209"/>
      <c r="Q829" s="209"/>
      <c r="R829" s="317"/>
    </row>
  </sheetData>
  <dataValidations disablePrompts="1" count="2">
    <dataValidation type="whole" allowBlank="1" showInputMessage="1" showErrorMessage="1" sqref="G566 G520 G538" xr:uid="{00000000-0002-0000-0400-000000000000}">
      <formula1>1</formula1>
      <formula2>2</formula2>
    </dataValidation>
    <dataValidation type="whole" showInputMessage="1" showErrorMessage="1" errorTitle="Validation Error" error="Enter either 0 or 1." sqref="J493:K495 I493:I505 J497:K505" xr:uid="{00000000-0002-0000-0400-000001000000}">
      <formula1>0</formula1>
      <formula2>1</formula2>
    </dataValidation>
  </dataValidations>
  <pageMargins left="0" right="0" top="0" bottom="0" header="0" footer="0"/>
  <pageSetup scale="10" orientation="landscape" r:id="rId1"/>
  <headerFooter alignWithMargins="0">
    <oddHeader>&amp;A</oddHeader>
    <oddFooter>Page &amp;P of &amp;N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8">
    <tabColor rgb="FF69AA4B"/>
    <outlinePr summaryBelow="0"/>
    <pageSetUpPr fitToPage="1"/>
  </sheetPr>
  <dimension ref="A1:AU606"/>
  <sheetViews>
    <sheetView showGridLines="0" zoomScale="85" zoomScaleNormal="85" zoomScaleSheetLayoutView="85" workbookViewId="0"/>
  </sheetViews>
  <sheetFormatPr defaultColWidth="9.1640625" defaultRowHeight="13.5" customHeight="1" outlineLevelRow="1"/>
  <cols>
    <col min="1" max="1" width="2.71875" style="36" customWidth="1"/>
    <col min="2" max="16" width="11.71875" style="36" customWidth="1"/>
    <col min="17" max="18" width="1.71875" style="36" customWidth="1"/>
    <col min="19" max="20" width="11.71875" style="36" customWidth="1"/>
    <col min="21" max="45" width="14.71875" style="36" customWidth="1"/>
    <col min="46" max="46" width="2.71875" style="36" customWidth="1"/>
    <col min="47" max="16384" width="9.1640625" style="36"/>
  </cols>
  <sheetData>
    <row r="1" spans="1:47" s="1" customFormat="1" ht="50.1" customHeight="1">
      <c r="B1" s="10"/>
      <c r="C1" s="10"/>
      <c r="D1" s="10"/>
      <c r="E1" s="10"/>
      <c r="F1" s="10"/>
      <c r="G1" s="10"/>
      <c r="H1" s="10"/>
      <c r="I1" s="10"/>
      <c r="J1" s="10"/>
      <c r="K1" s="10"/>
      <c r="L1" s="10"/>
      <c r="M1" s="10"/>
      <c r="N1" s="10"/>
      <c r="O1" s="10"/>
      <c r="P1" s="10"/>
      <c r="Q1" s="10"/>
      <c r="R1" s="10"/>
      <c r="S1" s="10"/>
      <c r="T1" s="10"/>
    </row>
    <row r="2" spans="1:47" ht="13.5" customHeight="1">
      <c r="B2" s="193"/>
      <c r="D2" s="275"/>
      <c r="E2" s="275"/>
      <c r="F2" s="275"/>
    </row>
    <row r="3" spans="1:47" ht="13.5" customHeight="1" outlineLevel="1">
      <c r="A3" s="276"/>
      <c r="B3" s="59" t="s">
        <v>209</v>
      </c>
      <c r="C3" s="276"/>
      <c r="D3" s="277"/>
      <c r="E3" s="277"/>
      <c r="F3" s="428">
        <v>1</v>
      </c>
      <c r="G3" s="279">
        <f>F3</f>
        <v>1</v>
      </c>
      <c r="H3" s="279">
        <f>G3</f>
        <v>1</v>
      </c>
      <c r="I3" s="279">
        <f t="shared" ref="I3:P3" si="0">H3</f>
        <v>1</v>
      </c>
      <c r="J3" s="279">
        <f t="shared" si="0"/>
        <v>1</v>
      </c>
      <c r="K3" s="279">
        <f t="shared" si="0"/>
        <v>1</v>
      </c>
      <c r="L3" s="279">
        <f t="shared" si="0"/>
        <v>1</v>
      </c>
      <c r="M3" s="279">
        <f t="shared" si="0"/>
        <v>1</v>
      </c>
      <c r="N3" s="279">
        <f t="shared" si="0"/>
        <v>1</v>
      </c>
      <c r="O3" s="279">
        <f t="shared" si="0"/>
        <v>1</v>
      </c>
      <c r="P3" s="279">
        <f t="shared" si="0"/>
        <v>1</v>
      </c>
      <c r="Q3" s="276"/>
      <c r="R3" s="276"/>
      <c r="S3" s="278">
        <f>ROUND((S8-F8)/365,2)</f>
        <v>0.5</v>
      </c>
      <c r="T3" s="278">
        <f>1-S3</f>
        <v>0.5</v>
      </c>
      <c r="U3" s="276"/>
      <c r="V3" s="276"/>
      <c r="W3" s="276"/>
      <c r="X3" s="276"/>
      <c r="Y3" s="276"/>
      <c r="Z3" s="276"/>
      <c r="AA3" s="276"/>
      <c r="AB3" s="276"/>
      <c r="AC3" s="276"/>
      <c r="AD3" s="276"/>
      <c r="AE3" s="276"/>
      <c r="AF3" s="276"/>
      <c r="AG3" s="276"/>
      <c r="AH3" s="276"/>
      <c r="AI3" s="276"/>
      <c r="AJ3" s="276"/>
      <c r="AK3" s="276"/>
      <c r="AL3" s="276"/>
      <c r="AM3" s="276"/>
      <c r="AN3" s="276"/>
      <c r="AO3" s="276"/>
      <c r="AP3" s="276"/>
      <c r="AQ3" s="276"/>
      <c r="AR3" s="276"/>
      <c r="AS3" s="276"/>
      <c r="AT3" s="276"/>
      <c r="AU3" s="276"/>
    </row>
    <row r="4" spans="1:47" ht="13.5" customHeight="1" outlineLevel="1" thickBot="1">
      <c r="B4" s="193"/>
      <c r="D4" s="275"/>
      <c r="E4" s="275"/>
      <c r="F4" s="275"/>
    </row>
    <row r="5" spans="1:47" ht="20.7" thickTop="1">
      <c r="A5" s="281" t="s">
        <v>631</v>
      </c>
      <c r="B5" s="429" t="str">
        <f>acquirer&amp;" Income Statement"</f>
        <v>BuyerCo Income Statement</v>
      </c>
      <c r="C5" s="430"/>
      <c r="D5" s="431"/>
      <c r="E5" s="431"/>
      <c r="F5" s="431"/>
      <c r="G5" s="431"/>
      <c r="H5" s="431"/>
      <c r="I5" s="431"/>
      <c r="J5" s="431"/>
      <c r="K5" s="431"/>
      <c r="L5" s="431"/>
      <c r="M5" s="431"/>
      <c r="N5" s="431"/>
      <c r="O5" s="431"/>
      <c r="P5" s="431"/>
      <c r="Q5" s="431"/>
      <c r="R5" s="431"/>
      <c r="S5" s="431"/>
      <c r="T5" s="431"/>
    </row>
    <row r="6" spans="1:47" ht="5.0999999999999996" customHeight="1" outlineLevel="1">
      <c r="B6" s="107"/>
      <c r="C6" s="285"/>
      <c r="L6" s="57"/>
    </row>
    <row r="7" spans="1:47" ht="13.5" customHeight="1" outlineLevel="1">
      <c r="B7" s="286"/>
      <c r="C7" s="286"/>
      <c r="D7" s="286"/>
      <c r="E7" s="42"/>
      <c r="F7" s="432" t="s">
        <v>630</v>
      </c>
      <c r="G7" s="433" t="s">
        <v>629</v>
      </c>
      <c r="H7" s="433"/>
      <c r="I7" s="433"/>
      <c r="J7" s="433"/>
      <c r="K7" s="433"/>
      <c r="L7" s="433"/>
      <c r="M7" s="433"/>
      <c r="N7" s="433"/>
      <c r="O7" s="433"/>
      <c r="P7" s="433"/>
      <c r="R7" s="434"/>
      <c r="S7" s="433" t="s">
        <v>628</v>
      </c>
      <c r="T7" s="433"/>
    </row>
    <row r="8" spans="1:47" ht="13.5" customHeight="1" outlineLevel="1" thickBot="1">
      <c r="B8" s="435" t="str">
        <f>"("&amp;curr&amp;" in millions)"</f>
        <v>($ in millions)</v>
      </c>
      <c r="C8" s="436"/>
      <c r="D8" s="436"/>
      <c r="E8" s="437"/>
      <c r="F8" s="438">
        <v>44926</v>
      </c>
      <c r="G8" s="439">
        <f>T8</f>
        <v>45291</v>
      </c>
      <c r="H8" s="439">
        <f t="shared" ref="H8:P8" si="1">EOMONTH(G8,12)</f>
        <v>45657</v>
      </c>
      <c r="I8" s="439">
        <f t="shared" si="1"/>
        <v>46022</v>
      </c>
      <c r="J8" s="439">
        <f t="shared" si="1"/>
        <v>46387</v>
      </c>
      <c r="K8" s="439">
        <f t="shared" si="1"/>
        <v>46752</v>
      </c>
      <c r="L8" s="439">
        <f t="shared" si="1"/>
        <v>47118</v>
      </c>
      <c r="M8" s="439">
        <f t="shared" si="1"/>
        <v>47483</v>
      </c>
      <c r="N8" s="439">
        <f t="shared" si="1"/>
        <v>47848</v>
      </c>
      <c r="O8" s="439">
        <f t="shared" si="1"/>
        <v>48213</v>
      </c>
      <c r="P8" s="439">
        <f t="shared" si="1"/>
        <v>48579</v>
      </c>
      <c r="R8" s="434"/>
      <c r="S8" s="440">
        <f>close</f>
        <v>45107</v>
      </c>
      <c r="T8" s="440">
        <f>EOMONTH(S8,T3*12)</f>
        <v>45291</v>
      </c>
    </row>
    <row r="9" spans="1:47" ht="5.0999999999999996" customHeight="1" outlineLevel="1">
      <c r="B9" s="318"/>
      <c r="C9" s="318"/>
      <c r="D9" s="318"/>
      <c r="E9" s="319"/>
      <c r="F9" s="319"/>
      <c r="G9" s="319"/>
      <c r="H9" s="319"/>
      <c r="I9" s="319"/>
      <c r="J9" s="319"/>
      <c r="K9" s="319"/>
      <c r="L9" s="327"/>
      <c r="R9" s="434"/>
      <c r="S9" s="319"/>
      <c r="T9" s="319"/>
    </row>
    <row r="10" spans="1:47" ht="13.5" customHeight="1" outlineLevel="1">
      <c r="B10" s="441" t="s">
        <v>90</v>
      </c>
      <c r="C10" s="441"/>
      <c r="D10" s="441"/>
      <c r="E10" s="441"/>
      <c r="F10" s="442">
        <v>2929.2</v>
      </c>
      <c r="G10" s="442">
        <v>3470</v>
      </c>
      <c r="H10" s="442">
        <v>3856</v>
      </c>
      <c r="I10" s="443">
        <f t="shared" ref="I10:P10" si="2">H10*(1+I51)</f>
        <v>4241.6000000000004</v>
      </c>
      <c r="J10" s="443">
        <f t="shared" si="2"/>
        <v>4665.7600000000011</v>
      </c>
      <c r="K10" s="443">
        <f t="shared" si="2"/>
        <v>5132.3360000000021</v>
      </c>
      <c r="L10" s="443">
        <f t="shared" si="2"/>
        <v>5645.5696000000025</v>
      </c>
      <c r="M10" s="443">
        <f t="shared" si="2"/>
        <v>6210.1265600000033</v>
      </c>
      <c r="N10" s="443">
        <f t="shared" si="2"/>
        <v>6831.1392160000041</v>
      </c>
      <c r="O10" s="443">
        <f t="shared" si="2"/>
        <v>7514.2531376000052</v>
      </c>
      <c r="P10" s="443">
        <f t="shared" si="2"/>
        <v>8265.6784513600069</v>
      </c>
      <c r="R10" s="434"/>
      <c r="S10" s="444">
        <f>S$3*$G10</f>
        <v>1735</v>
      </c>
      <c r="T10" s="444">
        <f>T$3*$G10</f>
        <v>1735</v>
      </c>
    </row>
    <row r="11" spans="1:47" ht="13.5" customHeight="1" outlineLevel="1">
      <c r="B11" s="301" t="s">
        <v>89</v>
      </c>
      <c r="C11" s="301"/>
      <c r="D11" s="301"/>
      <c r="E11" s="301"/>
      <c r="F11" s="330">
        <v>1812.8</v>
      </c>
      <c r="G11" s="330">
        <v>2113.5</v>
      </c>
      <c r="H11" s="330">
        <v>2347.8000000000002</v>
      </c>
      <c r="I11" s="118">
        <f t="shared" ref="I11:P11" si="3">I55*I10</f>
        <v>2582.5800000000004</v>
      </c>
      <c r="J11" s="118">
        <f t="shared" si="3"/>
        <v>2840.8380000000011</v>
      </c>
      <c r="K11" s="118">
        <f t="shared" si="3"/>
        <v>3124.9218000000014</v>
      </c>
      <c r="L11" s="118">
        <f t="shared" si="3"/>
        <v>3437.4139800000021</v>
      </c>
      <c r="M11" s="118">
        <f t="shared" si="3"/>
        <v>3781.1553780000022</v>
      </c>
      <c r="N11" s="118">
        <f t="shared" si="3"/>
        <v>4159.2709158000025</v>
      </c>
      <c r="O11" s="118">
        <f t="shared" si="3"/>
        <v>4575.1980073800032</v>
      </c>
      <c r="P11" s="118">
        <f t="shared" si="3"/>
        <v>5032.7178081180045</v>
      </c>
      <c r="R11" s="434"/>
      <c r="S11" s="184">
        <f>S$3*$G11</f>
        <v>1056.75</v>
      </c>
      <c r="T11" s="184">
        <f>T$3*$G11</f>
        <v>1056.75</v>
      </c>
    </row>
    <row r="12" spans="1:47" ht="13.5" customHeight="1" outlineLevel="1">
      <c r="B12" s="116" t="s">
        <v>91</v>
      </c>
      <c r="C12" s="116"/>
      <c r="D12" s="116"/>
      <c r="E12" s="116"/>
      <c r="F12" s="144">
        <f t="shared" ref="F12:I12" si="4">F10-F11</f>
        <v>1116.3999999999999</v>
      </c>
      <c r="G12" s="144">
        <f t="shared" si="4"/>
        <v>1356.5</v>
      </c>
      <c r="H12" s="144">
        <f t="shared" si="4"/>
        <v>1508.1999999999998</v>
      </c>
      <c r="I12" s="144">
        <f t="shared" si="4"/>
        <v>1659.02</v>
      </c>
      <c r="J12" s="144">
        <f t="shared" ref="J12:P12" si="5">J10-J11</f>
        <v>1824.922</v>
      </c>
      <c r="K12" s="144">
        <f t="shared" si="5"/>
        <v>2007.4142000000006</v>
      </c>
      <c r="L12" s="144">
        <f t="shared" si="5"/>
        <v>2208.1556200000005</v>
      </c>
      <c r="M12" s="144">
        <f t="shared" si="5"/>
        <v>2428.9711820000011</v>
      </c>
      <c r="N12" s="144">
        <f t="shared" si="5"/>
        <v>2671.8683002000016</v>
      </c>
      <c r="O12" s="144">
        <f t="shared" si="5"/>
        <v>2939.055130220002</v>
      </c>
      <c r="P12" s="144">
        <f t="shared" si="5"/>
        <v>3232.9606432420023</v>
      </c>
      <c r="R12" s="434"/>
      <c r="S12" s="144">
        <f>S10-S11</f>
        <v>678.25</v>
      </c>
      <c r="T12" s="144">
        <f>T10-T11</f>
        <v>678.25</v>
      </c>
    </row>
    <row r="13" spans="1:47" ht="13.5" customHeight="1" outlineLevel="1">
      <c r="B13" s="301" t="s">
        <v>92</v>
      </c>
      <c r="C13" s="301"/>
      <c r="D13" s="301"/>
      <c r="E13" s="301"/>
      <c r="F13" s="330">
        <v>455.6</v>
      </c>
      <c r="G13" s="330">
        <v>622.29999999999995</v>
      </c>
      <c r="H13" s="330">
        <v>675.5</v>
      </c>
      <c r="I13" s="118">
        <f t="shared" ref="I13:P13" si="6">I56*I10</f>
        <v>743.05000000000007</v>
      </c>
      <c r="J13" s="118">
        <f t="shared" si="6"/>
        <v>817.35500000000013</v>
      </c>
      <c r="K13" s="118">
        <f t="shared" si="6"/>
        <v>899.09050000000025</v>
      </c>
      <c r="L13" s="118">
        <f t="shared" si="6"/>
        <v>988.99955000000034</v>
      </c>
      <c r="M13" s="118">
        <f t="shared" si="6"/>
        <v>1087.8995050000005</v>
      </c>
      <c r="N13" s="118">
        <f t="shared" si="6"/>
        <v>1196.6894555000006</v>
      </c>
      <c r="O13" s="118">
        <f t="shared" si="6"/>
        <v>1316.3584010500008</v>
      </c>
      <c r="P13" s="118">
        <f t="shared" si="6"/>
        <v>1447.9942411550012</v>
      </c>
      <c r="R13" s="434"/>
      <c r="S13" s="184">
        <f>S$3*$G13</f>
        <v>311.14999999999998</v>
      </c>
      <c r="T13" s="184">
        <f>T$3*$G13</f>
        <v>311.14999999999998</v>
      </c>
    </row>
    <row r="14" spans="1:47" ht="13.5" customHeight="1" outlineLevel="1">
      <c r="B14" s="445" t="s">
        <v>93</v>
      </c>
      <c r="C14" s="445"/>
      <c r="D14" s="445"/>
      <c r="E14" s="445"/>
      <c r="F14" s="446">
        <f t="shared" ref="F14:I14" si="7">F12-F13</f>
        <v>660.79999999999984</v>
      </c>
      <c r="G14" s="446">
        <f t="shared" si="7"/>
        <v>734.2</v>
      </c>
      <c r="H14" s="446">
        <f t="shared" si="7"/>
        <v>832.69999999999982</v>
      </c>
      <c r="I14" s="446">
        <f t="shared" si="7"/>
        <v>915.96999999999991</v>
      </c>
      <c r="J14" s="446">
        <f t="shared" ref="J14:P14" si="8">J12-J13</f>
        <v>1007.5669999999999</v>
      </c>
      <c r="K14" s="446">
        <f t="shared" si="8"/>
        <v>1108.3237000000004</v>
      </c>
      <c r="L14" s="446">
        <f t="shared" si="8"/>
        <v>1219.15607</v>
      </c>
      <c r="M14" s="446">
        <f t="shared" si="8"/>
        <v>1341.0716770000006</v>
      </c>
      <c r="N14" s="446">
        <f t="shared" si="8"/>
        <v>1475.178844700001</v>
      </c>
      <c r="O14" s="446">
        <f t="shared" si="8"/>
        <v>1622.6967291700012</v>
      </c>
      <c r="P14" s="446">
        <f t="shared" si="8"/>
        <v>1784.9664020870011</v>
      </c>
      <c r="R14" s="434"/>
      <c r="S14" s="446">
        <f>S12-S13</f>
        <v>367.1</v>
      </c>
      <c r="T14" s="446">
        <f>T12-T13</f>
        <v>367.1</v>
      </c>
    </row>
    <row r="15" spans="1:47" ht="13.5" customHeight="1" outlineLevel="1">
      <c r="B15" s="301" t="s">
        <v>94</v>
      </c>
      <c r="C15" s="301"/>
      <c r="D15" s="301"/>
      <c r="E15" s="301"/>
      <c r="F15" s="330">
        <v>94</v>
      </c>
      <c r="G15" s="330">
        <v>74.7</v>
      </c>
      <c r="H15" s="330">
        <v>85.4</v>
      </c>
      <c r="I15" s="118">
        <f t="shared" ref="I15:P15" si="9">I57*I10</f>
        <v>93.940000000000012</v>
      </c>
      <c r="J15" s="118">
        <f t="shared" si="9"/>
        <v>103.33400000000003</v>
      </c>
      <c r="K15" s="118">
        <f t="shared" si="9"/>
        <v>113.66740000000006</v>
      </c>
      <c r="L15" s="118">
        <f t="shared" si="9"/>
        <v>125.03414000000006</v>
      </c>
      <c r="M15" s="118">
        <f t="shared" si="9"/>
        <v>137.53755400000009</v>
      </c>
      <c r="N15" s="118">
        <f t="shared" si="9"/>
        <v>151.2913094000001</v>
      </c>
      <c r="O15" s="118">
        <f t="shared" si="9"/>
        <v>166.42044034000011</v>
      </c>
      <c r="P15" s="118">
        <f t="shared" si="9"/>
        <v>183.06248437400015</v>
      </c>
      <c r="R15" s="434"/>
      <c r="S15" s="184">
        <f t="shared" ref="S15:T17" si="10">S$3*$G15</f>
        <v>37.35</v>
      </c>
      <c r="T15" s="184">
        <f t="shared" si="10"/>
        <v>37.35</v>
      </c>
    </row>
    <row r="16" spans="1:47" ht="13.5" customHeight="1" outlineLevel="1">
      <c r="B16" s="301" t="s">
        <v>95</v>
      </c>
      <c r="C16" s="301"/>
      <c r="D16" s="301"/>
      <c r="E16" s="301"/>
      <c r="F16" s="330">
        <v>62</v>
      </c>
      <c r="G16" s="118">
        <f t="shared" ref="G16:P16" si="11">MIN(F16/F$3,F94)</f>
        <v>62</v>
      </c>
      <c r="H16" s="118">
        <f t="shared" si="11"/>
        <v>62</v>
      </c>
      <c r="I16" s="118">
        <f t="shared" si="11"/>
        <v>62</v>
      </c>
      <c r="J16" s="118">
        <f t="shared" si="11"/>
        <v>62</v>
      </c>
      <c r="K16" s="118">
        <f t="shared" si="11"/>
        <v>36.720000000000027</v>
      </c>
      <c r="L16" s="118">
        <f t="shared" si="11"/>
        <v>0</v>
      </c>
      <c r="M16" s="118">
        <f t="shared" si="11"/>
        <v>0</v>
      </c>
      <c r="N16" s="118">
        <f t="shared" si="11"/>
        <v>0</v>
      </c>
      <c r="O16" s="118">
        <f t="shared" si="11"/>
        <v>0</v>
      </c>
      <c r="P16" s="118">
        <f t="shared" si="11"/>
        <v>0</v>
      </c>
      <c r="R16" s="434"/>
      <c r="S16" s="184">
        <f t="shared" si="10"/>
        <v>31</v>
      </c>
      <c r="T16" s="184">
        <f t="shared" si="10"/>
        <v>31</v>
      </c>
    </row>
    <row r="17" spans="2:20" ht="13.5" customHeight="1" outlineLevel="1">
      <c r="B17" s="301" t="s">
        <v>96</v>
      </c>
      <c r="C17" s="301"/>
      <c r="D17" s="301"/>
      <c r="E17" s="301"/>
      <c r="F17" s="330">
        <v>54.4</v>
      </c>
      <c r="G17" s="330">
        <v>53.7</v>
      </c>
      <c r="H17" s="330">
        <v>59.6</v>
      </c>
      <c r="I17" s="118">
        <f t="shared" ref="I17:P17" si="12">I59*I10</f>
        <v>65.56</v>
      </c>
      <c r="J17" s="118">
        <f t="shared" si="12"/>
        <v>72.116000000000014</v>
      </c>
      <c r="K17" s="118">
        <f t="shared" si="12"/>
        <v>79.327600000000032</v>
      </c>
      <c r="L17" s="118">
        <f t="shared" si="12"/>
        <v>87.260360000000048</v>
      </c>
      <c r="M17" s="118">
        <f t="shared" si="12"/>
        <v>95.986396000000056</v>
      </c>
      <c r="N17" s="118">
        <f t="shared" si="12"/>
        <v>105.58503560000007</v>
      </c>
      <c r="O17" s="118">
        <f t="shared" si="12"/>
        <v>116.14353916000009</v>
      </c>
      <c r="P17" s="118">
        <f t="shared" si="12"/>
        <v>127.75789307600012</v>
      </c>
      <c r="R17" s="434"/>
      <c r="S17" s="184">
        <f t="shared" si="10"/>
        <v>26.85</v>
      </c>
      <c r="T17" s="184">
        <f t="shared" si="10"/>
        <v>26.85</v>
      </c>
    </row>
    <row r="18" spans="2:20" ht="13.5" customHeight="1" outlineLevel="1">
      <c r="B18" s="445" t="s">
        <v>97</v>
      </c>
      <c r="C18" s="445"/>
      <c r="D18" s="445"/>
      <c r="E18" s="445"/>
      <c r="F18" s="446">
        <f>F14-SUM(F15:F17)</f>
        <v>450.39999999999986</v>
      </c>
      <c r="G18" s="446">
        <f t="shared" ref="G18:P18" si="13">G14-SUM(G15:G17)</f>
        <v>543.80000000000007</v>
      </c>
      <c r="H18" s="446">
        <f t="shared" si="13"/>
        <v>625.69999999999982</v>
      </c>
      <c r="I18" s="447">
        <f t="shared" si="13"/>
        <v>694.46999999999991</v>
      </c>
      <c r="J18" s="447">
        <f t="shared" si="13"/>
        <v>770.11699999999985</v>
      </c>
      <c r="K18" s="447">
        <f t="shared" si="13"/>
        <v>878.60870000000023</v>
      </c>
      <c r="L18" s="447">
        <f t="shared" si="13"/>
        <v>1006.8615699999999</v>
      </c>
      <c r="M18" s="447">
        <f t="shared" si="13"/>
        <v>1107.5477270000006</v>
      </c>
      <c r="N18" s="447">
        <f t="shared" si="13"/>
        <v>1218.3024997000009</v>
      </c>
      <c r="O18" s="447">
        <f t="shared" si="13"/>
        <v>1340.132749670001</v>
      </c>
      <c r="P18" s="447">
        <f t="shared" si="13"/>
        <v>1474.1460246370009</v>
      </c>
      <c r="R18" s="434"/>
      <c r="S18" s="446">
        <f t="shared" ref="S18" si="14">S14-SUM(S15:S17)</f>
        <v>271.90000000000003</v>
      </c>
      <c r="T18" s="446">
        <f>T14-SUM(T15:T17)</f>
        <v>271.90000000000003</v>
      </c>
    </row>
    <row r="19" spans="2:20" ht="13.5" customHeight="1" outlineLevel="1">
      <c r="B19" s="260" t="s">
        <v>98</v>
      </c>
      <c r="C19" s="260"/>
      <c r="D19" s="260"/>
      <c r="E19" s="260"/>
      <c r="F19" s="448">
        <f>F18+F16+F17</f>
        <v>566.79999999999984</v>
      </c>
      <c r="G19" s="448">
        <f t="shared" ref="G19:P19" si="15">G18+G16+G17</f>
        <v>659.50000000000011</v>
      </c>
      <c r="H19" s="448">
        <f t="shared" si="15"/>
        <v>747.29999999999984</v>
      </c>
      <c r="I19" s="448">
        <f t="shared" si="15"/>
        <v>822.03</v>
      </c>
      <c r="J19" s="448">
        <f t="shared" si="15"/>
        <v>904.23299999999983</v>
      </c>
      <c r="K19" s="448">
        <f t="shared" si="15"/>
        <v>994.65630000000033</v>
      </c>
      <c r="L19" s="448">
        <f t="shared" si="15"/>
        <v>1094.12193</v>
      </c>
      <c r="M19" s="448">
        <f t="shared" si="15"/>
        <v>1203.5341230000006</v>
      </c>
      <c r="N19" s="448">
        <f t="shared" si="15"/>
        <v>1323.887535300001</v>
      </c>
      <c r="O19" s="448">
        <f t="shared" si="15"/>
        <v>1456.276288830001</v>
      </c>
      <c r="P19" s="448">
        <f t="shared" si="15"/>
        <v>1601.903917713001</v>
      </c>
      <c r="R19" s="434"/>
      <c r="S19" s="448">
        <f>S18+S16+S17</f>
        <v>329.75000000000006</v>
      </c>
      <c r="T19" s="448">
        <f>T18+T16+T17</f>
        <v>329.75000000000006</v>
      </c>
    </row>
    <row r="20" spans="2:20" ht="13.5" customHeight="1" outlineLevel="1">
      <c r="B20" s="299" t="s">
        <v>99</v>
      </c>
      <c r="C20" s="260"/>
      <c r="D20" s="260"/>
      <c r="E20" s="260"/>
      <c r="F20" s="448"/>
      <c r="G20" s="448"/>
      <c r="H20" s="448"/>
      <c r="I20" s="448"/>
      <c r="J20" s="448"/>
      <c r="K20" s="448"/>
      <c r="L20" s="448"/>
      <c r="M20" s="448"/>
      <c r="N20" s="448"/>
      <c r="O20" s="448"/>
      <c r="P20" s="448"/>
      <c r="R20" s="434"/>
      <c r="S20" s="448"/>
      <c r="T20" s="448"/>
    </row>
    <row r="21" spans="2:20" ht="13.5" customHeight="1" outlineLevel="1">
      <c r="B21" s="300" t="s">
        <v>30</v>
      </c>
      <c r="C21" s="260"/>
      <c r="D21" s="260"/>
      <c r="E21" s="260"/>
      <c r="F21" s="448"/>
      <c r="G21" s="118">
        <f t="shared" ref="G21:P21" si="16">-G304*IF(avg_int,AVERAGE(F84:G84),F84)*G$3</f>
        <v>-3.0794925000000002</v>
      </c>
      <c r="H21" s="118">
        <f t="shared" ca="1" si="16"/>
        <v>-3.503885100069327</v>
      </c>
      <c r="I21" s="118">
        <f t="shared" ca="1" si="16"/>
        <v>-4.486470523950925</v>
      </c>
      <c r="J21" s="118">
        <f t="shared" ca="1" si="16"/>
        <v>-5.5344199090677124</v>
      </c>
      <c r="K21" s="118">
        <f t="shared" ca="1" si="16"/>
        <v>-6.5831769015967367</v>
      </c>
      <c r="L21" s="118">
        <f t="shared" ca="1" si="16"/>
        <v>-7.7227815737772358</v>
      </c>
      <c r="M21" s="118">
        <f t="shared" ca="1" si="16"/>
        <v>-8.9544978313077106</v>
      </c>
      <c r="N21" s="118">
        <f t="shared" ca="1" si="16"/>
        <v>-10.322844631393993</v>
      </c>
      <c r="O21" s="118">
        <f t="shared" ca="1" si="16"/>
        <v>-11.841506898930525</v>
      </c>
      <c r="P21" s="118">
        <f t="shared" ca="1" si="16"/>
        <v>-13.525538086840823</v>
      </c>
      <c r="R21" s="434"/>
      <c r="S21" s="184">
        <f>S$3*$G21</f>
        <v>-1.5397462500000001</v>
      </c>
      <c r="T21" s="184">
        <f>T$3*$G21</f>
        <v>-1.5397462500000001</v>
      </c>
    </row>
    <row r="22" spans="2:20" ht="13.5" customHeight="1" outlineLevel="1">
      <c r="B22" s="300" t="s">
        <v>416</v>
      </c>
      <c r="C22" s="260"/>
      <c r="D22" s="260"/>
      <c r="E22" s="260"/>
      <c r="F22" s="448"/>
      <c r="G22" s="118">
        <f t="shared" ref="G22:P22" si="17">G317</f>
        <v>12.783560000000001</v>
      </c>
      <c r="H22" s="118">
        <f t="shared" ca="1" si="17"/>
        <v>0</v>
      </c>
      <c r="I22" s="118">
        <f t="shared" ca="1" si="17"/>
        <v>0</v>
      </c>
      <c r="J22" s="118">
        <f t="shared" ca="1" si="17"/>
        <v>0</v>
      </c>
      <c r="K22" s="118">
        <f t="shared" ca="1" si="17"/>
        <v>0</v>
      </c>
      <c r="L22" s="118">
        <f t="shared" ca="1" si="17"/>
        <v>0</v>
      </c>
      <c r="M22" s="118">
        <f t="shared" ca="1" si="17"/>
        <v>0</v>
      </c>
      <c r="N22" s="118">
        <f t="shared" ca="1" si="17"/>
        <v>0</v>
      </c>
      <c r="O22" s="118">
        <f t="shared" ca="1" si="17"/>
        <v>0</v>
      </c>
      <c r="P22" s="118">
        <f t="shared" ca="1" si="17"/>
        <v>0</v>
      </c>
      <c r="R22" s="434"/>
      <c r="S22" s="118">
        <f>S317</f>
        <v>6.3917800000000007</v>
      </c>
      <c r="T22" s="118">
        <f>T317</f>
        <v>6.3917800000000007</v>
      </c>
    </row>
    <row r="23" spans="2:20" ht="13.5" customHeight="1" outlineLevel="1">
      <c r="B23" s="300" t="s">
        <v>417</v>
      </c>
      <c r="C23" s="260"/>
      <c r="D23" s="260"/>
      <c r="E23" s="260"/>
      <c r="F23" s="448"/>
      <c r="G23" s="118">
        <f t="shared" ref="G23:P23" si="18">G315</f>
        <v>9.2000000000000011</v>
      </c>
      <c r="H23" s="118">
        <f t="shared" ca="1" si="18"/>
        <v>10</v>
      </c>
      <c r="I23" s="118">
        <f t="shared" ca="1" si="18"/>
        <v>10</v>
      </c>
      <c r="J23" s="118">
        <f t="shared" ca="1" si="18"/>
        <v>10</v>
      </c>
      <c r="K23" s="118">
        <f t="shared" ca="1" si="18"/>
        <v>10</v>
      </c>
      <c r="L23" s="118">
        <f t="shared" ca="1" si="18"/>
        <v>10</v>
      </c>
      <c r="M23" s="118">
        <f t="shared" ca="1" si="18"/>
        <v>10</v>
      </c>
      <c r="N23" s="118">
        <f t="shared" ca="1" si="18"/>
        <v>10</v>
      </c>
      <c r="O23" s="118">
        <f t="shared" ca="1" si="18"/>
        <v>10</v>
      </c>
      <c r="P23" s="118">
        <f t="shared" ca="1" si="18"/>
        <v>10</v>
      </c>
      <c r="R23" s="434"/>
      <c r="S23" s="118">
        <f>S315</f>
        <v>4.6000000000000005</v>
      </c>
      <c r="T23" s="118">
        <f>T315</f>
        <v>4.6000000000000005</v>
      </c>
    </row>
    <row r="24" spans="2:20" ht="13.5" customHeight="1" outlineLevel="1">
      <c r="B24" s="300" t="str">
        <f>B111</f>
        <v>Senior credit facility 1</v>
      </c>
      <c r="C24" s="260"/>
      <c r="D24" s="260"/>
      <c r="E24" s="260"/>
      <c r="F24" s="448"/>
      <c r="G24" s="118">
        <f t="shared" ref="G24:P24" si="19">G318</f>
        <v>0</v>
      </c>
      <c r="H24" s="118">
        <f t="shared" ca="1" si="19"/>
        <v>0</v>
      </c>
      <c r="I24" s="118">
        <f t="shared" ca="1" si="19"/>
        <v>0</v>
      </c>
      <c r="J24" s="118">
        <f t="shared" ca="1" si="19"/>
        <v>0</v>
      </c>
      <c r="K24" s="118">
        <f t="shared" ca="1" si="19"/>
        <v>0</v>
      </c>
      <c r="L24" s="118">
        <f t="shared" ca="1" si="19"/>
        <v>0</v>
      </c>
      <c r="M24" s="118">
        <f t="shared" ca="1" si="19"/>
        <v>0</v>
      </c>
      <c r="N24" s="118">
        <f t="shared" ca="1" si="19"/>
        <v>0</v>
      </c>
      <c r="O24" s="118">
        <f t="shared" ca="1" si="19"/>
        <v>0</v>
      </c>
      <c r="P24" s="118">
        <f t="shared" ca="1" si="19"/>
        <v>0</v>
      </c>
      <c r="R24" s="434"/>
      <c r="S24" s="118">
        <f t="shared" ref="S24:T26" si="20">S318</f>
        <v>0</v>
      </c>
      <c r="T24" s="118">
        <f t="shared" si="20"/>
        <v>0</v>
      </c>
    </row>
    <row r="25" spans="2:20" ht="13.5" customHeight="1" outlineLevel="1">
      <c r="B25" s="300" t="str">
        <f>B112</f>
        <v>Subordinated note 1</v>
      </c>
      <c r="C25" s="260"/>
      <c r="D25" s="260"/>
      <c r="E25" s="260"/>
      <c r="F25" s="448"/>
      <c r="G25" s="118">
        <f t="shared" ref="G25:P25" si="21">G319</f>
        <v>0</v>
      </c>
      <c r="H25" s="118">
        <f t="shared" ca="1" si="21"/>
        <v>0</v>
      </c>
      <c r="I25" s="118">
        <f t="shared" ca="1" si="21"/>
        <v>0</v>
      </c>
      <c r="J25" s="118">
        <f t="shared" ca="1" si="21"/>
        <v>0</v>
      </c>
      <c r="K25" s="118">
        <f t="shared" ca="1" si="21"/>
        <v>0</v>
      </c>
      <c r="L25" s="118">
        <f t="shared" ca="1" si="21"/>
        <v>0</v>
      </c>
      <c r="M25" s="118">
        <f t="shared" ca="1" si="21"/>
        <v>0</v>
      </c>
      <c r="N25" s="118">
        <f t="shared" ca="1" si="21"/>
        <v>0</v>
      </c>
      <c r="O25" s="118">
        <f t="shared" ca="1" si="21"/>
        <v>0</v>
      </c>
      <c r="P25" s="118">
        <f t="shared" ca="1" si="21"/>
        <v>0</v>
      </c>
      <c r="R25" s="434"/>
      <c r="S25" s="118">
        <f t="shared" si="20"/>
        <v>0</v>
      </c>
      <c r="T25" s="118">
        <f t="shared" si="20"/>
        <v>0</v>
      </c>
    </row>
    <row r="26" spans="2:20" ht="13.5" customHeight="1" outlineLevel="1">
      <c r="B26" s="300" t="str">
        <f>B113</f>
        <v>Convertible bond 1</v>
      </c>
      <c r="C26" s="260"/>
      <c r="D26" s="260"/>
      <c r="E26" s="260"/>
      <c r="F26" s="448"/>
      <c r="G26" s="118">
        <f t="shared" ref="G26:P26" si="22">G320</f>
        <v>42.75</v>
      </c>
      <c r="H26" s="118">
        <f t="shared" si="22"/>
        <v>46.811250000000001</v>
      </c>
      <c r="I26" s="118">
        <f t="shared" si="22"/>
        <v>51.258318750000001</v>
      </c>
      <c r="J26" s="118">
        <f t="shared" si="22"/>
        <v>54.910473960937495</v>
      </c>
      <c r="K26" s="118">
        <f t="shared" si="22"/>
        <v>54.910473960937495</v>
      </c>
      <c r="L26" s="118">
        <f t="shared" si="22"/>
        <v>54.910473960937495</v>
      </c>
      <c r="M26" s="118">
        <f t="shared" si="22"/>
        <v>54.910473960937495</v>
      </c>
      <c r="N26" s="118">
        <f t="shared" si="22"/>
        <v>54.910473960937495</v>
      </c>
      <c r="O26" s="118">
        <f t="shared" si="22"/>
        <v>54.910473960937495</v>
      </c>
      <c r="P26" s="118">
        <f t="shared" si="22"/>
        <v>54.910473960937495</v>
      </c>
      <c r="R26" s="434"/>
      <c r="S26" s="118">
        <f t="shared" si="20"/>
        <v>21.375</v>
      </c>
      <c r="T26" s="118">
        <f t="shared" si="20"/>
        <v>21.375</v>
      </c>
    </row>
    <row r="27" spans="2:20" ht="13.5" customHeight="1" outlineLevel="1">
      <c r="B27" s="248" t="s">
        <v>99</v>
      </c>
      <c r="C27" s="248"/>
      <c r="D27" s="248"/>
      <c r="E27" s="294"/>
      <c r="F27" s="449">
        <v>-36</v>
      </c>
      <c r="G27" s="450">
        <f ca="1">SUM(G21:OFFSET(G27,-1,0))</f>
        <v>61.654067500000004</v>
      </c>
      <c r="H27" s="450">
        <f ca="1">SUM(H21:OFFSET(H27,-1,0))</f>
        <v>53.307364899930676</v>
      </c>
      <c r="I27" s="450">
        <f ca="1">SUM(I21:OFFSET(I27,-1,0))</f>
        <v>56.771848226049073</v>
      </c>
      <c r="J27" s="450">
        <f ca="1">SUM(J21:OFFSET(J27,-1,0))</f>
        <v>59.376054051869779</v>
      </c>
      <c r="K27" s="450">
        <f ca="1">SUM(K21:OFFSET(K27,-1,0))</f>
        <v>58.327297059340758</v>
      </c>
      <c r="L27" s="450">
        <f ca="1">SUM(L21:OFFSET(L27,-1,0))</f>
        <v>57.187692387160261</v>
      </c>
      <c r="M27" s="450">
        <f ca="1">SUM(M21:OFFSET(M27,-1,0))</f>
        <v>55.955976129629782</v>
      </c>
      <c r="N27" s="450">
        <f ca="1">SUM(N21:OFFSET(N27,-1,0))</f>
        <v>54.587629329543503</v>
      </c>
      <c r="O27" s="450">
        <f ca="1">SUM(O21:OFFSET(O27,-1,0))</f>
        <v>53.068967062006969</v>
      </c>
      <c r="P27" s="450">
        <f ca="1">SUM(P21:OFFSET(P27,-1,0))</f>
        <v>51.384935874096669</v>
      </c>
      <c r="R27" s="434"/>
      <c r="S27" s="451">
        <f ca="1">SUM(S21:OFFSET(S27,-1,0))</f>
        <v>30.827033750000002</v>
      </c>
      <c r="T27" s="451">
        <f ca="1">SUM(T21:OFFSET(T27,-1,0))</f>
        <v>30.827033750000002</v>
      </c>
    </row>
    <row r="28" spans="2:20" ht="13.5" customHeight="1" outlineLevel="1">
      <c r="B28" s="88" t="s">
        <v>435</v>
      </c>
      <c r="C28" s="88"/>
      <c r="D28" s="88"/>
      <c r="E28" s="88"/>
      <c r="F28" s="330">
        <v>0</v>
      </c>
      <c r="G28" s="118">
        <f t="shared" ref="G28:P28" si="23">G225</f>
        <v>0</v>
      </c>
      <c r="H28" s="118">
        <f t="shared" si="23"/>
        <v>0</v>
      </c>
      <c r="I28" s="118">
        <f t="shared" si="23"/>
        <v>0</v>
      </c>
      <c r="J28" s="118">
        <f t="shared" si="23"/>
        <v>0</v>
      </c>
      <c r="K28" s="118">
        <f t="shared" si="23"/>
        <v>0</v>
      </c>
      <c r="L28" s="118">
        <f t="shared" si="23"/>
        <v>0</v>
      </c>
      <c r="M28" s="118">
        <f t="shared" si="23"/>
        <v>0</v>
      </c>
      <c r="N28" s="118">
        <f t="shared" si="23"/>
        <v>0</v>
      </c>
      <c r="O28" s="118">
        <f t="shared" si="23"/>
        <v>0</v>
      </c>
      <c r="P28" s="118">
        <f t="shared" si="23"/>
        <v>0</v>
      </c>
      <c r="R28" s="434"/>
      <c r="S28" s="118">
        <f>S225</f>
        <v>0</v>
      </c>
      <c r="T28" s="118">
        <f>T225</f>
        <v>0</v>
      </c>
    </row>
    <row r="29" spans="2:20" ht="13.5" customHeight="1" outlineLevel="1">
      <c r="B29" s="301" t="s">
        <v>100</v>
      </c>
      <c r="C29" s="301"/>
      <c r="D29" s="301"/>
      <c r="E29" s="301"/>
      <c r="F29" s="330">
        <v>0</v>
      </c>
      <c r="G29" s="330">
        <v>0</v>
      </c>
      <c r="H29" s="330">
        <v>0</v>
      </c>
      <c r="I29" s="118">
        <f>H29</f>
        <v>0</v>
      </c>
      <c r="J29" s="118">
        <f t="shared" ref="J29:P29" si="24">I29</f>
        <v>0</v>
      </c>
      <c r="K29" s="118">
        <f t="shared" si="24"/>
        <v>0</v>
      </c>
      <c r="L29" s="118">
        <f t="shared" si="24"/>
        <v>0</v>
      </c>
      <c r="M29" s="118">
        <f t="shared" si="24"/>
        <v>0</v>
      </c>
      <c r="N29" s="118">
        <f t="shared" si="24"/>
        <v>0</v>
      </c>
      <c r="O29" s="118">
        <f t="shared" si="24"/>
        <v>0</v>
      </c>
      <c r="P29" s="118">
        <f t="shared" si="24"/>
        <v>0</v>
      </c>
      <c r="R29" s="434"/>
      <c r="S29" s="184">
        <f>S$3*$G29</f>
        <v>0</v>
      </c>
      <c r="T29" s="184">
        <f>T$3*$G29</f>
        <v>0</v>
      </c>
    </row>
    <row r="30" spans="2:20" ht="13.5" customHeight="1" outlineLevel="1">
      <c r="B30" s="116" t="s">
        <v>101</v>
      </c>
      <c r="C30" s="116"/>
      <c r="D30" s="116"/>
      <c r="E30" s="116"/>
      <c r="F30" s="144">
        <f t="shared" ref="F30" si="25">F18-F27+F28-F29</f>
        <v>486.39999999999986</v>
      </c>
      <c r="G30" s="144">
        <f t="shared" ref="G30" ca="1" si="26">G18-G27+G28-G29</f>
        <v>482.14593250000007</v>
      </c>
      <c r="H30" s="144">
        <f t="shared" ref="H30" ca="1" si="27">H18-H27+H28-H29</f>
        <v>572.39263510006913</v>
      </c>
      <c r="I30" s="144">
        <f t="shared" ref="I30" ca="1" si="28">I18-I27+I28-I29</f>
        <v>637.69815177395083</v>
      </c>
      <c r="J30" s="144">
        <f t="shared" ref="J30" ca="1" si="29">J18-J27+J28-J29</f>
        <v>710.74094594813005</v>
      </c>
      <c r="K30" s="144">
        <f t="shared" ref="K30" ca="1" si="30">K18-K27+K28-K29</f>
        <v>820.28140294065952</v>
      </c>
      <c r="L30" s="144">
        <f t="shared" ref="L30" ca="1" si="31">L18-L27+L28-L29</f>
        <v>949.67387761283965</v>
      </c>
      <c r="M30" s="144">
        <f t="shared" ref="M30" ca="1" si="32">M18-M27+M28-M29</f>
        <v>1051.5917508703708</v>
      </c>
      <c r="N30" s="144">
        <f t="shared" ref="N30" ca="1" si="33">N18-N27+N28-N29</f>
        <v>1163.7148703704574</v>
      </c>
      <c r="O30" s="144">
        <f t="shared" ref="O30" ca="1" si="34">O18-O27+O28-O29</f>
        <v>1287.063782607994</v>
      </c>
      <c r="P30" s="144">
        <f t="shared" ref="P30" ca="1" si="35">P18-P27+P28-P29</f>
        <v>1422.7610887629041</v>
      </c>
      <c r="R30" s="434"/>
      <c r="S30" s="144">
        <f t="shared" ref="S30" ca="1" si="36">S18-S27+S28-S29</f>
        <v>241.07296625000004</v>
      </c>
      <c r="T30" s="144">
        <f t="shared" ref="T30" ca="1" si="37">T18-T27+T28-T29</f>
        <v>241.07296625000004</v>
      </c>
    </row>
    <row r="31" spans="2:20" ht="13.5" customHeight="1" outlineLevel="1">
      <c r="B31" s="301" t="s">
        <v>102</v>
      </c>
      <c r="C31" s="301"/>
      <c r="D31" s="301"/>
      <c r="E31" s="301"/>
      <c r="F31" s="330">
        <v>170.4</v>
      </c>
      <c r="G31" s="118">
        <f t="shared" ref="G31:P31" ca="1" si="38">G30*G73-G235</f>
        <v>168.75252281279757</v>
      </c>
      <c r="H31" s="118">
        <f t="shared" ca="1" si="38"/>
        <v>200.33913946292952</v>
      </c>
      <c r="I31" s="118">
        <f t="shared" ca="1" si="38"/>
        <v>223.19626621533814</v>
      </c>
      <c r="J31" s="118">
        <f t="shared" ca="1" si="38"/>
        <v>248.76146330468342</v>
      </c>
      <c r="K31" s="118">
        <f t="shared" ca="1" si="38"/>
        <v>287.10095187343973</v>
      </c>
      <c r="L31" s="118">
        <f t="shared" ca="1" si="38"/>
        <v>332.3887061861268</v>
      </c>
      <c r="M31" s="118">
        <f t="shared" ca="1" si="38"/>
        <v>368.06026757988246</v>
      </c>
      <c r="N31" s="118">
        <f t="shared" ca="1" si="38"/>
        <v>407.30369577427132</v>
      </c>
      <c r="O31" s="118">
        <f t="shared" ca="1" si="38"/>
        <v>450.47618510414577</v>
      </c>
      <c r="P31" s="118">
        <f t="shared" ca="1" si="38"/>
        <v>497.97064935028283</v>
      </c>
      <c r="R31" s="434"/>
      <c r="S31" s="118">
        <f ca="1">S30*S73-S235</f>
        <v>84.376261406398783</v>
      </c>
      <c r="T31" s="118">
        <f ca="1">T30*T73-T235</f>
        <v>84.376261406398783</v>
      </c>
    </row>
    <row r="32" spans="2:20" ht="13.5" customHeight="1" outlineLevel="1">
      <c r="B32" s="452" t="s">
        <v>104</v>
      </c>
      <c r="C32" s="452"/>
      <c r="D32" s="452"/>
      <c r="E32" s="452"/>
      <c r="F32" s="453">
        <f>F30-F31</f>
        <v>315.99999999999989</v>
      </c>
      <c r="G32" s="453">
        <f t="shared" ref="G32:P32" ca="1" si="39">G30-G31</f>
        <v>313.39340968720251</v>
      </c>
      <c r="H32" s="453">
        <f t="shared" ca="1" si="39"/>
        <v>372.05349563713958</v>
      </c>
      <c r="I32" s="453">
        <f t="shared" ca="1" si="39"/>
        <v>414.50188555861268</v>
      </c>
      <c r="J32" s="453">
        <f t="shared" ca="1" si="39"/>
        <v>461.97948264344666</v>
      </c>
      <c r="K32" s="453">
        <f t="shared" ca="1" si="39"/>
        <v>533.18045106721979</v>
      </c>
      <c r="L32" s="453">
        <f t="shared" ca="1" si="39"/>
        <v>617.28517142671285</v>
      </c>
      <c r="M32" s="453">
        <f t="shared" ca="1" si="39"/>
        <v>683.53148329048827</v>
      </c>
      <c r="N32" s="453">
        <f t="shared" ca="1" si="39"/>
        <v>756.41117459618613</v>
      </c>
      <c r="O32" s="453">
        <f t="shared" ca="1" si="39"/>
        <v>836.5875975038482</v>
      </c>
      <c r="P32" s="453">
        <f t="shared" ca="1" si="39"/>
        <v>924.79043941262125</v>
      </c>
      <c r="R32" s="434"/>
      <c r="S32" s="446">
        <f ca="1">S30-S31</f>
        <v>156.69670484360125</v>
      </c>
      <c r="T32" s="446">
        <f ca="1">T30-T31</f>
        <v>156.69670484360125</v>
      </c>
    </row>
    <row r="33" spans="2:20" ht="13.5" customHeight="1" outlineLevel="1">
      <c r="B33" s="88" t="s">
        <v>429</v>
      </c>
      <c r="C33" s="88"/>
      <c r="D33" s="88"/>
      <c r="E33" s="88"/>
      <c r="F33" s="330">
        <v>0</v>
      </c>
      <c r="G33" s="330">
        <v>0</v>
      </c>
      <c r="H33" s="330">
        <v>0</v>
      </c>
      <c r="I33" s="118">
        <f>H33</f>
        <v>0</v>
      </c>
      <c r="J33" s="118">
        <f t="shared" ref="J33:P33" si="40">I33</f>
        <v>0</v>
      </c>
      <c r="K33" s="118">
        <f t="shared" si="40"/>
        <v>0</v>
      </c>
      <c r="L33" s="118">
        <f t="shared" si="40"/>
        <v>0</v>
      </c>
      <c r="M33" s="118">
        <f t="shared" si="40"/>
        <v>0</v>
      </c>
      <c r="N33" s="118">
        <f t="shared" si="40"/>
        <v>0</v>
      </c>
      <c r="O33" s="118">
        <f t="shared" si="40"/>
        <v>0</v>
      </c>
      <c r="P33" s="118">
        <f t="shared" si="40"/>
        <v>0</v>
      </c>
      <c r="R33" s="434"/>
      <c r="S33" s="184">
        <f>S$3*$G33</f>
        <v>0</v>
      </c>
      <c r="T33" s="184">
        <f>T$3*$G33</f>
        <v>0</v>
      </c>
    </row>
    <row r="34" spans="2:20" ht="13.5" customHeight="1" outlineLevel="1">
      <c r="B34" s="88" t="s">
        <v>583</v>
      </c>
      <c r="C34" s="88"/>
      <c r="D34" s="88"/>
      <c r="F34" s="330">
        <v>0</v>
      </c>
      <c r="G34" s="118">
        <f t="shared" ref="G34:P34" si="41">G328</f>
        <v>0</v>
      </c>
      <c r="H34" s="118">
        <f t="shared" ca="1" si="41"/>
        <v>0</v>
      </c>
      <c r="I34" s="118">
        <f t="shared" ca="1" si="41"/>
        <v>0</v>
      </c>
      <c r="J34" s="118">
        <f t="shared" ca="1" si="41"/>
        <v>0</v>
      </c>
      <c r="K34" s="118">
        <f t="shared" ca="1" si="41"/>
        <v>0</v>
      </c>
      <c r="L34" s="118">
        <f t="shared" ca="1" si="41"/>
        <v>0</v>
      </c>
      <c r="M34" s="118">
        <f t="shared" ca="1" si="41"/>
        <v>0</v>
      </c>
      <c r="N34" s="118">
        <f t="shared" ca="1" si="41"/>
        <v>0</v>
      </c>
      <c r="O34" s="118">
        <f t="shared" ca="1" si="41"/>
        <v>0</v>
      </c>
      <c r="P34" s="118">
        <f t="shared" ca="1" si="41"/>
        <v>0</v>
      </c>
      <c r="R34" s="434"/>
      <c r="S34" s="118">
        <f>S328</f>
        <v>0</v>
      </c>
      <c r="T34" s="118">
        <f>T328</f>
        <v>0</v>
      </c>
    </row>
    <row r="35" spans="2:20" ht="13.5" customHeight="1" outlineLevel="1">
      <c r="B35" s="407" t="s">
        <v>141</v>
      </c>
      <c r="C35" s="407"/>
      <c r="D35" s="407"/>
      <c r="E35" s="407"/>
      <c r="F35" s="157">
        <f t="shared" ref="F35:P35" si="42">F32-F33-F34</f>
        <v>315.99999999999989</v>
      </c>
      <c r="G35" s="157">
        <f t="shared" ca="1" si="42"/>
        <v>313.39340968720251</v>
      </c>
      <c r="H35" s="157">
        <f t="shared" ca="1" si="42"/>
        <v>372.05349563713958</v>
      </c>
      <c r="I35" s="157">
        <f t="shared" ca="1" si="42"/>
        <v>414.50188555861268</v>
      </c>
      <c r="J35" s="157">
        <f t="shared" ca="1" si="42"/>
        <v>461.97948264344666</v>
      </c>
      <c r="K35" s="157">
        <f t="shared" ca="1" si="42"/>
        <v>533.18045106721979</v>
      </c>
      <c r="L35" s="157">
        <f t="shared" ca="1" si="42"/>
        <v>617.28517142671285</v>
      </c>
      <c r="M35" s="157">
        <f t="shared" ca="1" si="42"/>
        <v>683.53148329048827</v>
      </c>
      <c r="N35" s="157">
        <f t="shared" ca="1" si="42"/>
        <v>756.41117459618613</v>
      </c>
      <c r="O35" s="157">
        <f t="shared" ca="1" si="42"/>
        <v>836.5875975038482</v>
      </c>
      <c r="P35" s="157">
        <f t="shared" ca="1" si="42"/>
        <v>924.79043941262125</v>
      </c>
      <c r="R35" s="434"/>
      <c r="S35" s="157">
        <f ca="1">S32-S33-S34</f>
        <v>156.69670484360125</v>
      </c>
      <c r="T35" s="157">
        <f ca="1">T32-T33-T34</f>
        <v>156.69670484360125</v>
      </c>
    </row>
    <row r="36" spans="2:20" ht="13.5" customHeight="1" outlineLevel="1">
      <c r="B36" s="88"/>
      <c r="C36" s="88"/>
      <c r="D36" s="88"/>
      <c r="I36" s="170"/>
      <c r="J36" s="170"/>
      <c r="K36" s="170"/>
      <c r="L36" s="170"/>
      <c r="M36" s="170"/>
      <c r="N36" s="170"/>
      <c r="O36" s="170"/>
      <c r="P36" s="170"/>
      <c r="R36" s="434"/>
    </row>
    <row r="37" spans="2:20" ht="13.5" customHeight="1" outlineLevel="1">
      <c r="B37" s="354" t="s">
        <v>142</v>
      </c>
      <c r="C37" s="88"/>
      <c r="D37" s="88"/>
      <c r="I37" s="170"/>
      <c r="J37" s="170"/>
      <c r="K37" s="170"/>
      <c r="L37" s="170"/>
      <c r="M37" s="170"/>
      <c r="N37" s="170"/>
      <c r="O37" s="170"/>
      <c r="P37" s="170"/>
      <c r="R37" s="434"/>
    </row>
    <row r="38" spans="2:20" ht="13.5" customHeight="1" outlineLevel="1">
      <c r="B38" s="88" t="s">
        <v>95</v>
      </c>
      <c r="C38" s="88"/>
      <c r="D38" s="88"/>
      <c r="F38" s="114">
        <f t="shared" ref="F38:P38" si="43">F16*(1-F73)</f>
        <v>40.279605263157883</v>
      </c>
      <c r="G38" s="114">
        <f t="shared" si="43"/>
        <v>40.299813999999998</v>
      </c>
      <c r="H38" s="114">
        <f t="shared" si="43"/>
        <v>40.299813999999998</v>
      </c>
      <c r="I38" s="114">
        <f t="shared" si="43"/>
        <v>40.299813999999998</v>
      </c>
      <c r="J38" s="114">
        <f t="shared" si="43"/>
        <v>40.299813999999998</v>
      </c>
      <c r="K38" s="114">
        <f t="shared" si="43"/>
        <v>23.867889840000014</v>
      </c>
      <c r="L38" s="114">
        <f t="shared" si="43"/>
        <v>0</v>
      </c>
      <c r="M38" s="114">
        <f t="shared" si="43"/>
        <v>0</v>
      </c>
      <c r="N38" s="114">
        <f t="shared" si="43"/>
        <v>0</v>
      </c>
      <c r="O38" s="114">
        <f t="shared" si="43"/>
        <v>0</v>
      </c>
      <c r="P38" s="114">
        <f t="shared" si="43"/>
        <v>0</v>
      </c>
      <c r="R38" s="434"/>
      <c r="S38" s="114">
        <f>S16*(1-S73)</f>
        <v>20.149906999999999</v>
      </c>
      <c r="T38" s="114">
        <f>T16*(1-T73)</f>
        <v>20.149906999999999</v>
      </c>
    </row>
    <row r="39" spans="2:20" ht="13.5" customHeight="1" outlineLevel="1">
      <c r="B39" s="88" t="s">
        <v>96</v>
      </c>
      <c r="C39" s="88"/>
      <c r="D39" s="88"/>
      <c r="F39" s="118">
        <f t="shared" ref="F39:P39" si="44">F17*(1-F73)</f>
        <v>35.342105263157883</v>
      </c>
      <c r="G39" s="118">
        <f t="shared" si="44"/>
        <v>34.904838900000001</v>
      </c>
      <c r="H39" s="118">
        <f t="shared" si="44"/>
        <v>38.739821199999994</v>
      </c>
      <c r="I39" s="118">
        <f t="shared" si="44"/>
        <v>42.613803319999995</v>
      </c>
      <c r="J39" s="118">
        <f t="shared" si="44"/>
        <v>46.875183652000004</v>
      </c>
      <c r="K39" s="118">
        <f t="shared" si="44"/>
        <v>51.562702017200017</v>
      </c>
      <c r="L39" s="118">
        <f t="shared" si="44"/>
        <v>56.718972218920022</v>
      </c>
      <c r="M39" s="118">
        <f t="shared" si="44"/>
        <v>62.390869440812033</v>
      </c>
      <c r="N39" s="118">
        <f t="shared" si="44"/>
        <v>68.629956384893234</v>
      </c>
      <c r="O39" s="118">
        <f t="shared" si="44"/>
        <v>75.492952023382571</v>
      </c>
      <c r="P39" s="118">
        <f t="shared" si="44"/>
        <v>83.042247225720843</v>
      </c>
      <c r="R39" s="434"/>
      <c r="S39" s="118">
        <f>S17*(1-S73)</f>
        <v>17.452419450000001</v>
      </c>
      <c r="T39" s="118">
        <f>T17*(1-T73)</f>
        <v>17.452419450000001</v>
      </c>
    </row>
    <row r="40" spans="2:20" ht="13.5" customHeight="1" outlineLevel="1">
      <c r="B40" s="88" t="s">
        <v>103</v>
      </c>
      <c r="C40" s="88"/>
      <c r="D40" s="88"/>
      <c r="F40" s="330">
        <v>0</v>
      </c>
      <c r="G40" s="330">
        <v>0</v>
      </c>
      <c r="H40" s="330">
        <v>0</v>
      </c>
      <c r="I40" s="118">
        <f>H40</f>
        <v>0</v>
      </c>
      <c r="J40" s="118">
        <f t="shared" ref="J40:P40" si="45">I40</f>
        <v>0</v>
      </c>
      <c r="K40" s="118">
        <f t="shared" si="45"/>
        <v>0</v>
      </c>
      <c r="L40" s="118">
        <f t="shared" si="45"/>
        <v>0</v>
      </c>
      <c r="M40" s="118">
        <f t="shared" si="45"/>
        <v>0</v>
      </c>
      <c r="N40" s="118">
        <f t="shared" si="45"/>
        <v>0</v>
      </c>
      <c r="O40" s="118">
        <f t="shared" si="45"/>
        <v>0</v>
      </c>
      <c r="P40" s="118">
        <f t="shared" si="45"/>
        <v>0</v>
      </c>
      <c r="R40" s="434"/>
      <c r="S40" s="184">
        <f>S$3*$G40</f>
        <v>0</v>
      </c>
      <c r="T40" s="184">
        <f>T$3*$G40</f>
        <v>0</v>
      </c>
    </row>
    <row r="41" spans="2:20" ht="13.5" customHeight="1" outlineLevel="1">
      <c r="B41" s="407" t="s">
        <v>148</v>
      </c>
      <c r="C41" s="407"/>
      <c r="D41" s="407"/>
      <c r="E41" s="407"/>
      <c r="F41" s="157">
        <f>F35+SUM(F38:F40)</f>
        <v>391.62171052631567</v>
      </c>
      <c r="G41" s="157">
        <f t="shared" ref="G41:P41" ca="1" si="46">G35+SUM(G38:G40)</f>
        <v>388.59806258720249</v>
      </c>
      <c r="H41" s="157">
        <f t="shared" ca="1" si="46"/>
        <v>451.0931308371396</v>
      </c>
      <c r="I41" s="157">
        <f t="shared" ca="1" si="46"/>
        <v>497.41550287861264</v>
      </c>
      <c r="J41" s="157">
        <f t="shared" ca="1" si="46"/>
        <v>549.15448029544666</v>
      </c>
      <c r="K41" s="157">
        <f t="shared" ca="1" si="46"/>
        <v>608.61104292441985</v>
      </c>
      <c r="L41" s="157">
        <f t="shared" ca="1" si="46"/>
        <v>674.00414364563289</v>
      </c>
      <c r="M41" s="157">
        <f t="shared" ca="1" si="46"/>
        <v>745.92235273130029</v>
      </c>
      <c r="N41" s="157">
        <f t="shared" ca="1" si="46"/>
        <v>825.04113098107939</v>
      </c>
      <c r="O41" s="157">
        <f t="shared" ca="1" si="46"/>
        <v>912.0805495272308</v>
      </c>
      <c r="P41" s="157">
        <f t="shared" ca="1" si="46"/>
        <v>1007.8326866383421</v>
      </c>
      <c r="R41" s="434"/>
      <c r="S41" s="157">
        <f t="shared" ref="S41" ca="1" si="47">S35+SUM(S38:S40)</f>
        <v>194.29903129360125</v>
      </c>
      <c r="T41" s="157">
        <f ca="1">T35+SUM(T38:T40)</f>
        <v>194.29903129360125</v>
      </c>
    </row>
    <row r="42" spans="2:20" ht="13.5" customHeight="1" outlineLevel="1">
      <c r="B42" s="260"/>
      <c r="C42" s="260"/>
      <c r="D42" s="260"/>
      <c r="R42" s="434"/>
    </row>
    <row r="43" spans="2:20" ht="13.5" customHeight="1" outlineLevel="1">
      <c r="B43" s="260" t="s">
        <v>106</v>
      </c>
      <c r="C43" s="260"/>
      <c r="D43" s="260"/>
      <c r="E43" s="260"/>
      <c r="F43" s="454">
        <f t="shared" ref="F43:P43" si="48">F35/F552</f>
        <v>1.4407511761887268</v>
      </c>
      <c r="G43" s="454">
        <f t="shared" ca="1" si="48"/>
        <v>1.4288668468880781</v>
      </c>
      <c r="H43" s="454">
        <f t="shared" ca="1" si="48"/>
        <v>1.6963180741909378</v>
      </c>
      <c r="I43" s="454">
        <f t="shared" ca="1" si="48"/>
        <v>1.8898546808576471</v>
      </c>
      <c r="J43" s="454">
        <f t="shared" ca="1" si="48"/>
        <v>2.1063211487139415</v>
      </c>
      <c r="K43" s="454">
        <f t="shared" ca="1" si="48"/>
        <v>2.4309505126453579</v>
      </c>
      <c r="L43" s="454">
        <f t="shared" ca="1" si="48"/>
        <v>2.6523137225454128</v>
      </c>
      <c r="M43" s="454">
        <f t="shared" ca="1" si="48"/>
        <v>2.9369568828828148</v>
      </c>
      <c r="N43" s="454">
        <f t="shared" ca="1" si="48"/>
        <v>3.2501019482311495</v>
      </c>
      <c r="O43" s="454">
        <f t="shared" ca="1" si="48"/>
        <v>3.594599170173316</v>
      </c>
      <c r="P43" s="454">
        <f t="shared" ca="1" si="48"/>
        <v>3.9735838255497606</v>
      </c>
      <c r="R43" s="434"/>
      <c r="S43" s="454">
        <f ca="1">S35/S552</f>
        <v>0.71443342344403904</v>
      </c>
      <c r="T43" s="454">
        <f ca="1">T35/T552</f>
        <v>0.71443342344403904</v>
      </c>
    </row>
    <row r="44" spans="2:20" ht="13.5" customHeight="1" outlineLevel="1">
      <c r="B44" s="260" t="s">
        <v>105</v>
      </c>
      <c r="C44" s="260"/>
      <c r="D44" s="260"/>
      <c r="E44" s="260"/>
      <c r="F44" s="454">
        <f t="shared" ref="F44:P44" si="49">F41/F552</f>
        <v>1.7855362027273121</v>
      </c>
      <c r="G44" s="454">
        <f t="shared" ca="1" si="49"/>
        <v>1.7717503662568754</v>
      </c>
      <c r="H44" s="454">
        <f t="shared" ca="1" si="49"/>
        <v>2.0566865785577986</v>
      </c>
      <c r="I44" s="454">
        <f t="shared" ca="1" si="49"/>
        <v>2.2678859836293306</v>
      </c>
      <c r="J44" s="454">
        <f t="shared" ca="1" si="49"/>
        <v>2.5037815297309307</v>
      </c>
      <c r="K44" s="454">
        <f t="shared" ca="1" si="49"/>
        <v>2.7748641643506518</v>
      </c>
      <c r="L44" s="454">
        <f t="shared" ca="1" si="49"/>
        <v>2.8960203840827607</v>
      </c>
      <c r="M44" s="454">
        <f t="shared" ca="1" si="49"/>
        <v>3.2050342105738974</v>
      </c>
      <c r="N44" s="454">
        <f t="shared" ca="1" si="49"/>
        <v>3.5449870086913404</v>
      </c>
      <c r="O44" s="454">
        <f t="shared" ca="1" si="49"/>
        <v>3.9189727366795259</v>
      </c>
      <c r="P44" s="454">
        <f t="shared" ca="1" si="49"/>
        <v>4.3303947487065919</v>
      </c>
      <c r="R44" s="434"/>
      <c r="S44" s="454">
        <f ca="1">S41/S552</f>
        <v>0.88587518312843772</v>
      </c>
      <c r="T44" s="454">
        <f ca="1">T41/T552</f>
        <v>0.88587518312843772</v>
      </c>
    </row>
    <row r="45" spans="2:20" ht="13.5" customHeight="1" outlineLevel="1">
      <c r="B45" s="88"/>
      <c r="C45" s="88"/>
      <c r="D45" s="88"/>
      <c r="G45" s="170"/>
      <c r="H45" s="170"/>
      <c r="I45" s="170"/>
      <c r="J45" s="170"/>
      <c r="K45" s="170"/>
      <c r="L45" s="170"/>
      <c r="M45" s="170"/>
      <c r="N45" s="170"/>
      <c r="O45" s="170"/>
      <c r="P45" s="170"/>
      <c r="R45" s="434"/>
      <c r="T45" s="170"/>
    </row>
    <row r="46" spans="2:20" ht="13.5" customHeight="1" outlineLevel="1">
      <c r="B46" s="455" t="s">
        <v>107</v>
      </c>
      <c r="C46" s="455"/>
      <c r="D46" s="455"/>
      <c r="F46" s="456">
        <v>168.8</v>
      </c>
      <c r="G46" s="456">
        <v>203.6</v>
      </c>
      <c r="H46" s="456">
        <v>226.3</v>
      </c>
      <c r="I46" s="114">
        <f t="shared" ref="I46:P46" si="50">I60*I10</f>
        <v>248.93</v>
      </c>
      <c r="J46" s="114">
        <f t="shared" si="50"/>
        <v>273.82300000000009</v>
      </c>
      <c r="K46" s="114">
        <f t="shared" si="50"/>
        <v>301.20530000000014</v>
      </c>
      <c r="L46" s="114">
        <f t="shared" si="50"/>
        <v>331.32583000000017</v>
      </c>
      <c r="M46" s="114">
        <f t="shared" si="50"/>
        <v>364.45841300000018</v>
      </c>
      <c r="N46" s="114">
        <f t="shared" si="50"/>
        <v>400.90425430000022</v>
      </c>
      <c r="O46" s="114">
        <f t="shared" si="50"/>
        <v>440.99467973000031</v>
      </c>
      <c r="P46" s="114">
        <f t="shared" si="50"/>
        <v>485.09414770300037</v>
      </c>
      <c r="R46" s="434"/>
      <c r="S46" s="351">
        <f>S$3*$G46</f>
        <v>101.8</v>
      </c>
      <c r="T46" s="351">
        <f>T$3*$G46</f>
        <v>101.8</v>
      </c>
    </row>
    <row r="47" spans="2:20" ht="13.5" customHeight="1" outlineLevel="1">
      <c r="B47" s="455" t="s">
        <v>245</v>
      </c>
      <c r="C47" s="455"/>
      <c r="D47" s="455"/>
      <c r="F47" s="374">
        <v>0.04</v>
      </c>
      <c r="G47" s="190">
        <f>$F47</f>
        <v>0.04</v>
      </c>
      <c r="H47" s="190">
        <f t="shared" ref="H47:P47" si="51">$F47</f>
        <v>0.04</v>
      </c>
      <c r="I47" s="190">
        <f t="shared" si="51"/>
        <v>0.04</v>
      </c>
      <c r="J47" s="190">
        <f t="shared" si="51"/>
        <v>0.04</v>
      </c>
      <c r="K47" s="190">
        <f t="shared" si="51"/>
        <v>0.04</v>
      </c>
      <c r="L47" s="190">
        <f t="shared" si="51"/>
        <v>0.04</v>
      </c>
      <c r="M47" s="190">
        <f t="shared" si="51"/>
        <v>0.04</v>
      </c>
      <c r="N47" s="190">
        <f t="shared" si="51"/>
        <v>0.04</v>
      </c>
      <c r="O47" s="190">
        <f t="shared" si="51"/>
        <v>0.04</v>
      </c>
      <c r="P47" s="190">
        <f t="shared" si="51"/>
        <v>0.04</v>
      </c>
      <c r="R47" s="434"/>
      <c r="S47" s="305">
        <f>S$3*$G47</f>
        <v>0.02</v>
      </c>
      <c r="T47" s="305">
        <f>T$3*$G47</f>
        <v>0.02</v>
      </c>
    </row>
    <row r="48" spans="2:20" ht="13.5" customHeight="1" outlineLevel="1">
      <c r="R48" s="434"/>
    </row>
    <row r="49" spans="2:20" ht="13.5" customHeight="1" outlineLevel="1">
      <c r="B49" s="457" t="s">
        <v>437</v>
      </c>
      <c r="C49" s="458"/>
      <c r="D49" s="459"/>
      <c r="E49" s="459"/>
      <c r="F49" s="459"/>
      <c r="G49" s="459"/>
      <c r="H49" s="459"/>
      <c r="I49" s="459"/>
      <c r="J49" s="459"/>
      <c r="K49" s="459"/>
      <c r="L49" s="459"/>
      <c r="M49" s="459"/>
      <c r="N49" s="459"/>
      <c r="O49" s="459"/>
      <c r="P49" s="460"/>
      <c r="R49" s="434"/>
      <c r="S49" s="461"/>
      <c r="T49" s="460"/>
    </row>
    <row r="50" spans="2:20" s="88" customFormat="1" ht="13.5" customHeight="1" outlineLevel="1">
      <c r="R50" s="462"/>
    </row>
    <row r="51" spans="2:20" s="312" customFormat="1" ht="13.5" customHeight="1" outlineLevel="1">
      <c r="B51" s="88" t="s">
        <v>108</v>
      </c>
      <c r="F51" s="179" t="s">
        <v>15</v>
      </c>
      <c r="G51" s="177">
        <f>(G10/F10-1)/G$3</f>
        <v>0.18462378806500079</v>
      </c>
      <c r="H51" s="177">
        <f>(H10/G10-1)/H$3</f>
        <v>0.11123919308357344</v>
      </c>
      <c r="I51" s="375">
        <v>0.1</v>
      </c>
      <c r="J51" s="177">
        <f>I51</f>
        <v>0.1</v>
      </c>
      <c r="K51" s="177">
        <f t="shared" ref="K51:P51" si="52">J51</f>
        <v>0.1</v>
      </c>
      <c r="L51" s="177">
        <f t="shared" si="52"/>
        <v>0.1</v>
      </c>
      <c r="M51" s="177">
        <f t="shared" si="52"/>
        <v>0.1</v>
      </c>
      <c r="N51" s="177">
        <f t="shared" si="52"/>
        <v>0.1</v>
      </c>
      <c r="O51" s="177">
        <f t="shared" si="52"/>
        <v>0.1</v>
      </c>
      <c r="P51" s="177">
        <f t="shared" si="52"/>
        <v>0.1</v>
      </c>
      <c r="R51" s="463"/>
      <c r="S51" s="179" t="s">
        <v>15</v>
      </c>
      <c r="T51" s="179" t="s">
        <v>15</v>
      </c>
    </row>
    <row r="52" spans="2:20" s="312" customFormat="1" ht="13.5" customHeight="1" outlineLevel="1">
      <c r="B52" s="88" t="s">
        <v>143</v>
      </c>
      <c r="F52" s="179" t="s">
        <v>15</v>
      </c>
      <c r="G52" s="177">
        <f t="shared" ref="G52:P52" ca="1" si="53">(G32/F32-1)/G$3</f>
        <v>-8.2487035215107474E-3</v>
      </c>
      <c r="H52" s="177">
        <f t="shared" ca="1" si="53"/>
        <v>0.18717715222054476</v>
      </c>
      <c r="I52" s="177">
        <f t="shared" ca="1" si="53"/>
        <v>0.11409216797917865</v>
      </c>
      <c r="J52" s="177">
        <f t="shared" ca="1" si="53"/>
        <v>0.11454132957887442</v>
      </c>
      <c r="K52" s="177">
        <f t="shared" ca="1" si="53"/>
        <v>0.15412149478232484</v>
      </c>
      <c r="L52" s="177">
        <f t="shared" ca="1" si="53"/>
        <v>0.1577415679647447</v>
      </c>
      <c r="M52" s="177">
        <f t="shared" ca="1" si="53"/>
        <v>0.10731881297368973</v>
      </c>
      <c r="N52" s="177">
        <f t="shared" ca="1" si="53"/>
        <v>0.10662228893226455</v>
      </c>
      <c r="O52" s="177">
        <f t="shared" ca="1" si="53"/>
        <v>0.10599582026331733</v>
      </c>
      <c r="P52" s="177">
        <f t="shared" ca="1" si="53"/>
        <v>0.10543168721595508</v>
      </c>
      <c r="R52" s="463"/>
      <c r="S52" s="179" t="s">
        <v>15</v>
      </c>
      <c r="T52" s="179" t="s">
        <v>15</v>
      </c>
    </row>
    <row r="53" spans="2:20" s="312" customFormat="1" ht="13.5" customHeight="1" outlineLevel="1">
      <c r="B53" s="88" t="s">
        <v>144</v>
      </c>
      <c r="F53" s="179" t="s">
        <v>15</v>
      </c>
      <c r="G53" s="177">
        <f t="shared" ref="G53:P53" ca="1" si="54">(G41/F41-1)/G$3</f>
        <v>-7.7208383954239235E-3</v>
      </c>
      <c r="H53" s="177">
        <f t="shared" ca="1" si="54"/>
        <v>0.16082187294979899</v>
      </c>
      <c r="I53" s="177">
        <f t="shared" ca="1" si="54"/>
        <v>0.10268915413433111</v>
      </c>
      <c r="J53" s="177">
        <f t="shared" ca="1" si="54"/>
        <v>0.10401561092771217</v>
      </c>
      <c r="K53" s="177">
        <f t="shared" ca="1" si="54"/>
        <v>0.10826928444066475</v>
      </c>
      <c r="L53" s="177">
        <f t="shared" ca="1" si="54"/>
        <v>0.10744645776881478</v>
      </c>
      <c r="M53" s="177">
        <f t="shared" ca="1" si="54"/>
        <v>0.10670291831837675</v>
      </c>
      <c r="N53" s="177">
        <f t="shared" ca="1" si="54"/>
        <v>0.10606838360598059</v>
      </c>
      <c r="O53" s="177">
        <f t="shared" ca="1" si="54"/>
        <v>0.10549706587676466</v>
      </c>
      <c r="P53" s="177">
        <f t="shared" ca="1" si="54"/>
        <v>0.10498210619746651</v>
      </c>
      <c r="R53" s="463"/>
      <c r="S53" s="179" t="s">
        <v>15</v>
      </c>
      <c r="T53" s="179" t="s">
        <v>15</v>
      </c>
    </row>
    <row r="54" spans="2:20" s="312" customFormat="1" ht="13.5" customHeight="1" outlineLevel="1">
      <c r="B54" s="88"/>
      <c r="G54" s="177"/>
      <c r="H54" s="177"/>
      <c r="I54" s="177"/>
      <c r="J54" s="464"/>
      <c r="K54" s="464"/>
      <c r="L54" s="464"/>
      <c r="M54" s="464"/>
      <c r="N54" s="464"/>
      <c r="O54" s="464"/>
      <c r="P54" s="464"/>
      <c r="R54" s="463"/>
      <c r="T54" s="177"/>
    </row>
    <row r="55" spans="2:20" s="312" customFormat="1" ht="13.5" customHeight="1" outlineLevel="1">
      <c r="B55" s="88" t="s">
        <v>109</v>
      </c>
      <c r="F55" s="177">
        <f t="shared" ref="F55:H55" si="55">F11/F$10</f>
        <v>0.61887204697528342</v>
      </c>
      <c r="G55" s="177">
        <f t="shared" si="55"/>
        <v>0.60907780979827086</v>
      </c>
      <c r="H55" s="177">
        <f t="shared" si="55"/>
        <v>0.60886929460580919</v>
      </c>
      <c r="I55" s="465">
        <f>H55</f>
        <v>0.60886929460580919</v>
      </c>
      <c r="J55" s="177">
        <f>I55</f>
        <v>0.60886929460580919</v>
      </c>
      <c r="K55" s="177">
        <f t="shared" ref="K55:P55" si="56">J55</f>
        <v>0.60886929460580919</v>
      </c>
      <c r="L55" s="177">
        <f t="shared" si="56"/>
        <v>0.60886929460580919</v>
      </c>
      <c r="M55" s="177">
        <f t="shared" si="56"/>
        <v>0.60886929460580919</v>
      </c>
      <c r="N55" s="177">
        <f t="shared" si="56"/>
        <v>0.60886929460580919</v>
      </c>
      <c r="O55" s="177">
        <f t="shared" si="56"/>
        <v>0.60886929460580919</v>
      </c>
      <c r="P55" s="177">
        <f t="shared" si="56"/>
        <v>0.60886929460580919</v>
      </c>
      <c r="R55" s="463"/>
      <c r="S55" s="177">
        <f>IFERROR(S11/S$10,"NA")</f>
        <v>0.60907780979827086</v>
      </c>
      <c r="T55" s="177">
        <f>IFERROR(T11/T$10,"NA")</f>
        <v>0.60907780979827086</v>
      </c>
    </row>
    <row r="56" spans="2:20" s="312" customFormat="1" ht="13.5" customHeight="1" outlineLevel="1">
      <c r="B56" s="88" t="s">
        <v>110</v>
      </c>
      <c r="F56" s="177">
        <f t="shared" ref="F56:H56" si="57">F13/F$10</f>
        <v>0.15553734808138742</v>
      </c>
      <c r="G56" s="177">
        <f t="shared" si="57"/>
        <v>0.17933717579250719</v>
      </c>
      <c r="H56" s="177">
        <f t="shared" si="57"/>
        <v>0.17518153526970953</v>
      </c>
      <c r="I56" s="465">
        <f>H56</f>
        <v>0.17518153526970953</v>
      </c>
      <c r="J56" s="177">
        <f t="shared" ref="J56:P57" si="58">I56</f>
        <v>0.17518153526970953</v>
      </c>
      <c r="K56" s="177">
        <f t="shared" si="58"/>
        <v>0.17518153526970953</v>
      </c>
      <c r="L56" s="177">
        <f t="shared" si="58"/>
        <v>0.17518153526970953</v>
      </c>
      <c r="M56" s="177">
        <f t="shared" si="58"/>
        <v>0.17518153526970953</v>
      </c>
      <c r="N56" s="177">
        <f t="shared" si="58"/>
        <v>0.17518153526970953</v>
      </c>
      <c r="O56" s="177">
        <f t="shared" si="58"/>
        <v>0.17518153526970953</v>
      </c>
      <c r="P56" s="177">
        <f t="shared" si="58"/>
        <v>0.17518153526970953</v>
      </c>
      <c r="R56" s="463"/>
      <c r="S56" s="177">
        <f>IFERROR(S13/S$10,"NA")</f>
        <v>0.17933717579250719</v>
      </c>
      <c r="T56" s="177">
        <f>IFERROR(T13/T$10,"NA")</f>
        <v>0.17933717579250719</v>
      </c>
    </row>
    <row r="57" spans="2:20" s="312" customFormat="1" ht="13.5" customHeight="1" outlineLevel="1">
      <c r="B57" s="88" t="s">
        <v>111</v>
      </c>
      <c r="F57" s="177">
        <f t="shared" ref="F57:P59" si="59">F15/F$10</f>
        <v>3.209067322135737E-2</v>
      </c>
      <c r="G57" s="177">
        <f t="shared" si="59"/>
        <v>2.1527377521613832E-2</v>
      </c>
      <c r="H57" s="177">
        <f t="shared" si="59"/>
        <v>2.2147302904564316E-2</v>
      </c>
      <c r="I57" s="465">
        <f>H57</f>
        <v>2.2147302904564316E-2</v>
      </c>
      <c r="J57" s="177">
        <f t="shared" si="58"/>
        <v>2.2147302904564316E-2</v>
      </c>
      <c r="K57" s="177">
        <f t="shared" si="58"/>
        <v>2.2147302904564316E-2</v>
      </c>
      <c r="L57" s="177">
        <f t="shared" si="58"/>
        <v>2.2147302904564316E-2</v>
      </c>
      <c r="M57" s="177">
        <f t="shared" si="58"/>
        <v>2.2147302904564316E-2</v>
      </c>
      <c r="N57" s="177">
        <f t="shared" si="58"/>
        <v>2.2147302904564316E-2</v>
      </c>
      <c r="O57" s="177">
        <f t="shared" si="58"/>
        <v>2.2147302904564316E-2</v>
      </c>
      <c r="P57" s="177">
        <f t="shared" si="58"/>
        <v>2.2147302904564316E-2</v>
      </c>
      <c r="R57" s="463"/>
      <c r="S57" s="177">
        <f t="shared" ref="S57:T59" si="60">IFERROR(S15/S$10,"NA")</f>
        <v>2.1527377521613832E-2</v>
      </c>
      <c r="T57" s="177">
        <f t="shared" si="60"/>
        <v>2.1527377521613832E-2</v>
      </c>
    </row>
    <row r="58" spans="2:20" s="312" customFormat="1" ht="13.5" customHeight="1" outlineLevel="1">
      <c r="B58" s="88" t="s">
        <v>112</v>
      </c>
      <c r="F58" s="177">
        <f t="shared" si="59"/>
        <v>2.1166188720469756E-2</v>
      </c>
      <c r="G58" s="177">
        <f t="shared" si="59"/>
        <v>1.7867435158501442E-2</v>
      </c>
      <c r="H58" s="177">
        <f t="shared" si="59"/>
        <v>1.6078838174273857E-2</v>
      </c>
      <c r="I58" s="177">
        <f t="shared" si="59"/>
        <v>1.4617125612976234E-2</v>
      </c>
      <c r="J58" s="177">
        <f t="shared" si="59"/>
        <v>1.3288296011796574E-2</v>
      </c>
      <c r="K58" s="177">
        <f t="shared" si="59"/>
        <v>7.1546367969673097E-3</v>
      </c>
      <c r="L58" s="177">
        <f t="shared" si="59"/>
        <v>0</v>
      </c>
      <c r="M58" s="177">
        <f t="shared" si="59"/>
        <v>0</v>
      </c>
      <c r="N58" s="177">
        <f t="shared" si="59"/>
        <v>0</v>
      </c>
      <c r="O58" s="177">
        <f t="shared" si="59"/>
        <v>0</v>
      </c>
      <c r="P58" s="177">
        <f t="shared" si="59"/>
        <v>0</v>
      </c>
      <c r="R58" s="463"/>
      <c r="S58" s="177">
        <f t="shared" si="60"/>
        <v>1.7867435158501442E-2</v>
      </c>
      <c r="T58" s="177">
        <f t="shared" si="60"/>
        <v>1.7867435158501442E-2</v>
      </c>
    </row>
    <row r="59" spans="2:20" s="88" customFormat="1" ht="13.5" customHeight="1" outlineLevel="1">
      <c r="B59" s="88" t="s">
        <v>113</v>
      </c>
      <c r="F59" s="177">
        <f t="shared" si="59"/>
        <v>1.8571623651508946E-2</v>
      </c>
      <c r="G59" s="177">
        <f t="shared" si="59"/>
        <v>1.5475504322766571E-2</v>
      </c>
      <c r="H59" s="177">
        <f t="shared" si="59"/>
        <v>1.545643153526971E-2</v>
      </c>
      <c r="I59" s="465">
        <f>H59</f>
        <v>1.545643153526971E-2</v>
      </c>
      <c r="J59" s="177">
        <f t="shared" ref="J59:P60" si="61">I59</f>
        <v>1.545643153526971E-2</v>
      </c>
      <c r="K59" s="177">
        <f t="shared" si="61"/>
        <v>1.545643153526971E-2</v>
      </c>
      <c r="L59" s="177">
        <f t="shared" si="61"/>
        <v>1.545643153526971E-2</v>
      </c>
      <c r="M59" s="177">
        <f t="shared" si="61"/>
        <v>1.545643153526971E-2</v>
      </c>
      <c r="N59" s="177">
        <f t="shared" si="61"/>
        <v>1.545643153526971E-2</v>
      </c>
      <c r="O59" s="177">
        <f t="shared" si="61"/>
        <v>1.545643153526971E-2</v>
      </c>
      <c r="P59" s="177">
        <f t="shared" si="61"/>
        <v>1.545643153526971E-2</v>
      </c>
      <c r="R59" s="462"/>
      <c r="S59" s="177">
        <f t="shared" si="60"/>
        <v>1.5475504322766571E-2</v>
      </c>
      <c r="T59" s="177">
        <f t="shared" si="60"/>
        <v>1.5475504322766571E-2</v>
      </c>
    </row>
    <row r="60" spans="2:20" s="312" customFormat="1" ht="13.5" customHeight="1" outlineLevel="1">
      <c r="B60" s="88" t="s">
        <v>114</v>
      </c>
      <c r="F60" s="177">
        <f>F46/F$10</f>
        <v>5.7626655742182176E-2</v>
      </c>
      <c r="G60" s="177">
        <f t="shared" ref="G60:H60" si="62">G46/G$10</f>
        <v>5.8674351585014405E-2</v>
      </c>
      <c r="H60" s="177">
        <f t="shared" si="62"/>
        <v>5.8687759336099585E-2</v>
      </c>
      <c r="I60" s="465">
        <f>H60</f>
        <v>5.8687759336099585E-2</v>
      </c>
      <c r="J60" s="177">
        <f>I60</f>
        <v>5.8687759336099585E-2</v>
      </c>
      <c r="K60" s="177">
        <f t="shared" si="61"/>
        <v>5.8687759336099585E-2</v>
      </c>
      <c r="L60" s="177">
        <f t="shared" si="61"/>
        <v>5.8687759336099585E-2</v>
      </c>
      <c r="M60" s="177">
        <f t="shared" si="61"/>
        <v>5.8687759336099585E-2</v>
      </c>
      <c r="N60" s="177">
        <f t="shared" si="61"/>
        <v>5.8687759336099585E-2</v>
      </c>
      <c r="O60" s="177">
        <f t="shared" si="61"/>
        <v>5.8687759336099585E-2</v>
      </c>
      <c r="P60" s="177">
        <f t="shared" si="61"/>
        <v>5.8687759336099585E-2</v>
      </c>
      <c r="R60" s="463"/>
      <c r="S60" s="177">
        <f>IFERROR(S46/S$10,"NA")</f>
        <v>5.8674351585014405E-2</v>
      </c>
      <c r="T60" s="177">
        <f>IFERROR(T46/T$10,"NA")</f>
        <v>5.8674351585014405E-2</v>
      </c>
    </row>
    <row r="61" spans="2:20" s="88" customFormat="1" ht="13.5" customHeight="1" outlineLevel="1">
      <c r="G61" s="177"/>
      <c r="H61" s="177"/>
      <c r="I61" s="177"/>
      <c r="J61" s="177"/>
      <c r="K61" s="177"/>
      <c r="L61" s="177"/>
      <c r="M61" s="177"/>
      <c r="N61" s="177"/>
      <c r="O61" s="177"/>
      <c r="P61" s="177"/>
      <c r="R61" s="462"/>
      <c r="T61" s="177"/>
    </row>
    <row r="62" spans="2:20" s="312" customFormat="1" ht="13.5" customHeight="1" outlineLevel="1">
      <c r="B62" s="88" t="s">
        <v>115</v>
      </c>
      <c r="F62" s="177">
        <f t="shared" ref="F62:P62" si="63">F12/F$10</f>
        <v>0.38112795302471664</v>
      </c>
      <c r="G62" s="177">
        <f t="shared" si="63"/>
        <v>0.39092219020172908</v>
      </c>
      <c r="H62" s="177">
        <f t="shared" si="63"/>
        <v>0.39113070539419081</v>
      </c>
      <c r="I62" s="177">
        <f t="shared" si="63"/>
        <v>0.39113070539419081</v>
      </c>
      <c r="J62" s="177">
        <f t="shared" si="63"/>
        <v>0.39113070539419076</v>
      </c>
      <c r="K62" s="177">
        <f t="shared" si="63"/>
        <v>0.39113070539419081</v>
      </c>
      <c r="L62" s="177">
        <f t="shared" si="63"/>
        <v>0.39113070539419076</v>
      </c>
      <c r="M62" s="177">
        <f t="shared" si="63"/>
        <v>0.39113070539419087</v>
      </c>
      <c r="N62" s="177">
        <f t="shared" si="63"/>
        <v>0.39113070539419087</v>
      </c>
      <c r="O62" s="177">
        <f t="shared" si="63"/>
        <v>0.39113070539419087</v>
      </c>
      <c r="P62" s="177">
        <f t="shared" si="63"/>
        <v>0.39113070539419081</v>
      </c>
      <c r="R62" s="463"/>
      <c r="S62" s="177">
        <f>IFERROR(S12/S$10,"NA")</f>
        <v>0.39092219020172908</v>
      </c>
      <c r="T62" s="177">
        <f>IFERROR(T12/T$10,"NA")</f>
        <v>0.39092219020172908</v>
      </c>
    </row>
    <row r="63" spans="2:20" s="312" customFormat="1" ht="13.5" customHeight="1" outlineLevel="1">
      <c r="B63" s="88" t="s">
        <v>116</v>
      </c>
      <c r="F63" s="177">
        <f t="shared" ref="F63:P63" si="64">F14/F$10</f>
        <v>0.22559060494332919</v>
      </c>
      <c r="G63" s="177">
        <f t="shared" si="64"/>
        <v>0.21158501440922192</v>
      </c>
      <c r="H63" s="177">
        <f t="shared" si="64"/>
        <v>0.21594917012448128</v>
      </c>
      <c r="I63" s="177">
        <f t="shared" si="64"/>
        <v>0.21594917012448128</v>
      </c>
      <c r="J63" s="177">
        <f t="shared" si="64"/>
        <v>0.21594917012448125</v>
      </c>
      <c r="K63" s="177">
        <f t="shared" si="64"/>
        <v>0.21594917012448131</v>
      </c>
      <c r="L63" s="177">
        <f t="shared" si="64"/>
        <v>0.21594917012448123</v>
      </c>
      <c r="M63" s="177">
        <f t="shared" si="64"/>
        <v>0.21594917012448131</v>
      </c>
      <c r="N63" s="177">
        <f t="shared" si="64"/>
        <v>0.21594917012448134</v>
      </c>
      <c r="O63" s="177">
        <f t="shared" si="64"/>
        <v>0.21594917012448134</v>
      </c>
      <c r="P63" s="177">
        <f t="shared" si="64"/>
        <v>0.21594917012448128</v>
      </c>
      <c r="R63" s="463"/>
      <c r="S63" s="177">
        <f>IFERROR(S14/S$10,"NA")</f>
        <v>0.21158501440922192</v>
      </c>
      <c r="T63" s="177">
        <f>IFERROR(T14/T$10,"NA")</f>
        <v>0.21158501440922192</v>
      </c>
    </row>
    <row r="64" spans="2:20" s="312" customFormat="1" ht="13.5" customHeight="1" outlineLevel="1">
      <c r="B64" s="88" t="s">
        <v>117</v>
      </c>
      <c r="F64" s="177">
        <f t="shared" ref="F64:P64" si="65">F18/F$10</f>
        <v>0.15376211934999315</v>
      </c>
      <c r="G64" s="177">
        <f t="shared" si="65"/>
        <v>0.15671469740634009</v>
      </c>
      <c r="H64" s="177">
        <f t="shared" si="65"/>
        <v>0.16226659751037339</v>
      </c>
      <c r="I64" s="177">
        <f t="shared" si="65"/>
        <v>0.16372831007167105</v>
      </c>
      <c r="J64" s="177">
        <f t="shared" si="65"/>
        <v>0.16505713967285066</v>
      </c>
      <c r="K64" s="177">
        <f t="shared" si="65"/>
        <v>0.17119079888767996</v>
      </c>
      <c r="L64" s="177">
        <f t="shared" si="65"/>
        <v>0.1783454356846472</v>
      </c>
      <c r="M64" s="177">
        <f t="shared" si="65"/>
        <v>0.17834543568464731</v>
      </c>
      <c r="N64" s="177">
        <f t="shared" si="65"/>
        <v>0.17834543568464734</v>
      </c>
      <c r="O64" s="177">
        <f t="shared" si="65"/>
        <v>0.17834543568464731</v>
      </c>
      <c r="P64" s="177">
        <f t="shared" si="65"/>
        <v>0.17834543568464725</v>
      </c>
      <c r="R64" s="463"/>
      <c r="S64" s="177">
        <f>IFERROR(S18/S$10,"NA")</f>
        <v>0.15671469740634009</v>
      </c>
      <c r="T64" s="177">
        <f>IFERROR(T18/T$10,"NA")</f>
        <v>0.15671469740634009</v>
      </c>
    </row>
    <row r="65" spans="1:20" s="312" customFormat="1" ht="13.5" customHeight="1" outlineLevel="1">
      <c r="B65" s="88" t="s">
        <v>118</v>
      </c>
      <c r="F65" s="177">
        <f t="shared" ref="F65:P65" si="66">F19/F$10</f>
        <v>0.19349993172197183</v>
      </c>
      <c r="G65" s="177">
        <f t="shared" si="66"/>
        <v>0.1900576368876081</v>
      </c>
      <c r="H65" s="177">
        <f t="shared" si="66"/>
        <v>0.19380186721991696</v>
      </c>
      <c r="I65" s="177">
        <f t="shared" si="66"/>
        <v>0.19380186721991699</v>
      </c>
      <c r="J65" s="177">
        <f t="shared" si="66"/>
        <v>0.19380186721991693</v>
      </c>
      <c r="K65" s="177">
        <f t="shared" si="66"/>
        <v>0.19380186721991699</v>
      </c>
      <c r="L65" s="177">
        <f t="shared" si="66"/>
        <v>0.19380186721991693</v>
      </c>
      <c r="M65" s="177">
        <f t="shared" si="66"/>
        <v>0.19380186721991699</v>
      </c>
      <c r="N65" s="177">
        <f t="shared" si="66"/>
        <v>0.19380186721991705</v>
      </c>
      <c r="O65" s="177">
        <f t="shared" si="66"/>
        <v>0.19380186721991702</v>
      </c>
      <c r="P65" s="177">
        <f t="shared" si="66"/>
        <v>0.19380186721991696</v>
      </c>
      <c r="R65" s="463"/>
      <c r="S65" s="177">
        <f>IFERROR(S19/S$10,"NA")</f>
        <v>0.1900576368876081</v>
      </c>
      <c r="T65" s="177">
        <f>IFERROR(T19/T$10,"NA")</f>
        <v>0.1900576368876081</v>
      </c>
    </row>
    <row r="66" spans="1:20" s="312" customFormat="1" ht="13.5" customHeight="1" outlineLevel="1">
      <c r="B66" s="88" t="s">
        <v>120</v>
      </c>
      <c r="F66" s="177">
        <f t="shared" ref="F66:P66" si="67">F32/F$10</f>
        <v>0.10787928444626516</v>
      </c>
      <c r="G66" s="177">
        <f t="shared" ca="1" si="67"/>
        <v>9.0315103656254322E-2</v>
      </c>
      <c r="H66" s="177">
        <f t="shared" ca="1" si="67"/>
        <v>9.6486902395523752E-2</v>
      </c>
      <c r="I66" s="177">
        <f t="shared" ca="1" si="67"/>
        <v>9.7723002064931314E-2</v>
      </c>
      <c r="J66" s="177">
        <f t="shared" ca="1" si="67"/>
        <v>9.9014840592625109E-2</v>
      </c>
      <c r="K66" s="177">
        <f t="shared" ca="1" si="67"/>
        <v>0.10388650530035827</v>
      </c>
      <c r="L66" s="177">
        <f t="shared" ca="1" si="67"/>
        <v>0.10933975048801321</v>
      </c>
      <c r="M66" s="177">
        <f t="shared" ca="1" si="67"/>
        <v>0.11006723883747836</v>
      </c>
      <c r="N66" s="177">
        <f t="shared" ca="1" si="67"/>
        <v>0.11072987252616777</v>
      </c>
      <c r="O66" s="177">
        <f t="shared" ca="1" si="67"/>
        <v>0.11133343290202861</v>
      </c>
      <c r="P66" s="177">
        <f t="shared" ca="1" si="67"/>
        <v>0.11188318597857619</v>
      </c>
      <c r="R66" s="463"/>
      <c r="S66" s="177">
        <f ca="1">IFERROR(S32/S$10,"NA")</f>
        <v>9.0315103656254322E-2</v>
      </c>
      <c r="T66" s="177">
        <f ca="1">IFERROR(T32/T$10,"NA")</f>
        <v>9.0315103656254322E-2</v>
      </c>
    </row>
    <row r="67" spans="1:20" s="312" customFormat="1" ht="13.5" customHeight="1" outlineLevel="1">
      <c r="B67" s="88" t="s">
        <v>119</v>
      </c>
      <c r="F67" s="177">
        <f>F41/F$10</f>
        <v>0.13369579083924474</v>
      </c>
      <c r="G67" s="177">
        <f t="shared" ref="G67:P67" ca="1" si="68">G41/G$10</f>
        <v>0.11198791429026009</v>
      </c>
      <c r="H67" s="177">
        <f t="shared" ca="1" si="68"/>
        <v>0.11698473310091795</v>
      </c>
      <c r="I67" s="177">
        <f t="shared" ca="1" si="68"/>
        <v>0.11727072399061972</v>
      </c>
      <c r="J67" s="177">
        <f t="shared" ca="1" si="68"/>
        <v>0.11769882726403555</v>
      </c>
      <c r="K67" s="177">
        <f t="shared" ca="1" si="68"/>
        <v>0.11858363188310735</v>
      </c>
      <c r="L67" s="177">
        <f t="shared" ca="1" si="68"/>
        <v>0.11938638461664393</v>
      </c>
      <c r="M67" s="177">
        <f t="shared" ca="1" si="68"/>
        <v>0.12011387296610906</v>
      </c>
      <c r="N67" s="177">
        <f t="shared" ca="1" si="68"/>
        <v>0.12077650665479849</v>
      </c>
      <c r="O67" s="177">
        <f t="shared" ca="1" si="68"/>
        <v>0.12138006703065933</v>
      </c>
      <c r="P67" s="177">
        <f t="shared" ca="1" si="68"/>
        <v>0.12192982010720689</v>
      </c>
      <c r="R67" s="463"/>
      <c r="S67" s="177">
        <f ca="1">IFERROR(S41/S$10,"NA")</f>
        <v>0.11198791429026009</v>
      </c>
      <c r="T67" s="177">
        <f ca="1">IFERROR(T41/T$10,"NA")</f>
        <v>0.11198791429026009</v>
      </c>
    </row>
    <row r="68" spans="1:20" s="88" customFormat="1" ht="13.5" customHeight="1" outlineLevel="1">
      <c r="G68" s="466"/>
      <c r="H68" s="466"/>
      <c r="I68" s="466"/>
      <c r="J68" s="466"/>
      <c r="K68" s="466"/>
      <c r="L68" s="466"/>
      <c r="M68" s="466"/>
      <c r="N68" s="466"/>
      <c r="O68" s="466"/>
      <c r="P68" s="466"/>
      <c r="R68" s="462"/>
      <c r="T68" s="466"/>
    </row>
    <row r="69" spans="1:20" ht="13.5" customHeight="1" outlineLevel="1">
      <c r="B69" s="36" t="s">
        <v>613</v>
      </c>
      <c r="F69" s="313">
        <f t="shared" ref="F69:P69" si="69">(F18+F28-F29-F31)/SUM(F110:F113,F117:F123)/F3</f>
        <v>8.399091218330175E-2</v>
      </c>
      <c r="G69" s="313">
        <f t="shared" ca="1" si="69"/>
        <v>0.10491191585247971</v>
      </c>
      <c r="H69" s="313">
        <f t="shared" ca="1" si="69"/>
        <v>0.10516534171249424</v>
      </c>
      <c r="I69" s="313">
        <f t="shared" ca="1" si="69"/>
        <v>0.10347352103128946</v>
      </c>
      <c r="J69" s="313">
        <f t="shared" ca="1" si="69"/>
        <v>0.10262960060220223</v>
      </c>
      <c r="K69" s="313">
        <f t="shared" ca="1" si="69"/>
        <v>0.10406864850048657</v>
      </c>
      <c r="L69" s="313">
        <f t="shared" ca="1" si="69"/>
        <v>0.10572154663790422</v>
      </c>
      <c r="M69" s="313">
        <f t="shared" ca="1" si="69"/>
        <v>0.10341656520313484</v>
      </c>
      <c r="N69" s="313">
        <f t="shared" ca="1" si="69"/>
        <v>0.10132533818630562</v>
      </c>
      <c r="O69" s="313">
        <f t="shared" ca="1" si="69"/>
        <v>9.9425379463465011E-2</v>
      </c>
      <c r="P69" s="313">
        <f t="shared" ca="1" si="69"/>
        <v>9.7696933836499494E-2</v>
      </c>
      <c r="R69" s="434"/>
      <c r="S69" s="313">
        <f ca="1">IFERROR((S18+S28-S29-S31)/SUM(S110:S113,S117:S123)/S3,"NA")</f>
        <v>0.11114866472017024</v>
      </c>
      <c r="T69" s="313">
        <f ca="1">IFERROR((T18+T28-T29-T31)/SUM(T110:T113,T117:T123)/T3,"NA")</f>
        <v>0.10491191585247971</v>
      </c>
    </row>
    <row r="70" spans="1:20" ht="13.5" customHeight="1" outlineLevel="1">
      <c r="B70" s="36" t="s">
        <v>614</v>
      </c>
      <c r="F70" s="313">
        <f t="shared" ref="F70:P70" si="70">F$35/SUM(F119:F123)/F3</f>
        <v>0.11601890667600691</v>
      </c>
      <c r="G70" s="313">
        <f t="shared" ca="1" si="70"/>
        <v>0.10168079907079058</v>
      </c>
      <c r="H70" s="313">
        <f t="shared" ca="1" si="70"/>
        <v>0.10614555721836684</v>
      </c>
      <c r="I70" s="313">
        <f t="shared" ca="1" si="70"/>
        <v>0.10423709214674609</v>
      </c>
      <c r="J70" s="313">
        <f t="shared" ca="1" si="70"/>
        <v>0.10261724314302001</v>
      </c>
      <c r="K70" s="313">
        <f t="shared" ca="1" si="70"/>
        <v>0.10442606450657352</v>
      </c>
      <c r="L70" s="313">
        <f t="shared" ca="1" si="70"/>
        <v>0.10639719089399673</v>
      </c>
      <c r="M70" s="313">
        <f t="shared" ca="1" si="70"/>
        <v>0.10399766468339022</v>
      </c>
      <c r="N70" s="313">
        <f t="shared" ca="1" si="70"/>
        <v>0.1018611546419437</v>
      </c>
      <c r="O70" s="313">
        <f t="shared" ca="1" si="70"/>
        <v>9.9950995960475339E-2</v>
      </c>
      <c r="P70" s="313">
        <f t="shared" ca="1" si="70"/>
        <v>9.8237028427115416E-2</v>
      </c>
      <c r="R70" s="434"/>
      <c r="S70" s="313">
        <f ca="1">IFERROR(S$35/SUM(S119:S123)/S3,"NA")</f>
        <v>0.10795829375386598</v>
      </c>
      <c r="T70" s="313">
        <f ca="1">IFERROR(T$35/SUM(T119:T123)/T3,"NA")</f>
        <v>0.10168079907079058</v>
      </c>
    </row>
    <row r="71" spans="1:20" ht="13.5" customHeight="1" outlineLevel="1">
      <c r="B71" s="36" t="s">
        <v>615</v>
      </c>
      <c r="F71" s="313">
        <f t="shared" ref="F71:P71" si="71">F$35/F98/F3</f>
        <v>6.7732626741998467E-2</v>
      </c>
      <c r="G71" s="313">
        <f t="shared" ca="1" si="71"/>
        <v>6.2087421086310213E-2</v>
      </c>
      <c r="H71" s="313">
        <f t="shared" ca="1" si="71"/>
        <v>6.6145427324368469E-2</v>
      </c>
      <c r="I71" s="313">
        <f t="shared" ca="1" si="71"/>
        <v>6.6404011671040528E-2</v>
      </c>
      <c r="J71" s="313">
        <f t="shared" ca="1" si="71"/>
        <v>6.7091609484968756E-2</v>
      </c>
      <c r="K71" s="313">
        <f t="shared" ca="1" si="71"/>
        <v>6.9973777637311385E-2</v>
      </c>
      <c r="L71" s="313">
        <f t="shared" ca="1" si="71"/>
        <v>7.2976546102274012E-2</v>
      </c>
      <c r="M71" s="313">
        <f t="shared" ca="1" si="71"/>
        <v>7.2817443756531069E-2</v>
      </c>
      <c r="N71" s="313">
        <f t="shared" ca="1" si="71"/>
        <v>7.2638416179584275E-2</v>
      </c>
      <c r="O71" s="313">
        <f t="shared" ca="1" si="71"/>
        <v>7.2445122484461305E-2</v>
      </c>
      <c r="P71" s="313">
        <f t="shared" ca="1" si="71"/>
        <v>7.2242230889245126E-2</v>
      </c>
      <c r="R71" s="434"/>
      <c r="S71" s="313">
        <f ca="1">IFERROR(S$35/S98/S3,"NA")</f>
        <v>6.4656893958892153E-2</v>
      </c>
      <c r="T71" s="313">
        <f ca="1">IFERROR(T$35/T98/T3,"NA")</f>
        <v>6.2087421086310213E-2</v>
      </c>
    </row>
    <row r="72" spans="1:20" s="88" customFormat="1" ht="13.5" customHeight="1" outlineLevel="1">
      <c r="G72" s="466"/>
      <c r="H72" s="466"/>
      <c r="I72" s="466"/>
      <c r="J72" s="466"/>
      <c r="K72" s="466"/>
      <c r="L72" s="466"/>
      <c r="M72" s="466"/>
      <c r="N72" s="466"/>
      <c r="O72" s="466"/>
      <c r="P72" s="466"/>
      <c r="R72" s="462"/>
      <c r="T72" s="466"/>
    </row>
    <row r="73" spans="1:20" s="312" customFormat="1" ht="13.5" customHeight="1" outlineLevel="1">
      <c r="B73" s="88" t="s">
        <v>16</v>
      </c>
      <c r="F73" s="399">
        <f>F31/F30</f>
        <v>0.35032894736842118</v>
      </c>
      <c r="G73" s="355">
        <f t="shared" ref="G73:P73" si="72">G412</f>
        <v>0.35000300000000006</v>
      </c>
      <c r="H73" s="355">
        <f t="shared" si="72"/>
        <v>0.35000300000000006</v>
      </c>
      <c r="I73" s="355">
        <f t="shared" si="72"/>
        <v>0.35000300000000006</v>
      </c>
      <c r="J73" s="355">
        <f t="shared" si="72"/>
        <v>0.35000300000000006</v>
      </c>
      <c r="K73" s="355">
        <f t="shared" si="72"/>
        <v>0.35000300000000006</v>
      </c>
      <c r="L73" s="355">
        <f t="shared" si="72"/>
        <v>0.35000300000000006</v>
      </c>
      <c r="M73" s="355">
        <f t="shared" si="72"/>
        <v>0.35000300000000006</v>
      </c>
      <c r="N73" s="355">
        <f t="shared" si="72"/>
        <v>0.35000300000000006</v>
      </c>
      <c r="O73" s="355">
        <f t="shared" si="72"/>
        <v>0.35000300000000006</v>
      </c>
      <c r="P73" s="355">
        <f t="shared" si="72"/>
        <v>0.35000300000000006</v>
      </c>
      <c r="R73" s="463"/>
      <c r="S73" s="177">
        <f>S412</f>
        <v>0.35000300000000006</v>
      </c>
      <c r="T73" s="177">
        <f>T412</f>
        <v>0.35000300000000006</v>
      </c>
    </row>
    <row r="74" spans="1:20" ht="5.0999999999999996" customHeight="1" outlineLevel="1" thickBot="1">
      <c r="B74" s="209"/>
      <c r="C74" s="209"/>
      <c r="D74" s="209"/>
      <c r="E74" s="209"/>
      <c r="F74" s="209"/>
      <c r="G74" s="209"/>
      <c r="H74" s="209"/>
      <c r="I74" s="209"/>
      <c r="J74" s="209"/>
      <c r="K74" s="209"/>
      <c r="L74" s="209"/>
      <c r="M74" s="209"/>
      <c r="N74" s="209"/>
      <c r="O74" s="209"/>
      <c r="P74" s="209"/>
      <c r="Q74" s="209"/>
      <c r="R74" s="209"/>
      <c r="S74" s="209"/>
      <c r="T74" s="209"/>
    </row>
    <row r="75" spans="1:20" ht="13.5" customHeight="1" outlineLevel="1">
      <c r="C75" s="381"/>
      <c r="G75" s="199"/>
      <c r="H75" s="199"/>
      <c r="I75" s="199"/>
      <c r="J75" s="199"/>
      <c r="K75" s="199"/>
      <c r="L75" s="199"/>
      <c r="M75" s="199"/>
      <c r="N75" s="199"/>
      <c r="O75" s="199"/>
      <c r="P75" s="199"/>
    </row>
    <row r="76" spans="1:20" ht="13.5" customHeight="1" outlineLevel="1" thickBot="1">
      <c r="C76" s="381"/>
      <c r="G76" s="199"/>
      <c r="H76" s="199"/>
      <c r="I76" s="199"/>
      <c r="J76" s="199"/>
      <c r="K76" s="199"/>
      <c r="L76" s="199"/>
      <c r="M76" s="199"/>
      <c r="N76" s="199"/>
      <c r="O76" s="199"/>
      <c r="P76" s="199"/>
    </row>
    <row r="77" spans="1:20" ht="20.7" thickTop="1">
      <c r="A77" s="281" t="s">
        <v>631</v>
      </c>
      <c r="B77" s="429" t="str">
        <f>acquirer&amp;" Balance Sheet"</f>
        <v>BuyerCo Balance Sheet</v>
      </c>
      <c r="C77" s="430"/>
      <c r="D77" s="431"/>
      <c r="E77" s="431"/>
      <c r="F77" s="431"/>
      <c r="G77" s="431"/>
      <c r="H77" s="431"/>
      <c r="I77" s="431"/>
      <c r="J77" s="431"/>
      <c r="K77" s="431"/>
      <c r="L77" s="431"/>
      <c r="M77" s="431"/>
      <c r="N77" s="431"/>
      <c r="O77" s="431"/>
      <c r="P77" s="431"/>
      <c r="Q77" s="431"/>
      <c r="R77" s="431"/>
      <c r="S77" s="431"/>
      <c r="T77" s="431"/>
    </row>
    <row r="78" spans="1:20" ht="5.0999999999999996" customHeight="1" outlineLevel="1">
      <c r="B78" s="107"/>
      <c r="C78" s="285"/>
      <c r="L78" s="57"/>
    </row>
    <row r="79" spans="1:20" ht="13.5" customHeight="1" outlineLevel="1">
      <c r="B79" s="286"/>
      <c r="C79" s="286"/>
      <c r="D79" s="286"/>
      <c r="E79" s="42"/>
      <c r="F79" s="432" t="s">
        <v>630</v>
      </c>
      <c r="G79" s="433" t="s">
        <v>629</v>
      </c>
      <c r="H79" s="433"/>
      <c r="I79" s="433"/>
      <c r="J79" s="433"/>
      <c r="K79" s="433"/>
      <c r="L79" s="433"/>
      <c r="M79" s="433"/>
      <c r="N79" s="433"/>
      <c r="O79" s="433"/>
      <c r="P79" s="433"/>
      <c r="R79" s="434"/>
      <c r="S79" s="433" t="s">
        <v>628</v>
      </c>
      <c r="T79" s="433"/>
    </row>
    <row r="80" spans="1:20" ht="13.5" customHeight="1" outlineLevel="1" thickBot="1">
      <c r="B80" s="435" t="str">
        <f>"("&amp;curr&amp;" in millions)"</f>
        <v>($ in millions)</v>
      </c>
      <c r="C80" s="436"/>
      <c r="D80" s="436"/>
      <c r="E80" s="437"/>
      <c r="F80" s="439">
        <f>F$8</f>
        <v>44926</v>
      </c>
      <c r="G80" s="439">
        <f>G$8</f>
        <v>45291</v>
      </c>
      <c r="H80" s="439">
        <f>H$8</f>
        <v>45657</v>
      </c>
      <c r="I80" s="439">
        <f>I$8</f>
        <v>46022</v>
      </c>
      <c r="J80" s="439">
        <f t="shared" ref="J80:P80" si="73">J$8</f>
        <v>46387</v>
      </c>
      <c r="K80" s="439">
        <f t="shared" si="73"/>
        <v>46752</v>
      </c>
      <c r="L80" s="439">
        <f t="shared" si="73"/>
        <v>47118</v>
      </c>
      <c r="M80" s="439">
        <f t="shared" si="73"/>
        <v>47483</v>
      </c>
      <c r="N80" s="439">
        <f t="shared" si="73"/>
        <v>47848</v>
      </c>
      <c r="O80" s="439">
        <f t="shared" si="73"/>
        <v>48213</v>
      </c>
      <c r="P80" s="439">
        <f t="shared" si="73"/>
        <v>48579</v>
      </c>
      <c r="R80" s="434"/>
      <c r="S80" s="440">
        <f>S$8</f>
        <v>45107</v>
      </c>
      <c r="T80" s="440">
        <f>T$8</f>
        <v>45291</v>
      </c>
    </row>
    <row r="81" spans="2:20" ht="5.0999999999999996" customHeight="1" outlineLevel="1">
      <c r="B81" s="318"/>
      <c r="C81" s="318"/>
      <c r="D81" s="318"/>
      <c r="E81" s="319"/>
      <c r="F81" s="319"/>
      <c r="G81" s="319"/>
      <c r="H81" s="319"/>
      <c r="I81" s="319"/>
      <c r="J81" s="319"/>
      <c r="K81" s="319"/>
      <c r="L81" s="327"/>
      <c r="R81" s="434"/>
      <c r="S81" s="319"/>
      <c r="T81" s="319"/>
    </row>
    <row r="82" spans="2:20" ht="13.5" customHeight="1" outlineLevel="1">
      <c r="B82" s="457" t="s">
        <v>40</v>
      </c>
      <c r="C82" s="458"/>
      <c r="D82" s="459"/>
      <c r="E82" s="459"/>
      <c r="F82" s="459"/>
      <c r="G82" s="459"/>
      <c r="H82" s="459"/>
      <c r="I82" s="459"/>
      <c r="J82" s="459"/>
      <c r="K82" s="459"/>
      <c r="L82" s="459"/>
      <c r="M82" s="459"/>
      <c r="N82" s="459"/>
      <c r="O82" s="459"/>
      <c r="P82" s="460"/>
      <c r="R82" s="434"/>
      <c r="S82" s="461"/>
      <c r="T82" s="460"/>
    </row>
    <row r="83" spans="2:20" ht="13.5" customHeight="1" outlineLevel="1">
      <c r="B83" s="318"/>
      <c r="C83" s="318"/>
      <c r="D83" s="318"/>
      <c r="E83" s="319"/>
      <c r="F83" s="319"/>
      <c r="G83" s="319"/>
      <c r="H83" s="319"/>
      <c r="I83" s="319"/>
      <c r="J83" s="319"/>
      <c r="K83" s="319"/>
      <c r="L83" s="327"/>
      <c r="R83" s="434"/>
      <c r="S83" s="319"/>
      <c r="T83" s="319"/>
    </row>
    <row r="84" spans="2:20" ht="13.5" customHeight="1" outlineLevel="1">
      <c r="B84" s="85" t="s">
        <v>51</v>
      </c>
      <c r="E84" s="418"/>
      <c r="F84" s="467">
        <v>1231.797</v>
      </c>
      <c r="G84" s="388">
        <f t="shared" ref="G84:P84" ca="1" si="74">MAX(0,F84+G170)</f>
        <v>1401.5540400277307</v>
      </c>
      <c r="H84" s="388">
        <f t="shared" ca="1" si="74"/>
        <v>1794.5882095803699</v>
      </c>
      <c r="I84" s="388">
        <f t="shared" ca="1" si="74"/>
        <v>2213.767963627085</v>
      </c>
      <c r="J84" s="388">
        <f t="shared" ca="1" si="74"/>
        <v>2633.2707606386948</v>
      </c>
      <c r="K84" s="388">
        <f t="shared" ca="1" si="74"/>
        <v>3089.1126295108943</v>
      </c>
      <c r="L84" s="388">
        <f t="shared" ca="1" si="74"/>
        <v>3581.7991325230842</v>
      </c>
      <c r="M84" s="388">
        <f t="shared" ca="1" si="74"/>
        <v>4129.1378525575974</v>
      </c>
      <c r="N84" s="388">
        <f t="shared" ca="1" si="74"/>
        <v>4736.6027595722098</v>
      </c>
      <c r="O84" s="388">
        <f t="shared" ca="1" si="74"/>
        <v>5410.215234736329</v>
      </c>
      <c r="P84" s="388">
        <f t="shared" ca="1" si="74"/>
        <v>6156.5988115752471</v>
      </c>
      <c r="R84" s="434"/>
      <c r="S84" s="388">
        <f ca="1">MAX(0,F84+S170)</f>
        <v>1234.4111951841294</v>
      </c>
      <c r="T84" s="388">
        <f ca="1">MAX(0,S84+T170)</f>
        <v>1401.5540400277307</v>
      </c>
    </row>
    <row r="85" spans="2:20" ht="13.5" customHeight="1" outlineLevel="1">
      <c r="B85" s="85" t="s">
        <v>52</v>
      </c>
      <c r="E85" s="418"/>
      <c r="F85" s="468">
        <v>568.50300000000004</v>
      </c>
      <c r="G85" s="199">
        <f t="shared" ref="G85:P88" si="75">G181</f>
        <v>673.46217738631719</v>
      </c>
      <c r="H85" s="199">
        <f t="shared" si="75"/>
        <v>748.37756657107752</v>
      </c>
      <c r="I85" s="199">
        <f t="shared" si="75"/>
        <v>823.2153232281853</v>
      </c>
      <c r="J85" s="199">
        <f t="shared" si="75"/>
        <v>905.53685555100401</v>
      </c>
      <c r="K85" s="199">
        <f t="shared" si="75"/>
        <v>996.09054110610452</v>
      </c>
      <c r="L85" s="199">
        <f t="shared" si="75"/>
        <v>1095.6995952167151</v>
      </c>
      <c r="M85" s="199">
        <f t="shared" si="75"/>
        <v>1205.2695547383867</v>
      </c>
      <c r="N85" s="199">
        <f t="shared" si="75"/>
        <v>1325.7965102122255</v>
      </c>
      <c r="O85" s="199">
        <f t="shared" si="75"/>
        <v>1458.3761612334481</v>
      </c>
      <c r="P85" s="199">
        <f t="shared" si="75"/>
        <v>1604.2137773567931</v>
      </c>
      <c r="R85" s="434"/>
      <c r="S85" s="199">
        <f t="shared" ref="S85:T88" si="76">S181</f>
        <v>673.46217738631719</v>
      </c>
      <c r="T85" s="199">
        <f>T181</f>
        <v>673.46217738631719</v>
      </c>
    </row>
    <row r="86" spans="2:20" ht="13.5" customHeight="1" outlineLevel="1">
      <c r="B86" s="85" t="s">
        <v>53</v>
      </c>
      <c r="E86" s="418"/>
      <c r="F86" s="468">
        <v>0</v>
      </c>
      <c r="G86" s="199">
        <f t="shared" si="75"/>
        <v>0</v>
      </c>
      <c r="H86" s="199">
        <f t="shared" si="75"/>
        <v>0</v>
      </c>
      <c r="I86" s="199">
        <f t="shared" si="75"/>
        <v>0</v>
      </c>
      <c r="J86" s="199">
        <f t="shared" si="75"/>
        <v>0</v>
      </c>
      <c r="K86" s="199">
        <f t="shared" si="75"/>
        <v>0</v>
      </c>
      <c r="L86" s="199">
        <f t="shared" si="75"/>
        <v>0</v>
      </c>
      <c r="M86" s="199">
        <f t="shared" si="75"/>
        <v>0</v>
      </c>
      <c r="N86" s="199">
        <f t="shared" si="75"/>
        <v>0</v>
      </c>
      <c r="O86" s="199">
        <f t="shared" si="75"/>
        <v>0</v>
      </c>
      <c r="P86" s="199">
        <f t="shared" si="75"/>
        <v>0</v>
      </c>
      <c r="R86" s="434"/>
      <c r="S86" s="199">
        <f t="shared" si="76"/>
        <v>0</v>
      </c>
      <c r="T86" s="199">
        <f t="shared" si="76"/>
        <v>0</v>
      </c>
    </row>
    <row r="87" spans="2:20" ht="13.5" customHeight="1" outlineLevel="1">
      <c r="B87" s="139" t="s">
        <v>84</v>
      </c>
      <c r="E87" s="418"/>
      <c r="F87" s="468">
        <v>108.959</v>
      </c>
      <c r="G87" s="199">
        <f t="shared" si="75"/>
        <v>129.0754233237744</v>
      </c>
      <c r="H87" s="199">
        <f t="shared" si="75"/>
        <v>143.43366926123173</v>
      </c>
      <c r="I87" s="199">
        <f t="shared" si="75"/>
        <v>157.77703618735492</v>
      </c>
      <c r="J87" s="199">
        <f t="shared" si="75"/>
        <v>173.55473980609045</v>
      </c>
      <c r="K87" s="199">
        <f t="shared" si="75"/>
        <v>190.91021378669953</v>
      </c>
      <c r="L87" s="199">
        <f t="shared" si="75"/>
        <v>210.00123516536948</v>
      </c>
      <c r="M87" s="199">
        <f t="shared" si="75"/>
        <v>231.00135868190645</v>
      </c>
      <c r="N87" s="199">
        <f t="shared" si="75"/>
        <v>254.1014945500971</v>
      </c>
      <c r="O87" s="199">
        <f t="shared" si="75"/>
        <v>279.51164400510686</v>
      </c>
      <c r="P87" s="199">
        <f t="shared" si="75"/>
        <v>307.46280840561758</v>
      </c>
      <c r="R87" s="434"/>
      <c r="S87" s="199">
        <f t="shared" si="76"/>
        <v>129.0754233237744</v>
      </c>
      <c r="T87" s="199">
        <f t="shared" si="76"/>
        <v>129.0754233237744</v>
      </c>
    </row>
    <row r="88" spans="2:20" ht="13.5" customHeight="1" outlineLevel="1">
      <c r="B88" s="85" t="s">
        <v>54</v>
      </c>
      <c r="E88" s="418"/>
      <c r="F88" s="468">
        <v>123.46299999999999</v>
      </c>
      <c r="G88" s="199">
        <f t="shared" si="75"/>
        <v>143.94254771624009</v>
      </c>
      <c r="H88" s="199">
        <f t="shared" si="75"/>
        <v>159.89984079876436</v>
      </c>
      <c r="I88" s="199">
        <f t="shared" si="75"/>
        <v>175.88982487864081</v>
      </c>
      <c r="J88" s="199">
        <f t="shared" si="75"/>
        <v>193.47880736650492</v>
      </c>
      <c r="K88" s="199">
        <f t="shared" si="75"/>
        <v>212.82668810315545</v>
      </c>
      <c r="L88" s="199">
        <f t="shared" si="75"/>
        <v>234.109356913471</v>
      </c>
      <c r="M88" s="199">
        <f t="shared" si="75"/>
        <v>257.52029260481811</v>
      </c>
      <c r="N88" s="199">
        <f t="shared" si="75"/>
        <v>283.27232186529994</v>
      </c>
      <c r="O88" s="199">
        <f t="shared" si="75"/>
        <v>311.59955405182995</v>
      </c>
      <c r="P88" s="199">
        <f t="shared" si="75"/>
        <v>342.759509457013</v>
      </c>
      <c r="R88" s="434"/>
      <c r="S88" s="199">
        <f t="shared" si="76"/>
        <v>143.94254771624009</v>
      </c>
      <c r="T88" s="199">
        <f t="shared" si="76"/>
        <v>143.94254771624009</v>
      </c>
    </row>
    <row r="89" spans="2:20" ht="13.5" customHeight="1" outlineLevel="1">
      <c r="B89" s="248" t="s">
        <v>50</v>
      </c>
      <c r="C89" s="248"/>
      <c r="D89" s="248"/>
      <c r="E89" s="294"/>
      <c r="F89" s="239">
        <f>SUM(F84:F88)</f>
        <v>2032.7220000000002</v>
      </c>
      <c r="G89" s="241">
        <f t="shared" ref="G89:P89" ca="1" si="77">SUM(G84:G88)</f>
        <v>2348.0341884540621</v>
      </c>
      <c r="H89" s="241">
        <f t="shared" ca="1" si="77"/>
        <v>2846.2992862114434</v>
      </c>
      <c r="I89" s="241">
        <f t="shared" ca="1" si="77"/>
        <v>3370.6501479212661</v>
      </c>
      <c r="J89" s="241">
        <f t="shared" ca="1" si="77"/>
        <v>3905.8411633622941</v>
      </c>
      <c r="K89" s="241">
        <f t="shared" ca="1" si="77"/>
        <v>4488.9400725068535</v>
      </c>
      <c r="L89" s="241">
        <f t="shared" ca="1" si="77"/>
        <v>5121.60931981864</v>
      </c>
      <c r="M89" s="241">
        <f t="shared" ca="1" si="77"/>
        <v>5822.9290585827084</v>
      </c>
      <c r="N89" s="241">
        <f t="shared" ca="1" si="77"/>
        <v>6599.7730861998325</v>
      </c>
      <c r="O89" s="241">
        <f t="shared" ca="1" si="77"/>
        <v>7459.702594026714</v>
      </c>
      <c r="P89" s="241">
        <f t="shared" ca="1" si="77"/>
        <v>8411.03490679467</v>
      </c>
      <c r="R89" s="434"/>
      <c r="S89" s="469">
        <f ca="1">SUM(S84:S88)</f>
        <v>2180.8913436104608</v>
      </c>
      <c r="T89" s="469">
        <f ca="1">SUM(T84:T88)</f>
        <v>2348.0341884540621</v>
      </c>
    </row>
    <row r="90" spans="2:20" ht="13.5" customHeight="1" outlineLevel="1">
      <c r="B90" s="85" t="s">
        <v>47</v>
      </c>
      <c r="C90" s="57"/>
      <c r="D90" s="57"/>
      <c r="E90" s="293"/>
      <c r="F90" s="468">
        <v>415.76499999999999</v>
      </c>
      <c r="G90" s="90">
        <f t="shared" ref="G90:P90" si="78">F90+G46</f>
        <v>619.36500000000001</v>
      </c>
      <c r="H90" s="90">
        <f t="shared" si="78"/>
        <v>845.66499999999996</v>
      </c>
      <c r="I90" s="90">
        <f t="shared" si="78"/>
        <v>1094.595</v>
      </c>
      <c r="J90" s="90">
        <f t="shared" si="78"/>
        <v>1368.4180000000001</v>
      </c>
      <c r="K90" s="90">
        <f t="shared" si="78"/>
        <v>1669.6233000000002</v>
      </c>
      <c r="L90" s="90">
        <f t="shared" si="78"/>
        <v>2000.9491300000004</v>
      </c>
      <c r="M90" s="90">
        <f t="shared" si="78"/>
        <v>2365.4075430000007</v>
      </c>
      <c r="N90" s="90">
        <f t="shared" si="78"/>
        <v>2766.3117973000008</v>
      </c>
      <c r="O90" s="90">
        <f t="shared" si="78"/>
        <v>3207.3064770300011</v>
      </c>
      <c r="P90" s="90">
        <f t="shared" si="78"/>
        <v>3692.4006247330017</v>
      </c>
      <c r="R90" s="434"/>
      <c r="S90" s="90">
        <f>F90+S46</f>
        <v>517.56499999999994</v>
      </c>
      <c r="T90" s="90">
        <f>S90+T46</f>
        <v>619.3649999999999</v>
      </c>
    </row>
    <row r="91" spans="2:20" ht="13.5" customHeight="1" outlineLevel="1">
      <c r="B91" s="85" t="s">
        <v>48</v>
      </c>
      <c r="C91" s="57"/>
      <c r="D91" s="57"/>
      <c r="E91" s="293"/>
      <c r="F91" s="90">
        <f>F92-F90</f>
        <v>-19.476999999999975</v>
      </c>
      <c r="G91" s="199">
        <f t="shared" ref="G91:P91" si="79">F91-G15</f>
        <v>-94.176999999999978</v>
      </c>
      <c r="H91" s="199">
        <f t="shared" si="79"/>
        <v>-179.577</v>
      </c>
      <c r="I91" s="199">
        <f t="shared" si="79"/>
        <v>-273.517</v>
      </c>
      <c r="J91" s="199">
        <f t="shared" si="79"/>
        <v>-376.851</v>
      </c>
      <c r="K91" s="199">
        <f t="shared" si="79"/>
        <v>-490.51840000000004</v>
      </c>
      <c r="L91" s="199">
        <f t="shared" si="79"/>
        <v>-615.55254000000014</v>
      </c>
      <c r="M91" s="199">
        <f t="shared" si="79"/>
        <v>-753.09009400000025</v>
      </c>
      <c r="N91" s="199">
        <f t="shared" si="79"/>
        <v>-904.38140340000041</v>
      </c>
      <c r="O91" s="199">
        <f t="shared" si="79"/>
        <v>-1070.8018437400005</v>
      </c>
      <c r="P91" s="199">
        <f t="shared" si="79"/>
        <v>-1253.8643281140007</v>
      </c>
      <c r="R91" s="434"/>
      <c r="S91" s="199">
        <f>F91-S15</f>
        <v>-56.826999999999977</v>
      </c>
      <c r="T91" s="199">
        <f>S91-T15</f>
        <v>-94.176999999999978</v>
      </c>
    </row>
    <row r="92" spans="2:20" ht="13.5" customHeight="1" outlineLevel="1">
      <c r="B92" s="248" t="s">
        <v>49</v>
      </c>
      <c r="C92" s="248"/>
      <c r="D92" s="248"/>
      <c r="E92" s="239"/>
      <c r="F92" s="449">
        <v>396.28800000000001</v>
      </c>
      <c r="G92" s="239">
        <f t="shared" ref="G92:P92" si="80">SUM(G90:G91)</f>
        <v>525.18799999999999</v>
      </c>
      <c r="H92" s="239">
        <f t="shared" si="80"/>
        <v>666.08799999999997</v>
      </c>
      <c r="I92" s="239">
        <f t="shared" si="80"/>
        <v>821.07799999999997</v>
      </c>
      <c r="J92" s="239">
        <f t="shared" si="80"/>
        <v>991.56700000000012</v>
      </c>
      <c r="K92" s="239">
        <f t="shared" si="80"/>
        <v>1179.1049000000003</v>
      </c>
      <c r="L92" s="239">
        <f t="shared" si="80"/>
        <v>1385.3965900000003</v>
      </c>
      <c r="M92" s="239">
        <f t="shared" si="80"/>
        <v>1612.3174490000006</v>
      </c>
      <c r="N92" s="239">
        <f t="shared" si="80"/>
        <v>1861.9303939000004</v>
      </c>
      <c r="O92" s="239">
        <f t="shared" si="80"/>
        <v>2136.5046332900006</v>
      </c>
      <c r="P92" s="239">
        <f t="shared" si="80"/>
        <v>2438.536296619001</v>
      </c>
      <c r="R92" s="434"/>
      <c r="S92" s="469">
        <f t="shared" ref="S92" si="81">SUM(S90:S91)</f>
        <v>460.73799999999994</v>
      </c>
      <c r="T92" s="469">
        <f>SUM(T90:T91)</f>
        <v>525.18799999999987</v>
      </c>
    </row>
    <row r="93" spans="2:20" ht="13.5" customHeight="1" outlineLevel="1">
      <c r="B93" s="57" t="s">
        <v>11</v>
      </c>
      <c r="C93" s="57"/>
      <c r="D93" s="57"/>
      <c r="E93" s="293"/>
      <c r="F93" s="468">
        <v>1487.626</v>
      </c>
      <c r="G93" s="199">
        <f>F93</f>
        <v>1487.626</v>
      </c>
      <c r="H93" s="199">
        <f t="shared" ref="H93:P93" si="82">G93</f>
        <v>1487.626</v>
      </c>
      <c r="I93" s="199">
        <f t="shared" si="82"/>
        <v>1487.626</v>
      </c>
      <c r="J93" s="199">
        <f t="shared" si="82"/>
        <v>1487.626</v>
      </c>
      <c r="K93" s="199">
        <f t="shared" si="82"/>
        <v>1487.626</v>
      </c>
      <c r="L93" s="199">
        <f t="shared" si="82"/>
        <v>1487.626</v>
      </c>
      <c r="M93" s="199">
        <f t="shared" si="82"/>
        <v>1487.626</v>
      </c>
      <c r="N93" s="199">
        <f t="shared" si="82"/>
        <v>1487.626</v>
      </c>
      <c r="O93" s="199">
        <f t="shared" si="82"/>
        <v>1487.626</v>
      </c>
      <c r="P93" s="199">
        <f t="shared" si="82"/>
        <v>1487.626</v>
      </c>
      <c r="R93" s="434"/>
      <c r="S93" s="90">
        <f>$F93</f>
        <v>1487.626</v>
      </c>
      <c r="T93" s="199">
        <f>$F93</f>
        <v>1487.626</v>
      </c>
    </row>
    <row r="94" spans="2:20" ht="13.5" customHeight="1" outlineLevel="1">
      <c r="B94" s="57" t="s">
        <v>56</v>
      </c>
      <c r="C94" s="57"/>
      <c r="D94" s="57"/>
      <c r="E94" s="293"/>
      <c r="F94" s="468">
        <v>284.72000000000003</v>
      </c>
      <c r="G94" s="199">
        <f t="shared" ref="G94:P94" si="83">MAX(0,F94-G16)</f>
        <v>222.72000000000003</v>
      </c>
      <c r="H94" s="199">
        <f t="shared" si="83"/>
        <v>160.72000000000003</v>
      </c>
      <c r="I94" s="199">
        <f t="shared" si="83"/>
        <v>98.720000000000027</v>
      </c>
      <c r="J94" s="199">
        <f t="shared" si="83"/>
        <v>36.720000000000027</v>
      </c>
      <c r="K94" s="199">
        <f t="shared" si="83"/>
        <v>0</v>
      </c>
      <c r="L94" s="199">
        <f t="shared" si="83"/>
        <v>0</v>
      </c>
      <c r="M94" s="199">
        <f t="shared" si="83"/>
        <v>0</v>
      </c>
      <c r="N94" s="199">
        <f t="shared" si="83"/>
        <v>0</v>
      </c>
      <c r="O94" s="199">
        <f t="shared" si="83"/>
        <v>0</v>
      </c>
      <c r="P94" s="199">
        <f t="shared" si="83"/>
        <v>0</v>
      </c>
      <c r="R94" s="434"/>
      <c r="S94" s="199">
        <f>MAX(0,F94-S16)</f>
        <v>253.72000000000003</v>
      </c>
      <c r="T94" s="199">
        <f>MAX(0,S94-T16)</f>
        <v>222.72000000000003</v>
      </c>
    </row>
    <row r="95" spans="2:20" ht="13.5" customHeight="1" outlineLevel="1">
      <c r="B95" s="57" t="s">
        <v>436</v>
      </c>
      <c r="C95" s="57"/>
      <c r="D95" s="57"/>
      <c r="E95" s="293"/>
      <c r="F95" s="468">
        <v>0</v>
      </c>
      <c r="G95" s="199">
        <f t="shared" ref="G95:P95" si="84">F95+G227</f>
        <v>0</v>
      </c>
      <c r="H95" s="199">
        <f t="shared" si="84"/>
        <v>0</v>
      </c>
      <c r="I95" s="199">
        <f t="shared" si="84"/>
        <v>0</v>
      </c>
      <c r="J95" s="199">
        <f t="shared" si="84"/>
        <v>0</v>
      </c>
      <c r="K95" s="199">
        <f t="shared" si="84"/>
        <v>0</v>
      </c>
      <c r="L95" s="199">
        <f t="shared" si="84"/>
        <v>0</v>
      </c>
      <c r="M95" s="199">
        <f t="shared" si="84"/>
        <v>0</v>
      </c>
      <c r="N95" s="199">
        <f t="shared" si="84"/>
        <v>0</v>
      </c>
      <c r="O95" s="199">
        <f t="shared" si="84"/>
        <v>0</v>
      </c>
      <c r="P95" s="199">
        <f t="shared" si="84"/>
        <v>0</v>
      </c>
      <c r="R95" s="434"/>
      <c r="S95" s="199">
        <f>F95+S227</f>
        <v>0</v>
      </c>
      <c r="T95" s="199">
        <f>S95+T227</f>
        <v>0</v>
      </c>
    </row>
    <row r="96" spans="2:20" ht="13.5" customHeight="1" outlineLevel="1">
      <c r="B96" s="57" t="s">
        <v>55</v>
      </c>
      <c r="C96" s="57"/>
      <c r="D96" s="57"/>
      <c r="E96" s="293"/>
      <c r="F96" s="468">
        <v>0</v>
      </c>
      <c r="G96" s="199">
        <f>F96</f>
        <v>0</v>
      </c>
      <c r="H96" s="199">
        <f t="shared" ref="H96:P97" si="85">G96</f>
        <v>0</v>
      </c>
      <c r="I96" s="199">
        <f t="shared" si="85"/>
        <v>0</v>
      </c>
      <c r="J96" s="199">
        <f t="shared" si="85"/>
        <v>0</v>
      </c>
      <c r="K96" s="199">
        <f t="shared" si="85"/>
        <v>0</v>
      </c>
      <c r="L96" s="199">
        <f t="shared" si="85"/>
        <v>0</v>
      </c>
      <c r="M96" s="199">
        <f t="shared" si="85"/>
        <v>0</v>
      </c>
      <c r="N96" s="199">
        <f t="shared" si="85"/>
        <v>0</v>
      </c>
      <c r="O96" s="199">
        <f t="shared" si="85"/>
        <v>0</v>
      </c>
      <c r="P96" s="199">
        <f t="shared" si="85"/>
        <v>0</v>
      </c>
      <c r="R96" s="434"/>
      <c r="S96" s="199">
        <f>$F96</f>
        <v>0</v>
      </c>
      <c r="T96" s="199">
        <f>$F96</f>
        <v>0</v>
      </c>
    </row>
    <row r="97" spans="2:20" ht="13.5" customHeight="1" outlineLevel="1">
      <c r="B97" s="470" t="s">
        <v>10</v>
      </c>
      <c r="C97" s="470"/>
      <c r="D97" s="470"/>
      <c r="E97" s="471"/>
      <c r="F97" s="468">
        <v>464.04700000000003</v>
      </c>
      <c r="G97" s="472">
        <f>F97</f>
        <v>464.04700000000003</v>
      </c>
      <c r="H97" s="472">
        <f t="shared" si="85"/>
        <v>464.04700000000003</v>
      </c>
      <c r="I97" s="472">
        <f t="shared" si="85"/>
        <v>464.04700000000003</v>
      </c>
      <c r="J97" s="472">
        <f t="shared" si="85"/>
        <v>464.04700000000003</v>
      </c>
      <c r="K97" s="472">
        <f t="shared" si="85"/>
        <v>464.04700000000003</v>
      </c>
      <c r="L97" s="472">
        <f t="shared" si="85"/>
        <v>464.04700000000003</v>
      </c>
      <c r="M97" s="472">
        <f t="shared" si="85"/>
        <v>464.04700000000003</v>
      </c>
      <c r="N97" s="472">
        <f t="shared" si="85"/>
        <v>464.04700000000003</v>
      </c>
      <c r="O97" s="472">
        <f t="shared" si="85"/>
        <v>464.04700000000003</v>
      </c>
      <c r="P97" s="472">
        <f t="shared" si="85"/>
        <v>464.04700000000003</v>
      </c>
      <c r="R97" s="434"/>
      <c r="S97" s="472">
        <f>$F97</f>
        <v>464.04700000000003</v>
      </c>
      <c r="T97" s="472">
        <f>$F97</f>
        <v>464.04700000000003</v>
      </c>
    </row>
    <row r="98" spans="2:20" ht="13.5" customHeight="1" outlineLevel="1">
      <c r="B98" s="253" t="s">
        <v>9</v>
      </c>
      <c r="C98" s="253"/>
      <c r="D98" s="253"/>
      <c r="E98" s="256"/>
      <c r="F98" s="256">
        <f t="shared" ref="F98:P98" si="86">SUM(F89,F92:F97)</f>
        <v>4665.4030000000002</v>
      </c>
      <c r="G98" s="256">
        <f t="shared" ca="1" si="86"/>
        <v>5047.6151884540632</v>
      </c>
      <c r="H98" s="256">
        <f t="shared" ca="1" si="86"/>
        <v>5624.780286211444</v>
      </c>
      <c r="I98" s="256">
        <f t="shared" ca="1" si="86"/>
        <v>6242.121147921267</v>
      </c>
      <c r="J98" s="256">
        <f t="shared" ca="1" si="86"/>
        <v>6885.8011633622955</v>
      </c>
      <c r="K98" s="256">
        <f t="shared" ca="1" si="86"/>
        <v>7619.7179725068545</v>
      </c>
      <c r="L98" s="256">
        <f t="shared" ca="1" si="86"/>
        <v>8458.67890981864</v>
      </c>
      <c r="M98" s="256">
        <f t="shared" ca="1" si="86"/>
        <v>9386.9195075827101</v>
      </c>
      <c r="N98" s="256">
        <f t="shared" ca="1" si="86"/>
        <v>10413.376480099834</v>
      </c>
      <c r="O98" s="256">
        <f t="shared" ca="1" si="86"/>
        <v>11547.880227316715</v>
      </c>
      <c r="P98" s="256">
        <f t="shared" ca="1" si="86"/>
        <v>12801.244203413671</v>
      </c>
      <c r="R98" s="434"/>
      <c r="S98" s="256">
        <f ca="1">SUM(S89,S92:S97)</f>
        <v>4847.0223436104607</v>
      </c>
      <c r="T98" s="256">
        <f ca="1">SUM(T89,T92:T97)</f>
        <v>5047.6151884540632</v>
      </c>
    </row>
    <row r="99" spans="2:20" ht="13.5" customHeight="1" outlineLevel="1">
      <c r="R99" s="434"/>
    </row>
    <row r="100" spans="2:20" ht="13.5" customHeight="1" outlineLevel="1">
      <c r="B100" s="457" t="s">
        <v>64</v>
      </c>
      <c r="C100" s="458"/>
      <c r="D100" s="459"/>
      <c r="E100" s="459"/>
      <c r="F100" s="459"/>
      <c r="G100" s="459"/>
      <c r="H100" s="459"/>
      <c r="I100" s="459"/>
      <c r="J100" s="459"/>
      <c r="K100" s="459"/>
      <c r="L100" s="459"/>
      <c r="M100" s="459"/>
      <c r="N100" s="459"/>
      <c r="O100" s="459"/>
      <c r="P100" s="460"/>
      <c r="R100" s="434"/>
      <c r="S100" s="461"/>
      <c r="T100" s="460"/>
    </row>
    <row r="101" spans="2:20" ht="13.5" customHeight="1" outlineLevel="1">
      <c r="C101" s="318"/>
      <c r="D101" s="318"/>
      <c r="E101" s="319"/>
      <c r="F101" s="319"/>
      <c r="G101" s="319"/>
      <c r="H101" s="319"/>
      <c r="I101" s="319"/>
      <c r="J101" s="319"/>
      <c r="K101" s="319"/>
      <c r="L101" s="319"/>
      <c r="M101" s="319"/>
      <c r="N101" s="319"/>
      <c r="O101" s="319"/>
      <c r="P101" s="319"/>
      <c r="R101" s="434"/>
      <c r="S101" s="319"/>
      <c r="T101" s="319"/>
    </row>
    <row r="102" spans="2:20" ht="13.5" customHeight="1" outlineLevel="1">
      <c r="B102" s="85" t="s">
        <v>57</v>
      </c>
      <c r="C102" s="318"/>
      <c r="D102" s="318"/>
      <c r="E102" s="319"/>
      <c r="F102" s="467">
        <v>186.13800000000001</v>
      </c>
      <c r="G102" s="316">
        <f t="shared" ref="G102:P107" si="87">G186</f>
        <v>217.01382557369814</v>
      </c>
      <c r="H102" s="316">
        <f t="shared" si="87"/>
        <v>241.07171028243604</v>
      </c>
      <c r="I102" s="316">
        <f t="shared" si="87"/>
        <v>265.17888131067963</v>
      </c>
      <c r="J102" s="316">
        <f t="shared" si="87"/>
        <v>291.69676944174768</v>
      </c>
      <c r="K102" s="316">
        <f t="shared" si="87"/>
        <v>320.86644638592247</v>
      </c>
      <c r="L102" s="316">
        <f t="shared" si="87"/>
        <v>352.95309102451478</v>
      </c>
      <c r="M102" s="316">
        <f t="shared" si="87"/>
        <v>388.24840012696626</v>
      </c>
      <c r="N102" s="316">
        <f t="shared" si="87"/>
        <v>427.07324013966286</v>
      </c>
      <c r="O102" s="316">
        <f t="shared" si="87"/>
        <v>469.7805641536292</v>
      </c>
      <c r="P102" s="316">
        <f t="shared" si="87"/>
        <v>516.75862056899223</v>
      </c>
      <c r="R102" s="434"/>
      <c r="S102" s="316">
        <f t="shared" ref="S102:T107" si="88">S186</f>
        <v>217.01382557369814</v>
      </c>
      <c r="T102" s="316">
        <f t="shared" si="88"/>
        <v>217.01382557369814</v>
      </c>
    </row>
    <row r="103" spans="2:20" ht="13.5" customHeight="1" outlineLevel="1">
      <c r="B103" s="85" t="s">
        <v>58</v>
      </c>
      <c r="C103" s="318"/>
      <c r="D103" s="318"/>
      <c r="E103" s="319"/>
      <c r="F103" s="468">
        <v>395.29899999999998</v>
      </c>
      <c r="G103" s="90">
        <f t="shared" si="87"/>
        <v>460.86961413283314</v>
      </c>
      <c r="H103" s="90">
        <f t="shared" si="87"/>
        <v>511.96105041924096</v>
      </c>
      <c r="I103" s="90">
        <f t="shared" si="87"/>
        <v>563.15715546116508</v>
      </c>
      <c r="J103" s="90">
        <f t="shared" si="87"/>
        <v>619.4728710072817</v>
      </c>
      <c r="K103" s="90">
        <f t="shared" si="87"/>
        <v>681.42015810801001</v>
      </c>
      <c r="L103" s="90">
        <f t="shared" si="87"/>
        <v>749.56217391881103</v>
      </c>
      <c r="M103" s="90">
        <f t="shared" si="87"/>
        <v>824.51839131069221</v>
      </c>
      <c r="N103" s="90">
        <f t="shared" si="87"/>
        <v>906.97023044176137</v>
      </c>
      <c r="O103" s="90">
        <f t="shared" si="87"/>
        <v>997.66725348593764</v>
      </c>
      <c r="P103" s="90">
        <f t="shared" si="87"/>
        <v>1097.4339788345317</v>
      </c>
      <c r="R103" s="434"/>
      <c r="S103" s="90">
        <f t="shared" si="88"/>
        <v>460.86961413283314</v>
      </c>
      <c r="T103" s="90">
        <f t="shared" si="88"/>
        <v>460.86961413283314</v>
      </c>
    </row>
    <row r="104" spans="2:20" ht="13.5" customHeight="1" outlineLevel="1">
      <c r="B104" s="85" t="s">
        <v>85</v>
      </c>
      <c r="C104" s="318"/>
      <c r="D104" s="318"/>
      <c r="E104" s="319"/>
      <c r="F104" s="468">
        <v>0</v>
      </c>
      <c r="G104" s="90">
        <f t="shared" si="87"/>
        <v>0</v>
      </c>
      <c r="H104" s="90">
        <f t="shared" si="87"/>
        <v>0</v>
      </c>
      <c r="I104" s="90">
        <f t="shared" si="87"/>
        <v>0</v>
      </c>
      <c r="J104" s="90">
        <f t="shared" si="87"/>
        <v>0</v>
      </c>
      <c r="K104" s="90">
        <f t="shared" si="87"/>
        <v>0</v>
      </c>
      <c r="L104" s="90">
        <f t="shared" si="87"/>
        <v>0</v>
      </c>
      <c r="M104" s="90">
        <f t="shared" si="87"/>
        <v>0</v>
      </c>
      <c r="N104" s="90">
        <f t="shared" si="87"/>
        <v>0</v>
      </c>
      <c r="O104" s="90">
        <f t="shared" si="87"/>
        <v>0</v>
      </c>
      <c r="P104" s="90">
        <f t="shared" si="87"/>
        <v>0</v>
      </c>
      <c r="R104" s="434"/>
      <c r="S104" s="90">
        <f t="shared" si="88"/>
        <v>0</v>
      </c>
      <c r="T104" s="90">
        <f t="shared" si="88"/>
        <v>0</v>
      </c>
    </row>
    <row r="105" spans="2:20" ht="13.5" customHeight="1" outlineLevel="1">
      <c r="B105" s="85" t="s">
        <v>59</v>
      </c>
      <c r="C105" s="318"/>
      <c r="D105" s="318"/>
      <c r="E105" s="319"/>
      <c r="F105" s="468">
        <v>35.881999999999998</v>
      </c>
      <c r="G105" s="90">
        <f t="shared" si="87"/>
        <v>41.83396237864077</v>
      </c>
      <c r="H105" s="90">
        <f t="shared" si="87"/>
        <v>46.471623786407768</v>
      </c>
      <c r="I105" s="90">
        <f t="shared" si="87"/>
        <v>51.118786165048547</v>
      </c>
      <c r="J105" s="90">
        <f t="shared" si="87"/>
        <v>56.230664781553415</v>
      </c>
      <c r="K105" s="90">
        <f t="shared" si="87"/>
        <v>61.853731259708759</v>
      </c>
      <c r="L105" s="90">
        <f t="shared" si="87"/>
        <v>68.03910438567965</v>
      </c>
      <c r="M105" s="90">
        <f t="shared" si="87"/>
        <v>74.843014824247604</v>
      </c>
      <c r="N105" s="90">
        <f t="shared" si="87"/>
        <v>82.327316306672373</v>
      </c>
      <c r="O105" s="90">
        <f t="shared" si="87"/>
        <v>90.560047937339618</v>
      </c>
      <c r="P105" s="90">
        <f t="shared" si="87"/>
        <v>99.616052731073594</v>
      </c>
      <c r="R105" s="434"/>
      <c r="S105" s="90">
        <f t="shared" si="88"/>
        <v>41.83396237864077</v>
      </c>
      <c r="T105" s="90">
        <f t="shared" si="88"/>
        <v>41.83396237864077</v>
      </c>
    </row>
    <row r="106" spans="2:20" ht="13.5" customHeight="1" outlineLevel="1">
      <c r="B106" s="85" t="s">
        <v>60</v>
      </c>
      <c r="C106" s="318"/>
      <c r="D106" s="318"/>
      <c r="E106" s="319"/>
      <c r="F106" s="468">
        <v>209.226</v>
      </c>
      <c r="G106" s="90">
        <f t="shared" si="87"/>
        <v>247.85409668168785</v>
      </c>
      <c r="H106" s="90">
        <f t="shared" si="87"/>
        <v>275.42518639901681</v>
      </c>
      <c r="I106" s="90">
        <f t="shared" si="87"/>
        <v>302.96770503891855</v>
      </c>
      <c r="J106" s="90">
        <f t="shared" si="87"/>
        <v>333.26447554281043</v>
      </c>
      <c r="K106" s="90">
        <f t="shared" si="87"/>
        <v>366.59092309709155</v>
      </c>
      <c r="L106" s="90">
        <f t="shared" si="87"/>
        <v>403.25001540680074</v>
      </c>
      <c r="M106" s="90">
        <f t="shared" si="87"/>
        <v>443.57501694748083</v>
      </c>
      <c r="N106" s="90">
        <f t="shared" si="87"/>
        <v>487.93251864222896</v>
      </c>
      <c r="O106" s="90">
        <f t="shared" si="87"/>
        <v>536.72577050645191</v>
      </c>
      <c r="P106" s="90">
        <f t="shared" si="87"/>
        <v>590.39834755709717</v>
      </c>
      <c r="R106" s="434"/>
      <c r="S106" s="90">
        <f t="shared" si="88"/>
        <v>247.85409668168785</v>
      </c>
      <c r="T106" s="90">
        <f t="shared" si="88"/>
        <v>247.85409668168785</v>
      </c>
    </row>
    <row r="107" spans="2:20" ht="13.5" customHeight="1" outlineLevel="1">
      <c r="B107" s="85" t="s">
        <v>61</v>
      </c>
      <c r="C107" s="318"/>
      <c r="D107" s="318"/>
      <c r="E107" s="319"/>
      <c r="F107" s="468">
        <v>0</v>
      </c>
      <c r="G107" s="90">
        <f t="shared" si="87"/>
        <v>0</v>
      </c>
      <c r="H107" s="90">
        <f t="shared" si="87"/>
        <v>0</v>
      </c>
      <c r="I107" s="90">
        <f t="shared" si="87"/>
        <v>0</v>
      </c>
      <c r="J107" s="90">
        <f t="shared" si="87"/>
        <v>0</v>
      </c>
      <c r="K107" s="90">
        <f t="shared" si="87"/>
        <v>0</v>
      </c>
      <c r="L107" s="90">
        <f t="shared" si="87"/>
        <v>0</v>
      </c>
      <c r="M107" s="90">
        <f t="shared" si="87"/>
        <v>0</v>
      </c>
      <c r="N107" s="90">
        <f t="shared" si="87"/>
        <v>0</v>
      </c>
      <c r="O107" s="90">
        <f t="shared" si="87"/>
        <v>0</v>
      </c>
      <c r="P107" s="90">
        <f t="shared" si="87"/>
        <v>0</v>
      </c>
      <c r="R107" s="434"/>
      <c r="S107" s="90">
        <f t="shared" si="88"/>
        <v>0</v>
      </c>
      <c r="T107" s="90">
        <f t="shared" si="88"/>
        <v>0</v>
      </c>
    </row>
    <row r="108" spans="2:20" ht="13.5" customHeight="1" outlineLevel="1">
      <c r="B108" s="85" t="s">
        <v>62</v>
      </c>
      <c r="C108" s="318"/>
      <c r="D108" s="318"/>
      <c r="E108" s="319"/>
      <c r="F108" s="468">
        <v>2.1779999999999999</v>
      </c>
      <c r="G108" s="199">
        <f>F108</f>
        <v>2.1779999999999999</v>
      </c>
      <c r="H108" s="199">
        <f t="shared" ref="H108:P108" si="89">G108</f>
        <v>2.1779999999999999</v>
      </c>
      <c r="I108" s="199">
        <f t="shared" si="89"/>
        <v>2.1779999999999999</v>
      </c>
      <c r="J108" s="199">
        <f t="shared" si="89"/>
        <v>2.1779999999999999</v>
      </c>
      <c r="K108" s="199">
        <f t="shared" si="89"/>
        <v>2.1779999999999999</v>
      </c>
      <c r="L108" s="199">
        <f t="shared" si="89"/>
        <v>2.1779999999999999</v>
      </c>
      <c r="M108" s="199">
        <f t="shared" si="89"/>
        <v>2.1779999999999999</v>
      </c>
      <c r="N108" s="199">
        <f t="shared" si="89"/>
        <v>2.1779999999999999</v>
      </c>
      <c r="O108" s="199">
        <f t="shared" si="89"/>
        <v>2.1779999999999999</v>
      </c>
      <c r="P108" s="199">
        <f t="shared" si="89"/>
        <v>2.1779999999999999</v>
      </c>
      <c r="R108" s="434"/>
      <c r="S108" s="90">
        <f>$F108</f>
        <v>2.1779999999999999</v>
      </c>
      <c r="T108" s="90">
        <f>$F108</f>
        <v>2.1779999999999999</v>
      </c>
    </row>
    <row r="109" spans="2:20" ht="13.5" customHeight="1" outlineLevel="1">
      <c r="B109" s="248" t="s">
        <v>63</v>
      </c>
      <c r="C109" s="248"/>
      <c r="D109" s="248"/>
      <c r="E109" s="294"/>
      <c r="F109" s="239">
        <f>SUM(F102:F108)</f>
        <v>828.72299999999996</v>
      </c>
      <c r="G109" s="241">
        <f t="shared" ref="G109:P109" si="90">SUM(G102:G108)</f>
        <v>969.7494987668598</v>
      </c>
      <c r="H109" s="241">
        <f t="shared" si="90"/>
        <v>1077.1075708871017</v>
      </c>
      <c r="I109" s="241">
        <f t="shared" si="90"/>
        <v>1184.6005279758117</v>
      </c>
      <c r="J109" s="241">
        <f t="shared" si="90"/>
        <v>1302.8427807733933</v>
      </c>
      <c r="K109" s="241">
        <f t="shared" si="90"/>
        <v>1432.9092588507328</v>
      </c>
      <c r="L109" s="241">
        <f t="shared" si="90"/>
        <v>1575.9823847358061</v>
      </c>
      <c r="M109" s="241">
        <f t="shared" si="90"/>
        <v>1733.362823209387</v>
      </c>
      <c r="N109" s="241">
        <f t="shared" si="90"/>
        <v>1906.4813055303255</v>
      </c>
      <c r="O109" s="241">
        <f t="shared" si="90"/>
        <v>2096.9116360833586</v>
      </c>
      <c r="P109" s="241">
        <f t="shared" si="90"/>
        <v>2306.3849996916942</v>
      </c>
      <c r="R109" s="434"/>
      <c r="S109" s="469">
        <f t="shared" ref="S109" si="91">SUM(S102:S108)</f>
        <v>969.7494987668598</v>
      </c>
      <c r="T109" s="469">
        <f>SUM(T102:T108)</f>
        <v>969.7494987668598</v>
      </c>
    </row>
    <row r="110" spans="2:20" ht="13.5" customHeight="1" outlineLevel="1">
      <c r="B110" s="170" t="str">
        <f>B343</f>
        <v>Revolver</v>
      </c>
      <c r="C110" s="57"/>
      <c r="D110" s="57"/>
      <c r="E110" s="293"/>
      <c r="F110" s="468">
        <v>160</v>
      </c>
      <c r="G110" s="141">
        <f t="shared" ref="G110:P110" ca="1" si="92">G272</f>
        <v>0</v>
      </c>
      <c r="H110" s="141">
        <f t="shared" ca="1" si="92"/>
        <v>0</v>
      </c>
      <c r="I110" s="141">
        <f t="shared" ca="1" si="92"/>
        <v>0</v>
      </c>
      <c r="J110" s="141">
        <f t="shared" ca="1" si="92"/>
        <v>0</v>
      </c>
      <c r="K110" s="141">
        <f t="shared" ca="1" si="92"/>
        <v>0</v>
      </c>
      <c r="L110" s="141">
        <f t="shared" ca="1" si="92"/>
        <v>0</v>
      </c>
      <c r="M110" s="141">
        <f t="shared" ca="1" si="92"/>
        <v>0</v>
      </c>
      <c r="N110" s="141">
        <f t="shared" ca="1" si="92"/>
        <v>0</v>
      </c>
      <c r="O110" s="141">
        <f t="shared" ca="1" si="92"/>
        <v>0</v>
      </c>
      <c r="P110" s="141">
        <f t="shared" ca="1" si="92"/>
        <v>0</v>
      </c>
      <c r="R110" s="434"/>
      <c r="S110" s="90">
        <f ca="1">S272</f>
        <v>0</v>
      </c>
      <c r="T110" s="90">
        <f ca="1">T272</f>
        <v>0</v>
      </c>
    </row>
    <row r="111" spans="2:20" ht="13.5" customHeight="1" outlineLevel="1">
      <c r="B111" s="170" t="str">
        <f t="shared" ref="B111:B113" si="93">B344</f>
        <v>Senior credit facility 1</v>
      </c>
      <c r="C111" s="57"/>
      <c r="D111" s="57"/>
      <c r="E111" s="293"/>
      <c r="F111" s="468">
        <v>0</v>
      </c>
      <c r="G111" s="141">
        <f t="shared" ref="G111:P111" ca="1" si="94">G281</f>
        <v>0</v>
      </c>
      <c r="H111" s="141">
        <f t="shared" ca="1" si="94"/>
        <v>0</v>
      </c>
      <c r="I111" s="141">
        <f t="shared" ca="1" si="94"/>
        <v>0</v>
      </c>
      <c r="J111" s="141">
        <f t="shared" ca="1" si="94"/>
        <v>0</v>
      </c>
      <c r="K111" s="141">
        <f t="shared" ca="1" si="94"/>
        <v>0</v>
      </c>
      <c r="L111" s="141">
        <f t="shared" ca="1" si="94"/>
        <v>0</v>
      </c>
      <c r="M111" s="141">
        <f t="shared" ca="1" si="94"/>
        <v>0</v>
      </c>
      <c r="N111" s="141">
        <f t="shared" ca="1" si="94"/>
        <v>0</v>
      </c>
      <c r="O111" s="141">
        <f t="shared" ca="1" si="94"/>
        <v>0</v>
      </c>
      <c r="P111" s="141">
        <f t="shared" ca="1" si="94"/>
        <v>0</v>
      </c>
      <c r="R111" s="434"/>
      <c r="S111" s="199">
        <f ca="1">S281</f>
        <v>0</v>
      </c>
      <c r="T111" s="199">
        <f ca="1">T281</f>
        <v>0</v>
      </c>
    </row>
    <row r="112" spans="2:20" ht="13.5" customHeight="1" outlineLevel="1">
      <c r="B112" s="170" t="str">
        <f t="shared" si="93"/>
        <v>Subordinated note 1</v>
      </c>
      <c r="C112" s="57"/>
      <c r="D112" s="57"/>
      <c r="E112" s="293"/>
      <c r="F112" s="468">
        <v>0</v>
      </c>
      <c r="G112" s="141">
        <f t="shared" ref="G112:P112" ca="1" si="95">G287</f>
        <v>0</v>
      </c>
      <c r="H112" s="141">
        <f t="shared" ca="1" si="95"/>
        <v>0</v>
      </c>
      <c r="I112" s="141">
        <f t="shared" ca="1" si="95"/>
        <v>0</v>
      </c>
      <c r="J112" s="141">
        <f t="shared" ca="1" si="95"/>
        <v>0</v>
      </c>
      <c r="K112" s="141">
        <f t="shared" ca="1" si="95"/>
        <v>0</v>
      </c>
      <c r="L112" s="141">
        <f t="shared" ca="1" si="95"/>
        <v>0</v>
      </c>
      <c r="M112" s="141">
        <f t="shared" ca="1" si="95"/>
        <v>0</v>
      </c>
      <c r="N112" s="141">
        <f t="shared" ca="1" si="95"/>
        <v>0</v>
      </c>
      <c r="O112" s="141">
        <f t="shared" ca="1" si="95"/>
        <v>0</v>
      </c>
      <c r="P112" s="141">
        <f t="shared" ca="1" si="95"/>
        <v>0</v>
      </c>
      <c r="R112" s="434"/>
      <c r="S112" s="90">
        <f ca="1">S287</f>
        <v>0</v>
      </c>
      <c r="T112" s="90">
        <f ca="1">T287</f>
        <v>0</v>
      </c>
    </row>
    <row r="113" spans="2:47" ht="13.5" customHeight="1" outlineLevel="1">
      <c r="B113" s="170" t="str">
        <f t="shared" si="93"/>
        <v>Convertible bond 1</v>
      </c>
      <c r="C113" s="57"/>
      <c r="D113" s="57"/>
      <c r="E113" s="293"/>
      <c r="F113" s="468">
        <v>450</v>
      </c>
      <c r="G113" s="141">
        <f t="shared" ref="G113:P113" si="96">G293</f>
        <v>492.75</v>
      </c>
      <c r="H113" s="141">
        <f t="shared" si="96"/>
        <v>539.56124999999997</v>
      </c>
      <c r="I113" s="141">
        <f t="shared" si="96"/>
        <v>578.00498906249993</v>
      </c>
      <c r="J113" s="141">
        <f t="shared" si="96"/>
        <v>578.00498906249993</v>
      </c>
      <c r="K113" s="141">
        <f t="shared" si="96"/>
        <v>578.00498906249993</v>
      </c>
      <c r="L113" s="141">
        <f t="shared" si="96"/>
        <v>578.00498906249993</v>
      </c>
      <c r="M113" s="141">
        <f t="shared" si="96"/>
        <v>578.00498906249993</v>
      </c>
      <c r="N113" s="141">
        <f t="shared" si="96"/>
        <v>578.00498906249993</v>
      </c>
      <c r="O113" s="141">
        <f t="shared" si="96"/>
        <v>578.00498906249993</v>
      </c>
      <c r="P113" s="141">
        <f t="shared" si="96"/>
        <v>578.00498906249993</v>
      </c>
      <c r="R113" s="434"/>
      <c r="S113" s="90">
        <f>S293</f>
        <v>471.375</v>
      </c>
      <c r="T113" s="90">
        <f>T293</f>
        <v>492.75</v>
      </c>
    </row>
    <row r="114" spans="2:47" ht="13.5" customHeight="1" outlineLevel="1">
      <c r="B114" s="36" t="s">
        <v>524</v>
      </c>
      <c r="C114" s="57"/>
      <c r="D114" s="57"/>
      <c r="E114" s="293"/>
      <c r="F114" s="468">
        <v>0</v>
      </c>
      <c r="G114" s="141">
        <f t="shared" ref="G114:P114" ca="1" si="97">G438</f>
        <v>0</v>
      </c>
      <c r="H114" s="141">
        <f t="shared" ca="1" si="97"/>
        <v>0</v>
      </c>
      <c r="I114" s="141">
        <f t="shared" ca="1" si="97"/>
        <v>0</v>
      </c>
      <c r="J114" s="141">
        <f t="shared" ca="1" si="97"/>
        <v>0</v>
      </c>
      <c r="K114" s="141">
        <f t="shared" ca="1" si="97"/>
        <v>0</v>
      </c>
      <c r="L114" s="141">
        <f t="shared" ca="1" si="97"/>
        <v>0</v>
      </c>
      <c r="M114" s="141">
        <f t="shared" ca="1" si="97"/>
        <v>0</v>
      </c>
      <c r="N114" s="141">
        <f t="shared" ca="1" si="97"/>
        <v>0</v>
      </c>
      <c r="O114" s="141">
        <f t="shared" ca="1" si="97"/>
        <v>0</v>
      </c>
      <c r="P114" s="141">
        <f t="shared" ca="1" si="97"/>
        <v>0</v>
      </c>
      <c r="R114" s="434"/>
      <c r="S114" s="90">
        <f ca="1">S438</f>
        <v>0</v>
      </c>
      <c r="T114" s="90">
        <f ca="1">T438</f>
        <v>0</v>
      </c>
    </row>
    <row r="115" spans="2:47" ht="13.5" customHeight="1" outlineLevel="1">
      <c r="B115" s="36" t="s">
        <v>8</v>
      </c>
      <c r="E115" s="293"/>
      <c r="F115" s="468">
        <v>502.98599999999999</v>
      </c>
      <c r="G115" s="141">
        <f>F115</f>
        <v>502.98599999999999</v>
      </c>
      <c r="H115" s="141">
        <f t="shared" ref="H115:P115" si="98">G115</f>
        <v>502.98599999999999</v>
      </c>
      <c r="I115" s="141">
        <f t="shared" si="98"/>
        <v>502.98599999999999</v>
      </c>
      <c r="J115" s="141">
        <f t="shared" si="98"/>
        <v>502.98599999999999</v>
      </c>
      <c r="K115" s="141">
        <f t="shared" si="98"/>
        <v>502.98599999999999</v>
      </c>
      <c r="L115" s="141">
        <f t="shared" si="98"/>
        <v>502.98599999999999</v>
      </c>
      <c r="M115" s="141">
        <f t="shared" si="98"/>
        <v>502.98599999999999</v>
      </c>
      <c r="N115" s="141">
        <f t="shared" si="98"/>
        <v>502.98599999999999</v>
      </c>
      <c r="O115" s="141">
        <f t="shared" si="98"/>
        <v>502.98599999999999</v>
      </c>
      <c r="P115" s="141">
        <f t="shared" si="98"/>
        <v>502.98599999999999</v>
      </c>
      <c r="R115" s="434"/>
      <c r="S115" s="141">
        <f>$F115</f>
        <v>502.98599999999999</v>
      </c>
      <c r="T115" s="141">
        <f>$F115</f>
        <v>502.98599999999999</v>
      </c>
    </row>
    <row r="116" spans="2:47" ht="13.5" customHeight="1" outlineLevel="1">
      <c r="B116" s="248" t="s">
        <v>7</v>
      </c>
      <c r="C116" s="248"/>
      <c r="D116" s="248"/>
      <c r="E116" s="414"/>
      <c r="F116" s="239">
        <f>SUM(F109:F115)</f>
        <v>1941.7089999999998</v>
      </c>
      <c r="G116" s="239">
        <f t="shared" ref="G116:P116" ca="1" si="99">SUM(G109:G115)</f>
        <v>1965.4854987668596</v>
      </c>
      <c r="H116" s="239">
        <f t="shared" ca="1" si="99"/>
        <v>2119.6548208871018</v>
      </c>
      <c r="I116" s="239">
        <f t="shared" ca="1" si="99"/>
        <v>2265.5915170383114</v>
      </c>
      <c r="J116" s="239">
        <f t="shared" ca="1" si="99"/>
        <v>2383.8337698358932</v>
      </c>
      <c r="K116" s="239">
        <f t="shared" ca="1" si="99"/>
        <v>2513.9002479132328</v>
      </c>
      <c r="L116" s="239">
        <f t="shared" ca="1" si="99"/>
        <v>2656.9733737983061</v>
      </c>
      <c r="M116" s="239">
        <f t="shared" ca="1" si="99"/>
        <v>2814.3538122718869</v>
      </c>
      <c r="N116" s="239">
        <f t="shared" ca="1" si="99"/>
        <v>2987.4722945928252</v>
      </c>
      <c r="O116" s="239">
        <f t="shared" ca="1" si="99"/>
        <v>3177.9026251458586</v>
      </c>
      <c r="P116" s="239">
        <f t="shared" ca="1" si="99"/>
        <v>3387.3759887541942</v>
      </c>
      <c r="R116" s="434"/>
      <c r="S116" s="469">
        <f ca="1">SUM(S109:S115)</f>
        <v>1944.1104987668596</v>
      </c>
      <c r="T116" s="469">
        <f ca="1">SUM(T109:T115)</f>
        <v>1965.4854987668596</v>
      </c>
    </row>
    <row r="117" spans="2:47" ht="13.5" customHeight="1" outlineLevel="1">
      <c r="B117" s="36" t="s">
        <v>39</v>
      </c>
      <c r="E117" s="293"/>
      <c r="F117" s="468">
        <v>0</v>
      </c>
      <c r="G117" s="163">
        <f>F117</f>
        <v>0</v>
      </c>
      <c r="H117" s="163">
        <f t="shared" ref="H117:P117" si="100">G117</f>
        <v>0</v>
      </c>
      <c r="I117" s="163">
        <f t="shared" si="100"/>
        <v>0</v>
      </c>
      <c r="J117" s="163">
        <f t="shared" si="100"/>
        <v>0</v>
      </c>
      <c r="K117" s="163">
        <f t="shared" si="100"/>
        <v>0</v>
      </c>
      <c r="L117" s="163">
        <f t="shared" si="100"/>
        <v>0</v>
      </c>
      <c r="M117" s="163">
        <f t="shared" si="100"/>
        <v>0</v>
      </c>
      <c r="N117" s="163">
        <f t="shared" si="100"/>
        <v>0</v>
      </c>
      <c r="O117" s="163">
        <f t="shared" si="100"/>
        <v>0</v>
      </c>
      <c r="P117" s="163">
        <f t="shared" si="100"/>
        <v>0</v>
      </c>
      <c r="R117" s="434"/>
      <c r="S117" s="90">
        <f>$F117</f>
        <v>0</v>
      </c>
      <c r="T117" s="90">
        <f>$F117</f>
        <v>0</v>
      </c>
    </row>
    <row r="118" spans="2:47" ht="13.5" customHeight="1" outlineLevel="1">
      <c r="B118" s="170" t="str">
        <f>B347</f>
        <v>Preferred stock 1</v>
      </c>
      <c r="E118" s="418"/>
      <c r="F118" s="468">
        <v>0</v>
      </c>
      <c r="G118" s="199">
        <f t="shared" ref="G118:P118" si="101">G299</f>
        <v>0</v>
      </c>
      <c r="H118" s="199">
        <f t="shared" si="101"/>
        <v>0</v>
      </c>
      <c r="I118" s="199">
        <f t="shared" si="101"/>
        <v>0</v>
      </c>
      <c r="J118" s="199">
        <f t="shared" si="101"/>
        <v>0</v>
      </c>
      <c r="K118" s="199">
        <f t="shared" si="101"/>
        <v>0</v>
      </c>
      <c r="L118" s="199">
        <f t="shared" si="101"/>
        <v>0</v>
      </c>
      <c r="M118" s="199">
        <f t="shared" si="101"/>
        <v>0</v>
      </c>
      <c r="N118" s="199">
        <f>N299</f>
        <v>0</v>
      </c>
      <c r="O118" s="199">
        <f t="shared" si="101"/>
        <v>0</v>
      </c>
      <c r="P118" s="199">
        <f t="shared" si="101"/>
        <v>0</v>
      </c>
      <c r="R118" s="434"/>
      <c r="S118" s="90">
        <f>S299</f>
        <v>0</v>
      </c>
      <c r="T118" s="90">
        <f>T299</f>
        <v>0</v>
      </c>
    </row>
    <row r="119" spans="2:47" ht="13.5" customHeight="1" outlineLevel="1">
      <c r="B119" s="57" t="s">
        <v>124</v>
      </c>
      <c r="E119" s="418"/>
      <c r="F119" s="468">
        <v>3.871</v>
      </c>
      <c r="G119" s="199">
        <f>F119</f>
        <v>3.871</v>
      </c>
      <c r="H119" s="199">
        <f t="shared" ref="H119:P119" si="102">G119</f>
        <v>3.871</v>
      </c>
      <c r="I119" s="199">
        <f t="shared" si="102"/>
        <v>3.871</v>
      </c>
      <c r="J119" s="199">
        <f t="shared" si="102"/>
        <v>3.871</v>
      </c>
      <c r="K119" s="199">
        <f t="shared" si="102"/>
        <v>3.871</v>
      </c>
      <c r="L119" s="199">
        <f t="shared" si="102"/>
        <v>3.871</v>
      </c>
      <c r="M119" s="199">
        <f t="shared" si="102"/>
        <v>3.871</v>
      </c>
      <c r="N119" s="199">
        <f t="shared" si="102"/>
        <v>3.871</v>
      </c>
      <c r="O119" s="199">
        <f t="shared" si="102"/>
        <v>3.871</v>
      </c>
      <c r="P119" s="199">
        <f t="shared" si="102"/>
        <v>3.871</v>
      </c>
      <c r="R119" s="434"/>
      <c r="S119" s="90">
        <f>$F119</f>
        <v>3.871</v>
      </c>
      <c r="T119" s="90">
        <f>$F119</f>
        <v>3.871</v>
      </c>
    </row>
    <row r="120" spans="2:47" ht="13.5" customHeight="1" outlineLevel="1">
      <c r="B120" s="57" t="s">
        <v>443</v>
      </c>
      <c r="E120" s="418"/>
      <c r="F120" s="330">
        <v>2212.6999999999998</v>
      </c>
      <c r="G120" s="199">
        <f t="shared" ref="G120:P120" si="103">F120+G17</f>
        <v>2266.3999999999996</v>
      </c>
      <c r="H120" s="199">
        <f t="shared" si="103"/>
        <v>2325.9999999999995</v>
      </c>
      <c r="I120" s="199">
        <f t="shared" si="103"/>
        <v>2391.5599999999995</v>
      </c>
      <c r="J120" s="199">
        <f t="shared" si="103"/>
        <v>2463.6759999999995</v>
      </c>
      <c r="K120" s="199">
        <f t="shared" si="103"/>
        <v>2543.0035999999996</v>
      </c>
      <c r="L120" s="199">
        <f t="shared" si="103"/>
        <v>2630.2639599999998</v>
      </c>
      <c r="M120" s="199">
        <f t="shared" si="103"/>
        <v>2726.250356</v>
      </c>
      <c r="N120" s="199">
        <f t="shared" si="103"/>
        <v>2831.8353916000001</v>
      </c>
      <c r="O120" s="199">
        <f t="shared" si="103"/>
        <v>2947.9789307600004</v>
      </c>
      <c r="P120" s="199">
        <f t="shared" si="103"/>
        <v>3075.7368238360004</v>
      </c>
      <c r="R120" s="434"/>
      <c r="S120" s="90">
        <f>F120+S17</f>
        <v>2239.5499999999997</v>
      </c>
      <c r="T120" s="90">
        <f>S120+T17</f>
        <v>2266.3999999999996</v>
      </c>
    </row>
    <row r="121" spans="2:47" ht="13.5" customHeight="1" outlineLevel="1">
      <c r="B121" s="57" t="s">
        <v>125</v>
      </c>
      <c r="E121" s="418"/>
      <c r="F121" s="330">
        <v>-774.67</v>
      </c>
      <c r="G121" s="199">
        <f>F121</f>
        <v>-774.67</v>
      </c>
      <c r="H121" s="199">
        <f t="shared" ref="H121:P122" si="104">G121</f>
        <v>-774.67</v>
      </c>
      <c r="I121" s="199">
        <f t="shared" si="104"/>
        <v>-774.67</v>
      </c>
      <c r="J121" s="199">
        <f t="shared" si="104"/>
        <v>-774.67</v>
      </c>
      <c r="K121" s="199">
        <f t="shared" si="104"/>
        <v>-774.67</v>
      </c>
      <c r="L121" s="199">
        <f t="shared" si="104"/>
        <v>-774.67</v>
      </c>
      <c r="M121" s="199">
        <f t="shared" si="104"/>
        <v>-774.67</v>
      </c>
      <c r="N121" s="199">
        <f t="shared" si="104"/>
        <v>-774.67</v>
      </c>
      <c r="O121" s="199">
        <f t="shared" si="104"/>
        <v>-774.67</v>
      </c>
      <c r="P121" s="199">
        <f t="shared" si="104"/>
        <v>-774.67</v>
      </c>
      <c r="R121" s="434"/>
      <c r="S121" s="90">
        <f>$F121</f>
        <v>-774.67</v>
      </c>
      <c r="T121" s="90">
        <f>$F121</f>
        <v>-774.67</v>
      </c>
    </row>
    <row r="122" spans="2:47" ht="13.5" customHeight="1" outlineLevel="1">
      <c r="B122" s="57" t="s">
        <v>126</v>
      </c>
      <c r="E122" s="418"/>
      <c r="F122" s="330">
        <v>6.5709999999999997</v>
      </c>
      <c r="G122" s="199">
        <f>F122</f>
        <v>6.5709999999999997</v>
      </c>
      <c r="H122" s="199">
        <f t="shared" si="104"/>
        <v>6.5709999999999997</v>
      </c>
      <c r="I122" s="199">
        <f t="shared" si="104"/>
        <v>6.5709999999999997</v>
      </c>
      <c r="J122" s="199">
        <f t="shared" si="104"/>
        <v>6.5709999999999997</v>
      </c>
      <c r="K122" s="199">
        <f t="shared" si="104"/>
        <v>6.5709999999999997</v>
      </c>
      <c r="L122" s="199">
        <f t="shared" si="104"/>
        <v>6.5709999999999997</v>
      </c>
      <c r="M122" s="199">
        <f t="shared" si="104"/>
        <v>6.5709999999999997</v>
      </c>
      <c r="N122" s="199">
        <f t="shared" si="104"/>
        <v>6.5709999999999997</v>
      </c>
      <c r="O122" s="199">
        <f t="shared" si="104"/>
        <v>6.5709999999999997</v>
      </c>
      <c r="P122" s="199">
        <f t="shared" si="104"/>
        <v>6.5709999999999997</v>
      </c>
      <c r="R122" s="434"/>
      <c r="S122" s="90">
        <f>$F122</f>
        <v>6.5709999999999997</v>
      </c>
      <c r="T122" s="90">
        <f>$F122</f>
        <v>6.5709999999999997</v>
      </c>
    </row>
    <row r="123" spans="2:47" ht="13.5" customHeight="1" outlineLevel="1">
      <c r="B123" s="57" t="s">
        <v>127</v>
      </c>
      <c r="E123" s="293"/>
      <c r="F123" s="468">
        <v>1275.222</v>
      </c>
      <c r="G123" s="199">
        <f t="shared" ref="G123:P123" ca="1" si="105">F123+G35-G47*G548</f>
        <v>1579.9576896872024</v>
      </c>
      <c r="H123" s="199">
        <f t="shared" ca="1" si="105"/>
        <v>1943.3534653243421</v>
      </c>
      <c r="I123" s="199">
        <f t="shared" ca="1" si="105"/>
        <v>2349.1976308829544</v>
      </c>
      <c r="J123" s="199">
        <f t="shared" ca="1" si="105"/>
        <v>2802.519393526401</v>
      </c>
      <c r="K123" s="199">
        <f t="shared" ca="1" si="105"/>
        <v>3327.0421245936204</v>
      </c>
      <c r="L123" s="199">
        <f t="shared" ca="1" si="105"/>
        <v>3935.6695760203329</v>
      </c>
      <c r="M123" s="199">
        <f t="shared" ca="1" si="105"/>
        <v>4610.5433393108206</v>
      </c>
      <c r="N123" s="199">
        <f t="shared" ca="1" si="105"/>
        <v>5358.2967939070068</v>
      </c>
      <c r="O123" s="199">
        <f t="shared" ca="1" si="105"/>
        <v>6186.2266714108546</v>
      </c>
      <c r="P123" s="199">
        <f t="shared" ca="1" si="105"/>
        <v>7102.3593908234752</v>
      </c>
      <c r="R123" s="434"/>
      <c r="S123" s="199">
        <f ca="1">F123+S35-S47*S548</f>
        <v>1427.5898448436012</v>
      </c>
      <c r="T123" s="199">
        <f ca="1">S123+T35-T47*T548</f>
        <v>1579.9576896872024</v>
      </c>
    </row>
    <row r="124" spans="2:47" ht="13.5" customHeight="1" outlineLevel="1">
      <c r="B124" s="253" t="s">
        <v>21</v>
      </c>
      <c r="C124" s="253"/>
      <c r="D124" s="253"/>
      <c r="E124" s="256"/>
      <c r="F124" s="256">
        <f>SUM(F116:F123)</f>
        <v>4665.4029999999993</v>
      </c>
      <c r="G124" s="256">
        <f t="shared" ref="G124:P124" ca="1" si="106">SUM(G116:G123)</f>
        <v>5047.6151884540614</v>
      </c>
      <c r="H124" s="256">
        <f t="shared" ca="1" si="106"/>
        <v>5624.780286211444</v>
      </c>
      <c r="I124" s="256">
        <f t="shared" ca="1" si="106"/>
        <v>6242.1211479212652</v>
      </c>
      <c r="J124" s="256">
        <f t="shared" ca="1" si="106"/>
        <v>6885.8011633622937</v>
      </c>
      <c r="K124" s="256">
        <f t="shared" ca="1" si="106"/>
        <v>7619.7179725068527</v>
      </c>
      <c r="L124" s="256">
        <f t="shared" ca="1" si="106"/>
        <v>8458.6789098186382</v>
      </c>
      <c r="M124" s="256">
        <f t="shared" ca="1" si="106"/>
        <v>9386.9195075827083</v>
      </c>
      <c r="N124" s="256">
        <f t="shared" ca="1" si="106"/>
        <v>10413.376480099832</v>
      </c>
      <c r="O124" s="256">
        <f t="shared" ca="1" si="106"/>
        <v>11547.880227316713</v>
      </c>
      <c r="P124" s="256">
        <f t="shared" ca="1" si="106"/>
        <v>12801.244203413669</v>
      </c>
      <c r="R124" s="434"/>
      <c r="S124" s="256">
        <f ca="1">SUM(S116:S123)</f>
        <v>4847.0223436104598</v>
      </c>
      <c r="T124" s="256">
        <f ca="1">SUM(T116:T123)</f>
        <v>5047.6151884540614</v>
      </c>
    </row>
    <row r="125" spans="2:47" ht="13.5" customHeight="1" outlineLevel="1">
      <c r="B125" s="321"/>
      <c r="C125" s="321"/>
      <c r="D125" s="321"/>
      <c r="E125" s="473"/>
      <c r="F125" s="322"/>
      <c r="G125" s="322"/>
      <c r="H125" s="322"/>
      <c r="I125" s="322"/>
      <c r="J125" s="322"/>
      <c r="K125" s="322"/>
      <c r="L125" s="322"/>
      <c r="M125" s="322"/>
      <c r="N125" s="322"/>
      <c r="O125" s="322"/>
      <c r="P125" s="322"/>
      <c r="R125" s="434"/>
    </row>
    <row r="126" spans="2:47" s="273" customFormat="1" ht="13.5" customHeight="1" outlineLevel="1">
      <c r="B126" s="323" t="s">
        <v>5</v>
      </c>
      <c r="C126" s="323"/>
      <c r="D126" s="323"/>
      <c r="E126" s="175"/>
      <c r="F126" s="175">
        <f>F98-F124</f>
        <v>0</v>
      </c>
      <c r="G126" s="175">
        <f t="shared" ref="G126:T126" ca="1" si="107">G98-G124</f>
        <v>0</v>
      </c>
      <c r="H126" s="175">
        <f t="shared" ca="1" si="107"/>
        <v>0</v>
      </c>
      <c r="I126" s="175">
        <f t="shared" ca="1" si="107"/>
        <v>0</v>
      </c>
      <c r="J126" s="175">
        <f t="shared" ca="1" si="107"/>
        <v>0</v>
      </c>
      <c r="K126" s="175">
        <f t="shared" ca="1" si="107"/>
        <v>0</v>
      </c>
      <c r="L126" s="175">
        <f t="shared" ca="1" si="107"/>
        <v>0</v>
      </c>
      <c r="M126" s="175">
        <f t="shared" ca="1" si="107"/>
        <v>0</v>
      </c>
      <c r="N126" s="175">
        <f t="shared" ca="1" si="107"/>
        <v>0</v>
      </c>
      <c r="O126" s="175">
        <f t="shared" ca="1" si="107"/>
        <v>0</v>
      </c>
      <c r="P126" s="175">
        <f t="shared" ca="1" si="107"/>
        <v>0</v>
      </c>
      <c r="Q126" s="324"/>
      <c r="R126" s="474"/>
      <c r="S126" s="175">
        <f t="shared" ca="1" si="107"/>
        <v>0</v>
      </c>
      <c r="T126" s="175">
        <f t="shared" ca="1" si="107"/>
        <v>0</v>
      </c>
      <c r="U126" s="324"/>
      <c r="V126" s="324"/>
      <c r="W126" s="324"/>
      <c r="X126" s="324"/>
      <c r="Y126" s="324"/>
      <c r="Z126" s="324"/>
      <c r="AA126" s="324"/>
      <c r="AB126" s="324"/>
      <c r="AC126" s="324"/>
      <c r="AD126" s="324"/>
      <c r="AE126" s="324"/>
      <c r="AF126" s="324"/>
      <c r="AG126" s="324"/>
      <c r="AH126" s="324"/>
      <c r="AI126" s="324"/>
      <c r="AJ126" s="324"/>
      <c r="AK126" s="324"/>
      <c r="AL126" s="324"/>
      <c r="AM126" s="324"/>
      <c r="AN126" s="324"/>
      <c r="AO126" s="324"/>
      <c r="AP126" s="324"/>
      <c r="AQ126" s="324"/>
      <c r="AR126" s="324"/>
      <c r="AS126" s="324"/>
      <c r="AT126" s="324"/>
      <c r="AU126" s="324"/>
    </row>
    <row r="127" spans="2:47" ht="5.0999999999999996" customHeight="1" outlineLevel="1" thickBot="1">
      <c r="B127" s="348"/>
      <c r="C127" s="348"/>
      <c r="D127" s="348"/>
      <c r="E127" s="349"/>
      <c r="F127" s="349"/>
      <c r="G127" s="349"/>
      <c r="H127" s="349"/>
      <c r="I127" s="349"/>
      <c r="J127" s="349"/>
      <c r="K127" s="349"/>
      <c r="L127" s="349"/>
      <c r="M127" s="349"/>
      <c r="N127" s="349"/>
      <c r="O127" s="349"/>
      <c r="P127" s="349"/>
      <c r="Q127" s="349"/>
      <c r="R127" s="349"/>
      <c r="S127" s="349"/>
      <c r="T127" s="349"/>
    </row>
    <row r="128" spans="2:47" ht="13.5" customHeight="1" outlineLevel="1">
      <c r="B128" s="50"/>
      <c r="C128" s="50"/>
      <c r="D128" s="50"/>
      <c r="G128" s="475"/>
      <c r="H128" s="475"/>
      <c r="L128" s="57"/>
    </row>
    <row r="129" spans="1:20" ht="13.5" customHeight="1" outlineLevel="1" thickBot="1">
      <c r="B129" s="50"/>
      <c r="C129" s="50"/>
      <c r="D129" s="50"/>
      <c r="G129" s="350"/>
      <c r="H129" s="350"/>
      <c r="L129" s="57"/>
    </row>
    <row r="130" spans="1:20" ht="20.7" thickTop="1">
      <c r="A130" s="281" t="s">
        <v>631</v>
      </c>
      <c r="B130" s="429" t="str">
        <f>acquirer&amp;" Cash Flow Statement"</f>
        <v>BuyerCo Cash Flow Statement</v>
      </c>
      <c r="C130" s="430"/>
      <c r="D130" s="431"/>
      <c r="E130" s="431"/>
      <c r="F130" s="431"/>
      <c r="G130" s="431"/>
      <c r="H130" s="431"/>
      <c r="I130" s="431"/>
      <c r="J130" s="431"/>
      <c r="K130" s="431"/>
      <c r="L130" s="431"/>
      <c r="M130" s="431"/>
      <c r="N130" s="431"/>
      <c r="O130" s="431"/>
      <c r="P130" s="431"/>
      <c r="Q130" s="431"/>
      <c r="R130" s="431"/>
      <c r="S130" s="431"/>
      <c r="T130" s="431"/>
    </row>
    <row r="131" spans="1:20" ht="5.0999999999999996" customHeight="1" outlineLevel="1">
      <c r="B131" s="107"/>
      <c r="C131" s="285"/>
      <c r="L131" s="57"/>
    </row>
    <row r="132" spans="1:20" ht="13.5" customHeight="1" outlineLevel="1">
      <c r="B132" s="286"/>
      <c r="C132" s="286"/>
      <c r="D132" s="286"/>
      <c r="E132" s="42"/>
      <c r="F132" s="432" t="s">
        <v>630</v>
      </c>
      <c r="G132" s="433" t="s">
        <v>629</v>
      </c>
      <c r="H132" s="433"/>
      <c r="I132" s="433"/>
      <c r="J132" s="433"/>
      <c r="K132" s="433"/>
      <c r="L132" s="433"/>
      <c r="M132" s="433"/>
      <c r="N132" s="433"/>
      <c r="O132" s="433"/>
      <c r="P132" s="433"/>
      <c r="R132" s="434"/>
      <c r="S132" s="433" t="s">
        <v>628</v>
      </c>
      <c r="T132" s="433"/>
    </row>
    <row r="133" spans="1:20" ht="13.5" customHeight="1" outlineLevel="1" thickBot="1">
      <c r="B133" s="435" t="str">
        <f>"("&amp;curr&amp;" in millions)"</f>
        <v>($ in millions)</v>
      </c>
      <c r="C133" s="436"/>
      <c r="D133" s="436"/>
      <c r="E133" s="437"/>
      <c r="F133" s="439">
        <f>F$8</f>
        <v>44926</v>
      </c>
      <c r="G133" s="439">
        <f>G$8</f>
        <v>45291</v>
      </c>
      <c r="H133" s="439">
        <f>H$8</f>
        <v>45657</v>
      </c>
      <c r="I133" s="439">
        <f>I$8</f>
        <v>46022</v>
      </c>
      <c r="J133" s="439">
        <f t="shared" ref="J133:P133" si="108">J$8</f>
        <v>46387</v>
      </c>
      <c r="K133" s="439">
        <f t="shared" si="108"/>
        <v>46752</v>
      </c>
      <c r="L133" s="439">
        <f t="shared" si="108"/>
        <v>47118</v>
      </c>
      <c r="M133" s="439">
        <f t="shared" si="108"/>
        <v>47483</v>
      </c>
      <c r="N133" s="439">
        <f t="shared" si="108"/>
        <v>47848</v>
      </c>
      <c r="O133" s="439">
        <f t="shared" si="108"/>
        <v>48213</v>
      </c>
      <c r="P133" s="439">
        <f t="shared" si="108"/>
        <v>48579</v>
      </c>
      <c r="R133" s="434"/>
      <c r="S133" s="440">
        <f>S$8</f>
        <v>45107</v>
      </c>
      <c r="T133" s="440">
        <f>T$8</f>
        <v>45291</v>
      </c>
    </row>
    <row r="134" spans="1:20" ht="5.0999999999999996" customHeight="1" outlineLevel="1">
      <c r="B134" s="318"/>
      <c r="C134" s="318"/>
      <c r="D134" s="318"/>
      <c r="E134" s="319"/>
      <c r="F134" s="319"/>
      <c r="G134" s="319"/>
      <c r="H134" s="319"/>
      <c r="I134" s="319"/>
      <c r="J134" s="319"/>
      <c r="K134" s="319"/>
      <c r="L134" s="327"/>
      <c r="R134" s="434"/>
      <c r="S134" s="319"/>
      <c r="T134" s="319"/>
    </row>
    <row r="135" spans="1:20" ht="13.5" customHeight="1" outlineLevel="1">
      <c r="B135" s="457" t="s">
        <v>128</v>
      </c>
      <c r="C135" s="458"/>
      <c r="D135" s="459"/>
      <c r="E135" s="459"/>
      <c r="F135" s="459"/>
      <c r="G135" s="459"/>
      <c r="H135" s="459"/>
      <c r="I135" s="459"/>
      <c r="J135" s="459"/>
      <c r="K135" s="459"/>
      <c r="L135" s="459"/>
      <c r="M135" s="459"/>
      <c r="N135" s="459"/>
      <c r="O135" s="459"/>
      <c r="P135" s="460"/>
      <c r="R135" s="434"/>
      <c r="S135" s="461"/>
      <c r="T135" s="460"/>
    </row>
    <row r="136" spans="1:20" ht="13.5" customHeight="1" outlineLevel="1">
      <c r="B136" s="50"/>
      <c r="C136" s="50"/>
      <c r="D136" s="50"/>
      <c r="L136" s="57"/>
      <c r="R136" s="434"/>
    </row>
    <row r="137" spans="1:20" ht="13.5" customHeight="1" outlineLevel="1">
      <c r="B137" s="88" t="s">
        <v>37</v>
      </c>
      <c r="C137" s="88"/>
      <c r="D137" s="88"/>
      <c r="E137" s="88"/>
      <c r="G137" s="328">
        <f t="shared" ref="G137:P137" ca="1" si="109">G35</f>
        <v>313.39340968720251</v>
      </c>
      <c r="H137" s="328">
        <f t="shared" ca="1" si="109"/>
        <v>372.05349563713958</v>
      </c>
      <c r="I137" s="328">
        <f t="shared" ca="1" si="109"/>
        <v>414.50188555861268</v>
      </c>
      <c r="J137" s="328">
        <f t="shared" ca="1" si="109"/>
        <v>461.97948264344666</v>
      </c>
      <c r="K137" s="328">
        <f t="shared" ca="1" si="109"/>
        <v>533.18045106721979</v>
      </c>
      <c r="L137" s="328">
        <f t="shared" ca="1" si="109"/>
        <v>617.28517142671285</v>
      </c>
      <c r="M137" s="328">
        <f t="shared" ca="1" si="109"/>
        <v>683.53148329048827</v>
      </c>
      <c r="N137" s="328">
        <f t="shared" ca="1" si="109"/>
        <v>756.41117459618613</v>
      </c>
      <c r="O137" s="328">
        <f t="shared" ca="1" si="109"/>
        <v>836.5875975038482</v>
      </c>
      <c r="P137" s="328">
        <f t="shared" ca="1" si="109"/>
        <v>924.79043941262125</v>
      </c>
      <c r="R137" s="434"/>
      <c r="S137" s="328">
        <f ca="1">S35</f>
        <v>156.69670484360125</v>
      </c>
      <c r="T137" s="328">
        <f ca="1">T35</f>
        <v>156.69670484360125</v>
      </c>
    </row>
    <row r="138" spans="1:20" ht="13.5" customHeight="1" outlineLevel="1">
      <c r="B138" s="139" t="s">
        <v>94</v>
      </c>
      <c r="C138" s="88"/>
      <c r="D138" s="88"/>
      <c r="E138" s="88"/>
      <c r="G138" s="141">
        <f t="shared" ref="G138:P138" si="110">G15</f>
        <v>74.7</v>
      </c>
      <c r="H138" s="141">
        <f t="shared" si="110"/>
        <v>85.4</v>
      </c>
      <c r="I138" s="141">
        <f t="shared" si="110"/>
        <v>93.940000000000012</v>
      </c>
      <c r="J138" s="141">
        <f t="shared" si="110"/>
        <v>103.33400000000003</v>
      </c>
      <c r="K138" s="141">
        <f t="shared" si="110"/>
        <v>113.66740000000006</v>
      </c>
      <c r="L138" s="141">
        <f t="shared" si="110"/>
        <v>125.03414000000006</v>
      </c>
      <c r="M138" s="141">
        <f t="shared" si="110"/>
        <v>137.53755400000009</v>
      </c>
      <c r="N138" s="141">
        <f t="shared" si="110"/>
        <v>151.2913094000001</v>
      </c>
      <c r="O138" s="141">
        <f t="shared" si="110"/>
        <v>166.42044034000011</v>
      </c>
      <c r="P138" s="141">
        <f t="shared" si="110"/>
        <v>183.06248437400015</v>
      </c>
      <c r="R138" s="434"/>
      <c r="S138" s="141">
        <f>S15</f>
        <v>37.35</v>
      </c>
      <c r="T138" s="141">
        <f>T15</f>
        <v>37.35</v>
      </c>
    </row>
    <row r="139" spans="1:20" ht="13.5" customHeight="1" outlineLevel="1">
      <c r="B139" s="139" t="s">
        <v>46</v>
      </c>
      <c r="C139" s="88"/>
      <c r="D139" s="88"/>
      <c r="E139" s="88"/>
      <c r="G139" s="141">
        <f t="shared" ref="G139:P139" si="111">G16</f>
        <v>62</v>
      </c>
      <c r="H139" s="141">
        <f t="shared" si="111"/>
        <v>62</v>
      </c>
      <c r="I139" s="141">
        <f t="shared" si="111"/>
        <v>62</v>
      </c>
      <c r="J139" s="141">
        <f t="shared" si="111"/>
        <v>62</v>
      </c>
      <c r="K139" s="141">
        <f t="shared" si="111"/>
        <v>36.720000000000027</v>
      </c>
      <c r="L139" s="141">
        <f t="shared" si="111"/>
        <v>0</v>
      </c>
      <c r="M139" s="141">
        <f t="shared" si="111"/>
        <v>0</v>
      </c>
      <c r="N139" s="141">
        <f t="shared" si="111"/>
        <v>0</v>
      </c>
      <c r="O139" s="141">
        <f t="shared" si="111"/>
        <v>0</v>
      </c>
      <c r="P139" s="141">
        <f t="shared" si="111"/>
        <v>0</v>
      </c>
      <c r="R139" s="434"/>
      <c r="S139" s="141">
        <f>S16</f>
        <v>31</v>
      </c>
      <c r="T139" s="141">
        <f>T16</f>
        <v>31</v>
      </c>
    </row>
    <row r="140" spans="1:20" ht="13.5" customHeight="1" outlineLevel="1">
      <c r="B140" s="139" t="s">
        <v>129</v>
      </c>
      <c r="C140" s="88"/>
      <c r="D140" s="88"/>
      <c r="E140" s="88"/>
      <c r="G140" s="330">
        <v>0</v>
      </c>
      <c r="H140" s="163">
        <f>G140</f>
        <v>0</v>
      </c>
      <c r="I140" s="163">
        <f t="shared" ref="I140:P140" si="112">H140</f>
        <v>0</v>
      </c>
      <c r="J140" s="163">
        <f t="shared" si="112"/>
        <v>0</v>
      </c>
      <c r="K140" s="163">
        <f t="shared" si="112"/>
        <v>0</v>
      </c>
      <c r="L140" s="163">
        <f t="shared" si="112"/>
        <v>0</v>
      </c>
      <c r="M140" s="163">
        <f t="shared" si="112"/>
        <v>0</v>
      </c>
      <c r="N140" s="163">
        <f t="shared" si="112"/>
        <v>0</v>
      </c>
      <c r="O140" s="163">
        <f t="shared" si="112"/>
        <v>0</v>
      </c>
      <c r="P140" s="163">
        <f t="shared" si="112"/>
        <v>0</v>
      </c>
      <c r="R140" s="434"/>
      <c r="S140" s="184">
        <f>S$3*$G140</f>
        <v>0</v>
      </c>
      <c r="T140" s="184">
        <f>T$3*$G140</f>
        <v>0</v>
      </c>
    </row>
    <row r="141" spans="1:20" ht="13.5" customHeight="1" outlineLevel="1">
      <c r="B141" s="139" t="s">
        <v>130</v>
      </c>
      <c r="C141" s="88"/>
      <c r="D141" s="88"/>
      <c r="E141" s="88"/>
      <c r="G141" s="141">
        <f t="shared" ref="G141:P141" si="113">G17</f>
        <v>53.7</v>
      </c>
      <c r="H141" s="141">
        <f t="shared" si="113"/>
        <v>59.6</v>
      </c>
      <c r="I141" s="141">
        <f t="shared" si="113"/>
        <v>65.56</v>
      </c>
      <c r="J141" s="141">
        <f t="shared" si="113"/>
        <v>72.116000000000014</v>
      </c>
      <c r="K141" s="141">
        <f t="shared" si="113"/>
        <v>79.327600000000032</v>
      </c>
      <c r="L141" s="141">
        <f t="shared" si="113"/>
        <v>87.260360000000048</v>
      </c>
      <c r="M141" s="141">
        <f t="shared" si="113"/>
        <v>95.986396000000056</v>
      </c>
      <c r="N141" s="141">
        <f t="shared" si="113"/>
        <v>105.58503560000007</v>
      </c>
      <c r="O141" s="141">
        <f t="shared" si="113"/>
        <v>116.14353916000009</v>
      </c>
      <c r="P141" s="141">
        <f t="shared" si="113"/>
        <v>127.75789307600012</v>
      </c>
      <c r="R141" s="434"/>
      <c r="S141" s="141">
        <f>S17</f>
        <v>26.85</v>
      </c>
      <c r="T141" s="141">
        <f>T17</f>
        <v>26.85</v>
      </c>
    </row>
    <row r="142" spans="1:20" ht="13.5" customHeight="1" outlineLevel="1">
      <c r="B142" s="139" t="s">
        <v>435</v>
      </c>
      <c r="C142" s="88"/>
      <c r="D142" s="88"/>
      <c r="E142" s="88"/>
      <c r="G142" s="141">
        <f t="shared" ref="G142:P142" si="114">-G225</f>
        <v>0</v>
      </c>
      <c r="H142" s="141">
        <f t="shared" si="114"/>
        <v>0</v>
      </c>
      <c r="I142" s="141">
        <f t="shared" si="114"/>
        <v>0</v>
      </c>
      <c r="J142" s="141">
        <f t="shared" si="114"/>
        <v>0</v>
      </c>
      <c r="K142" s="141">
        <f t="shared" si="114"/>
        <v>0</v>
      </c>
      <c r="L142" s="141">
        <f t="shared" si="114"/>
        <v>0</v>
      </c>
      <c r="M142" s="141">
        <f t="shared" si="114"/>
        <v>0</v>
      </c>
      <c r="N142" s="141">
        <f t="shared" si="114"/>
        <v>0</v>
      </c>
      <c r="O142" s="141">
        <f t="shared" si="114"/>
        <v>0</v>
      </c>
      <c r="P142" s="141">
        <f t="shared" si="114"/>
        <v>0</v>
      </c>
      <c r="R142" s="434"/>
      <c r="S142" s="141">
        <f>-S225</f>
        <v>0</v>
      </c>
      <c r="T142" s="141">
        <f>-T225</f>
        <v>0</v>
      </c>
    </row>
    <row r="143" spans="1:20" ht="13.5" customHeight="1" outlineLevel="1">
      <c r="B143" s="139" t="s">
        <v>642</v>
      </c>
      <c r="C143" s="88"/>
      <c r="D143" s="88"/>
      <c r="E143" s="88"/>
      <c r="G143" s="118">
        <f t="shared" ref="G143:P143" si="115">-G226</f>
        <v>0</v>
      </c>
      <c r="H143" s="118">
        <f t="shared" si="115"/>
        <v>0</v>
      </c>
      <c r="I143" s="118">
        <f t="shared" si="115"/>
        <v>0</v>
      </c>
      <c r="J143" s="118">
        <f t="shared" si="115"/>
        <v>0</v>
      </c>
      <c r="K143" s="118">
        <f t="shared" si="115"/>
        <v>0</v>
      </c>
      <c r="L143" s="118">
        <f t="shared" si="115"/>
        <v>0</v>
      </c>
      <c r="M143" s="118">
        <f t="shared" si="115"/>
        <v>0</v>
      </c>
      <c r="N143" s="118">
        <f t="shared" si="115"/>
        <v>0</v>
      </c>
      <c r="O143" s="118">
        <f t="shared" si="115"/>
        <v>0</v>
      </c>
      <c r="P143" s="118">
        <f t="shared" si="115"/>
        <v>0</v>
      </c>
      <c r="R143" s="434"/>
      <c r="S143" s="118">
        <f>-S226</f>
        <v>0</v>
      </c>
      <c r="T143" s="118">
        <f>-T226</f>
        <v>0</v>
      </c>
    </row>
    <row r="144" spans="1:20" ht="13.5" customHeight="1" outlineLevel="1">
      <c r="B144" s="139" t="str">
        <f>"PIK accrual – "&amp;B113</f>
        <v>PIK accrual – Convertible bond 1</v>
      </c>
      <c r="C144" s="88"/>
      <c r="D144" s="88"/>
      <c r="E144" s="88"/>
      <c r="G144" s="118">
        <f t="shared" ref="G144:P144" si="116">G291</f>
        <v>42.75</v>
      </c>
      <c r="H144" s="118">
        <f t="shared" si="116"/>
        <v>46.811250000000001</v>
      </c>
      <c r="I144" s="118">
        <f t="shared" si="116"/>
        <v>38.443739062500001</v>
      </c>
      <c r="J144" s="118">
        <f t="shared" si="116"/>
        <v>0</v>
      </c>
      <c r="K144" s="118">
        <f t="shared" si="116"/>
        <v>0</v>
      </c>
      <c r="L144" s="118">
        <f t="shared" si="116"/>
        <v>0</v>
      </c>
      <c r="M144" s="118">
        <f t="shared" si="116"/>
        <v>0</v>
      </c>
      <c r="N144" s="118">
        <f t="shared" si="116"/>
        <v>0</v>
      </c>
      <c r="O144" s="118">
        <f t="shared" si="116"/>
        <v>0</v>
      </c>
      <c r="P144" s="118">
        <f t="shared" si="116"/>
        <v>0</v>
      </c>
      <c r="R144" s="434"/>
      <c r="S144" s="118">
        <f>S291</f>
        <v>21.375</v>
      </c>
      <c r="T144" s="118">
        <f>T291</f>
        <v>21.375</v>
      </c>
    </row>
    <row r="145" spans="2:20" ht="13.5" customHeight="1" outlineLevel="1">
      <c r="B145" s="139" t="str">
        <f>"PIK accrual – "&amp;B118</f>
        <v>PIK accrual – Preferred stock 1</v>
      </c>
      <c r="C145" s="88"/>
      <c r="D145" s="88"/>
      <c r="E145" s="88"/>
      <c r="G145" s="118">
        <f t="shared" ref="G145:P145" si="117">G297</f>
        <v>0</v>
      </c>
      <c r="H145" s="118">
        <f t="shared" si="117"/>
        <v>0</v>
      </c>
      <c r="I145" s="118">
        <f t="shared" si="117"/>
        <v>0</v>
      </c>
      <c r="J145" s="118">
        <f t="shared" si="117"/>
        <v>0</v>
      </c>
      <c r="K145" s="118">
        <f t="shared" si="117"/>
        <v>0</v>
      </c>
      <c r="L145" s="118">
        <f t="shared" si="117"/>
        <v>0</v>
      </c>
      <c r="M145" s="118">
        <f t="shared" si="117"/>
        <v>0</v>
      </c>
      <c r="N145" s="118">
        <f t="shared" si="117"/>
        <v>0</v>
      </c>
      <c r="O145" s="118">
        <f t="shared" si="117"/>
        <v>0</v>
      </c>
      <c r="P145" s="118">
        <f t="shared" si="117"/>
        <v>0</v>
      </c>
      <c r="R145" s="434"/>
      <c r="S145" s="118">
        <f>S297</f>
        <v>0</v>
      </c>
      <c r="T145" s="118">
        <f>T297</f>
        <v>0</v>
      </c>
    </row>
    <row r="146" spans="2:20" ht="13.5" customHeight="1" outlineLevel="1">
      <c r="B146" s="119" t="s">
        <v>131</v>
      </c>
      <c r="C146" s="119"/>
      <c r="D146" s="119"/>
      <c r="E146" s="119"/>
      <c r="F146" s="331"/>
      <c r="G146" s="331">
        <f ca="1">SUM(G138:OFFSET(G146,-1,0))</f>
        <v>233.14999999999998</v>
      </c>
      <c r="H146" s="331">
        <f ca="1">SUM(H138:OFFSET(H146,-1,0))</f>
        <v>253.81125</v>
      </c>
      <c r="I146" s="331">
        <f ca="1">SUM(I138:OFFSET(I146,-1,0))</f>
        <v>259.94373906250001</v>
      </c>
      <c r="J146" s="331">
        <f ca="1">SUM(J138:OFFSET(J146,-1,0))</f>
        <v>237.45000000000005</v>
      </c>
      <c r="K146" s="331">
        <f ca="1">SUM(K138:OFFSET(K146,-1,0))</f>
        <v>229.71500000000009</v>
      </c>
      <c r="L146" s="331">
        <f ca="1">SUM(L138:OFFSET(L146,-1,0))</f>
        <v>212.29450000000011</v>
      </c>
      <c r="M146" s="331">
        <f ca="1">SUM(M138:OFFSET(M146,-1,0))</f>
        <v>233.52395000000013</v>
      </c>
      <c r="N146" s="331">
        <f ca="1">SUM(N138:OFFSET(N146,-1,0))</f>
        <v>256.87634500000019</v>
      </c>
      <c r="O146" s="331">
        <f ca="1">SUM(O138:OFFSET(O146,-1,0))</f>
        <v>282.56397950000019</v>
      </c>
      <c r="P146" s="331">
        <f ca="1">SUM(P138:OFFSET(P146,-1,0))</f>
        <v>310.82037745000025</v>
      </c>
      <c r="R146" s="434"/>
      <c r="S146" s="340">
        <f ca="1">SUM(S138:OFFSET(S146,-1,0))</f>
        <v>116.57499999999999</v>
      </c>
      <c r="T146" s="340">
        <f ca="1">SUM(T138:OFFSET(T146,-1,0))</f>
        <v>116.57499999999999</v>
      </c>
    </row>
    <row r="147" spans="2:20" ht="13.5" customHeight="1" outlineLevel="1">
      <c r="B147" s="139" t="s">
        <v>132</v>
      </c>
      <c r="C147" s="88"/>
      <c r="D147" s="88"/>
      <c r="E147" s="88"/>
      <c r="F147" s="141"/>
      <c r="G147" s="141">
        <f t="shared" ref="G147:P147" si="118">F193-G193</f>
        <v>-4.5286496594718528</v>
      </c>
      <c r="H147" s="141">
        <f t="shared" si="118"/>
        <v>2.1271439154998006</v>
      </c>
      <c r="I147" s="141">
        <f t="shared" si="118"/>
        <v>2.3218494256025224</v>
      </c>
      <c r="J147" s="141">
        <f t="shared" si="118"/>
        <v>2.5540343681632294</v>
      </c>
      <c r="K147" s="141">
        <f t="shared" si="118"/>
        <v>2.8094378049795523</v>
      </c>
      <c r="L147" s="141">
        <f t="shared" si="118"/>
        <v>3.0903815854771892</v>
      </c>
      <c r="M147" s="141">
        <f t="shared" si="118"/>
        <v>3.3994197440254084</v>
      </c>
      <c r="N147" s="141">
        <f t="shared" si="118"/>
        <v>3.7393617184268351</v>
      </c>
      <c r="O147" s="141">
        <f t="shared" si="118"/>
        <v>4.113297890271042</v>
      </c>
      <c r="P147" s="141">
        <f t="shared" si="118"/>
        <v>4.5246276792968274</v>
      </c>
      <c r="R147" s="434"/>
      <c r="S147" s="184">
        <f>F193-S193</f>
        <v>-4.5286496594718528</v>
      </c>
      <c r="T147" s="141">
        <f>S193-T193</f>
        <v>0</v>
      </c>
    </row>
    <row r="148" spans="2:20" ht="13.5" customHeight="1" outlineLevel="1">
      <c r="B148" s="139" t="s">
        <v>525</v>
      </c>
      <c r="C148" s="88"/>
      <c r="D148" s="88"/>
      <c r="E148" s="88"/>
      <c r="F148" s="88"/>
      <c r="G148" s="118">
        <f t="shared" ref="G148:P148" ca="1" si="119">G114-F114</f>
        <v>0</v>
      </c>
      <c r="H148" s="118">
        <f t="shared" ca="1" si="119"/>
        <v>0</v>
      </c>
      <c r="I148" s="118">
        <f t="shared" ca="1" si="119"/>
        <v>0</v>
      </c>
      <c r="J148" s="118">
        <f t="shared" ca="1" si="119"/>
        <v>0</v>
      </c>
      <c r="K148" s="118">
        <f t="shared" ca="1" si="119"/>
        <v>0</v>
      </c>
      <c r="L148" s="118">
        <f t="shared" ca="1" si="119"/>
        <v>0</v>
      </c>
      <c r="M148" s="118">
        <f t="shared" ca="1" si="119"/>
        <v>0</v>
      </c>
      <c r="N148" s="118">
        <f t="shared" ca="1" si="119"/>
        <v>0</v>
      </c>
      <c r="O148" s="118">
        <f t="shared" ca="1" si="119"/>
        <v>0</v>
      </c>
      <c r="P148" s="118">
        <f t="shared" ca="1" si="119"/>
        <v>0</v>
      </c>
      <c r="R148" s="434"/>
      <c r="S148" s="184">
        <f ca="1">S114-F114</f>
        <v>0</v>
      </c>
      <c r="T148" s="118">
        <f ca="1">T114-S114</f>
        <v>0</v>
      </c>
    </row>
    <row r="149" spans="2:20" ht="13.5" customHeight="1" outlineLevel="1">
      <c r="B149" s="139" t="s">
        <v>648</v>
      </c>
      <c r="C149" s="88"/>
      <c r="D149" s="88"/>
      <c r="E149" s="88"/>
      <c r="F149" s="88"/>
      <c r="G149" s="118">
        <f t="shared" ref="G149:P149" si="120">F97-G97</f>
        <v>0</v>
      </c>
      <c r="H149" s="118">
        <f t="shared" si="120"/>
        <v>0</v>
      </c>
      <c r="I149" s="118">
        <f t="shared" si="120"/>
        <v>0</v>
      </c>
      <c r="J149" s="118">
        <f t="shared" si="120"/>
        <v>0</v>
      </c>
      <c r="K149" s="118">
        <f t="shared" si="120"/>
        <v>0</v>
      </c>
      <c r="L149" s="118">
        <f t="shared" si="120"/>
        <v>0</v>
      </c>
      <c r="M149" s="118">
        <f t="shared" si="120"/>
        <v>0</v>
      </c>
      <c r="N149" s="118">
        <f t="shared" si="120"/>
        <v>0</v>
      </c>
      <c r="O149" s="118">
        <f t="shared" si="120"/>
        <v>0</v>
      </c>
      <c r="P149" s="118">
        <f t="shared" si="120"/>
        <v>0</v>
      </c>
      <c r="R149" s="434"/>
      <c r="S149" s="184">
        <f>F97-S97</f>
        <v>0</v>
      </c>
      <c r="T149" s="118">
        <f>S97-T97</f>
        <v>0</v>
      </c>
    </row>
    <row r="150" spans="2:20" ht="13.5" customHeight="1" outlineLevel="1">
      <c r="B150" s="139" t="s">
        <v>649</v>
      </c>
      <c r="C150" s="88"/>
      <c r="D150" s="88"/>
      <c r="E150" s="88"/>
      <c r="F150" s="141"/>
      <c r="G150" s="141">
        <f t="shared" ref="G150:P150" si="121">G115-F115</f>
        <v>0</v>
      </c>
      <c r="H150" s="141">
        <f t="shared" si="121"/>
        <v>0</v>
      </c>
      <c r="I150" s="141">
        <f t="shared" si="121"/>
        <v>0</v>
      </c>
      <c r="J150" s="141">
        <f t="shared" si="121"/>
        <v>0</v>
      </c>
      <c r="K150" s="141">
        <f t="shared" si="121"/>
        <v>0</v>
      </c>
      <c r="L150" s="141">
        <f t="shared" si="121"/>
        <v>0</v>
      </c>
      <c r="M150" s="141">
        <f t="shared" si="121"/>
        <v>0</v>
      </c>
      <c r="N150" s="141">
        <f t="shared" si="121"/>
        <v>0</v>
      </c>
      <c r="O150" s="141">
        <f t="shared" si="121"/>
        <v>0</v>
      </c>
      <c r="P150" s="141">
        <f t="shared" si="121"/>
        <v>0</v>
      </c>
      <c r="R150" s="434"/>
      <c r="S150" s="184">
        <f>S115-F115</f>
        <v>0</v>
      </c>
      <c r="T150" s="141">
        <f>T115-S115</f>
        <v>0</v>
      </c>
    </row>
    <row r="151" spans="2:20" ht="13.5" customHeight="1" outlineLevel="1">
      <c r="B151" s="332" t="s">
        <v>133</v>
      </c>
      <c r="C151" s="332"/>
      <c r="D151" s="332"/>
      <c r="E151" s="332"/>
      <c r="F151" s="333"/>
      <c r="G151" s="333">
        <f ca="1">SUM(G147:OFFSET(G151,-1,0))</f>
        <v>-4.5286496594718528</v>
      </c>
      <c r="H151" s="333">
        <f ca="1">SUM(H147:OFFSET(H151,-1,0))</f>
        <v>2.1271439154998006</v>
      </c>
      <c r="I151" s="333">
        <f ca="1">SUM(I147:OFFSET(I151,-1,0))</f>
        <v>2.3218494256025224</v>
      </c>
      <c r="J151" s="333">
        <f ca="1">SUM(J147:OFFSET(J151,-1,0))</f>
        <v>2.5540343681632294</v>
      </c>
      <c r="K151" s="333">
        <f ca="1">SUM(K147:OFFSET(K151,-1,0))</f>
        <v>2.8094378049795523</v>
      </c>
      <c r="L151" s="333">
        <f ca="1">SUM(L147:OFFSET(L151,-1,0))</f>
        <v>3.0903815854771892</v>
      </c>
      <c r="M151" s="333">
        <f ca="1">SUM(M147:OFFSET(M151,-1,0))</f>
        <v>3.3994197440254084</v>
      </c>
      <c r="N151" s="333">
        <f ca="1">SUM(N147:OFFSET(N151,-1,0))</f>
        <v>3.7393617184268351</v>
      </c>
      <c r="O151" s="333">
        <f ca="1">SUM(O147:OFFSET(O151,-1,0))</f>
        <v>4.113297890271042</v>
      </c>
      <c r="P151" s="333">
        <f ca="1">SUM(P147:OFFSET(P151,-1,0))</f>
        <v>4.5246276792968274</v>
      </c>
      <c r="R151" s="434"/>
      <c r="S151" s="333">
        <f ca="1">SUM(S147:OFFSET(S151,-1,0))</f>
        <v>-4.5286496594718528</v>
      </c>
      <c r="T151" s="333">
        <f ca="1">SUM(T147:OFFSET(T151,-1,0))</f>
        <v>0</v>
      </c>
    </row>
    <row r="152" spans="2:20" ht="13.5" customHeight="1" outlineLevel="1">
      <c r="B152" s="164" t="s">
        <v>134</v>
      </c>
      <c r="C152" s="164"/>
      <c r="D152" s="164"/>
      <c r="E152" s="164"/>
      <c r="F152" s="334"/>
      <c r="G152" s="166">
        <f t="shared" ref="G152:P152" ca="1" si="122">G137+G146+G151</f>
        <v>542.01476002773063</v>
      </c>
      <c r="H152" s="166">
        <f t="shared" ca="1" si="122"/>
        <v>627.99188955263935</v>
      </c>
      <c r="I152" s="166">
        <f t="shared" ca="1" si="122"/>
        <v>676.76747404671528</v>
      </c>
      <c r="J152" s="166">
        <f t="shared" ca="1" si="122"/>
        <v>701.98351701160993</v>
      </c>
      <c r="K152" s="166">
        <f t="shared" ca="1" si="122"/>
        <v>765.70488887219949</v>
      </c>
      <c r="L152" s="166">
        <f t="shared" ca="1" si="122"/>
        <v>832.67005301219012</v>
      </c>
      <c r="M152" s="166">
        <f t="shared" ca="1" si="122"/>
        <v>920.4548530345138</v>
      </c>
      <c r="N152" s="166">
        <f t="shared" ca="1" si="122"/>
        <v>1017.0268813146131</v>
      </c>
      <c r="O152" s="166">
        <f t="shared" ca="1" si="122"/>
        <v>1123.2648748941194</v>
      </c>
      <c r="P152" s="166">
        <f t="shared" ca="1" si="122"/>
        <v>1240.1354445419183</v>
      </c>
      <c r="R152" s="434"/>
      <c r="S152" s="166">
        <f ca="1">S137+S146+S151</f>
        <v>268.74305518412939</v>
      </c>
      <c r="T152" s="166">
        <f ca="1">T137+T146+T151</f>
        <v>273.27170484360124</v>
      </c>
    </row>
    <row r="153" spans="2:20" ht="13.5" customHeight="1" outlineLevel="1">
      <c r="B153" s="50"/>
      <c r="C153" s="50"/>
      <c r="D153" s="50"/>
      <c r="R153" s="434"/>
    </row>
    <row r="154" spans="2:20" ht="13.5" customHeight="1" outlineLevel="1">
      <c r="B154" s="457" t="s">
        <v>135</v>
      </c>
      <c r="C154" s="458"/>
      <c r="D154" s="459"/>
      <c r="E154" s="459"/>
      <c r="F154" s="459"/>
      <c r="G154" s="459"/>
      <c r="H154" s="459"/>
      <c r="I154" s="459"/>
      <c r="J154" s="459"/>
      <c r="K154" s="459"/>
      <c r="L154" s="459"/>
      <c r="M154" s="459"/>
      <c r="N154" s="459"/>
      <c r="O154" s="459"/>
      <c r="P154" s="460"/>
      <c r="R154" s="434"/>
      <c r="S154" s="461"/>
      <c r="T154" s="460"/>
    </row>
    <row r="155" spans="2:20" ht="13.5" customHeight="1" outlineLevel="1">
      <c r="B155" s="50"/>
      <c r="C155" s="50"/>
      <c r="D155" s="50"/>
      <c r="R155" s="434"/>
    </row>
    <row r="156" spans="2:20" ht="13.5" customHeight="1" outlineLevel="1">
      <c r="B156" s="88" t="s">
        <v>107</v>
      </c>
      <c r="C156" s="88"/>
      <c r="D156" s="88"/>
      <c r="E156" s="88"/>
      <c r="G156" s="341">
        <f t="shared" ref="G156:P156" si="123">-G46</f>
        <v>-203.6</v>
      </c>
      <c r="H156" s="341">
        <f t="shared" si="123"/>
        <v>-226.3</v>
      </c>
      <c r="I156" s="341">
        <f t="shared" si="123"/>
        <v>-248.93</v>
      </c>
      <c r="J156" s="341">
        <f t="shared" si="123"/>
        <v>-273.82300000000009</v>
      </c>
      <c r="K156" s="341">
        <f t="shared" si="123"/>
        <v>-301.20530000000014</v>
      </c>
      <c r="L156" s="341">
        <f t="shared" si="123"/>
        <v>-331.32583000000017</v>
      </c>
      <c r="M156" s="341">
        <f t="shared" si="123"/>
        <v>-364.45841300000018</v>
      </c>
      <c r="N156" s="341">
        <f t="shared" si="123"/>
        <v>-400.90425430000022</v>
      </c>
      <c r="O156" s="341">
        <f t="shared" si="123"/>
        <v>-440.99467973000031</v>
      </c>
      <c r="P156" s="341">
        <f t="shared" si="123"/>
        <v>-485.09414770300037</v>
      </c>
      <c r="R156" s="434"/>
      <c r="S156" s="341">
        <f>-S46</f>
        <v>-101.8</v>
      </c>
      <c r="T156" s="341">
        <f>-T46</f>
        <v>-101.8</v>
      </c>
    </row>
    <row r="157" spans="2:20" ht="13.5" customHeight="1" outlineLevel="1">
      <c r="B157" s="88" t="s">
        <v>136</v>
      </c>
      <c r="C157" s="88"/>
      <c r="D157" s="88"/>
      <c r="E157" s="88"/>
      <c r="G157" s="330">
        <v>0</v>
      </c>
      <c r="H157" s="330">
        <v>0</v>
      </c>
      <c r="I157" s="330">
        <v>0</v>
      </c>
      <c r="J157" s="330">
        <v>0</v>
      </c>
      <c r="K157" s="330">
        <v>0</v>
      </c>
      <c r="L157" s="330">
        <v>0</v>
      </c>
      <c r="M157" s="330">
        <v>0</v>
      </c>
      <c r="N157" s="330">
        <v>0</v>
      </c>
      <c r="O157" s="330">
        <v>0</v>
      </c>
      <c r="P157" s="330">
        <v>0</v>
      </c>
      <c r="R157" s="434"/>
      <c r="S157" s="184">
        <f>S$3*$G157</f>
        <v>0</v>
      </c>
      <c r="T157" s="184">
        <f>T$3*$G157</f>
        <v>0</v>
      </c>
    </row>
    <row r="158" spans="2:20" ht="13.5" customHeight="1" outlineLevel="1">
      <c r="B158" s="164" t="s">
        <v>137</v>
      </c>
      <c r="C158" s="164"/>
      <c r="D158" s="164"/>
      <c r="E158" s="164"/>
      <c r="F158" s="334"/>
      <c r="G158" s="166">
        <f ca="1">SUM(G156:OFFSET(G158,-1,0))</f>
        <v>-203.6</v>
      </c>
      <c r="H158" s="166">
        <f ca="1">SUM(H156:OFFSET(H158,-1,0))</f>
        <v>-226.3</v>
      </c>
      <c r="I158" s="166">
        <f ca="1">SUM(I156:OFFSET(I158,-1,0))</f>
        <v>-248.93</v>
      </c>
      <c r="J158" s="166">
        <f ca="1">SUM(J156:OFFSET(J158,-1,0))</f>
        <v>-273.82300000000009</v>
      </c>
      <c r="K158" s="166">
        <f ca="1">SUM(K156:OFFSET(K158,-1,0))</f>
        <v>-301.20530000000014</v>
      </c>
      <c r="L158" s="166">
        <f ca="1">SUM(L156:OFFSET(L158,-1,0))</f>
        <v>-331.32583000000017</v>
      </c>
      <c r="M158" s="166">
        <f ca="1">SUM(M156:OFFSET(M158,-1,0))</f>
        <v>-364.45841300000018</v>
      </c>
      <c r="N158" s="166">
        <f ca="1">SUM(N156:OFFSET(N158,-1,0))</f>
        <v>-400.90425430000022</v>
      </c>
      <c r="O158" s="166">
        <f ca="1">SUM(O156:OFFSET(O158,-1,0))</f>
        <v>-440.99467973000031</v>
      </c>
      <c r="P158" s="166">
        <f ca="1">SUM(P156:OFFSET(P158,-1,0))</f>
        <v>-485.09414770300037</v>
      </c>
      <c r="R158" s="434"/>
      <c r="S158" s="166">
        <f ca="1">SUM(S156:OFFSET(S158,-1,0))</f>
        <v>-101.8</v>
      </c>
      <c r="T158" s="166">
        <f ca="1">SUM(T156:OFFSET(T158,-1,0))</f>
        <v>-101.8</v>
      </c>
    </row>
    <row r="159" spans="2:20" ht="13.5" customHeight="1" outlineLevel="1">
      <c r="B159" s="50"/>
      <c r="C159" s="50"/>
      <c r="D159" s="50"/>
      <c r="R159" s="434"/>
    </row>
    <row r="160" spans="2:20" ht="13.5" customHeight="1" outlineLevel="1">
      <c r="B160" s="457" t="s">
        <v>138</v>
      </c>
      <c r="C160" s="458"/>
      <c r="D160" s="459"/>
      <c r="E160" s="459"/>
      <c r="F160" s="459"/>
      <c r="G160" s="459"/>
      <c r="H160" s="459"/>
      <c r="I160" s="459"/>
      <c r="J160" s="459"/>
      <c r="K160" s="459"/>
      <c r="L160" s="459"/>
      <c r="M160" s="459"/>
      <c r="N160" s="459"/>
      <c r="O160" s="459"/>
      <c r="P160" s="460"/>
      <c r="R160" s="434"/>
      <c r="S160" s="461"/>
      <c r="T160" s="460"/>
    </row>
    <row r="161" spans="1:20" ht="13.5" customHeight="1" outlineLevel="1">
      <c r="B161" s="50"/>
      <c r="C161" s="50"/>
      <c r="D161" s="50"/>
      <c r="R161" s="434"/>
    </row>
    <row r="162" spans="1:20" ht="13.5" customHeight="1" outlineLevel="1">
      <c r="B162" s="88" t="s">
        <v>66</v>
      </c>
      <c r="C162" s="50"/>
      <c r="D162" s="50"/>
      <c r="G162" s="114">
        <f t="shared" ref="G162:P162" ca="1" si="124">G110-F110</f>
        <v>-160</v>
      </c>
      <c r="H162" s="114">
        <f t="shared" ca="1" si="124"/>
        <v>0</v>
      </c>
      <c r="I162" s="114">
        <f t="shared" ca="1" si="124"/>
        <v>0</v>
      </c>
      <c r="J162" s="114">
        <f t="shared" ca="1" si="124"/>
        <v>0</v>
      </c>
      <c r="K162" s="114">
        <f t="shared" ca="1" si="124"/>
        <v>0</v>
      </c>
      <c r="L162" s="114">
        <f t="shared" ca="1" si="124"/>
        <v>0</v>
      </c>
      <c r="M162" s="114">
        <f t="shared" ca="1" si="124"/>
        <v>0</v>
      </c>
      <c r="N162" s="114">
        <f t="shared" ca="1" si="124"/>
        <v>0</v>
      </c>
      <c r="O162" s="114">
        <f t="shared" ca="1" si="124"/>
        <v>0</v>
      </c>
      <c r="P162" s="114">
        <f t="shared" ca="1" si="124"/>
        <v>0</v>
      </c>
      <c r="R162" s="434"/>
      <c r="S162" s="351">
        <f ca="1">S110-F110</f>
        <v>-160</v>
      </c>
      <c r="T162" s="114">
        <f ca="1">T110-S110</f>
        <v>0</v>
      </c>
    </row>
    <row r="163" spans="1:20" ht="13.5" customHeight="1" outlineLevel="1">
      <c r="B163" s="88" t="str">
        <f>B111</f>
        <v>Senior credit facility 1</v>
      </c>
      <c r="C163" s="50"/>
      <c r="D163" s="50"/>
      <c r="G163" s="118">
        <f t="shared" ref="G163:P164" ca="1" si="125">G249+G257</f>
        <v>0</v>
      </c>
      <c r="H163" s="118">
        <f t="shared" ca="1" si="125"/>
        <v>0</v>
      </c>
      <c r="I163" s="118">
        <f t="shared" ca="1" si="125"/>
        <v>0</v>
      </c>
      <c r="J163" s="118">
        <f t="shared" ca="1" si="125"/>
        <v>0</v>
      </c>
      <c r="K163" s="118">
        <f t="shared" ca="1" si="125"/>
        <v>0</v>
      </c>
      <c r="L163" s="118">
        <f t="shared" ca="1" si="125"/>
        <v>0</v>
      </c>
      <c r="M163" s="118">
        <f t="shared" ca="1" si="125"/>
        <v>0</v>
      </c>
      <c r="N163" s="118">
        <f t="shared" ca="1" si="125"/>
        <v>0</v>
      </c>
      <c r="O163" s="118">
        <f t="shared" ca="1" si="125"/>
        <v>0</v>
      </c>
      <c r="P163" s="118">
        <f t="shared" ca="1" si="125"/>
        <v>0</v>
      </c>
      <c r="R163" s="434"/>
      <c r="S163" s="118">
        <f ca="1">S249+S257</f>
        <v>0</v>
      </c>
      <c r="T163" s="118">
        <f ca="1">T249+T257</f>
        <v>0</v>
      </c>
    </row>
    <row r="164" spans="1:20" ht="13.5" customHeight="1" outlineLevel="1">
      <c r="B164" s="88" t="str">
        <f>B112</f>
        <v>Subordinated note 1</v>
      </c>
      <c r="C164" s="50"/>
      <c r="D164" s="50"/>
      <c r="G164" s="118">
        <f t="shared" ca="1" si="125"/>
        <v>0</v>
      </c>
      <c r="H164" s="118">
        <f t="shared" ca="1" si="125"/>
        <v>0</v>
      </c>
      <c r="I164" s="118">
        <f t="shared" ca="1" si="125"/>
        <v>0</v>
      </c>
      <c r="J164" s="118">
        <f t="shared" ca="1" si="125"/>
        <v>0</v>
      </c>
      <c r="K164" s="118">
        <f t="shared" ca="1" si="125"/>
        <v>0</v>
      </c>
      <c r="L164" s="118">
        <f t="shared" ca="1" si="125"/>
        <v>0</v>
      </c>
      <c r="M164" s="118">
        <f t="shared" ca="1" si="125"/>
        <v>0</v>
      </c>
      <c r="N164" s="118">
        <f t="shared" ca="1" si="125"/>
        <v>0</v>
      </c>
      <c r="O164" s="118">
        <f t="shared" ca="1" si="125"/>
        <v>0</v>
      </c>
      <c r="P164" s="118">
        <f t="shared" ca="1" si="125"/>
        <v>0</v>
      </c>
      <c r="R164" s="434"/>
      <c r="S164" s="118">
        <f ca="1">S250+S258</f>
        <v>0</v>
      </c>
      <c r="T164" s="118">
        <f ca="1">T250+T258</f>
        <v>0</v>
      </c>
    </row>
    <row r="165" spans="1:20" ht="13.5" customHeight="1" outlineLevel="1">
      <c r="B165" s="88" t="str">
        <f>B113</f>
        <v>Convertible bond 1</v>
      </c>
      <c r="C165" s="50"/>
      <c r="D165" s="50"/>
      <c r="G165" s="118">
        <f t="shared" ref="G165:P165" si="126">G251</f>
        <v>0</v>
      </c>
      <c r="H165" s="118">
        <f t="shared" si="126"/>
        <v>0</v>
      </c>
      <c r="I165" s="118">
        <f t="shared" si="126"/>
        <v>0</v>
      </c>
      <c r="J165" s="118">
        <f t="shared" si="126"/>
        <v>0</v>
      </c>
      <c r="K165" s="118">
        <f t="shared" si="126"/>
        <v>0</v>
      </c>
      <c r="L165" s="118">
        <f t="shared" si="126"/>
        <v>0</v>
      </c>
      <c r="M165" s="118">
        <f t="shared" si="126"/>
        <v>0</v>
      </c>
      <c r="N165" s="118">
        <f t="shared" si="126"/>
        <v>0</v>
      </c>
      <c r="O165" s="118">
        <f t="shared" si="126"/>
        <v>0</v>
      </c>
      <c r="P165" s="118">
        <f t="shared" si="126"/>
        <v>0</v>
      </c>
      <c r="R165" s="434"/>
      <c r="S165" s="118">
        <f>S251</f>
        <v>0</v>
      </c>
      <c r="T165" s="118">
        <f>T251</f>
        <v>0</v>
      </c>
    </row>
    <row r="166" spans="1:20" ht="13.5" customHeight="1" outlineLevel="1">
      <c r="B166" s="88" t="str">
        <f>B118</f>
        <v>Preferred stock 1</v>
      </c>
      <c r="C166" s="50"/>
      <c r="D166" s="50"/>
      <c r="G166" s="118">
        <f t="shared" ref="G166:P166" si="127">G298</f>
        <v>0</v>
      </c>
      <c r="H166" s="118">
        <f t="shared" si="127"/>
        <v>0</v>
      </c>
      <c r="I166" s="118">
        <f t="shared" si="127"/>
        <v>0</v>
      </c>
      <c r="J166" s="118">
        <f t="shared" si="127"/>
        <v>0</v>
      </c>
      <c r="K166" s="118">
        <f t="shared" si="127"/>
        <v>0</v>
      </c>
      <c r="L166" s="118">
        <f t="shared" si="127"/>
        <v>0</v>
      </c>
      <c r="M166" s="118">
        <f t="shared" si="127"/>
        <v>0</v>
      </c>
      <c r="N166" s="118">
        <f t="shared" si="127"/>
        <v>0</v>
      </c>
      <c r="O166" s="118">
        <f t="shared" si="127"/>
        <v>0</v>
      </c>
      <c r="P166" s="118">
        <f t="shared" si="127"/>
        <v>0</v>
      </c>
      <c r="R166" s="434"/>
      <c r="S166" s="118">
        <f>S298</f>
        <v>0</v>
      </c>
      <c r="T166" s="118">
        <f>T298</f>
        <v>0</v>
      </c>
    </row>
    <row r="167" spans="1:20" ht="13.5" customHeight="1" outlineLevel="1">
      <c r="B167" s="88" t="s">
        <v>247</v>
      </c>
      <c r="C167" s="50"/>
      <c r="D167" s="50"/>
      <c r="G167" s="118">
        <f t="shared" ref="G167:P167" si="128">-G47*G548</f>
        <v>-8.6577200000000012</v>
      </c>
      <c r="H167" s="118">
        <f t="shared" si="128"/>
        <v>-8.6577200000000012</v>
      </c>
      <c r="I167" s="118">
        <f t="shared" si="128"/>
        <v>-8.6577200000000012</v>
      </c>
      <c r="J167" s="118">
        <f t="shared" si="128"/>
        <v>-8.6577200000000012</v>
      </c>
      <c r="K167" s="118">
        <f t="shared" si="128"/>
        <v>-8.6577200000000012</v>
      </c>
      <c r="L167" s="118">
        <f t="shared" si="128"/>
        <v>-8.6577200000000012</v>
      </c>
      <c r="M167" s="118">
        <f t="shared" si="128"/>
        <v>-8.6577200000000012</v>
      </c>
      <c r="N167" s="118">
        <f t="shared" si="128"/>
        <v>-8.6577200000000012</v>
      </c>
      <c r="O167" s="118">
        <f t="shared" si="128"/>
        <v>-8.6577200000000012</v>
      </c>
      <c r="P167" s="118">
        <f t="shared" si="128"/>
        <v>-8.6577200000000012</v>
      </c>
      <c r="R167" s="434"/>
      <c r="S167" s="118">
        <f>-S47*S548</f>
        <v>-4.3288600000000006</v>
      </c>
      <c r="T167" s="118">
        <f>-T47*T548</f>
        <v>-4.3288600000000006</v>
      </c>
    </row>
    <row r="168" spans="1:20" ht="13.5" customHeight="1" outlineLevel="1">
      <c r="B168" s="164" t="s">
        <v>139</v>
      </c>
      <c r="C168" s="164"/>
      <c r="D168" s="164"/>
      <c r="E168" s="164"/>
      <c r="F168" s="166"/>
      <c r="G168" s="166">
        <f ca="1">SUM(G162:OFFSET(G168,-1,0))</f>
        <v>-168.65772000000001</v>
      </c>
      <c r="H168" s="166">
        <f ca="1">SUM(H162:OFFSET(H168,-1,0))</f>
        <v>-8.6577200000000012</v>
      </c>
      <c r="I168" s="166">
        <f ca="1">SUM(I162:OFFSET(I168,-1,0))</f>
        <v>-8.6577200000000012</v>
      </c>
      <c r="J168" s="166">
        <f ca="1">SUM(J162:OFFSET(J168,-1,0))</f>
        <v>-8.6577200000000012</v>
      </c>
      <c r="K168" s="166">
        <f ca="1">SUM(K162:OFFSET(K168,-1,0))</f>
        <v>-8.6577200000000012</v>
      </c>
      <c r="L168" s="166">
        <f ca="1">SUM(L162:OFFSET(L168,-1,0))</f>
        <v>-8.6577200000000012</v>
      </c>
      <c r="M168" s="166">
        <f ca="1">SUM(M162:OFFSET(M168,-1,0))</f>
        <v>-8.6577200000000012</v>
      </c>
      <c r="N168" s="166">
        <f ca="1">SUM(N162:OFFSET(N168,-1,0))</f>
        <v>-8.6577200000000012</v>
      </c>
      <c r="O168" s="166">
        <f ca="1">SUM(O162:OFFSET(O168,-1,0))</f>
        <v>-8.6577200000000012</v>
      </c>
      <c r="P168" s="166">
        <f ca="1">SUM(P162:OFFSET(P168,-1,0))</f>
        <v>-8.6577200000000012</v>
      </c>
      <c r="R168" s="434"/>
      <c r="S168" s="166">
        <f ca="1">SUM(S162:OFFSET(S168,-1,0))</f>
        <v>-164.32885999999999</v>
      </c>
      <c r="T168" s="166">
        <f ca="1">SUM(T162:OFFSET(T168,-1,0))</f>
        <v>-4.3288600000000006</v>
      </c>
    </row>
    <row r="169" spans="1:20" ht="13.5" customHeight="1" outlineLevel="1">
      <c r="B169" s="50"/>
      <c r="C169" s="50"/>
      <c r="D169" s="50"/>
      <c r="L169" s="57"/>
      <c r="R169" s="434"/>
    </row>
    <row r="170" spans="1:20" ht="13.5" customHeight="1" outlineLevel="1">
      <c r="B170" s="88" t="s">
        <v>140</v>
      </c>
      <c r="C170" s="50"/>
      <c r="D170" s="50"/>
      <c r="G170" s="114">
        <f t="shared" ref="G170:P170" ca="1" si="129">G152+G158+G168</f>
        <v>169.7570400277306</v>
      </c>
      <c r="H170" s="114">
        <f t="shared" ca="1" si="129"/>
        <v>393.03416955263936</v>
      </c>
      <c r="I170" s="114">
        <f t="shared" ca="1" si="129"/>
        <v>419.17975404671529</v>
      </c>
      <c r="J170" s="114">
        <f t="shared" ca="1" si="129"/>
        <v>419.50279701160986</v>
      </c>
      <c r="K170" s="114">
        <f t="shared" ca="1" si="129"/>
        <v>455.84186887219937</v>
      </c>
      <c r="L170" s="114">
        <f t="shared" ca="1" si="129"/>
        <v>492.68650301218997</v>
      </c>
      <c r="M170" s="114">
        <f t="shared" ca="1" si="129"/>
        <v>547.33872003451359</v>
      </c>
      <c r="N170" s="114">
        <f t="shared" ca="1" si="129"/>
        <v>607.46490701461278</v>
      </c>
      <c r="O170" s="114">
        <f t="shared" ca="1" si="129"/>
        <v>673.61247516411902</v>
      </c>
      <c r="P170" s="114">
        <f t="shared" ca="1" si="129"/>
        <v>746.38357683891797</v>
      </c>
      <c r="R170" s="434"/>
      <c r="S170" s="114">
        <f ca="1">S152+S158+S168</f>
        <v>2.614195184129386</v>
      </c>
      <c r="T170" s="114">
        <f ca="1">T152+T158+T168</f>
        <v>167.14284484360124</v>
      </c>
    </row>
    <row r="171" spans="1:20" ht="5.0999999999999996" customHeight="1" outlineLevel="1" thickBot="1">
      <c r="B171" s="336"/>
      <c r="C171" s="336"/>
      <c r="D171" s="336"/>
      <c r="E171" s="209"/>
      <c r="F171" s="209"/>
      <c r="G171" s="209"/>
      <c r="H171" s="209"/>
      <c r="I171" s="209"/>
      <c r="J171" s="209"/>
      <c r="K171" s="209"/>
      <c r="L171" s="337"/>
      <c r="M171" s="209"/>
      <c r="N171" s="209"/>
      <c r="O171" s="209"/>
      <c r="P171" s="209"/>
      <c r="Q171" s="209"/>
      <c r="R171" s="209"/>
      <c r="S171" s="209"/>
      <c r="T171" s="209"/>
    </row>
    <row r="172" spans="1:20" ht="13.5" customHeight="1" outlineLevel="1">
      <c r="B172" s="50"/>
      <c r="C172" s="50"/>
      <c r="D172" s="50"/>
      <c r="L172" s="57"/>
    </row>
    <row r="173" spans="1:20" ht="13.5" customHeight="1" outlineLevel="1" thickBot="1">
      <c r="B173" s="50"/>
      <c r="C173" s="50"/>
      <c r="D173" s="50"/>
      <c r="L173" s="57"/>
    </row>
    <row r="174" spans="1:20" ht="20.7" thickTop="1">
      <c r="A174" s="281" t="s">
        <v>631</v>
      </c>
      <c r="B174" s="429" t="str">
        <f>acquirer&amp;" Working Capital"</f>
        <v>BuyerCo Working Capital</v>
      </c>
      <c r="C174" s="430"/>
      <c r="D174" s="431"/>
      <c r="E174" s="431"/>
      <c r="F174" s="431"/>
      <c r="G174" s="431"/>
      <c r="H174" s="431"/>
      <c r="I174" s="431"/>
      <c r="J174" s="431"/>
      <c r="K174" s="431"/>
      <c r="L174" s="431"/>
      <c r="M174" s="431"/>
      <c r="N174" s="431"/>
      <c r="O174" s="431"/>
      <c r="P174" s="431"/>
      <c r="Q174" s="431"/>
      <c r="R174" s="431"/>
      <c r="S174" s="431"/>
      <c r="T174" s="431"/>
    </row>
    <row r="175" spans="1:20" ht="5.0999999999999996" customHeight="1" outlineLevel="1">
      <c r="B175" s="107"/>
      <c r="C175" s="285"/>
      <c r="L175" s="57"/>
    </row>
    <row r="176" spans="1:20" ht="13.5" customHeight="1" outlineLevel="1">
      <c r="B176" s="286"/>
      <c r="C176" s="286"/>
      <c r="D176" s="286"/>
      <c r="E176" s="42"/>
      <c r="F176" s="432" t="s">
        <v>630</v>
      </c>
      <c r="G176" s="433" t="s">
        <v>629</v>
      </c>
      <c r="H176" s="433"/>
      <c r="I176" s="433"/>
      <c r="J176" s="433"/>
      <c r="K176" s="433"/>
      <c r="L176" s="433"/>
      <c r="M176" s="433"/>
      <c r="N176" s="433"/>
      <c r="O176" s="433"/>
      <c r="P176" s="433"/>
      <c r="R176" s="434"/>
      <c r="S176" s="433" t="s">
        <v>628</v>
      </c>
      <c r="T176" s="433"/>
    </row>
    <row r="177" spans="2:20" ht="13.5" customHeight="1" outlineLevel="1" thickBot="1">
      <c r="B177" s="435" t="str">
        <f>"("&amp;curr&amp;" in millions)"</f>
        <v>($ in millions)</v>
      </c>
      <c r="C177" s="436"/>
      <c r="D177" s="436"/>
      <c r="E177" s="437"/>
      <c r="F177" s="439">
        <f>F$8</f>
        <v>44926</v>
      </c>
      <c r="G177" s="439">
        <f>G$8</f>
        <v>45291</v>
      </c>
      <c r="H177" s="439">
        <f>H$8</f>
        <v>45657</v>
      </c>
      <c r="I177" s="439">
        <f>I$8</f>
        <v>46022</v>
      </c>
      <c r="J177" s="439">
        <f t="shared" ref="J177:P177" si="130">J$8</f>
        <v>46387</v>
      </c>
      <c r="K177" s="439">
        <f t="shared" si="130"/>
        <v>46752</v>
      </c>
      <c r="L177" s="439">
        <f t="shared" si="130"/>
        <v>47118</v>
      </c>
      <c r="M177" s="439">
        <f t="shared" si="130"/>
        <v>47483</v>
      </c>
      <c r="N177" s="439">
        <f t="shared" si="130"/>
        <v>47848</v>
      </c>
      <c r="O177" s="439">
        <f t="shared" si="130"/>
        <v>48213</v>
      </c>
      <c r="P177" s="439">
        <f t="shared" si="130"/>
        <v>48579</v>
      </c>
      <c r="R177" s="434"/>
      <c r="S177" s="440">
        <f>S$8</f>
        <v>45107</v>
      </c>
      <c r="T177" s="440">
        <f>T$8</f>
        <v>45291</v>
      </c>
    </row>
    <row r="178" spans="2:20" ht="5.0999999999999996" customHeight="1" outlineLevel="1">
      <c r="B178" s="318"/>
      <c r="C178" s="318"/>
      <c r="D178" s="318"/>
      <c r="E178" s="319"/>
      <c r="F178" s="319"/>
      <c r="G178" s="319"/>
      <c r="H178" s="319"/>
      <c r="I178" s="319"/>
      <c r="J178" s="319"/>
      <c r="K178" s="319"/>
      <c r="L178" s="327"/>
      <c r="R178" s="434"/>
      <c r="S178" s="319"/>
      <c r="T178" s="319"/>
    </row>
    <row r="179" spans="2:20" ht="13.5" customHeight="1" outlineLevel="1">
      <c r="B179" s="457" t="s">
        <v>86</v>
      </c>
      <c r="C179" s="458"/>
      <c r="D179" s="459"/>
      <c r="E179" s="459"/>
      <c r="F179" s="459"/>
      <c r="G179" s="459"/>
      <c r="H179" s="459"/>
      <c r="I179" s="459"/>
      <c r="J179" s="459"/>
      <c r="K179" s="459"/>
      <c r="L179" s="459"/>
      <c r="M179" s="459"/>
      <c r="N179" s="459"/>
      <c r="O179" s="459"/>
      <c r="P179" s="460"/>
      <c r="R179" s="434"/>
      <c r="S179" s="461"/>
      <c r="T179" s="460"/>
    </row>
    <row r="180" spans="2:20" ht="13.5" customHeight="1" outlineLevel="1">
      <c r="B180" s="50"/>
      <c r="C180" s="50"/>
      <c r="D180" s="50"/>
      <c r="L180" s="57"/>
      <c r="R180" s="434"/>
    </row>
    <row r="181" spans="2:20" ht="13.5" customHeight="1" outlineLevel="1">
      <c r="B181" s="139" t="str">
        <f>B85</f>
        <v>Accounts receivable</v>
      </c>
      <c r="C181" s="88"/>
      <c r="D181" s="88"/>
      <c r="E181" s="328"/>
      <c r="F181" s="339">
        <f>F85</f>
        <v>568.50300000000004</v>
      </c>
      <c r="G181" s="231">
        <f t="shared" ref="G181:P181" si="131">CHOOSE($E201,G$197,G$198)*G201/G$3</f>
        <v>673.46217738631719</v>
      </c>
      <c r="H181" s="231">
        <f t="shared" si="131"/>
        <v>748.37756657107752</v>
      </c>
      <c r="I181" s="231">
        <f t="shared" si="131"/>
        <v>823.2153232281853</v>
      </c>
      <c r="J181" s="231">
        <f t="shared" si="131"/>
        <v>905.53685555100401</v>
      </c>
      <c r="K181" s="231">
        <f t="shared" si="131"/>
        <v>996.09054110610452</v>
      </c>
      <c r="L181" s="231">
        <f t="shared" si="131"/>
        <v>1095.6995952167151</v>
      </c>
      <c r="M181" s="231">
        <f t="shared" si="131"/>
        <v>1205.2695547383867</v>
      </c>
      <c r="N181" s="231">
        <f t="shared" si="131"/>
        <v>1325.7965102122255</v>
      </c>
      <c r="O181" s="231">
        <f t="shared" si="131"/>
        <v>1458.3761612334481</v>
      </c>
      <c r="P181" s="231">
        <f t="shared" si="131"/>
        <v>1604.2137773567931</v>
      </c>
      <c r="R181" s="434"/>
      <c r="S181" s="231">
        <f>CHOOSE($E201,S$197,S$198)*S201/S$3</f>
        <v>673.46217738631719</v>
      </c>
      <c r="T181" s="419">
        <f>IF(T$3=0,S181,CHOOSE($E201,T$197,T$198)*T201/T$3)</f>
        <v>673.46217738631719</v>
      </c>
    </row>
    <row r="182" spans="2:20" ht="13.5" customHeight="1" outlineLevel="1">
      <c r="B182" s="139" t="str">
        <f>B86</f>
        <v>Inventory</v>
      </c>
      <c r="C182" s="88"/>
      <c r="D182" s="88"/>
      <c r="E182" s="141"/>
      <c r="F182" s="184">
        <f>F86</f>
        <v>0</v>
      </c>
      <c r="G182" s="163">
        <f t="shared" ref="G182:P182" si="132">CHOOSE($E202,G$197,G$198)*G202/G$3</f>
        <v>0</v>
      </c>
      <c r="H182" s="163">
        <f t="shared" si="132"/>
        <v>0</v>
      </c>
      <c r="I182" s="163">
        <f t="shared" si="132"/>
        <v>0</v>
      </c>
      <c r="J182" s="163">
        <f t="shared" si="132"/>
        <v>0</v>
      </c>
      <c r="K182" s="163">
        <f t="shared" si="132"/>
        <v>0</v>
      </c>
      <c r="L182" s="163">
        <f t="shared" si="132"/>
        <v>0</v>
      </c>
      <c r="M182" s="163">
        <f t="shared" si="132"/>
        <v>0</v>
      </c>
      <c r="N182" s="163">
        <f t="shared" si="132"/>
        <v>0</v>
      </c>
      <c r="O182" s="163">
        <f t="shared" si="132"/>
        <v>0</v>
      </c>
      <c r="P182" s="163">
        <f t="shared" si="132"/>
        <v>0</v>
      </c>
      <c r="R182" s="434"/>
      <c r="S182" s="163">
        <f>CHOOSE($E202,S$197,S$198)*S202/S$3</f>
        <v>0</v>
      </c>
      <c r="T182" s="297">
        <f>IF(T$3=0,S182,CHOOSE($E202,T$197,T$198)*T202/T$3)</f>
        <v>0</v>
      </c>
    </row>
    <row r="183" spans="2:20" ht="13.5" customHeight="1" outlineLevel="1">
      <c r="B183" s="139" t="str">
        <f>B87</f>
        <v>Deferred tax asset, current</v>
      </c>
      <c r="C183" s="88"/>
      <c r="D183" s="88"/>
      <c r="E183" s="141"/>
      <c r="F183" s="184">
        <f>F87</f>
        <v>108.959</v>
      </c>
      <c r="G183" s="163">
        <f t="shared" ref="G183:P183" si="133">CHOOSE($E203,G$197,G$198)*G203/G$3</f>
        <v>129.0754233237744</v>
      </c>
      <c r="H183" s="163">
        <f t="shared" si="133"/>
        <v>143.43366926123173</v>
      </c>
      <c r="I183" s="163">
        <f t="shared" si="133"/>
        <v>157.77703618735492</v>
      </c>
      <c r="J183" s="163">
        <f t="shared" si="133"/>
        <v>173.55473980609045</v>
      </c>
      <c r="K183" s="163">
        <f t="shared" si="133"/>
        <v>190.91021378669953</v>
      </c>
      <c r="L183" s="163">
        <f t="shared" si="133"/>
        <v>210.00123516536948</v>
      </c>
      <c r="M183" s="163">
        <f t="shared" si="133"/>
        <v>231.00135868190645</v>
      </c>
      <c r="N183" s="163">
        <f t="shared" si="133"/>
        <v>254.1014945500971</v>
      </c>
      <c r="O183" s="163">
        <f t="shared" si="133"/>
        <v>279.51164400510686</v>
      </c>
      <c r="P183" s="163">
        <f t="shared" si="133"/>
        <v>307.46280840561758</v>
      </c>
      <c r="R183" s="434"/>
      <c r="S183" s="163">
        <f>CHOOSE($E203,S$197,S$198)*S203/S$3</f>
        <v>129.0754233237744</v>
      </c>
      <c r="T183" s="297">
        <f>IF(T$3=0,S183,CHOOSE($E203,T$197,T$198)*T203/T$3)</f>
        <v>129.0754233237744</v>
      </c>
    </row>
    <row r="184" spans="2:20" ht="13.5" customHeight="1" outlineLevel="1">
      <c r="B184" s="139" t="str">
        <f>B88</f>
        <v>Other current assets</v>
      </c>
      <c r="C184" s="88"/>
      <c r="D184" s="88"/>
      <c r="E184" s="141"/>
      <c r="F184" s="184">
        <f>F88</f>
        <v>123.46299999999999</v>
      </c>
      <c r="G184" s="163">
        <f t="shared" ref="G184:P184" si="134">CHOOSE($E204,G$197,G$198)*G204/G$3</f>
        <v>143.94254771624009</v>
      </c>
      <c r="H184" s="163">
        <f t="shared" si="134"/>
        <v>159.89984079876436</v>
      </c>
      <c r="I184" s="163">
        <f t="shared" si="134"/>
        <v>175.88982487864081</v>
      </c>
      <c r="J184" s="163">
        <f t="shared" si="134"/>
        <v>193.47880736650492</v>
      </c>
      <c r="K184" s="163">
        <f t="shared" si="134"/>
        <v>212.82668810315545</v>
      </c>
      <c r="L184" s="163">
        <f t="shared" si="134"/>
        <v>234.109356913471</v>
      </c>
      <c r="M184" s="163">
        <f t="shared" si="134"/>
        <v>257.52029260481811</v>
      </c>
      <c r="N184" s="163">
        <f t="shared" si="134"/>
        <v>283.27232186529994</v>
      </c>
      <c r="O184" s="163">
        <f t="shared" si="134"/>
        <v>311.59955405182995</v>
      </c>
      <c r="P184" s="163">
        <f t="shared" si="134"/>
        <v>342.759509457013</v>
      </c>
      <c r="R184" s="434"/>
      <c r="S184" s="163">
        <f>CHOOSE($E204,S$197,S$198)*S204/S$3</f>
        <v>143.94254771624009</v>
      </c>
      <c r="T184" s="297">
        <f>IF(T$3=0,S184,CHOOSE($E204,T$197,T$198)*T204/T$3)</f>
        <v>143.94254771624009</v>
      </c>
    </row>
    <row r="185" spans="2:20" ht="13.5" customHeight="1" outlineLevel="1">
      <c r="B185" s="116" t="s">
        <v>81</v>
      </c>
      <c r="C185" s="116"/>
      <c r="D185" s="116"/>
      <c r="E185" s="116"/>
      <c r="F185" s="340">
        <f>SUM(F181:F184)</f>
        <v>800.92499999999995</v>
      </c>
      <c r="G185" s="340">
        <f t="shared" ref="G185:P185" si="135">SUM(G181:G184)</f>
        <v>946.48014842633165</v>
      </c>
      <c r="H185" s="340">
        <f t="shared" si="135"/>
        <v>1051.7110766310736</v>
      </c>
      <c r="I185" s="340">
        <f t="shared" si="135"/>
        <v>1156.8821842941811</v>
      </c>
      <c r="J185" s="340">
        <f t="shared" si="135"/>
        <v>1272.5704027235995</v>
      </c>
      <c r="K185" s="340">
        <f t="shared" si="135"/>
        <v>1399.8274429959595</v>
      </c>
      <c r="L185" s="340">
        <f t="shared" si="135"/>
        <v>1539.8101872955556</v>
      </c>
      <c r="M185" s="340">
        <f t="shared" si="135"/>
        <v>1693.791206025111</v>
      </c>
      <c r="N185" s="340">
        <f t="shared" si="135"/>
        <v>1863.1703266276227</v>
      </c>
      <c r="O185" s="340">
        <f t="shared" si="135"/>
        <v>2049.487359290385</v>
      </c>
      <c r="P185" s="340">
        <f t="shared" si="135"/>
        <v>2254.4360952194238</v>
      </c>
      <c r="R185" s="434"/>
      <c r="S185" s="340">
        <f t="shared" ref="S185" si="136">SUM(S181:S184)</f>
        <v>946.48014842633165</v>
      </c>
      <c r="T185" s="340">
        <f>SUM(T181:T184)</f>
        <v>946.48014842633165</v>
      </c>
    </row>
    <row r="186" spans="2:20" ht="13.5" customHeight="1" outlineLevel="1">
      <c r="B186" s="139" t="str">
        <f t="shared" ref="B186:B191" si="137">B102</f>
        <v>Accounts payable</v>
      </c>
      <c r="C186" s="88"/>
      <c r="D186" s="88"/>
      <c r="E186" s="328"/>
      <c r="F186" s="184">
        <f t="shared" ref="F186:F191" si="138">F102</f>
        <v>186.13800000000001</v>
      </c>
      <c r="G186" s="163">
        <f t="shared" ref="G186:P186" si="139">CHOOSE($E206,G$197,G$198)*G206/G$3</f>
        <v>217.01382557369814</v>
      </c>
      <c r="H186" s="163">
        <f t="shared" si="139"/>
        <v>241.07171028243604</v>
      </c>
      <c r="I186" s="163">
        <f t="shared" si="139"/>
        <v>265.17888131067963</v>
      </c>
      <c r="J186" s="163">
        <f t="shared" si="139"/>
        <v>291.69676944174768</v>
      </c>
      <c r="K186" s="163">
        <f t="shared" si="139"/>
        <v>320.86644638592247</v>
      </c>
      <c r="L186" s="163">
        <f t="shared" si="139"/>
        <v>352.95309102451478</v>
      </c>
      <c r="M186" s="163">
        <f t="shared" si="139"/>
        <v>388.24840012696626</v>
      </c>
      <c r="N186" s="163">
        <f t="shared" si="139"/>
        <v>427.07324013966286</v>
      </c>
      <c r="O186" s="163">
        <f t="shared" si="139"/>
        <v>469.7805641536292</v>
      </c>
      <c r="P186" s="163">
        <f t="shared" si="139"/>
        <v>516.75862056899223</v>
      </c>
      <c r="R186" s="434"/>
      <c r="S186" s="163">
        <f t="shared" ref="S186:S191" si="140">CHOOSE($E206,S$197,S$198)*S206/S$3</f>
        <v>217.01382557369814</v>
      </c>
      <c r="T186" s="297">
        <f t="shared" ref="T186:T191" si="141">IF(T$3=0,S186,CHOOSE($E206,T$197,T$198)*T206/T$3)</f>
        <v>217.01382557369814</v>
      </c>
    </row>
    <row r="187" spans="2:20" ht="13.5" customHeight="1" outlineLevel="1">
      <c r="B187" s="139" t="str">
        <f t="shared" si="137"/>
        <v>Accrued expenses</v>
      </c>
      <c r="C187" s="88"/>
      <c r="D187" s="88"/>
      <c r="E187" s="141"/>
      <c r="F187" s="184">
        <f t="shared" si="138"/>
        <v>395.29899999999998</v>
      </c>
      <c r="G187" s="163">
        <f t="shared" ref="G187:P187" si="142">CHOOSE($E207,G$197,G$198)*G207/G$3</f>
        <v>460.86961413283314</v>
      </c>
      <c r="H187" s="163">
        <f t="shared" si="142"/>
        <v>511.96105041924096</v>
      </c>
      <c r="I187" s="163">
        <f t="shared" si="142"/>
        <v>563.15715546116508</v>
      </c>
      <c r="J187" s="163">
        <f t="shared" si="142"/>
        <v>619.4728710072817</v>
      </c>
      <c r="K187" s="163">
        <f t="shared" si="142"/>
        <v>681.42015810801001</v>
      </c>
      <c r="L187" s="163">
        <f t="shared" si="142"/>
        <v>749.56217391881103</v>
      </c>
      <c r="M187" s="163">
        <f t="shared" si="142"/>
        <v>824.51839131069221</v>
      </c>
      <c r="N187" s="163">
        <f t="shared" si="142"/>
        <v>906.97023044176137</v>
      </c>
      <c r="O187" s="163">
        <f t="shared" si="142"/>
        <v>997.66725348593764</v>
      </c>
      <c r="P187" s="163">
        <f t="shared" si="142"/>
        <v>1097.4339788345317</v>
      </c>
      <c r="R187" s="434"/>
      <c r="S187" s="163">
        <f t="shared" si="140"/>
        <v>460.86961413283314</v>
      </c>
      <c r="T187" s="297">
        <f t="shared" si="141"/>
        <v>460.86961413283314</v>
      </c>
    </row>
    <row r="188" spans="2:20" ht="13.5" customHeight="1" outlineLevel="1">
      <c r="B188" s="139" t="str">
        <f t="shared" si="137"/>
        <v>Client deposits</v>
      </c>
      <c r="C188" s="88"/>
      <c r="D188" s="88"/>
      <c r="E188" s="141"/>
      <c r="F188" s="184">
        <f t="shared" si="138"/>
        <v>0</v>
      </c>
      <c r="G188" s="163">
        <f t="shared" ref="G188:P188" si="143">CHOOSE($E208,G$197,G$198)*G208/G$3</f>
        <v>0</v>
      </c>
      <c r="H188" s="163">
        <f t="shared" si="143"/>
        <v>0</v>
      </c>
      <c r="I188" s="163">
        <f t="shared" si="143"/>
        <v>0</v>
      </c>
      <c r="J188" s="163">
        <f t="shared" si="143"/>
        <v>0</v>
      </c>
      <c r="K188" s="163">
        <f t="shared" si="143"/>
        <v>0</v>
      </c>
      <c r="L188" s="163">
        <f t="shared" si="143"/>
        <v>0</v>
      </c>
      <c r="M188" s="163">
        <f t="shared" si="143"/>
        <v>0</v>
      </c>
      <c r="N188" s="163">
        <f t="shared" si="143"/>
        <v>0</v>
      </c>
      <c r="O188" s="163">
        <f t="shared" si="143"/>
        <v>0</v>
      </c>
      <c r="P188" s="163">
        <f t="shared" si="143"/>
        <v>0</v>
      </c>
      <c r="R188" s="434"/>
      <c r="S188" s="163">
        <f t="shared" si="140"/>
        <v>0</v>
      </c>
      <c r="T188" s="297">
        <f t="shared" si="141"/>
        <v>0</v>
      </c>
    </row>
    <row r="189" spans="2:20" ht="13.5" customHeight="1" outlineLevel="1">
      <c r="B189" s="139" t="str">
        <f t="shared" si="137"/>
        <v>Income taxes payable</v>
      </c>
      <c r="C189" s="88"/>
      <c r="D189" s="88"/>
      <c r="E189" s="141"/>
      <c r="F189" s="184">
        <f t="shared" si="138"/>
        <v>35.881999999999998</v>
      </c>
      <c r="G189" s="163">
        <f t="shared" ref="G189:P189" si="144">CHOOSE($E209,G$197,G$198)*G209/G$3</f>
        <v>41.83396237864077</v>
      </c>
      <c r="H189" s="163">
        <f t="shared" si="144"/>
        <v>46.471623786407768</v>
      </c>
      <c r="I189" s="163">
        <f t="shared" si="144"/>
        <v>51.118786165048547</v>
      </c>
      <c r="J189" s="163">
        <f t="shared" si="144"/>
        <v>56.230664781553415</v>
      </c>
      <c r="K189" s="163">
        <f t="shared" si="144"/>
        <v>61.853731259708759</v>
      </c>
      <c r="L189" s="163">
        <f t="shared" si="144"/>
        <v>68.03910438567965</v>
      </c>
      <c r="M189" s="163">
        <f t="shared" si="144"/>
        <v>74.843014824247604</v>
      </c>
      <c r="N189" s="163">
        <f t="shared" si="144"/>
        <v>82.327316306672373</v>
      </c>
      <c r="O189" s="163">
        <f t="shared" si="144"/>
        <v>90.560047937339618</v>
      </c>
      <c r="P189" s="163">
        <f t="shared" si="144"/>
        <v>99.616052731073594</v>
      </c>
      <c r="R189" s="434"/>
      <c r="S189" s="163">
        <f t="shared" si="140"/>
        <v>41.83396237864077</v>
      </c>
      <c r="T189" s="297">
        <f t="shared" si="141"/>
        <v>41.83396237864077</v>
      </c>
    </row>
    <row r="190" spans="2:20" ht="13.5" customHeight="1" outlineLevel="1">
      <c r="B190" s="139" t="str">
        <f t="shared" si="137"/>
        <v>Deferred revenue</v>
      </c>
      <c r="C190" s="88"/>
      <c r="D190" s="88"/>
      <c r="E190" s="141"/>
      <c r="F190" s="184">
        <f t="shared" si="138"/>
        <v>209.226</v>
      </c>
      <c r="G190" s="163">
        <f t="shared" ref="G190:P190" si="145">CHOOSE($E210,G$197,G$198)*G210/G$3</f>
        <v>247.85409668168785</v>
      </c>
      <c r="H190" s="163">
        <f t="shared" si="145"/>
        <v>275.42518639901681</v>
      </c>
      <c r="I190" s="163">
        <f t="shared" si="145"/>
        <v>302.96770503891855</v>
      </c>
      <c r="J190" s="163">
        <f t="shared" si="145"/>
        <v>333.26447554281043</v>
      </c>
      <c r="K190" s="163">
        <f t="shared" si="145"/>
        <v>366.59092309709155</v>
      </c>
      <c r="L190" s="163">
        <f t="shared" si="145"/>
        <v>403.25001540680074</v>
      </c>
      <c r="M190" s="163">
        <f t="shared" si="145"/>
        <v>443.57501694748083</v>
      </c>
      <c r="N190" s="163">
        <f t="shared" si="145"/>
        <v>487.93251864222896</v>
      </c>
      <c r="O190" s="163">
        <f t="shared" si="145"/>
        <v>536.72577050645191</v>
      </c>
      <c r="P190" s="163">
        <f t="shared" si="145"/>
        <v>590.39834755709717</v>
      </c>
      <c r="R190" s="434"/>
      <c r="S190" s="163">
        <f t="shared" si="140"/>
        <v>247.85409668168785</v>
      </c>
      <c r="T190" s="297">
        <f t="shared" si="141"/>
        <v>247.85409668168785</v>
      </c>
    </row>
    <row r="191" spans="2:20" ht="13.5" customHeight="1" outlineLevel="1">
      <c r="B191" s="139" t="str">
        <f t="shared" si="137"/>
        <v>Other current liabilities</v>
      </c>
      <c r="C191" s="88"/>
      <c r="D191" s="88"/>
      <c r="E191" s="141"/>
      <c r="F191" s="184">
        <f t="shared" si="138"/>
        <v>0</v>
      </c>
      <c r="G191" s="163">
        <f t="shared" ref="G191:P191" si="146">CHOOSE($E211,G$197,G$198)*G211/G$3</f>
        <v>0</v>
      </c>
      <c r="H191" s="163">
        <f t="shared" si="146"/>
        <v>0</v>
      </c>
      <c r="I191" s="163">
        <f t="shared" si="146"/>
        <v>0</v>
      </c>
      <c r="J191" s="163">
        <f t="shared" si="146"/>
        <v>0</v>
      </c>
      <c r="K191" s="163">
        <f t="shared" si="146"/>
        <v>0</v>
      </c>
      <c r="L191" s="163">
        <f t="shared" si="146"/>
        <v>0</v>
      </c>
      <c r="M191" s="163">
        <f t="shared" si="146"/>
        <v>0</v>
      </c>
      <c r="N191" s="163">
        <f t="shared" si="146"/>
        <v>0</v>
      </c>
      <c r="O191" s="163">
        <f t="shared" si="146"/>
        <v>0</v>
      </c>
      <c r="P191" s="163">
        <f t="shared" si="146"/>
        <v>0</v>
      </c>
      <c r="R191" s="434"/>
      <c r="S191" s="163">
        <f t="shared" si="140"/>
        <v>0</v>
      </c>
      <c r="T191" s="297">
        <f t="shared" si="141"/>
        <v>0</v>
      </c>
    </row>
    <row r="192" spans="2:20" ht="13.5" customHeight="1" outlineLevel="1">
      <c r="B192" s="116" t="s">
        <v>82</v>
      </c>
      <c r="C192" s="116"/>
      <c r="D192" s="116"/>
      <c r="E192" s="116"/>
      <c r="F192" s="340">
        <f>SUM(F186:F191)</f>
        <v>826.54499999999996</v>
      </c>
      <c r="G192" s="340">
        <f t="shared" ref="G192:P192" si="147">SUM(G186:G191)</f>
        <v>967.5714987668598</v>
      </c>
      <c r="H192" s="340">
        <f t="shared" si="147"/>
        <v>1074.9295708871016</v>
      </c>
      <c r="I192" s="340">
        <f t="shared" si="147"/>
        <v>1182.4225279758116</v>
      </c>
      <c r="J192" s="340">
        <f t="shared" si="147"/>
        <v>1300.6647807733932</v>
      </c>
      <c r="K192" s="340">
        <f t="shared" si="147"/>
        <v>1430.7312588507327</v>
      </c>
      <c r="L192" s="340">
        <f t="shared" si="147"/>
        <v>1573.804384735806</v>
      </c>
      <c r="M192" s="340">
        <f t="shared" si="147"/>
        <v>1731.1848232093869</v>
      </c>
      <c r="N192" s="340">
        <f t="shared" si="147"/>
        <v>1904.3033055303254</v>
      </c>
      <c r="O192" s="340">
        <f t="shared" si="147"/>
        <v>2094.7336360833588</v>
      </c>
      <c r="P192" s="340">
        <f t="shared" si="147"/>
        <v>2304.2069996916944</v>
      </c>
      <c r="R192" s="434"/>
      <c r="S192" s="340">
        <f t="shared" ref="S192" si="148">SUM(S186:S191)</f>
        <v>967.5714987668598</v>
      </c>
      <c r="T192" s="340">
        <f>SUM(T186:T191)</f>
        <v>967.5714987668598</v>
      </c>
    </row>
    <row r="193" spans="2:20" ht="13.5" customHeight="1" outlineLevel="1">
      <c r="B193" s="164" t="s">
        <v>83</v>
      </c>
      <c r="C193" s="164"/>
      <c r="D193" s="164"/>
      <c r="E193" s="334"/>
      <c r="F193" s="166">
        <f>F185-F192</f>
        <v>-25.620000000000005</v>
      </c>
      <c r="G193" s="166">
        <f t="shared" ref="G193:P193" si="149">G185-G192</f>
        <v>-21.091350340528152</v>
      </c>
      <c r="H193" s="166">
        <f t="shared" si="149"/>
        <v>-23.218494256027952</v>
      </c>
      <c r="I193" s="166">
        <f t="shared" si="149"/>
        <v>-25.540343681630475</v>
      </c>
      <c r="J193" s="166">
        <f t="shared" si="149"/>
        <v>-28.094378049793704</v>
      </c>
      <c r="K193" s="166">
        <f t="shared" si="149"/>
        <v>-30.903815854773256</v>
      </c>
      <c r="L193" s="166">
        <f t="shared" si="149"/>
        <v>-33.994197440250446</v>
      </c>
      <c r="M193" s="166">
        <f t="shared" si="149"/>
        <v>-37.393617184275854</v>
      </c>
      <c r="N193" s="166">
        <f t="shared" si="149"/>
        <v>-41.132978902702689</v>
      </c>
      <c r="O193" s="166">
        <f t="shared" si="149"/>
        <v>-45.246276792973731</v>
      </c>
      <c r="P193" s="166">
        <f t="shared" si="149"/>
        <v>-49.770904472270558</v>
      </c>
      <c r="R193" s="434"/>
      <c r="S193" s="166">
        <f t="shared" ref="S193" si="150">S185-S192</f>
        <v>-21.091350340528152</v>
      </c>
      <c r="T193" s="166">
        <f>T185-T192</f>
        <v>-21.091350340528152</v>
      </c>
    </row>
    <row r="194" spans="2:20" ht="13.5" customHeight="1" outlineLevel="1">
      <c r="B194" s="50"/>
      <c r="C194" s="50"/>
      <c r="D194" s="50"/>
      <c r="L194" s="57"/>
      <c r="R194" s="434"/>
    </row>
    <row r="195" spans="2:20" ht="13.5" customHeight="1" outlineLevel="1">
      <c r="B195" s="457" t="s">
        <v>87</v>
      </c>
      <c r="C195" s="458"/>
      <c r="D195" s="459"/>
      <c r="E195" s="459"/>
      <c r="F195" s="459"/>
      <c r="G195" s="459"/>
      <c r="H195" s="459"/>
      <c r="I195" s="459"/>
      <c r="J195" s="459"/>
      <c r="K195" s="459"/>
      <c r="L195" s="459"/>
      <c r="M195" s="459"/>
      <c r="N195" s="459"/>
      <c r="O195" s="459"/>
      <c r="P195" s="460"/>
      <c r="R195" s="434"/>
      <c r="S195" s="461"/>
      <c r="T195" s="460"/>
    </row>
    <row r="196" spans="2:20" ht="13.5" customHeight="1" outlineLevel="1">
      <c r="B196" s="88"/>
      <c r="C196" s="88"/>
      <c r="D196" s="88"/>
      <c r="E196" s="88"/>
      <c r="L196" s="57"/>
      <c r="R196" s="434"/>
    </row>
    <row r="197" spans="2:20" ht="13.5" customHeight="1" outlineLevel="1">
      <c r="B197" s="88" t="s">
        <v>88</v>
      </c>
      <c r="C197" s="88"/>
      <c r="D197" s="88"/>
      <c r="E197" s="328"/>
      <c r="F197" s="341">
        <f t="shared" ref="F197:P197" si="151">F10</f>
        <v>2929.2</v>
      </c>
      <c r="G197" s="341">
        <f t="shared" si="151"/>
        <v>3470</v>
      </c>
      <c r="H197" s="341">
        <f t="shared" si="151"/>
        <v>3856</v>
      </c>
      <c r="I197" s="341">
        <f t="shared" si="151"/>
        <v>4241.6000000000004</v>
      </c>
      <c r="J197" s="341">
        <f t="shared" si="151"/>
        <v>4665.7600000000011</v>
      </c>
      <c r="K197" s="341">
        <f t="shared" si="151"/>
        <v>5132.3360000000021</v>
      </c>
      <c r="L197" s="341">
        <f t="shared" si="151"/>
        <v>5645.5696000000025</v>
      </c>
      <c r="M197" s="341">
        <f t="shared" si="151"/>
        <v>6210.1265600000033</v>
      </c>
      <c r="N197" s="341">
        <f t="shared" si="151"/>
        <v>6831.1392160000041</v>
      </c>
      <c r="O197" s="341">
        <f t="shared" si="151"/>
        <v>7514.2531376000052</v>
      </c>
      <c r="P197" s="341">
        <f t="shared" si="151"/>
        <v>8265.6784513600069</v>
      </c>
      <c r="R197" s="434"/>
      <c r="S197" s="341">
        <f>S10</f>
        <v>1735</v>
      </c>
      <c r="T197" s="341">
        <f>T10</f>
        <v>1735</v>
      </c>
    </row>
    <row r="198" spans="2:20" ht="13.5" customHeight="1" outlineLevel="1">
      <c r="B198" s="88" t="s">
        <v>89</v>
      </c>
      <c r="C198" s="88"/>
      <c r="D198" s="88"/>
      <c r="E198" s="141"/>
      <c r="F198" s="163">
        <f t="shared" ref="F198:P198" si="152">F11</f>
        <v>1812.8</v>
      </c>
      <c r="G198" s="163">
        <f t="shared" si="152"/>
        <v>2113.5</v>
      </c>
      <c r="H198" s="163">
        <f t="shared" si="152"/>
        <v>2347.8000000000002</v>
      </c>
      <c r="I198" s="163">
        <f t="shared" si="152"/>
        <v>2582.5800000000004</v>
      </c>
      <c r="J198" s="163">
        <f t="shared" si="152"/>
        <v>2840.8380000000011</v>
      </c>
      <c r="K198" s="163">
        <f t="shared" si="152"/>
        <v>3124.9218000000014</v>
      </c>
      <c r="L198" s="163">
        <f t="shared" si="152"/>
        <v>3437.4139800000021</v>
      </c>
      <c r="M198" s="163">
        <f t="shared" si="152"/>
        <v>3781.1553780000022</v>
      </c>
      <c r="N198" s="163">
        <f t="shared" si="152"/>
        <v>4159.2709158000025</v>
      </c>
      <c r="O198" s="163">
        <f t="shared" si="152"/>
        <v>4575.1980073800032</v>
      </c>
      <c r="P198" s="163">
        <f t="shared" si="152"/>
        <v>5032.7178081180045</v>
      </c>
      <c r="R198" s="434"/>
      <c r="S198" s="163">
        <f>S11</f>
        <v>1056.75</v>
      </c>
      <c r="T198" s="163">
        <f>T11</f>
        <v>1056.75</v>
      </c>
    </row>
    <row r="199" spans="2:20" ht="13.5" customHeight="1" outlineLevel="1">
      <c r="B199" s="147" t="s">
        <v>392</v>
      </c>
      <c r="C199" s="88"/>
      <c r="E199" s="342"/>
      <c r="G199" s="163">
        <f t="shared" ref="G199:N199" si="153">G182-F182+G198</f>
        <v>2113.5</v>
      </c>
      <c r="H199" s="163">
        <f t="shared" si="153"/>
        <v>2347.8000000000002</v>
      </c>
      <c r="I199" s="163">
        <f t="shared" si="153"/>
        <v>2582.5800000000004</v>
      </c>
      <c r="J199" s="163">
        <f t="shared" si="153"/>
        <v>2840.8380000000011</v>
      </c>
      <c r="K199" s="163">
        <f t="shared" si="153"/>
        <v>3124.9218000000014</v>
      </c>
      <c r="L199" s="163">
        <f t="shared" si="153"/>
        <v>3437.4139800000021</v>
      </c>
      <c r="M199" s="163">
        <f t="shared" si="153"/>
        <v>3781.1553780000022</v>
      </c>
      <c r="N199" s="163">
        <f t="shared" si="153"/>
        <v>4159.2709158000025</v>
      </c>
      <c r="O199" s="163">
        <f t="shared" ref="O199:P199" si="154">O182-N182+O198</f>
        <v>4575.1980073800032</v>
      </c>
      <c r="P199" s="163">
        <f t="shared" si="154"/>
        <v>5032.7178081180045</v>
      </c>
      <c r="R199" s="434"/>
      <c r="S199" s="184">
        <f>S182-$F182+S198</f>
        <v>1056.75</v>
      </c>
      <c r="T199" s="297">
        <f>IFERROR(T182-$S182+T198,0)</f>
        <v>1056.75</v>
      </c>
    </row>
    <row r="200" spans="2:20" ht="13.5" customHeight="1" outlineLevel="1">
      <c r="B200" s="88"/>
      <c r="C200" s="88"/>
      <c r="E200" s="344" t="s">
        <v>121</v>
      </c>
      <c r="L200" s="57"/>
      <c r="R200" s="434"/>
    </row>
    <row r="201" spans="2:20" ht="13.5" customHeight="1" outlineLevel="1">
      <c r="B201" s="147" t="str">
        <f>B181&amp;" / "&amp;CHOOSE(E201,"sales","COGS")</f>
        <v>Accounts receivable / sales</v>
      </c>
      <c r="C201" s="88"/>
      <c r="E201" s="476">
        <v>1</v>
      </c>
      <c r="F201" s="343">
        <f>F181/(CHOOSE($E201,F$197,F$198)/F$3)</f>
        <v>0.1940813191315035</v>
      </c>
      <c r="G201" s="347">
        <f>F201</f>
        <v>0.1940813191315035</v>
      </c>
      <c r="H201" s="347">
        <f t="shared" ref="H201:P204" si="155">G201</f>
        <v>0.1940813191315035</v>
      </c>
      <c r="I201" s="347">
        <f t="shared" si="155"/>
        <v>0.1940813191315035</v>
      </c>
      <c r="J201" s="347">
        <f t="shared" si="155"/>
        <v>0.1940813191315035</v>
      </c>
      <c r="K201" s="347">
        <f t="shared" si="155"/>
        <v>0.1940813191315035</v>
      </c>
      <c r="L201" s="347">
        <f t="shared" si="155"/>
        <v>0.1940813191315035</v>
      </c>
      <c r="M201" s="347">
        <f t="shared" si="155"/>
        <v>0.1940813191315035</v>
      </c>
      <c r="N201" s="347">
        <f t="shared" si="155"/>
        <v>0.1940813191315035</v>
      </c>
      <c r="O201" s="347">
        <f t="shared" si="155"/>
        <v>0.1940813191315035</v>
      </c>
      <c r="P201" s="347">
        <f t="shared" si="155"/>
        <v>0.1940813191315035</v>
      </c>
      <c r="R201" s="434"/>
      <c r="S201" s="347">
        <f>$G201</f>
        <v>0.1940813191315035</v>
      </c>
      <c r="T201" s="347">
        <f>$G201</f>
        <v>0.1940813191315035</v>
      </c>
    </row>
    <row r="202" spans="2:20" ht="13.5" customHeight="1" outlineLevel="1">
      <c r="B202" s="147" t="str">
        <f>B182&amp;" / "&amp;CHOOSE(E202,"sales","COGS")</f>
        <v>Inventory / COGS</v>
      </c>
      <c r="C202" s="88"/>
      <c r="E202" s="476">
        <v>2</v>
      </c>
      <c r="F202" s="343">
        <f>F182/(CHOOSE($E202,F$197,F$198)/F$3)</f>
        <v>0</v>
      </c>
      <c r="G202" s="347">
        <f>F202</f>
        <v>0</v>
      </c>
      <c r="H202" s="347">
        <f t="shared" si="155"/>
        <v>0</v>
      </c>
      <c r="I202" s="347">
        <f t="shared" si="155"/>
        <v>0</v>
      </c>
      <c r="J202" s="347">
        <f t="shared" si="155"/>
        <v>0</v>
      </c>
      <c r="K202" s="347">
        <f t="shared" si="155"/>
        <v>0</v>
      </c>
      <c r="L202" s="347">
        <f t="shared" si="155"/>
        <v>0</v>
      </c>
      <c r="M202" s="347">
        <f t="shared" si="155"/>
        <v>0</v>
      </c>
      <c r="N202" s="347">
        <f t="shared" si="155"/>
        <v>0</v>
      </c>
      <c r="O202" s="347">
        <f t="shared" si="155"/>
        <v>0</v>
      </c>
      <c r="P202" s="347">
        <f t="shared" si="155"/>
        <v>0</v>
      </c>
      <c r="R202" s="434"/>
      <c r="S202" s="347">
        <f t="shared" ref="S202:T204" si="156">$G202</f>
        <v>0</v>
      </c>
      <c r="T202" s="347">
        <f t="shared" si="156"/>
        <v>0</v>
      </c>
    </row>
    <row r="203" spans="2:20" ht="13.5" customHeight="1" outlineLevel="1">
      <c r="B203" s="147" t="str">
        <f>B183&amp;" / "&amp;CHOOSE(E203,"sales","COGS")</f>
        <v>Deferred tax asset, current / sales</v>
      </c>
      <c r="C203" s="88"/>
      <c r="E203" s="476">
        <v>1</v>
      </c>
      <c r="F203" s="343">
        <f>F183/(CHOOSE($E203,F$197,F$198)/F$3)</f>
        <v>3.7197528335381674E-2</v>
      </c>
      <c r="G203" s="347">
        <f>F203</f>
        <v>3.7197528335381674E-2</v>
      </c>
      <c r="H203" s="347">
        <f t="shared" si="155"/>
        <v>3.7197528335381674E-2</v>
      </c>
      <c r="I203" s="347">
        <f t="shared" si="155"/>
        <v>3.7197528335381674E-2</v>
      </c>
      <c r="J203" s="347">
        <f t="shared" si="155"/>
        <v>3.7197528335381674E-2</v>
      </c>
      <c r="K203" s="347">
        <f t="shared" si="155"/>
        <v>3.7197528335381674E-2</v>
      </c>
      <c r="L203" s="347">
        <f t="shared" si="155"/>
        <v>3.7197528335381674E-2</v>
      </c>
      <c r="M203" s="347">
        <f t="shared" si="155"/>
        <v>3.7197528335381674E-2</v>
      </c>
      <c r="N203" s="347">
        <f t="shared" si="155"/>
        <v>3.7197528335381674E-2</v>
      </c>
      <c r="O203" s="347">
        <f t="shared" si="155"/>
        <v>3.7197528335381674E-2</v>
      </c>
      <c r="P203" s="347">
        <f t="shared" si="155"/>
        <v>3.7197528335381674E-2</v>
      </c>
      <c r="R203" s="434"/>
      <c r="S203" s="347">
        <f t="shared" si="156"/>
        <v>3.7197528335381674E-2</v>
      </c>
      <c r="T203" s="347">
        <f t="shared" si="156"/>
        <v>3.7197528335381674E-2</v>
      </c>
    </row>
    <row r="204" spans="2:20" ht="13.5" customHeight="1" outlineLevel="1">
      <c r="B204" s="147" t="str">
        <f>B184&amp;" / "&amp;CHOOSE(E204,"sales","COGS")</f>
        <v>Other current assets / COGS</v>
      </c>
      <c r="C204" s="88"/>
      <c r="E204" s="476">
        <v>2</v>
      </c>
      <c r="F204" s="343">
        <f>F184/(CHOOSE($E204,F$197,F$198)/F$3)</f>
        <v>6.8106244483671668E-2</v>
      </c>
      <c r="G204" s="347">
        <f>F204</f>
        <v>6.8106244483671668E-2</v>
      </c>
      <c r="H204" s="347">
        <f t="shared" si="155"/>
        <v>6.8106244483671668E-2</v>
      </c>
      <c r="I204" s="347">
        <f t="shared" si="155"/>
        <v>6.8106244483671668E-2</v>
      </c>
      <c r="J204" s="347">
        <f t="shared" si="155"/>
        <v>6.8106244483671668E-2</v>
      </c>
      <c r="K204" s="347">
        <f t="shared" si="155"/>
        <v>6.8106244483671668E-2</v>
      </c>
      <c r="L204" s="347">
        <f t="shared" si="155"/>
        <v>6.8106244483671668E-2</v>
      </c>
      <c r="M204" s="347">
        <f t="shared" si="155"/>
        <v>6.8106244483671668E-2</v>
      </c>
      <c r="N204" s="347">
        <f t="shared" si="155"/>
        <v>6.8106244483671668E-2</v>
      </c>
      <c r="O204" s="347">
        <f t="shared" si="155"/>
        <v>6.8106244483671668E-2</v>
      </c>
      <c r="P204" s="347">
        <f t="shared" si="155"/>
        <v>6.8106244483671668E-2</v>
      </c>
      <c r="R204" s="434"/>
      <c r="S204" s="347">
        <f t="shared" si="156"/>
        <v>6.8106244483671668E-2</v>
      </c>
      <c r="T204" s="347">
        <f t="shared" si="156"/>
        <v>6.8106244483671668E-2</v>
      </c>
    </row>
    <row r="205" spans="2:20" ht="13.5" customHeight="1" outlineLevel="1">
      <c r="B205" s="88"/>
      <c r="C205" s="88"/>
      <c r="E205" s="88"/>
      <c r="F205" s="59"/>
      <c r="G205" s="59"/>
      <c r="H205" s="59"/>
      <c r="I205" s="59"/>
      <c r="J205" s="59"/>
      <c r="K205" s="59"/>
      <c r="L205" s="59"/>
      <c r="M205" s="59"/>
      <c r="N205" s="59"/>
      <c r="O205" s="59"/>
      <c r="P205" s="59"/>
      <c r="R205" s="434"/>
      <c r="S205" s="59"/>
      <c r="T205" s="59"/>
    </row>
    <row r="206" spans="2:20" ht="13.5" customHeight="1" outlineLevel="1">
      <c r="B206" s="147" t="str">
        <f t="shared" ref="B206:B211" si="157">B186&amp;" / "&amp;CHOOSE(E206,"sales","COGS")</f>
        <v>Accounts payable / COGS</v>
      </c>
      <c r="C206" s="88"/>
      <c r="E206" s="476">
        <v>2</v>
      </c>
      <c r="F206" s="343">
        <f t="shared" ref="F206:F211" si="158">F186/(CHOOSE($E206,F$197,F$198)/F$3)</f>
        <v>0.10267983230361871</v>
      </c>
      <c r="G206" s="347">
        <f t="shared" ref="G206:G211" si="159">F206</f>
        <v>0.10267983230361871</v>
      </c>
      <c r="H206" s="347">
        <f t="shared" ref="H206:P211" si="160">G206</f>
        <v>0.10267983230361871</v>
      </c>
      <c r="I206" s="347">
        <f t="shared" si="160"/>
        <v>0.10267983230361871</v>
      </c>
      <c r="J206" s="347">
        <f t="shared" si="160"/>
        <v>0.10267983230361871</v>
      </c>
      <c r="K206" s="347">
        <f t="shared" si="160"/>
        <v>0.10267983230361871</v>
      </c>
      <c r="L206" s="347">
        <f t="shared" si="160"/>
        <v>0.10267983230361871</v>
      </c>
      <c r="M206" s="347">
        <f t="shared" si="160"/>
        <v>0.10267983230361871</v>
      </c>
      <c r="N206" s="347">
        <f t="shared" si="160"/>
        <v>0.10267983230361871</v>
      </c>
      <c r="O206" s="347">
        <f t="shared" si="160"/>
        <v>0.10267983230361871</v>
      </c>
      <c r="P206" s="347">
        <f t="shared" si="160"/>
        <v>0.10267983230361871</v>
      </c>
      <c r="R206" s="434"/>
      <c r="S206" s="347">
        <f>$G206</f>
        <v>0.10267983230361871</v>
      </c>
      <c r="T206" s="347">
        <f>$G206</f>
        <v>0.10267983230361871</v>
      </c>
    </row>
    <row r="207" spans="2:20" ht="13.5" customHeight="1" outlineLevel="1">
      <c r="B207" s="147" t="str">
        <f t="shared" si="157"/>
        <v>Accrued expenses / COGS</v>
      </c>
      <c r="C207" s="88"/>
      <c r="E207" s="476">
        <v>2</v>
      </c>
      <c r="F207" s="343">
        <f t="shared" si="158"/>
        <v>0.218059907325684</v>
      </c>
      <c r="G207" s="347">
        <f t="shared" si="159"/>
        <v>0.218059907325684</v>
      </c>
      <c r="H207" s="347">
        <f t="shared" si="160"/>
        <v>0.218059907325684</v>
      </c>
      <c r="I207" s="347">
        <f t="shared" si="160"/>
        <v>0.218059907325684</v>
      </c>
      <c r="J207" s="347">
        <f t="shared" si="160"/>
        <v>0.218059907325684</v>
      </c>
      <c r="K207" s="347">
        <f t="shared" si="160"/>
        <v>0.218059907325684</v>
      </c>
      <c r="L207" s="347">
        <f t="shared" si="160"/>
        <v>0.218059907325684</v>
      </c>
      <c r="M207" s="347">
        <f t="shared" si="160"/>
        <v>0.218059907325684</v>
      </c>
      <c r="N207" s="347">
        <f t="shared" si="160"/>
        <v>0.218059907325684</v>
      </c>
      <c r="O207" s="347">
        <f t="shared" si="160"/>
        <v>0.218059907325684</v>
      </c>
      <c r="P207" s="347">
        <f t="shared" si="160"/>
        <v>0.218059907325684</v>
      </c>
      <c r="R207" s="434"/>
      <c r="S207" s="347">
        <f t="shared" ref="S207:T211" si="161">$G207</f>
        <v>0.218059907325684</v>
      </c>
      <c r="T207" s="347">
        <f t="shared" si="161"/>
        <v>0.218059907325684</v>
      </c>
    </row>
    <row r="208" spans="2:20" ht="13.5" customHeight="1" outlineLevel="1">
      <c r="B208" s="147" t="str">
        <f t="shared" si="157"/>
        <v>Client deposits / sales</v>
      </c>
      <c r="C208" s="88"/>
      <c r="E208" s="476">
        <v>1</v>
      </c>
      <c r="F208" s="343">
        <f t="shared" si="158"/>
        <v>0</v>
      </c>
      <c r="G208" s="347">
        <f t="shared" si="159"/>
        <v>0</v>
      </c>
      <c r="H208" s="347">
        <f t="shared" si="160"/>
        <v>0</v>
      </c>
      <c r="I208" s="347">
        <f t="shared" si="160"/>
        <v>0</v>
      </c>
      <c r="J208" s="347">
        <f t="shared" si="160"/>
        <v>0</v>
      </c>
      <c r="K208" s="347">
        <f t="shared" si="160"/>
        <v>0</v>
      </c>
      <c r="L208" s="347">
        <f t="shared" si="160"/>
        <v>0</v>
      </c>
      <c r="M208" s="347">
        <f t="shared" si="160"/>
        <v>0</v>
      </c>
      <c r="N208" s="347">
        <f t="shared" si="160"/>
        <v>0</v>
      </c>
      <c r="O208" s="347">
        <f t="shared" si="160"/>
        <v>0</v>
      </c>
      <c r="P208" s="347">
        <f t="shared" si="160"/>
        <v>0</v>
      </c>
      <c r="R208" s="434"/>
      <c r="S208" s="347">
        <f t="shared" si="161"/>
        <v>0</v>
      </c>
      <c r="T208" s="347">
        <f t="shared" si="161"/>
        <v>0</v>
      </c>
    </row>
    <row r="209" spans="1:20" ht="13.5" customHeight="1" outlineLevel="1">
      <c r="B209" s="147" t="str">
        <f t="shared" si="157"/>
        <v>Income taxes payable / COGS</v>
      </c>
      <c r="C209" s="88"/>
      <c r="E209" s="476">
        <v>2</v>
      </c>
      <c r="F209" s="343">
        <f t="shared" si="158"/>
        <v>1.9793689320388348E-2</v>
      </c>
      <c r="G209" s="347">
        <f t="shared" si="159"/>
        <v>1.9793689320388348E-2</v>
      </c>
      <c r="H209" s="347">
        <f t="shared" si="160"/>
        <v>1.9793689320388348E-2</v>
      </c>
      <c r="I209" s="347">
        <f t="shared" si="160"/>
        <v>1.9793689320388348E-2</v>
      </c>
      <c r="J209" s="347">
        <f t="shared" si="160"/>
        <v>1.9793689320388348E-2</v>
      </c>
      <c r="K209" s="347">
        <f t="shared" si="160"/>
        <v>1.9793689320388348E-2</v>
      </c>
      <c r="L209" s="347">
        <f t="shared" si="160"/>
        <v>1.9793689320388348E-2</v>
      </c>
      <c r="M209" s="347">
        <f t="shared" si="160"/>
        <v>1.9793689320388348E-2</v>
      </c>
      <c r="N209" s="347">
        <f t="shared" si="160"/>
        <v>1.9793689320388348E-2</v>
      </c>
      <c r="O209" s="347">
        <f t="shared" si="160"/>
        <v>1.9793689320388348E-2</v>
      </c>
      <c r="P209" s="347">
        <f t="shared" si="160"/>
        <v>1.9793689320388348E-2</v>
      </c>
      <c r="R209" s="434"/>
      <c r="S209" s="347">
        <f t="shared" si="161"/>
        <v>1.9793689320388348E-2</v>
      </c>
      <c r="T209" s="347">
        <f t="shared" si="161"/>
        <v>1.9793689320388348E-2</v>
      </c>
    </row>
    <row r="210" spans="1:20" ht="13.5" customHeight="1" outlineLevel="1">
      <c r="B210" s="147" t="str">
        <f t="shared" si="157"/>
        <v>Deferred revenue / sales</v>
      </c>
      <c r="C210" s="88"/>
      <c r="E210" s="476">
        <v>1</v>
      </c>
      <c r="F210" s="343">
        <f t="shared" si="158"/>
        <v>7.1427693568209757E-2</v>
      </c>
      <c r="G210" s="347">
        <f t="shared" si="159"/>
        <v>7.1427693568209757E-2</v>
      </c>
      <c r="H210" s="347">
        <f t="shared" si="160"/>
        <v>7.1427693568209757E-2</v>
      </c>
      <c r="I210" s="347">
        <f t="shared" si="160"/>
        <v>7.1427693568209757E-2</v>
      </c>
      <c r="J210" s="347">
        <f t="shared" si="160"/>
        <v>7.1427693568209757E-2</v>
      </c>
      <c r="K210" s="347">
        <f t="shared" si="160"/>
        <v>7.1427693568209757E-2</v>
      </c>
      <c r="L210" s="347">
        <f t="shared" si="160"/>
        <v>7.1427693568209757E-2</v>
      </c>
      <c r="M210" s="347">
        <f t="shared" si="160"/>
        <v>7.1427693568209757E-2</v>
      </c>
      <c r="N210" s="347">
        <f t="shared" si="160"/>
        <v>7.1427693568209757E-2</v>
      </c>
      <c r="O210" s="347">
        <f t="shared" si="160"/>
        <v>7.1427693568209757E-2</v>
      </c>
      <c r="P210" s="347">
        <f t="shared" si="160"/>
        <v>7.1427693568209757E-2</v>
      </c>
      <c r="R210" s="434"/>
      <c r="S210" s="347">
        <f t="shared" si="161"/>
        <v>7.1427693568209757E-2</v>
      </c>
      <c r="T210" s="347">
        <f t="shared" si="161"/>
        <v>7.1427693568209757E-2</v>
      </c>
    </row>
    <row r="211" spans="1:20" ht="13.5" customHeight="1" outlineLevel="1">
      <c r="B211" s="147" t="str">
        <f t="shared" si="157"/>
        <v>Other current liabilities / COGS</v>
      </c>
      <c r="C211" s="88"/>
      <c r="E211" s="476">
        <v>2</v>
      </c>
      <c r="F211" s="343">
        <f t="shared" si="158"/>
        <v>0</v>
      </c>
      <c r="G211" s="347">
        <f t="shared" si="159"/>
        <v>0</v>
      </c>
      <c r="H211" s="347">
        <f t="shared" si="160"/>
        <v>0</v>
      </c>
      <c r="I211" s="347">
        <f t="shared" si="160"/>
        <v>0</v>
      </c>
      <c r="J211" s="347">
        <f t="shared" si="160"/>
        <v>0</v>
      </c>
      <c r="K211" s="347">
        <f t="shared" si="160"/>
        <v>0</v>
      </c>
      <c r="L211" s="347">
        <f t="shared" si="160"/>
        <v>0</v>
      </c>
      <c r="M211" s="347">
        <f t="shared" si="160"/>
        <v>0</v>
      </c>
      <c r="N211" s="347">
        <f t="shared" si="160"/>
        <v>0</v>
      </c>
      <c r="O211" s="347">
        <f t="shared" si="160"/>
        <v>0</v>
      </c>
      <c r="P211" s="347">
        <f t="shared" si="160"/>
        <v>0</v>
      </c>
      <c r="R211" s="434"/>
      <c r="S211" s="347">
        <f t="shared" si="161"/>
        <v>0</v>
      </c>
      <c r="T211" s="347">
        <f t="shared" si="161"/>
        <v>0</v>
      </c>
    </row>
    <row r="212" spans="1:20" ht="13.5" customHeight="1" outlineLevel="1">
      <c r="B212" s="147"/>
      <c r="C212" s="88"/>
      <c r="E212" s="477"/>
      <c r="F212" s="343"/>
      <c r="G212" s="347"/>
      <c r="H212" s="347"/>
      <c r="I212" s="347"/>
      <c r="J212" s="347"/>
      <c r="K212" s="347"/>
      <c r="L212" s="347"/>
      <c r="M212" s="347"/>
      <c r="N212" s="347"/>
      <c r="O212" s="347"/>
      <c r="P212" s="347"/>
      <c r="R212" s="434"/>
      <c r="S212" s="347"/>
      <c r="T212" s="347"/>
    </row>
    <row r="213" spans="1:20" ht="13.5" customHeight="1" outlineLevel="1">
      <c r="B213" s="147" t="s">
        <v>390</v>
      </c>
      <c r="C213" s="88"/>
      <c r="E213" s="342"/>
      <c r="G213" s="199">
        <f t="shared" ref="G213:N213" si="162">AVERAGE(F181:G181)*365/(G197/G$3)</f>
        <v>65.319494199712651</v>
      </c>
      <c r="H213" s="199">
        <f t="shared" si="162"/>
        <v>67.294023151510501</v>
      </c>
      <c r="I213" s="199">
        <f t="shared" si="162"/>
        <v>67.619695961044286</v>
      </c>
      <c r="J213" s="199">
        <f t="shared" si="162"/>
        <v>67.619695961044286</v>
      </c>
      <c r="K213" s="199">
        <f t="shared" si="162"/>
        <v>67.619695961044272</v>
      </c>
      <c r="L213" s="199">
        <f t="shared" si="162"/>
        <v>67.6196959610443</v>
      </c>
      <c r="M213" s="199">
        <f t="shared" si="162"/>
        <v>67.619695961044286</v>
      </c>
      <c r="N213" s="199">
        <f t="shared" si="162"/>
        <v>67.619695961044286</v>
      </c>
      <c r="O213" s="199">
        <f t="shared" ref="O213" si="163">AVERAGE(N181:O181)*365/(O197/O$3)</f>
        <v>67.619695961044286</v>
      </c>
      <c r="P213" s="199">
        <f t="shared" ref="P213" si="164">AVERAGE(O181:P181)*365/(P197/P$3)</f>
        <v>67.619695961044286</v>
      </c>
      <c r="R213" s="434"/>
      <c r="S213" s="297">
        <f>AVERAGE(F181,S181)*365/(S197/S$3)</f>
        <v>65.319494199712651</v>
      </c>
      <c r="T213" s="297">
        <f>IFERROR(AVERAGE(F181,T181)*365/(T197/T$3),"NA")</f>
        <v>65.319494199712651</v>
      </c>
    </row>
    <row r="214" spans="1:20" ht="13.5" customHeight="1" outlineLevel="1">
      <c r="B214" s="147" t="s">
        <v>389</v>
      </c>
      <c r="C214" s="88"/>
      <c r="E214" s="342"/>
      <c r="G214" s="199">
        <f t="shared" ref="G214:N214" si="165">AVERAGE(F186:G186)*365/(G199/G$3)</f>
        <v>34.812021843955485</v>
      </c>
      <c r="H214" s="199">
        <f t="shared" si="165"/>
        <v>35.608062992479979</v>
      </c>
      <c r="I214" s="199">
        <f t="shared" si="165"/>
        <v>35.774587027601704</v>
      </c>
      <c r="J214" s="199">
        <f t="shared" si="165"/>
        <v>35.774587027601697</v>
      </c>
      <c r="K214" s="199">
        <f t="shared" si="165"/>
        <v>35.774587027601697</v>
      </c>
      <c r="L214" s="199">
        <f t="shared" si="165"/>
        <v>35.774587027601697</v>
      </c>
      <c r="M214" s="199">
        <f t="shared" si="165"/>
        <v>35.774587027601704</v>
      </c>
      <c r="N214" s="199">
        <f t="shared" si="165"/>
        <v>35.774587027601704</v>
      </c>
      <c r="O214" s="199">
        <f t="shared" ref="O214:P214" si="166">AVERAGE(N186:O186)*365/(O199/O$3)</f>
        <v>35.774587027601697</v>
      </c>
      <c r="P214" s="199">
        <f t="shared" si="166"/>
        <v>35.774587027601697</v>
      </c>
      <c r="R214" s="434"/>
      <c r="S214" s="297">
        <f>AVERAGE(F186,S186)*365/(S199/S$3)</f>
        <v>34.812021843955485</v>
      </c>
      <c r="T214" s="297">
        <f>IFERROR(AVERAGE(F186,T186)*365/(T199/T$3),"NA")</f>
        <v>34.812021843955485</v>
      </c>
    </row>
    <row r="215" spans="1:20" ht="13.5" customHeight="1" outlineLevel="1">
      <c r="B215" s="147" t="s">
        <v>388</v>
      </c>
      <c r="C215" s="88"/>
      <c r="E215" s="342"/>
      <c r="G215" s="199">
        <f t="shared" ref="G215:N215" si="167">AVERAGE(F182:G182)*365/(G198/G$3)</f>
        <v>0</v>
      </c>
      <c r="H215" s="199">
        <f t="shared" si="167"/>
        <v>0</v>
      </c>
      <c r="I215" s="199">
        <f t="shared" si="167"/>
        <v>0</v>
      </c>
      <c r="J215" s="199">
        <f t="shared" si="167"/>
        <v>0</v>
      </c>
      <c r="K215" s="199">
        <f t="shared" si="167"/>
        <v>0</v>
      </c>
      <c r="L215" s="199">
        <f t="shared" si="167"/>
        <v>0</v>
      </c>
      <c r="M215" s="199">
        <f t="shared" si="167"/>
        <v>0</v>
      </c>
      <c r="N215" s="199">
        <f t="shared" si="167"/>
        <v>0</v>
      </c>
      <c r="O215" s="199">
        <f t="shared" ref="O215" si="168">AVERAGE(N182:O182)*365/(O198/O$3)</f>
        <v>0</v>
      </c>
      <c r="P215" s="199">
        <f t="shared" ref="P215" si="169">AVERAGE(O182:P182)*365/(P198/P$3)</f>
        <v>0</v>
      </c>
      <c r="R215" s="434"/>
      <c r="S215" s="297">
        <f>AVERAGE(F182,S182)*365/(S198/S$3)</f>
        <v>0</v>
      </c>
      <c r="T215" s="297">
        <f>IFERROR(AVERAGE(F182,T182)*365/(T198/T$3),"NA")</f>
        <v>0</v>
      </c>
    </row>
    <row r="216" spans="1:20" ht="13.5" customHeight="1" outlineLevel="1">
      <c r="B216" s="147" t="s">
        <v>391</v>
      </c>
      <c r="C216" s="88"/>
      <c r="E216" s="342"/>
      <c r="G216" s="199" t="str">
        <f t="shared" ref="G216:N216" si="170">IFERROR((G198/G$3)/AVERAGE(F182:G182),"NA")</f>
        <v>NA</v>
      </c>
      <c r="H216" s="199" t="str">
        <f t="shared" si="170"/>
        <v>NA</v>
      </c>
      <c r="I216" s="199" t="str">
        <f t="shared" si="170"/>
        <v>NA</v>
      </c>
      <c r="J216" s="199" t="str">
        <f t="shared" si="170"/>
        <v>NA</v>
      </c>
      <c r="K216" s="199" t="str">
        <f t="shared" si="170"/>
        <v>NA</v>
      </c>
      <c r="L216" s="199" t="str">
        <f t="shared" si="170"/>
        <v>NA</v>
      </c>
      <c r="M216" s="199" t="str">
        <f t="shared" si="170"/>
        <v>NA</v>
      </c>
      <c r="N216" s="199" t="str">
        <f t="shared" si="170"/>
        <v>NA</v>
      </c>
      <c r="O216" s="199" t="str">
        <f t="shared" ref="O216:P216" si="171">IFERROR((O198/O$3)/AVERAGE(N182:O182),"NA")</f>
        <v>NA</v>
      </c>
      <c r="P216" s="199" t="str">
        <f t="shared" si="171"/>
        <v>NA</v>
      </c>
      <c r="R216" s="434"/>
      <c r="S216" s="297" t="str">
        <f>IFERROR((S198/S$3)/AVERAGE(F182,S182),"NA")</f>
        <v>NA</v>
      </c>
      <c r="T216" s="297" t="str">
        <f>IFERROR((T198/T$3)/AVERAGE(F182,T182),"NA")</f>
        <v>NA</v>
      </c>
    </row>
    <row r="217" spans="1:20" ht="5.0999999999999996" customHeight="1" outlineLevel="1" thickBot="1">
      <c r="B217" s="348"/>
      <c r="C217" s="348"/>
      <c r="D217" s="348"/>
      <c r="E217" s="349"/>
      <c r="F217" s="349"/>
      <c r="G217" s="349"/>
      <c r="H217" s="349"/>
      <c r="I217" s="349"/>
      <c r="J217" s="349"/>
      <c r="K217" s="349"/>
      <c r="L217" s="349"/>
      <c r="M217" s="349"/>
      <c r="N217" s="349"/>
      <c r="O217" s="349"/>
      <c r="P217" s="349"/>
      <c r="Q217" s="349"/>
      <c r="R217" s="349"/>
      <c r="S217" s="349"/>
      <c r="T217" s="349"/>
    </row>
    <row r="218" spans="1:20" ht="13.5" customHeight="1" outlineLevel="1">
      <c r="B218" s="50"/>
      <c r="C218" s="50"/>
      <c r="D218" s="50"/>
      <c r="G218" s="350"/>
      <c r="H218" s="350"/>
      <c r="L218" s="57"/>
    </row>
    <row r="219" spans="1:20" ht="13.5" customHeight="1" outlineLevel="1" thickBot="1">
      <c r="B219" s="50"/>
      <c r="C219" s="50"/>
      <c r="D219" s="50"/>
      <c r="G219" s="350"/>
      <c r="H219" s="350"/>
      <c r="L219" s="57"/>
    </row>
    <row r="220" spans="1:20" ht="20.7" thickTop="1">
      <c r="A220" s="281" t="s">
        <v>631</v>
      </c>
      <c r="B220" s="429" t="str">
        <f>acquirer&amp;" Equity Investments"</f>
        <v>BuyerCo Equity Investments</v>
      </c>
      <c r="C220" s="430"/>
      <c r="D220" s="431"/>
      <c r="E220" s="431"/>
      <c r="F220" s="431"/>
      <c r="G220" s="431"/>
      <c r="H220" s="431"/>
      <c r="I220" s="431"/>
      <c r="J220" s="431"/>
      <c r="K220" s="431"/>
      <c r="L220" s="431"/>
      <c r="M220" s="431"/>
      <c r="N220" s="431"/>
      <c r="O220" s="431"/>
      <c r="P220" s="431"/>
      <c r="Q220" s="431"/>
      <c r="R220" s="431"/>
      <c r="S220" s="431"/>
      <c r="T220" s="431"/>
    </row>
    <row r="221" spans="1:20" ht="5.0999999999999996" customHeight="1" outlineLevel="1">
      <c r="B221" s="107"/>
      <c r="C221" s="285"/>
      <c r="L221" s="57"/>
    </row>
    <row r="222" spans="1:20" ht="13.5" customHeight="1" outlineLevel="1">
      <c r="B222" s="286"/>
      <c r="C222" s="286"/>
      <c r="D222" s="286"/>
      <c r="E222" s="42"/>
      <c r="F222" s="432" t="s">
        <v>630</v>
      </c>
      <c r="G222" s="433" t="s">
        <v>629</v>
      </c>
      <c r="H222" s="433"/>
      <c r="I222" s="433"/>
      <c r="J222" s="433"/>
      <c r="K222" s="433"/>
      <c r="L222" s="433"/>
      <c r="M222" s="433"/>
      <c r="N222" s="433"/>
      <c r="O222" s="433"/>
      <c r="P222" s="433"/>
      <c r="R222" s="434"/>
      <c r="S222" s="433" t="s">
        <v>628</v>
      </c>
      <c r="T222" s="433"/>
    </row>
    <row r="223" spans="1:20" ht="13.5" customHeight="1" outlineLevel="1" thickBot="1">
      <c r="B223" s="435" t="str">
        <f>"("&amp;curr&amp;" in millions)"</f>
        <v>($ in millions)</v>
      </c>
      <c r="C223" s="436"/>
      <c r="D223" s="436"/>
      <c r="E223" s="437"/>
      <c r="F223" s="439">
        <f>F$8</f>
        <v>44926</v>
      </c>
      <c r="G223" s="439">
        <f>G$8</f>
        <v>45291</v>
      </c>
      <c r="H223" s="439">
        <f>H$8</f>
        <v>45657</v>
      </c>
      <c r="I223" s="439">
        <f>I$8</f>
        <v>46022</v>
      </c>
      <c r="J223" s="439">
        <f t="shared" ref="J223:P223" si="172">J$8</f>
        <v>46387</v>
      </c>
      <c r="K223" s="439">
        <f t="shared" si="172"/>
        <v>46752</v>
      </c>
      <c r="L223" s="439">
        <f t="shared" si="172"/>
        <v>47118</v>
      </c>
      <c r="M223" s="439">
        <f t="shared" si="172"/>
        <v>47483</v>
      </c>
      <c r="N223" s="439">
        <f t="shared" si="172"/>
        <v>47848</v>
      </c>
      <c r="O223" s="439">
        <f t="shared" si="172"/>
        <v>48213</v>
      </c>
      <c r="P223" s="439">
        <f t="shared" si="172"/>
        <v>48579</v>
      </c>
      <c r="R223" s="434"/>
      <c r="S223" s="440">
        <f>S$8</f>
        <v>45107</v>
      </c>
      <c r="T223" s="440">
        <f>T$8</f>
        <v>45291</v>
      </c>
    </row>
    <row r="224" spans="1:20" ht="5.0999999999999996" customHeight="1" outlineLevel="1">
      <c r="B224" s="318"/>
      <c r="C224" s="318"/>
      <c r="D224" s="318"/>
      <c r="E224" s="319"/>
      <c r="F224" s="319"/>
      <c r="G224" s="319"/>
      <c r="H224" s="319"/>
      <c r="I224" s="319"/>
      <c r="J224" s="319"/>
      <c r="K224" s="319"/>
      <c r="L224" s="327"/>
      <c r="R224" s="434"/>
      <c r="S224" s="319"/>
      <c r="T224" s="319"/>
    </row>
    <row r="225" spans="1:20" ht="13.5" customHeight="1" outlineLevel="1">
      <c r="B225" s="147" t="s">
        <v>435</v>
      </c>
      <c r="C225" s="50"/>
      <c r="D225" s="50"/>
      <c r="G225" s="456">
        <v>0</v>
      </c>
      <c r="H225" s="456">
        <v>0</v>
      </c>
      <c r="I225" s="456">
        <v>0</v>
      </c>
      <c r="J225" s="456">
        <v>0</v>
      </c>
      <c r="K225" s="456">
        <v>0</v>
      </c>
      <c r="L225" s="456">
        <v>0</v>
      </c>
      <c r="M225" s="456">
        <v>0</v>
      </c>
      <c r="N225" s="456">
        <v>0</v>
      </c>
      <c r="O225" s="456">
        <v>0</v>
      </c>
      <c r="P225" s="456">
        <v>0</v>
      </c>
      <c r="R225" s="434"/>
      <c r="S225" s="351">
        <f>S$3*$G225</f>
        <v>0</v>
      </c>
      <c r="T225" s="351">
        <f>T$3*$G225</f>
        <v>0</v>
      </c>
    </row>
    <row r="226" spans="1:20" ht="13.5" customHeight="1" outlineLevel="1">
      <c r="B226" s="147" t="s">
        <v>438</v>
      </c>
      <c r="C226" s="50"/>
      <c r="D226" s="50"/>
      <c r="G226" s="330">
        <v>0</v>
      </c>
      <c r="H226" s="330">
        <v>0</v>
      </c>
      <c r="I226" s="330">
        <v>0</v>
      </c>
      <c r="J226" s="330">
        <v>0</v>
      </c>
      <c r="K226" s="330">
        <v>0</v>
      </c>
      <c r="L226" s="330">
        <v>0</v>
      </c>
      <c r="M226" s="330">
        <v>0</v>
      </c>
      <c r="N226" s="330">
        <v>0</v>
      </c>
      <c r="O226" s="330">
        <v>0</v>
      </c>
      <c r="P226" s="330">
        <v>0</v>
      </c>
      <c r="R226" s="434"/>
      <c r="S226" s="184">
        <f>S$3*$G226</f>
        <v>0</v>
      </c>
      <c r="T226" s="184">
        <f>T$3*$G226</f>
        <v>0</v>
      </c>
    </row>
    <row r="227" spans="1:20" ht="13.5" customHeight="1" outlineLevel="1">
      <c r="B227" s="116" t="s">
        <v>439</v>
      </c>
      <c r="C227" s="116"/>
      <c r="D227" s="116"/>
      <c r="E227" s="116"/>
      <c r="F227" s="340"/>
      <c r="G227" s="352">
        <f t="shared" ref="G227" si="173">SUM(G225:G226)</f>
        <v>0</v>
      </c>
      <c r="H227" s="352">
        <f t="shared" ref="H227" si="174">SUM(H225:H226)</f>
        <v>0</v>
      </c>
      <c r="I227" s="352">
        <f t="shared" ref="I227" si="175">SUM(I225:I226)</f>
        <v>0</v>
      </c>
      <c r="J227" s="352">
        <f t="shared" ref="J227" si="176">SUM(J225:J226)</f>
        <v>0</v>
      </c>
      <c r="K227" s="352">
        <f t="shared" ref="K227" si="177">SUM(K225:K226)</f>
        <v>0</v>
      </c>
      <c r="L227" s="352">
        <f t="shared" ref="L227" si="178">SUM(L225:L226)</f>
        <v>0</v>
      </c>
      <c r="M227" s="352">
        <f t="shared" ref="M227" si="179">SUM(M225:M226)</f>
        <v>0</v>
      </c>
      <c r="N227" s="352">
        <f t="shared" ref="N227" si="180">SUM(N225:N226)</f>
        <v>0</v>
      </c>
      <c r="O227" s="352">
        <f t="shared" ref="O227" si="181">SUM(O225:O226)</f>
        <v>0</v>
      </c>
      <c r="P227" s="352">
        <f t="shared" ref="P227" si="182">SUM(P225:P226)</f>
        <v>0</v>
      </c>
      <c r="R227" s="434"/>
      <c r="S227" s="352">
        <f t="shared" ref="S227" si="183">SUM(S225:S226)</f>
        <v>0</v>
      </c>
      <c r="T227" s="352">
        <f t="shared" ref="T227" si="184">SUM(T225:T226)</f>
        <v>0</v>
      </c>
    </row>
    <row r="228" spans="1:20" ht="13.5" customHeight="1" outlineLevel="1">
      <c r="B228" s="147"/>
      <c r="C228" s="50"/>
      <c r="D228" s="50"/>
      <c r="G228" s="350"/>
      <c r="H228" s="350"/>
      <c r="L228" s="57"/>
      <c r="R228" s="434"/>
      <c r="T228" s="350"/>
    </row>
    <row r="229" spans="1:20" ht="13.5" customHeight="1" outlineLevel="1">
      <c r="B229" s="147" t="s">
        <v>440</v>
      </c>
      <c r="C229" s="50"/>
      <c r="D229" s="50"/>
      <c r="F229" s="375">
        <v>0.8</v>
      </c>
      <c r="G229" s="350"/>
      <c r="H229" s="350"/>
      <c r="L229" s="57"/>
      <c r="R229" s="434"/>
      <c r="T229" s="350"/>
    </row>
    <row r="230" spans="1:20" ht="13.5" customHeight="1" outlineLevel="1">
      <c r="B230" s="147"/>
      <c r="C230" s="50"/>
      <c r="D230" s="50"/>
      <c r="G230" s="350"/>
      <c r="H230" s="350"/>
      <c r="L230" s="57"/>
      <c r="R230" s="434"/>
      <c r="T230" s="350"/>
    </row>
    <row r="231" spans="1:20" ht="13.5" customHeight="1" outlineLevel="1">
      <c r="B231" s="147" t="s">
        <v>442</v>
      </c>
      <c r="C231" s="50"/>
      <c r="D231" s="50"/>
      <c r="G231" s="114">
        <f t="shared" ref="G231:P231" si="185">-G226*(1-$F229)*G73</f>
        <v>0</v>
      </c>
      <c r="H231" s="114">
        <f t="shared" si="185"/>
        <v>0</v>
      </c>
      <c r="I231" s="114">
        <f t="shared" si="185"/>
        <v>0</v>
      </c>
      <c r="J231" s="114">
        <f t="shared" si="185"/>
        <v>0</v>
      </c>
      <c r="K231" s="114">
        <f t="shared" si="185"/>
        <v>0</v>
      </c>
      <c r="L231" s="114">
        <f t="shared" si="185"/>
        <v>0</v>
      </c>
      <c r="M231" s="114">
        <f t="shared" si="185"/>
        <v>0</v>
      </c>
      <c r="N231" s="114">
        <f t="shared" si="185"/>
        <v>0</v>
      </c>
      <c r="O231" s="114">
        <f t="shared" si="185"/>
        <v>0</v>
      </c>
      <c r="P231" s="114">
        <f t="shared" si="185"/>
        <v>0</v>
      </c>
      <c r="R231" s="434"/>
      <c r="S231" s="114">
        <f>-S226*(1-$F229)*S73</f>
        <v>0</v>
      </c>
      <c r="T231" s="114">
        <f>-T226*(1-$F229)*T73</f>
        <v>0</v>
      </c>
    </row>
    <row r="232" spans="1:20" ht="13.5" customHeight="1" outlineLevel="1">
      <c r="B232" s="147" t="s">
        <v>458</v>
      </c>
      <c r="C232" s="50"/>
      <c r="D232" s="50"/>
      <c r="F232" s="478">
        <v>0</v>
      </c>
      <c r="G232" s="118">
        <f t="shared" ref="G232:P232" si="186">G227*(1-$F229*$F232)*G73</f>
        <v>0</v>
      </c>
      <c r="H232" s="118">
        <f t="shared" si="186"/>
        <v>0</v>
      </c>
      <c r="I232" s="118">
        <f t="shared" si="186"/>
        <v>0</v>
      </c>
      <c r="J232" s="118">
        <f t="shared" si="186"/>
        <v>0</v>
      </c>
      <c r="K232" s="118">
        <f t="shared" si="186"/>
        <v>0</v>
      </c>
      <c r="L232" s="118">
        <f t="shared" si="186"/>
        <v>0</v>
      </c>
      <c r="M232" s="118">
        <f t="shared" si="186"/>
        <v>0</v>
      </c>
      <c r="N232" s="118">
        <f t="shared" si="186"/>
        <v>0</v>
      </c>
      <c r="O232" s="118">
        <f t="shared" si="186"/>
        <v>0</v>
      </c>
      <c r="P232" s="118">
        <f t="shared" si="186"/>
        <v>0</v>
      </c>
      <c r="R232" s="434"/>
      <c r="S232" s="118">
        <f>S227*(1-$F229*$F232)*S73</f>
        <v>0</v>
      </c>
      <c r="T232" s="118">
        <f>T227*(1-$F229*$F232)*T73</f>
        <v>0</v>
      </c>
    </row>
    <row r="233" spans="1:20" ht="13.5" customHeight="1" outlineLevel="1">
      <c r="B233" s="116" t="s">
        <v>441</v>
      </c>
      <c r="C233" s="116"/>
      <c r="D233" s="116"/>
      <c r="E233" s="116"/>
      <c r="F233" s="116"/>
      <c r="G233" s="352">
        <f t="shared" ref="G233" si="187">SUM(G231:G232)</f>
        <v>0</v>
      </c>
      <c r="H233" s="352">
        <f t="shared" ref="H233" si="188">SUM(H231:H232)</f>
        <v>0</v>
      </c>
      <c r="I233" s="352">
        <f t="shared" ref="I233" si="189">SUM(I231:I232)</f>
        <v>0</v>
      </c>
      <c r="J233" s="352">
        <f t="shared" ref="J233" si="190">SUM(J231:J232)</f>
        <v>0</v>
      </c>
      <c r="K233" s="352">
        <f t="shared" ref="K233" si="191">SUM(K231:K232)</f>
        <v>0</v>
      </c>
      <c r="L233" s="352">
        <f t="shared" ref="L233" si="192">SUM(L231:L232)</f>
        <v>0</v>
      </c>
      <c r="M233" s="352">
        <f t="shared" ref="M233" si="193">SUM(M231:M232)</f>
        <v>0</v>
      </c>
      <c r="N233" s="352">
        <f t="shared" ref="N233" si="194">SUM(N231:N232)</f>
        <v>0</v>
      </c>
      <c r="O233" s="352">
        <f t="shared" ref="O233" si="195">SUM(O231:O232)</f>
        <v>0</v>
      </c>
      <c r="P233" s="352">
        <f t="shared" ref="P233" si="196">SUM(P231:P232)</f>
        <v>0</v>
      </c>
      <c r="R233" s="434"/>
      <c r="S233" s="352">
        <f t="shared" ref="S233" si="197">SUM(S231:S232)</f>
        <v>0</v>
      </c>
      <c r="T233" s="352">
        <f t="shared" ref="T233" si="198">SUM(T231:T232)</f>
        <v>0</v>
      </c>
    </row>
    <row r="234" spans="1:20" ht="13.5" customHeight="1" outlineLevel="1">
      <c r="B234" s="88"/>
      <c r="C234" s="88"/>
      <c r="D234" s="88"/>
      <c r="E234" s="88"/>
      <c r="F234" s="141"/>
      <c r="G234" s="328"/>
      <c r="H234" s="328"/>
      <c r="I234" s="328"/>
      <c r="J234" s="328"/>
      <c r="K234" s="328"/>
      <c r="L234" s="328"/>
      <c r="M234" s="328"/>
      <c r="N234" s="328"/>
      <c r="O234" s="328"/>
      <c r="P234" s="328"/>
      <c r="R234" s="434"/>
      <c r="S234" s="328"/>
      <c r="T234" s="328"/>
    </row>
    <row r="235" spans="1:20" ht="13.5" customHeight="1" outlineLevel="1">
      <c r="B235" s="88" t="s">
        <v>469</v>
      </c>
      <c r="C235" s="88"/>
      <c r="D235" s="88"/>
      <c r="E235" s="88"/>
      <c r="F235" s="141"/>
      <c r="G235" s="114">
        <f t="shared" ref="G235:P235" si="199">G225*G73-G233</f>
        <v>0</v>
      </c>
      <c r="H235" s="114">
        <f t="shared" si="199"/>
        <v>0</v>
      </c>
      <c r="I235" s="114">
        <f t="shared" si="199"/>
        <v>0</v>
      </c>
      <c r="J235" s="114">
        <f t="shared" si="199"/>
        <v>0</v>
      </c>
      <c r="K235" s="114">
        <f t="shared" si="199"/>
        <v>0</v>
      </c>
      <c r="L235" s="114">
        <f t="shared" si="199"/>
        <v>0</v>
      </c>
      <c r="M235" s="114">
        <f t="shared" si="199"/>
        <v>0</v>
      </c>
      <c r="N235" s="114">
        <f t="shared" si="199"/>
        <v>0</v>
      </c>
      <c r="O235" s="114">
        <f t="shared" si="199"/>
        <v>0</v>
      </c>
      <c r="P235" s="114">
        <f t="shared" si="199"/>
        <v>0</v>
      </c>
      <c r="R235" s="434"/>
      <c r="S235" s="114">
        <f>S225*S73-S233</f>
        <v>0</v>
      </c>
      <c r="T235" s="114">
        <f>T225*T73-T233</f>
        <v>0</v>
      </c>
    </row>
    <row r="236" spans="1:20" ht="5.0999999999999996" customHeight="1" outlineLevel="1" thickBot="1">
      <c r="B236" s="348"/>
      <c r="C236" s="348"/>
      <c r="D236" s="348"/>
      <c r="E236" s="349"/>
      <c r="F236" s="349"/>
      <c r="G236" s="349"/>
      <c r="H236" s="349"/>
      <c r="I236" s="349"/>
      <c r="J236" s="349"/>
      <c r="K236" s="349"/>
      <c r="L236" s="349"/>
      <c r="M236" s="349"/>
      <c r="N236" s="349"/>
      <c r="O236" s="349"/>
      <c r="P236" s="349"/>
      <c r="Q236" s="349"/>
      <c r="R236" s="349"/>
      <c r="S236" s="349"/>
      <c r="T236" s="349"/>
    </row>
    <row r="237" spans="1:20" ht="13.5" customHeight="1" outlineLevel="1">
      <c r="B237" s="50"/>
      <c r="C237" s="50"/>
      <c r="D237" s="50"/>
      <c r="G237" s="350"/>
      <c r="H237" s="350"/>
      <c r="L237" s="57"/>
    </row>
    <row r="238" spans="1:20" ht="13.5" customHeight="1" outlineLevel="1" thickBot="1">
      <c r="B238" s="50"/>
      <c r="C238" s="50"/>
      <c r="D238" s="50"/>
      <c r="G238" s="350"/>
      <c r="H238" s="350"/>
      <c r="L238" s="57"/>
    </row>
    <row r="239" spans="1:20" ht="20.7" thickTop="1">
      <c r="A239" s="281" t="s">
        <v>631</v>
      </c>
      <c r="B239" s="429" t="str">
        <f>acquirer&amp;" Debt Schedule"</f>
        <v>BuyerCo Debt Schedule</v>
      </c>
      <c r="C239" s="430"/>
      <c r="D239" s="431"/>
      <c r="E239" s="431"/>
      <c r="F239" s="431"/>
      <c r="G239" s="431"/>
      <c r="H239" s="431"/>
      <c r="I239" s="431"/>
      <c r="J239" s="431"/>
      <c r="K239" s="431"/>
      <c r="L239" s="431"/>
      <c r="M239" s="431"/>
      <c r="N239" s="431"/>
      <c r="O239" s="431"/>
      <c r="P239" s="431"/>
      <c r="Q239" s="431"/>
      <c r="R239" s="431"/>
      <c r="S239" s="431"/>
      <c r="T239" s="431"/>
    </row>
    <row r="240" spans="1:20" ht="5.0999999999999996" customHeight="1" outlineLevel="1">
      <c r="B240" s="107"/>
      <c r="C240" s="285"/>
      <c r="L240" s="57"/>
    </row>
    <row r="241" spans="2:20" ht="13.5" customHeight="1" outlineLevel="1">
      <c r="B241" s="286"/>
      <c r="C241" s="286"/>
      <c r="D241" s="286"/>
      <c r="E241" s="42"/>
      <c r="F241" s="432" t="s">
        <v>630</v>
      </c>
      <c r="G241" s="433" t="s">
        <v>629</v>
      </c>
      <c r="H241" s="433"/>
      <c r="I241" s="433"/>
      <c r="J241" s="433"/>
      <c r="K241" s="433"/>
      <c r="L241" s="433"/>
      <c r="M241" s="433"/>
      <c r="N241" s="433"/>
      <c r="O241" s="433"/>
      <c r="P241" s="433"/>
      <c r="R241" s="434"/>
      <c r="S241" s="433" t="s">
        <v>628</v>
      </c>
      <c r="T241" s="433"/>
    </row>
    <row r="242" spans="2:20" ht="13.5" customHeight="1" outlineLevel="1" thickBot="1">
      <c r="B242" s="435" t="str">
        <f>"("&amp;curr&amp;" in millions)"</f>
        <v>($ in millions)</v>
      </c>
      <c r="C242" s="436"/>
      <c r="D242" s="436"/>
      <c r="E242" s="437"/>
      <c r="F242" s="439">
        <f>F$8</f>
        <v>44926</v>
      </c>
      <c r="G242" s="439">
        <f>G$8</f>
        <v>45291</v>
      </c>
      <c r="H242" s="439">
        <f>H$8</f>
        <v>45657</v>
      </c>
      <c r="I242" s="439">
        <f>I$8</f>
        <v>46022</v>
      </c>
      <c r="J242" s="439">
        <f t="shared" ref="J242:P242" si="200">J$8</f>
        <v>46387</v>
      </c>
      <c r="K242" s="439">
        <f t="shared" si="200"/>
        <v>46752</v>
      </c>
      <c r="L242" s="439">
        <f t="shared" si="200"/>
        <v>47118</v>
      </c>
      <c r="M242" s="439">
        <f t="shared" si="200"/>
        <v>47483</v>
      </c>
      <c r="N242" s="439">
        <f t="shared" si="200"/>
        <v>47848</v>
      </c>
      <c r="O242" s="439">
        <f t="shared" si="200"/>
        <v>48213</v>
      </c>
      <c r="P242" s="439">
        <f t="shared" si="200"/>
        <v>48579</v>
      </c>
      <c r="R242" s="434"/>
      <c r="S242" s="440">
        <f>S$8</f>
        <v>45107</v>
      </c>
      <c r="T242" s="440">
        <f>T$8</f>
        <v>45291</v>
      </c>
    </row>
    <row r="243" spans="2:20" ht="5.0999999999999996" customHeight="1" outlineLevel="1">
      <c r="B243" s="318"/>
      <c r="C243" s="318"/>
      <c r="D243" s="318"/>
      <c r="E243" s="319"/>
      <c r="F243" s="319"/>
      <c r="G243" s="319"/>
      <c r="H243" s="319"/>
      <c r="I243" s="319"/>
      <c r="J243" s="319"/>
      <c r="K243" s="319"/>
      <c r="L243" s="327"/>
      <c r="R243" s="434"/>
      <c r="S243" s="319"/>
      <c r="T243" s="319"/>
    </row>
    <row r="244" spans="2:20" ht="13.5" customHeight="1" outlineLevel="1">
      <c r="B244" s="88" t="s">
        <v>405</v>
      </c>
      <c r="C244" s="88"/>
      <c r="D244" s="88"/>
      <c r="E244" s="88"/>
      <c r="G244" s="114">
        <f t="shared" ref="G244:P244" si="201">F84</f>
        <v>1231.797</v>
      </c>
      <c r="H244" s="114">
        <f t="shared" ca="1" si="201"/>
        <v>1401.5540400277307</v>
      </c>
      <c r="I244" s="114">
        <f t="shared" ca="1" si="201"/>
        <v>1794.5882095803699</v>
      </c>
      <c r="J244" s="114">
        <f t="shared" ca="1" si="201"/>
        <v>2213.767963627085</v>
      </c>
      <c r="K244" s="114">
        <f t="shared" ca="1" si="201"/>
        <v>2633.2707606386948</v>
      </c>
      <c r="L244" s="114">
        <f t="shared" ca="1" si="201"/>
        <v>3089.1126295108943</v>
      </c>
      <c r="M244" s="114">
        <f t="shared" ca="1" si="201"/>
        <v>3581.7991325230842</v>
      </c>
      <c r="N244" s="114">
        <f t="shared" ca="1" si="201"/>
        <v>4129.1378525575974</v>
      </c>
      <c r="O244" s="114">
        <f t="shared" ca="1" si="201"/>
        <v>4736.6027595722098</v>
      </c>
      <c r="P244" s="114">
        <f t="shared" ca="1" si="201"/>
        <v>5410.215234736329</v>
      </c>
      <c r="R244" s="434"/>
      <c r="S244" s="351">
        <f>F84</f>
        <v>1231.797</v>
      </c>
      <c r="T244" s="114">
        <f ca="1">S84</f>
        <v>1234.4111951841294</v>
      </c>
    </row>
    <row r="245" spans="2:20" ht="13.5" customHeight="1" outlineLevel="1">
      <c r="B245" s="88" t="s">
        <v>404</v>
      </c>
      <c r="C245" s="88"/>
      <c r="D245" s="88"/>
      <c r="E245" s="88"/>
      <c r="G245" s="330">
        <v>-1200</v>
      </c>
      <c r="H245" s="163">
        <f>G245</f>
        <v>-1200</v>
      </c>
      <c r="I245" s="163">
        <f t="shared" ref="I245:P245" si="202">H245</f>
        <v>-1200</v>
      </c>
      <c r="J245" s="163">
        <f t="shared" si="202"/>
        <v>-1200</v>
      </c>
      <c r="K245" s="163">
        <f t="shared" si="202"/>
        <v>-1200</v>
      </c>
      <c r="L245" s="163">
        <f t="shared" si="202"/>
        <v>-1200</v>
      </c>
      <c r="M245" s="163">
        <f t="shared" si="202"/>
        <v>-1200</v>
      </c>
      <c r="N245" s="163">
        <f t="shared" si="202"/>
        <v>-1200</v>
      </c>
      <c r="O245" s="163">
        <f t="shared" si="202"/>
        <v>-1200</v>
      </c>
      <c r="P245" s="163">
        <f t="shared" si="202"/>
        <v>-1200</v>
      </c>
      <c r="R245" s="434"/>
      <c r="S245" s="184">
        <f>$G245</f>
        <v>-1200</v>
      </c>
      <c r="T245" s="184">
        <f>$G245</f>
        <v>-1200</v>
      </c>
    </row>
    <row r="246" spans="2:20" ht="13.5" customHeight="1" outlineLevel="1">
      <c r="B246" s="116" t="s">
        <v>406</v>
      </c>
      <c r="C246" s="116"/>
      <c r="D246" s="116"/>
      <c r="E246" s="116"/>
      <c r="F246" s="352"/>
      <c r="G246" s="340">
        <f t="shared" ref="G246:P246" si="203">SUM(G244:G245)</f>
        <v>31.797000000000025</v>
      </c>
      <c r="H246" s="340">
        <f t="shared" ca="1" si="203"/>
        <v>201.55404002773071</v>
      </c>
      <c r="I246" s="340">
        <f t="shared" ca="1" si="203"/>
        <v>594.58820958036995</v>
      </c>
      <c r="J246" s="340">
        <f t="shared" ca="1" si="203"/>
        <v>1013.767963627085</v>
      </c>
      <c r="K246" s="340">
        <f t="shared" ca="1" si="203"/>
        <v>1433.2707606386948</v>
      </c>
      <c r="L246" s="340">
        <f t="shared" ca="1" si="203"/>
        <v>1889.1126295108943</v>
      </c>
      <c r="M246" s="340">
        <f t="shared" ca="1" si="203"/>
        <v>2381.7991325230842</v>
      </c>
      <c r="N246" s="340">
        <f t="shared" ca="1" si="203"/>
        <v>2929.1378525575974</v>
      </c>
      <c r="O246" s="340">
        <f t="shared" ca="1" si="203"/>
        <v>3536.6027595722098</v>
      </c>
      <c r="P246" s="340">
        <f t="shared" ca="1" si="203"/>
        <v>4210.215234736329</v>
      </c>
      <c r="R246" s="434"/>
      <c r="S246" s="340">
        <f t="shared" ref="S246" si="204">SUM(S244:S245)</f>
        <v>31.797000000000025</v>
      </c>
      <c r="T246" s="340">
        <f ca="1">SUM(T244:T245)</f>
        <v>34.411195184129383</v>
      </c>
    </row>
    <row r="247" spans="2:20" ht="13.5" customHeight="1" outlineLevel="1">
      <c r="B247" s="88" t="s">
        <v>407</v>
      </c>
      <c r="C247" s="88"/>
      <c r="D247" s="88"/>
      <c r="E247" s="88"/>
      <c r="G247" s="163">
        <f t="shared" ref="G247:P247" ca="1" si="205">G152+G158+SUM(G166:G167)</f>
        <v>329.75704002773062</v>
      </c>
      <c r="H247" s="163">
        <f t="shared" ca="1" si="205"/>
        <v>393.03416955263936</v>
      </c>
      <c r="I247" s="163">
        <f t="shared" ca="1" si="205"/>
        <v>419.17975404671529</v>
      </c>
      <c r="J247" s="163">
        <f t="shared" ca="1" si="205"/>
        <v>419.50279701160986</v>
      </c>
      <c r="K247" s="163">
        <f t="shared" ca="1" si="205"/>
        <v>455.84186887219937</v>
      </c>
      <c r="L247" s="163">
        <f t="shared" ca="1" si="205"/>
        <v>492.68650301218997</v>
      </c>
      <c r="M247" s="163">
        <f t="shared" ca="1" si="205"/>
        <v>547.33872003451359</v>
      </c>
      <c r="N247" s="163">
        <f t="shared" ca="1" si="205"/>
        <v>607.46490701461278</v>
      </c>
      <c r="O247" s="163">
        <f t="shared" ca="1" si="205"/>
        <v>673.61247516411902</v>
      </c>
      <c r="P247" s="163">
        <f t="shared" ca="1" si="205"/>
        <v>746.38357683891797</v>
      </c>
      <c r="R247" s="434"/>
      <c r="S247" s="163">
        <f ca="1">S152+S158+SUM(S166:S167)</f>
        <v>162.61419518412939</v>
      </c>
      <c r="T247" s="163">
        <f ca="1">T152+T158+SUM(T166:T167)</f>
        <v>167.14284484360124</v>
      </c>
    </row>
    <row r="248" spans="2:20" ht="13.5" customHeight="1" outlineLevel="1">
      <c r="B248" s="116" t="s">
        <v>410</v>
      </c>
      <c r="C248" s="116"/>
      <c r="D248" s="116"/>
      <c r="E248" s="116"/>
      <c r="F248" s="352"/>
      <c r="G248" s="340">
        <f t="shared" ref="G248:P248" ca="1" si="206">SUM(G246:G247)</f>
        <v>361.55404002773065</v>
      </c>
      <c r="H248" s="340">
        <f t="shared" ca="1" si="206"/>
        <v>594.58820958037006</v>
      </c>
      <c r="I248" s="340">
        <f t="shared" ca="1" si="206"/>
        <v>1013.7679636270852</v>
      </c>
      <c r="J248" s="340">
        <f t="shared" ca="1" si="206"/>
        <v>1433.2707606386948</v>
      </c>
      <c r="K248" s="340">
        <f t="shared" ca="1" si="206"/>
        <v>1889.1126295108943</v>
      </c>
      <c r="L248" s="340">
        <f t="shared" ca="1" si="206"/>
        <v>2381.7991325230842</v>
      </c>
      <c r="M248" s="340">
        <f t="shared" ca="1" si="206"/>
        <v>2929.1378525575979</v>
      </c>
      <c r="N248" s="340">
        <f t="shared" ca="1" si="206"/>
        <v>3536.6027595722103</v>
      </c>
      <c r="O248" s="340">
        <f t="shared" ca="1" si="206"/>
        <v>4210.215234736329</v>
      </c>
      <c r="P248" s="340">
        <f t="shared" ca="1" si="206"/>
        <v>4956.5988115752471</v>
      </c>
      <c r="R248" s="434"/>
      <c r="S248" s="340">
        <f t="shared" ref="S248" ca="1" si="207">SUM(S246:S247)</f>
        <v>194.41119518412941</v>
      </c>
      <c r="T248" s="340">
        <f ca="1">SUM(T246:T247)</f>
        <v>201.55404002773062</v>
      </c>
    </row>
    <row r="249" spans="2:20" ht="13.5" customHeight="1" outlineLevel="1">
      <c r="B249" s="139" t="str">
        <f>B344</f>
        <v>Senior credit facility 1</v>
      </c>
      <c r="C249" s="50"/>
      <c r="D249" s="50"/>
      <c r="G249" s="163">
        <f t="shared" ref="G249:P249" si="208">G279</f>
        <v>0</v>
      </c>
      <c r="H249" s="163">
        <f t="shared" ca="1" si="208"/>
        <v>0</v>
      </c>
      <c r="I249" s="163">
        <f t="shared" ca="1" si="208"/>
        <v>0</v>
      </c>
      <c r="J249" s="163">
        <f t="shared" ca="1" si="208"/>
        <v>0</v>
      </c>
      <c r="K249" s="163">
        <f t="shared" ca="1" si="208"/>
        <v>0</v>
      </c>
      <c r="L249" s="163">
        <f t="shared" ca="1" si="208"/>
        <v>0</v>
      </c>
      <c r="M249" s="163">
        <f t="shared" ca="1" si="208"/>
        <v>0</v>
      </c>
      <c r="N249" s="163">
        <f t="shared" ca="1" si="208"/>
        <v>0</v>
      </c>
      <c r="O249" s="163">
        <f t="shared" ca="1" si="208"/>
        <v>0</v>
      </c>
      <c r="P249" s="163">
        <f t="shared" ca="1" si="208"/>
        <v>0</v>
      </c>
      <c r="R249" s="434"/>
      <c r="S249" s="163">
        <f>S279</f>
        <v>0</v>
      </c>
      <c r="T249" s="163">
        <f ca="1">T279</f>
        <v>0</v>
      </c>
    </row>
    <row r="250" spans="2:20" ht="13.5" customHeight="1" outlineLevel="1">
      <c r="B250" s="139" t="str">
        <f t="shared" ref="B250:B251" si="209">B345</f>
        <v>Subordinated note 1</v>
      </c>
      <c r="C250" s="50"/>
      <c r="D250" s="50"/>
      <c r="G250" s="163">
        <f t="shared" ref="G250:P250" si="210">G285</f>
        <v>0</v>
      </c>
      <c r="H250" s="163">
        <f t="shared" ca="1" si="210"/>
        <v>0</v>
      </c>
      <c r="I250" s="163">
        <f t="shared" ca="1" si="210"/>
        <v>0</v>
      </c>
      <c r="J250" s="163">
        <f t="shared" ca="1" si="210"/>
        <v>0</v>
      </c>
      <c r="K250" s="163">
        <f t="shared" ca="1" si="210"/>
        <v>0</v>
      </c>
      <c r="L250" s="163">
        <f t="shared" ca="1" si="210"/>
        <v>0</v>
      </c>
      <c r="M250" s="163">
        <f t="shared" ca="1" si="210"/>
        <v>0</v>
      </c>
      <c r="N250" s="163">
        <f t="shared" ca="1" si="210"/>
        <v>0</v>
      </c>
      <c r="O250" s="163">
        <f t="shared" ca="1" si="210"/>
        <v>0</v>
      </c>
      <c r="P250" s="163">
        <f t="shared" ca="1" si="210"/>
        <v>0</v>
      </c>
      <c r="R250" s="434"/>
      <c r="S250" s="163">
        <f>S285</f>
        <v>0</v>
      </c>
      <c r="T250" s="163">
        <f ca="1">T285</f>
        <v>0</v>
      </c>
    </row>
    <row r="251" spans="2:20" ht="13.5" customHeight="1" outlineLevel="1">
      <c r="B251" s="139" t="str">
        <f t="shared" si="209"/>
        <v>Convertible bond 1</v>
      </c>
      <c r="C251" s="50"/>
      <c r="D251" s="50"/>
      <c r="G251" s="163">
        <f t="shared" ref="G251:P251" si="211">G292</f>
        <v>0</v>
      </c>
      <c r="H251" s="163">
        <f t="shared" si="211"/>
        <v>0</v>
      </c>
      <c r="I251" s="163">
        <f t="shared" si="211"/>
        <v>0</v>
      </c>
      <c r="J251" s="163">
        <f t="shared" si="211"/>
        <v>0</v>
      </c>
      <c r="K251" s="163">
        <f t="shared" si="211"/>
        <v>0</v>
      </c>
      <c r="L251" s="163">
        <f t="shared" si="211"/>
        <v>0</v>
      </c>
      <c r="M251" s="163">
        <f t="shared" si="211"/>
        <v>0</v>
      </c>
      <c r="N251" s="163">
        <f t="shared" si="211"/>
        <v>0</v>
      </c>
      <c r="O251" s="163">
        <f t="shared" si="211"/>
        <v>0</v>
      </c>
      <c r="P251" s="163">
        <f t="shared" si="211"/>
        <v>0</v>
      </c>
      <c r="R251" s="434"/>
      <c r="S251" s="163">
        <f>S292</f>
        <v>0</v>
      </c>
      <c r="T251" s="163">
        <f>T292</f>
        <v>0</v>
      </c>
    </row>
    <row r="252" spans="2:20" ht="13.5" customHeight="1" outlineLevel="1">
      <c r="B252" s="116" t="s">
        <v>408</v>
      </c>
      <c r="C252" s="116"/>
      <c r="D252" s="116"/>
      <c r="E252" s="116"/>
      <c r="F252" s="352"/>
      <c r="G252" s="340">
        <f ca="1">SUM(G249:OFFSET(G252,-1,0))</f>
        <v>0</v>
      </c>
      <c r="H252" s="340">
        <f ca="1">SUM(H249:OFFSET(H252,-1,0))</f>
        <v>0</v>
      </c>
      <c r="I252" s="340">
        <f ca="1">SUM(I249:OFFSET(I252,-1,0))</f>
        <v>0</v>
      </c>
      <c r="J252" s="340">
        <f ca="1">SUM(J249:OFFSET(J252,-1,0))</f>
        <v>0</v>
      </c>
      <c r="K252" s="340">
        <f ca="1">SUM(K249:OFFSET(K252,-1,0))</f>
        <v>0</v>
      </c>
      <c r="L252" s="340">
        <f ca="1">SUM(L249:OFFSET(L252,-1,0))</f>
        <v>0</v>
      </c>
      <c r="M252" s="340">
        <f ca="1">SUM(M249:OFFSET(M252,-1,0))</f>
        <v>0</v>
      </c>
      <c r="N252" s="340">
        <f ca="1">SUM(N249:OFFSET(N252,-1,0))</f>
        <v>0</v>
      </c>
      <c r="O252" s="340">
        <f ca="1">SUM(O249:OFFSET(O252,-1,0))</f>
        <v>0</v>
      </c>
      <c r="P252" s="340">
        <f ca="1">SUM(P249:OFFSET(P252,-1,0))</f>
        <v>0</v>
      </c>
      <c r="R252" s="434"/>
      <c r="S252" s="340">
        <f ca="1">SUM(S249:OFFSET(S252,-1,0))</f>
        <v>0</v>
      </c>
      <c r="T252" s="340">
        <f ca="1">SUM(T249:OFFSET(T252,-1,0))</f>
        <v>0</v>
      </c>
    </row>
    <row r="253" spans="2:20" ht="13.5" customHeight="1" outlineLevel="1">
      <c r="B253" s="164" t="s">
        <v>409</v>
      </c>
      <c r="C253" s="164"/>
      <c r="D253" s="164"/>
      <c r="E253" s="164"/>
      <c r="F253" s="166"/>
      <c r="G253" s="166">
        <f t="shared" ref="G253:P253" ca="1" si="212">G248+G252</f>
        <v>361.55404002773065</v>
      </c>
      <c r="H253" s="166">
        <f t="shared" ca="1" si="212"/>
        <v>594.58820958037006</v>
      </c>
      <c r="I253" s="166">
        <f t="shared" ca="1" si="212"/>
        <v>1013.7679636270852</v>
      </c>
      <c r="J253" s="166">
        <f t="shared" ca="1" si="212"/>
        <v>1433.2707606386948</v>
      </c>
      <c r="K253" s="166">
        <f t="shared" ca="1" si="212"/>
        <v>1889.1126295108943</v>
      </c>
      <c r="L253" s="166">
        <f t="shared" ca="1" si="212"/>
        <v>2381.7991325230842</v>
      </c>
      <c r="M253" s="166">
        <f t="shared" ca="1" si="212"/>
        <v>2929.1378525575979</v>
      </c>
      <c r="N253" s="166">
        <f t="shared" ca="1" si="212"/>
        <v>3536.6027595722103</v>
      </c>
      <c r="O253" s="166">
        <f t="shared" ca="1" si="212"/>
        <v>4210.215234736329</v>
      </c>
      <c r="P253" s="166">
        <f t="shared" ca="1" si="212"/>
        <v>4956.5988115752471</v>
      </c>
      <c r="R253" s="434"/>
      <c r="S253" s="166">
        <f t="shared" ref="S253" ca="1" si="213">S248+S252</f>
        <v>194.41119518412941</v>
      </c>
      <c r="T253" s="166">
        <f ca="1">T248+T252</f>
        <v>201.55404002773062</v>
      </c>
    </row>
    <row r="254" spans="2:20" ht="13.5" customHeight="1" outlineLevel="1">
      <c r="B254" s="50"/>
      <c r="C254" s="50"/>
      <c r="D254" s="50"/>
      <c r="G254" s="350"/>
      <c r="H254" s="350"/>
      <c r="L254" s="57"/>
      <c r="R254" s="434"/>
    </row>
    <row r="255" spans="2:20" ht="13.5" customHeight="1" outlineLevel="1">
      <c r="B255" s="354" t="s">
        <v>414</v>
      </c>
      <c r="C255" s="88"/>
      <c r="D255" s="88"/>
      <c r="E255" s="88"/>
      <c r="F255" s="328"/>
      <c r="G255" s="141"/>
      <c r="H255" s="141"/>
      <c r="I255" s="141"/>
      <c r="J255" s="141"/>
      <c r="K255" s="141"/>
      <c r="L255" s="141"/>
      <c r="M255" s="141"/>
      <c r="N255" s="141"/>
      <c r="O255" s="141"/>
      <c r="P255" s="141"/>
      <c r="R255" s="434"/>
      <c r="S255" s="328"/>
      <c r="T255" s="141"/>
    </row>
    <row r="256" spans="2:20" ht="13.5" customHeight="1" outlineLevel="1">
      <c r="B256" s="88" t="str">
        <f>B343</f>
        <v>Revolver</v>
      </c>
      <c r="C256" s="88"/>
      <c r="D256" s="88"/>
      <c r="E256" s="88"/>
      <c r="F256" s="328"/>
      <c r="G256" s="114">
        <f ca="1">-MAX(0,MIN(G269,SUM(G$253:G255),$F272*$J343))</f>
        <v>-160</v>
      </c>
      <c r="H256" s="114">
        <f ca="1">-MAX(0,MIN(H269,SUM(H$253:H255),$F272*$J343))</f>
        <v>0</v>
      </c>
      <c r="I256" s="114">
        <f ca="1">-MAX(0,MIN(I269,SUM(I$253:I255),$F272*$J343))</f>
        <v>0</v>
      </c>
      <c r="J256" s="114">
        <f ca="1">-MAX(0,MIN(J269,SUM(J$253:J255),$F272*$J343))</f>
        <v>0</v>
      </c>
      <c r="K256" s="114">
        <f ca="1">-MAX(0,MIN(K269,SUM(K$253:K255),$F272*$J343))</f>
        <v>0</v>
      </c>
      <c r="L256" s="114">
        <f ca="1">-MAX(0,MIN(L269,SUM(L$253:L255),$F272*$J343))</f>
        <v>0</v>
      </c>
      <c r="M256" s="114">
        <f ca="1">-MAX(0,MIN(M269,SUM(M$253:M255),$F272*$J343))</f>
        <v>0</v>
      </c>
      <c r="N256" s="114">
        <f ca="1">-MAX(0,MIN(N269,SUM(N$253:N255),$F272*$J343))</f>
        <v>0</v>
      </c>
      <c r="O256" s="114">
        <f ca="1">-MAX(0,MIN(O269,SUM(O$253:O255),$F272*$J343))</f>
        <v>0</v>
      </c>
      <c r="P256" s="114">
        <f ca="1">-MAX(0,MIN(P269,SUM(P$253:P255),$F272*$J343))</f>
        <v>0</v>
      </c>
      <c r="R256" s="434"/>
      <c r="S256" s="114">
        <f ca="1">-MAX(0,MIN(S269,SUM(S$253:S255),$F272*$J343))</f>
        <v>-160</v>
      </c>
      <c r="T256" s="114">
        <f ca="1">-MAX(0,MIN(T269,SUM(T$253:T255),$F272*$J343))</f>
        <v>0</v>
      </c>
    </row>
    <row r="257" spans="2:20" ht="13.5" customHeight="1" outlineLevel="1">
      <c r="B257" s="88" t="str">
        <f t="shared" ref="B257:B258" si="214">B344</f>
        <v>Senior credit facility 1</v>
      </c>
      <c r="C257" s="88"/>
      <c r="D257" s="88"/>
      <c r="E257" s="88"/>
      <c r="F257" s="328"/>
      <c r="G257" s="141">
        <f ca="1">-MAX(0,MIN(G278+G279,SUM(G$253:G256),$F281*$J344))</f>
        <v>0</v>
      </c>
      <c r="H257" s="141">
        <f ca="1">-MAX(0,MIN(H278+H279,SUM(H$253:H256),$F281*$J344))</f>
        <v>0</v>
      </c>
      <c r="I257" s="141">
        <f ca="1">-MAX(0,MIN(I278+I279,SUM(I$253:I256),$F281*$J344))</f>
        <v>0</v>
      </c>
      <c r="J257" s="141">
        <f ca="1">-MAX(0,MIN(J278+J279,SUM(J$253:J256),$F281*$J344))</f>
        <v>0</v>
      </c>
      <c r="K257" s="141">
        <f ca="1">-MAX(0,MIN(K278+K279,SUM(K$253:K256),$F281*$J344))</f>
        <v>0</v>
      </c>
      <c r="L257" s="141">
        <f ca="1">-MAX(0,MIN(L278+L279,SUM(L$253:L256),$F281*$J344))</f>
        <v>0</v>
      </c>
      <c r="M257" s="141">
        <f ca="1">-MAX(0,MIN(M278+M279,SUM(M$253:M256),$F281*$J344))</f>
        <v>0</v>
      </c>
      <c r="N257" s="141">
        <f ca="1">-MAX(0,MIN(N278+N279,SUM(N$253:N256),$F281*$J344))</f>
        <v>0</v>
      </c>
      <c r="O257" s="141">
        <f ca="1">-MAX(0,MIN(O278+O279,SUM(O$253:O256),$F281*$J344))</f>
        <v>0</v>
      </c>
      <c r="P257" s="141">
        <f ca="1">-MAX(0,MIN(P278+P279,SUM(P$253:P256),$F281*$J344))</f>
        <v>0</v>
      </c>
      <c r="R257" s="434"/>
      <c r="S257" s="141">
        <f ca="1">-MAX(0,MIN(S278+S279,SUM(S$253:S256),$F281*$J344))</f>
        <v>0</v>
      </c>
      <c r="T257" s="141">
        <f ca="1">-MAX(0,MIN(T278+T279,SUM(T$253:T256),$F281*$J344))</f>
        <v>0</v>
      </c>
    </row>
    <row r="258" spans="2:20" ht="13.5" customHeight="1" outlineLevel="1">
      <c r="B258" s="88" t="str">
        <f t="shared" si="214"/>
        <v>Subordinated note 1</v>
      </c>
      <c r="C258" s="88"/>
      <c r="D258" s="88"/>
      <c r="E258" s="88"/>
      <c r="F258" s="328"/>
      <c r="G258" s="141">
        <f ca="1">-MAX(0,MIN(G284+G285,SUM(G$253:G257),$F287*$J345))</f>
        <v>0</v>
      </c>
      <c r="H258" s="141">
        <f ca="1">-MAX(0,MIN(H284+H285,SUM(H$253:H257),$F287*$J345))</f>
        <v>0</v>
      </c>
      <c r="I258" s="141">
        <f ca="1">-MAX(0,MIN(I284+I285,SUM(I$253:I257),$F287*$J345))</f>
        <v>0</v>
      </c>
      <c r="J258" s="141">
        <f ca="1">-MAX(0,MIN(J284+J285,SUM(J$253:J257),$F287*$J345))</f>
        <v>0</v>
      </c>
      <c r="K258" s="141">
        <f ca="1">-MAX(0,MIN(K284+K285,SUM(K$253:K257),$F287*$J345))</f>
        <v>0</v>
      </c>
      <c r="L258" s="141">
        <f ca="1">-MAX(0,MIN(L284+L285,SUM(L$253:L257),$F287*$J345))</f>
        <v>0</v>
      </c>
      <c r="M258" s="141">
        <f ca="1">-MAX(0,MIN(M284+M285,SUM(M$253:M257),$F287*$J345))</f>
        <v>0</v>
      </c>
      <c r="N258" s="141">
        <f ca="1">-MAX(0,MIN(N284+N285,SUM(N$253:N257),$F287*$J345))</f>
        <v>0</v>
      </c>
      <c r="O258" s="141">
        <f ca="1">-MAX(0,MIN(O284+O285,SUM(O$253:O257),$F287*$J345))</f>
        <v>0</v>
      </c>
      <c r="P258" s="141">
        <f ca="1">-MAX(0,MIN(P284+P285,SUM(P$253:P257),$F287*$J345))</f>
        <v>0</v>
      </c>
      <c r="R258" s="434"/>
      <c r="S258" s="141">
        <f ca="1">-MAX(0,MIN(S284+S285,SUM(S$253:S257),$F287*$J345))</f>
        <v>0</v>
      </c>
      <c r="T258" s="141">
        <f ca="1">-MAX(0,MIN(T284+T285,SUM(T$253:T257),$F287*$J345))</f>
        <v>0</v>
      </c>
    </row>
    <row r="259" spans="2:20" ht="13.5" customHeight="1" outlineLevel="1">
      <c r="B259" s="116" t="s">
        <v>412</v>
      </c>
      <c r="C259" s="116"/>
      <c r="D259" s="116"/>
      <c r="E259" s="116"/>
      <c r="F259" s="340"/>
      <c r="G259" s="352">
        <f ca="1">SUM(G256:OFFSET(G259,-1,0))</f>
        <v>-160</v>
      </c>
      <c r="H259" s="352">
        <f ca="1">SUM(H256:OFFSET(H259,-1,0))</f>
        <v>0</v>
      </c>
      <c r="I259" s="352">
        <f ca="1">SUM(I256:OFFSET(I259,-1,0))</f>
        <v>0</v>
      </c>
      <c r="J259" s="352">
        <f ca="1">SUM(J256:OFFSET(J259,-1,0))</f>
        <v>0</v>
      </c>
      <c r="K259" s="352">
        <f ca="1">SUM(K256:OFFSET(K259,-1,0))</f>
        <v>0</v>
      </c>
      <c r="L259" s="352">
        <f ca="1">SUM(L256:OFFSET(L259,-1,0))</f>
        <v>0</v>
      </c>
      <c r="M259" s="352">
        <f ca="1">SUM(M256:OFFSET(M259,-1,0))</f>
        <v>0</v>
      </c>
      <c r="N259" s="352">
        <f ca="1">SUM(N256:OFFSET(N259,-1,0))</f>
        <v>0</v>
      </c>
      <c r="O259" s="352">
        <f ca="1">SUM(O256:OFFSET(O259,-1,0))</f>
        <v>0</v>
      </c>
      <c r="P259" s="352">
        <f ca="1">SUM(P256:OFFSET(P259,-1,0))</f>
        <v>0</v>
      </c>
      <c r="R259" s="434"/>
      <c r="S259" s="352">
        <f ca="1">SUM(S256:OFFSET(S259,-1,0))</f>
        <v>-160</v>
      </c>
      <c r="T259" s="352">
        <f ca="1">SUM(T256:OFFSET(T259,-1,0))</f>
        <v>0</v>
      </c>
    </row>
    <row r="260" spans="2:20" ht="13.5" customHeight="1" outlineLevel="1">
      <c r="B260" s="50"/>
      <c r="C260" s="50"/>
      <c r="D260" s="50"/>
      <c r="G260" s="350"/>
      <c r="H260" s="350"/>
      <c r="L260" s="57"/>
      <c r="R260" s="434"/>
      <c r="T260" s="350"/>
    </row>
    <row r="261" spans="2:20" ht="13.5" customHeight="1" outlineLevel="1">
      <c r="B261" s="457" t="s">
        <v>580</v>
      </c>
      <c r="C261" s="458"/>
      <c r="D261" s="459"/>
      <c r="E261" s="459"/>
      <c r="F261" s="459"/>
      <c r="G261" s="459"/>
      <c r="H261" s="459"/>
      <c r="I261" s="459"/>
      <c r="J261" s="459"/>
      <c r="K261" s="459"/>
      <c r="L261" s="459"/>
      <c r="M261" s="459"/>
      <c r="N261" s="459"/>
      <c r="O261" s="459"/>
      <c r="P261" s="460"/>
      <c r="R261" s="434"/>
      <c r="S261" s="461"/>
      <c r="T261" s="460"/>
    </row>
    <row r="262" spans="2:20" ht="13.5" customHeight="1" outlineLevel="1">
      <c r="B262" s="50"/>
      <c r="C262" s="50"/>
      <c r="D262" s="50"/>
      <c r="G262" s="350"/>
      <c r="H262" s="350"/>
      <c r="L262" s="57"/>
      <c r="R262" s="434"/>
      <c r="T262" s="350"/>
    </row>
    <row r="263" spans="2:20" ht="13.5" customHeight="1" outlineLevel="1">
      <c r="B263" s="147" t="str">
        <f>B344</f>
        <v>Senior credit facility 1</v>
      </c>
      <c r="C263" s="50"/>
      <c r="D263" s="50"/>
      <c r="G263" s="358">
        <v>0</v>
      </c>
      <c r="H263" s="358">
        <v>0</v>
      </c>
      <c r="I263" s="358">
        <v>0</v>
      </c>
      <c r="J263" s="358">
        <v>0</v>
      </c>
      <c r="K263" s="358">
        <v>0</v>
      </c>
      <c r="L263" s="358">
        <v>0</v>
      </c>
      <c r="M263" s="358">
        <v>0</v>
      </c>
      <c r="N263" s="358">
        <v>0</v>
      </c>
      <c r="O263" s="358">
        <v>0</v>
      </c>
      <c r="P263" s="358">
        <v>0</v>
      </c>
      <c r="R263" s="434"/>
      <c r="S263" s="314">
        <f>S$3*$G263</f>
        <v>0</v>
      </c>
      <c r="T263" s="314">
        <f>T$3*$G263</f>
        <v>0</v>
      </c>
    </row>
    <row r="264" spans="2:20" ht="13.5" customHeight="1" outlineLevel="1">
      <c r="B264" s="147" t="str">
        <f>B345</f>
        <v>Subordinated note 1</v>
      </c>
      <c r="C264" s="50"/>
      <c r="D264" s="50"/>
      <c r="G264" s="358">
        <v>0</v>
      </c>
      <c r="H264" s="358">
        <v>0</v>
      </c>
      <c r="I264" s="358">
        <v>0</v>
      </c>
      <c r="J264" s="358">
        <v>0</v>
      </c>
      <c r="K264" s="358">
        <v>0</v>
      </c>
      <c r="L264" s="358">
        <v>0</v>
      </c>
      <c r="M264" s="358">
        <v>0</v>
      </c>
      <c r="N264" s="358">
        <v>0</v>
      </c>
      <c r="O264" s="358">
        <v>0</v>
      </c>
      <c r="P264" s="358">
        <v>0</v>
      </c>
      <c r="R264" s="434"/>
      <c r="S264" s="314">
        <f>S$3*$G264</f>
        <v>0</v>
      </c>
      <c r="T264" s="314">
        <f>T$3*$G264</f>
        <v>0</v>
      </c>
    </row>
    <row r="265" spans="2:20" ht="13.5" customHeight="1" outlineLevel="1">
      <c r="B265" s="50"/>
      <c r="C265" s="50"/>
      <c r="D265" s="50"/>
      <c r="G265" s="350"/>
      <c r="H265" s="350"/>
      <c r="L265" s="57"/>
      <c r="R265" s="434"/>
      <c r="T265" s="350"/>
    </row>
    <row r="266" spans="2:20" ht="13.5" customHeight="1" outlineLevel="1">
      <c r="B266" s="457" t="s">
        <v>413</v>
      </c>
      <c r="C266" s="458"/>
      <c r="D266" s="459"/>
      <c r="E266" s="459"/>
      <c r="F266" s="459"/>
      <c r="G266" s="459"/>
      <c r="H266" s="459"/>
      <c r="I266" s="459"/>
      <c r="J266" s="459"/>
      <c r="K266" s="459"/>
      <c r="L266" s="459"/>
      <c r="M266" s="459"/>
      <c r="N266" s="459"/>
      <c r="O266" s="459"/>
      <c r="P266" s="460"/>
      <c r="R266" s="434"/>
      <c r="S266" s="461"/>
      <c r="T266" s="460"/>
    </row>
    <row r="267" spans="2:20" ht="13.5" customHeight="1" outlineLevel="1">
      <c r="B267" s="50"/>
      <c r="C267" s="50"/>
      <c r="D267" s="50"/>
      <c r="G267" s="350"/>
      <c r="H267" s="350"/>
      <c r="L267" s="57"/>
      <c r="R267" s="434"/>
    </row>
    <row r="268" spans="2:20" ht="13.5" customHeight="1" outlineLevel="1">
      <c r="B268" s="359" t="str">
        <f>B343</f>
        <v>Revolver</v>
      </c>
      <c r="C268" s="360"/>
      <c r="D268" s="360"/>
      <c r="E268" s="361"/>
      <c r="F268" s="361"/>
      <c r="G268" s="363"/>
      <c r="H268" s="363"/>
      <c r="I268" s="361"/>
      <c r="J268" s="361"/>
      <c r="K268" s="361"/>
      <c r="L268" s="364"/>
      <c r="M268" s="361"/>
      <c r="N268" s="361"/>
      <c r="O268" s="361"/>
      <c r="P268" s="361"/>
      <c r="R268" s="434"/>
      <c r="S268" s="361"/>
      <c r="T268" s="363"/>
    </row>
    <row r="269" spans="2:20" ht="13.5" customHeight="1" outlineLevel="1">
      <c r="B269" s="147" t="s">
        <v>394</v>
      </c>
      <c r="C269" s="50"/>
      <c r="D269" s="50"/>
      <c r="G269" s="231">
        <f t="shared" ref="G269:P269" si="215">F272</f>
        <v>160</v>
      </c>
      <c r="H269" s="231">
        <f t="shared" ca="1" si="215"/>
        <v>0</v>
      </c>
      <c r="I269" s="231">
        <f t="shared" ca="1" si="215"/>
        <v>0</v>
      </c>
      <c r="J269" s="231">
        <f t="shared" ca="1" si="215"/>
        <v>0</v>
      </c>
      <c r="K269" s="231">
        <f t="shared" ca="1" si="215"/>
        <v>0</v>
      </c>
      <c r="L269" s="231">
        <f t="shared" ca="1" si="215"/>
        <v>0</v>
      </c>
      <c r="M269" s="231">
        <f t="shared" ca="1" si="215"/>
        <v>0</v>
      </c>
      <c r="N269" s="231">
        <f t="shared" ca="1" si="215"/>
        <v>0</v>
      </c>
      <c r="O269" s="231">
        <f t="shared" ca="1" si="215"/>
        <v>0</v>
      </c>
      <c r="P269" s="231">
        <f t="shared" ca="1" si="215"/>
        <v>0</v>
      </c>
      <c r="R269" s="434"/>
      <c r="S269" s="339">
        <f>F272</f>
        <v>160</v>
      </c>
      <c r="T269" s="231">
        <f ca="1">S272</f>
        <v>0</v>
      </c>
    </row>
    <row r="270" spans="2:20" ht="13.5" customHeight="1" outlineLevel="1">
      <c r="B270" s="147" t="s">
        <v>395</v>
      </c>
      <c r="C270" s="50"/>
      <c r="D270" s="50"/>
      <c r="G270" s="163">
        <f ca="1">MIN(MAX(0,-G253),G274-G269)</f>
        <v>0</v>
      </c>
      <c r="H270" s="163">
        <f t="shared" ref="H270:P270" ca="1" si="216">MIN(MAX(0,-H253),H274-H269)</f>
        <v>0</v>
      </c>
      <c r="I270" s="163">
        <f t="shared" ca="1" si="216"/>
        <v>0</v>
      </c>
      <c r="J270" s="163">
        <f t="shared" ca="1" si="216"/>
        <v>0</v>
      </c>
      <c r="K270" s="163">
        <f t="shared" ca="1" si="216"/>
        <v>0</v>
      </c>
      <c r="L270" s="163">
        <f t="shared" ca="1" si="216"/>
        <v>0</v>
      </c>
      <c r="M270" s="163">
        <f t="shared" ca="1" si="216"/>
        <v>0</v>
      </c>
      <c r="N270" s="163">
        <f t="shared" ca="1" si="216"/>
        <v>0</v>
      </c>
      <c r="O270" s="163">
        <f t="shared" ca="1" si="216"/>
        <v>0</v>
      </c>
      <c r="P270" s="163">
        <f t="shared" ca="1" si="216"/>
        <v>0</v>
      </c>
      <c r="R270" s="434"/>
      <c r="S270" s="163">
        <f t="shared" ref="S270:T270" ca="1" si="217">MIN(MAX(0,-S253),S274-S269)</f>
        <v>0</v>
      </c>
      <c r="T270" s="163">
        <f t="shared" ca="1" si="217"/>
        <v>0</v>
      </c>
    </row>
    <row r="271" spans="2:20" ht="13.5" customHeight="1" outlineLevel="1">
      <c r="B271" s="147" t="s">
        <v>396</v>
      </c>
      <c r="C271" s="50"/>
      <c r="D271" s="50"/>
      <c r="G271" s="163">
        <f t="shared" ref="G271:P271" ca="1" si="218">G256</f>
        <v>-160</v>
      </c>
      <c r="H271" s="163">
        <f t="shared" ca="1" si="218"/>
        <v>0</v>
      </c>
      <c r="I271" s="163">
        <f t="shared" ca="1" si="218"/>
        <v>0</v>
      </c>
      <c r="J271" s="163">
        <f t="shared" ca="1" si="218"/>
        <v>0</v>
      </c>
      <c r="K271" s="163">
        <f t="shared" ca="1" si="218"/>
        <v>0</v>
      </c>
      <c r="L271" s="163">
        <f t="shared" ca="1" si="218"/>
        <v>0</v>
      </c>
      <c r="M271" s="163">
        <f t="shared" ca="1" si="218"/>
        <v>0</v>
      </c>
      <c r="N271" s="163">
        <f t="shared" ca="1" si="218"/>
        <v>0</v>
      </c>
      <c r="O271" s="163">
        <f t="shared" ca="1" si="218"/>
        <v>0</v>
      </c>
      <c r="P271" s="163">
        <f t="shared" ca="1" si="218"/>
        <v>0</v>
      </c>
      <c r="R271" s="434"/>
      <c r="S271" s="163">
        <f ca="1">S256</f>
        <v>-160</v>
      </c>
      <c r="T271" s="163">
        <f ca="1">T256</f>
        <v>0</v>
      </c>
    </row>
    <row r="272" spans="2:20" ht="13.5" customHeight="1" outlineLevel="1">
      <c r="B272" s="116" t="s">
        <v>397</v>
      </c>
      <c r="C272" s="116"/>
      <c r="D272" s="116"/>
      <c r="E272" s="116"/>
      <c r="F272" s="479">
        <f>F110</f>
        <v>160</v>
      </c>
      <c r="G272" s="352">
        <f t="shared" ref="G272:P272" ca="1" si="219">SUM(G269:G271)</f>
        <v>0</v>
      </c>
      <c r="H272" s="352">
        <f t="shared" ca="1" si="219"/>
        <v>0</v>
      </c>
      <c r="I272" s="352">
        <f t="shared" ca="1" si="219"/>
        <v>0</v>
      </c>
      <c r="J272" s="352">
        <f t="shared" ca="1" si="219"/>
        <v>0</v>
      </c>
      <c r="K272" s="352">
        <f t="shared" ca="1" si="219"/>
        <v>0</v>
      </c>
      <c r="L272" s="352">
        <f t="shared" ca="1" si="219"/>
        <v>0</v>
      </c>
      <c r="M272" s="352">
        <f t="shared" ca="1" si="219"/>
        <v>0</v>
      </c>
      <c r="N272" s="352">
        <f t="shared" ca="1" si="219"/>
        <v>0</v>
      </c>
      <c r="O272" s="352">
        <f t="shared" ca="1" si="219"/>
        <v>0</v>
      </c>
      <c r="P272" s="352">
        <f t="shared" ca="1" si="219"/>
        <v>0</v>
      </c>
      <c r="R272" s="434"/>
      <c r="S272" s="352">
        <f t="shared" ref="S272" ca="1" si="220">SUM(S269:S271)</f>
        <v>0</v>
      </c>
      <c r="T272" s="352">
        <f ca="1">SUM(T269:T271)</f>
        <v>0</v>
      </c>
    </row>
    <row r="273" spans="2:20" ht="13.5" customHeight="1" outlineLevel="1">
      <c r="B273" s="88"/>
      <c r="C273" s="88"/>
      <c r="D273" s="88"/>
      <c r="E273" s="88"/>
      <c r="F273" s="328"/>
      <c r="G273" s="141"/>
      <c r="H273" s="141"/>
      <c r="I273" s="141"/>
      <c r="J273" s="141"/>
      <c r="K273" s="141"/>
      <c r="L273" s="141"/>
      <c r="M273" s="141"/>
      <c r="N273" s="141"/>
      <c r="O273" s="141"/>
      <c r="P273" s="141"/>
      <c r="R273" s="434"/>
      <c r="S273" s="328"/>
      <c r="T273" s="141"/>
    </row>
    <row r="274" spans="2:20" ht="13.5" customHeight="1" outlineLevel="1">
      <c r="B274" s="88" t="s">
        <v>641</v>
      </c>
      <c r="C274" s="88"/>
      <c r="D274" s="88"/>
      <c r="E274" s="88"/>
      <c r="F274" s="456">
        <v>2000</v>
      </c>
      <c r="G274" s="113">
        <f>F274</f>
        <v>2000</v>
      </c>
      <c r="H274" s="113">
        <f t="shared" ref="H274:P274" si="221">G274</f>
        <v>2000</v>
      </c>
      <c r="I274" s="113">
        <f t="shared" si="221"/>
        <v>2000</v>
      </c>
      <c r="J274" s="113">
        <f t="shared" si="221"/>
        <v>2000</v>
      </c>
      <c r="K274" s="113">
        <f t="shared" si="221"/>
        <v>2000</v>
      </c>
      <c r="L274" s="113">
        <f t="shared" si="221"/>
        <v>2000</v>
      </c>
      <c r="M274" s="113">
        <f t="shared" si="221"/>
        <v>2000</v>
      </c>
      <c r="N274" s="113">
        <f t="shared" si="221"/>
        <v>2000</v>
      </c>
      <c r="O274" s="113">
        <f t="shared" si="221"/>
        <v>2000</v>
      </c>
      <c r="P274" s="113">
        <f t="shared" si="221"/>
        <v>2000</v>
      </c>
      <c r="R274" s="434"/>
      <c r="S274" s="328">
        <f>$F274</f>
        <v>2000</v>
      </c>
      <c r="T274" s="328">
        <f>$F274</f>
        <v>2000</v>
      </c>
    </row>
    <row r="275" spans="2:20" s="170" customFormat="1" ht="13.5" customHeight="1" outlineLevel="1">
      <c r="B275" s="170" t="s">
        <v>419</v>
      </c>
      <c r="C275" s="76"/>
      <c r="D275" s="76"/>
      <c r="E275" s="76"/>
      <c r="F275" s="113">
        <f>F274-F272</f>
        <v>1840</v>
      </c>
      <c r="G275" s="113">
        <f ca="1">G274-G272</f>
        <v>2000</v>
      </c>
      <c r="H275" s="113">
        <f t="shared" ref="H275:P275" ca="1" si="222">H274-H272</f>
        <v>2000</v>
      </c>
      <c r="I275" s="113">
        <f t="shared" ca="1" si="222"/>
        <v>2000</v>
      </c>
      <c r="J275" s="113">
        <f t="shared" ca="1" si="222"/>
        <v>2000</v>
      </c>
      <c r="K275" s="113">
        <f t="shared" ca="1" si="222"/>
        <v>2000</v>
      </c>
      <c r="L275" s="113">
        <f t="shared" ca="1" si="222"/>
        <v>2000</v>
      </c>
      <c r="M275" s="113">
        <f t="shared" ca="1" si="222"/>
        <v>2000</v>
      </c>
      <c r="N275" s="113">
        <f t="shared" ca="1" si="222"/>
        <v>2000</v>
      </c>
      <c r="O275" s="113">
        <f t="shared" ca="1" si="222"/>
        <v>2000</v>
      </c>
      <c r="P275" s="113">
        <f t="shared" ca="1" si="222"/>
        <v>2000</v>
      </c>
      <c r="R275" s="480"/>
      <c r="S275" s="113">
        <f t="shared" ref="S275" ca="1" si="223">S274-S272</f>
        <v>2000</v>
      </c>
      <c r="T275" s="113">
        <f t="shared" ref="T275" ca="1" si="224">T274-T272</f>
        <v>2000</v>
      </c>
    </row>
    <row r="276" spans="2:20" ht="13.5" customHeight="1" outlineLevel="1">
      <c r="B276" s="88"/>
      <c r="C276" s="88"/>
      <c r="D276" s="88"/>
      <c r="E276" s="88"/>
      <c r="F276" s="328"/>
      <c r="G276" s="141"/>
      <c r="H276" s="141"/>
      <c r="I276" s="141"/>
      <c r="J276" s="141"/>
      <c r="K276" s="141"/>
      <c r="L276" s="141"/>
      <c r="M276" s="141"/>
      <c r="N276" s="141"/>
      <c r="O276" s="141"/>
      <c r="P276" s="141"/>
      <c r="R276" s="434"/>
      <c r="S276" s="328"/>
      <c r="T276" s="141"/>
    </row>
    <row r="277" spans="2:20" ht="13.5" customHeight="1" outlineLevel="1">
      <c r="B277" s="359" t="str">
        <f>B344</f>
        <v>Senior credit facility 1</v>
      </c>
      <c r="C277" s="360"/>
      <c r="D277" s="360"/>
      <c r="E277" s="361"/>
      <c r="F277" s="361"/>
      <c r="G277" s="363"/>
      <c r="H277" s="363"/>
      <c r="I277" s="361"/>
      <c r="J277" s="361"/>
      <c r="K277" s="361"/>
      <c r="L277" s="364"/>
      <c r="M277" s="361"/>
      <c r="N277" s="361"/>
      <c r="O277" s="361"/>
      <c r="P277" s="361"/>
      <c r="R277" s="434"/>
      <c r="S277" s="361"/>
      <c r="T277" s="363"/>
    </row>
    <row r="278" spans="2:20" ht="13.5" customHeight="1" outlineLevel="1">
      <c r="B278" s="147" t="s">
        <v>394</v>
      </c>
      <c r="C278" s="50"/>
      <c r="D278" s="50"/>
      <c r="G278" s="231">
        <f t="shared" ref="G278:P278" si="225">F281</f>
        <v>0</v>
      </c>
      <c r="H278" s="231">
        <f t="shared" ca="1" si="225"/>
        <v>0</v>
      </c>
      <c r="I278" s="231">
        <f t="shared" ca="1" si="225"/>
        <v>0</v>
      </c>
      <c r="J278" s="231">
        <f t="shared" ca="1" si="225"/>
        <v>0</v>
      </c>
      <c r="K278" s="231">
        <f t="shared" ca="1" si="225"/>
        <v>0</v>
      </c>
      <c r="L278" s="231">
        <f t="shared" ca="1" si="225"/>
        <v>0</v>
      </c>
      <c r="M278" s="231">
        <f t="shared" ca="1" si="225"/>
        <v>0</v>
      </c>
      <c r="N278" s="231">
        <f t="shared" ca="1" si="225"/>
        <v>0</v>
      </c>
      <c r="O278" s="231">
        <f t="shared" ca="1" si="225"/>
        <v>0</v>
      </c>
      <c r="P278" s="231">
        <f t="shared" ca="1" si="225"/>
        <v>0</v>
      </c>
      <c r="R278" s="434"/>
      <c r="S278" s="339">
        <f>F281</f>
        <v>0</v>
      </c>
      <c r="T278" s="231">
        <f ca="1">S281</f>
        <v>0</v>
      </c>
    </row>
    <row r="279" spans="2:20" ht="13.5" customHeight="1" outlineLevel="1">
      <c r="B279" s="147" t="s">
        <v>399</v>
      </c>
      <c r="C279" s="50"/>
      <c r="D279" s="50"/>
      <c r="G279" s="118">
        <f t="shared" ref="G279:P279" si="226">-MIN($F281*G263,G278)</f>
        <v>0</v>
      </c>
      <c r="H279" s="118">
        <f t="shared" ca="1" si="226"/>
        <v>0</v>
      </c>
      <c r="I279" s="118">
        <f t="shared" ca="1" si="226"/>
        <v>0</v>
      </c>
      <c r="J279" s="118">
        <f t="shared" ca="1" si="226"/>
        <v>0</v>
      </c>
      <c r="K279" s="118">
        <f t="shared" ca="1" si="226"/>
        <v>0</v>
      </c>
      <c r="L279" s="118">
        <f t="shared" ca="1" si="226"/>
        <v>0</v>
      </c>
      <c r="M279" s="118">
        <f t="shared" ca="1" si="226"/>
        <v>0</v>
      </c>
      <c r="N279" s="118">
        <f t="shared" ca="1" si="226"/>
        <v>0</v>
      </c>
      <c r="O279" s="118">
        <f t="shared" ca="1" si="226"/>
        <v>0</v>
      </c>
      <c r="P279" s="118">
        <f t="shared" ca="1" si="226"/>
        <v>0</v>
      </c>
      <c r="R279" s="434"/>
      <c r="S279" s="118">
        <f>-MIN($F281*S263,S278)</f>
        <v>0</v>
      </c>
      <c r="T279" s="118">
        <f ca="1">-MIN($F281*T263,T278)</f>
        <v>0</v>
      </c>
    </row>
    <row r="280" spans="2:20" ht="13.5" customHeight="1" outlineLevel="1">
      <c r="B280" s="147" t="s">
        <v>400</v>
      </c>
      <c r="C280" s="50"/>
      <c r="D280" s="50"/>
      <c r="G280" s="163">
        <f t="shared" ref="G280:P280" ca="1" si="227">G257</f>
        <v>0</v>
      </c>
      <c r="H280" s="163">
        <f t="shared" ca="1" si="227"/>
        <v>0</v>
      </c>
      <c r="I280" s="163">
        <f t="shared" ca="1" si="227"/>
        <v>0</v>
      </c>
      <c r="J280" s="163">
        <f t="shared" ca="1" si="227"/>
        <v>0</v>
      </c>
      <c r="K280" s="163">
        <f t="shared" ca="1" si="227"/>
        <v>0</v>
      </c>
      <c r="L280" s="163">
        <f t="shared" ca="1" si="227"/>
        <v>0</v>
      </c>
      <c r="M280" s="163">
        <f t="shared" ca="1" si="227"/>
        <v>0</v>
      </c>
      <c r="N280" s="163">
        <f t="shared" ca="1" si="227"/>
        <v>0</v>
      </c>
      <c r="O280" s="163">
        <f t="shared" ca="1" si="227"/>
        <v>0</v>
      </c>
      <c r="P280" s="163">
        <f t="shared" ca="1" si="227"/>
        <v>0</v>
      </c>
      <c r="R280" s="434"/>
      <c r="S280" s="163">
        <f ca="1">S257</f>
        <v>0</v>
      </c>
      <c r="T280" s="163">
        <f ca="1">T257</f>
        <v>0</v>
      </c>
    </row>
    <row r="281" spans="2:20" ht="13.5" customHeight="1" outlineLevel="1">
      <c r="B281" s="116" t="s">
        <v>397</v>
      </c>
      <c r="C281" s="116"/>
      <c r="D281" s="116"/>
      <c r="E281" s="116"/>
      <c r="F281" s="479">
        <f>F111</f>
        <v>0</v>
      </c>
      <c r="G281" s="352">
        <f t="shared" ref="G281:P281" ca="1" si="228">SUM(G278:G280)</f>
        <v>0</v>
      </c>
      <c r="H281" s="352">
        <f t="shared" ca="1" si="228"/>
        <v>0</v>
      </c>
      <c r="I281" s="352">
        <f t="shared" ca="1" si="228"/>
        <v>0</v>
      </c>
      <c r="J281" s="352">
        <f t="shared" ca="1" si="228"/>
        <v>0</v>
      </c>
      <c r="K281" s="352">
        <f t="shared" ca="1" si="228"/>
        <v>0</v>
      </c>
      <c r="L281" s="352">
        <f t="shared" ca="1" si="228"/>
        <v>0</v>
      </c>
      <c r="M281" s="352">
        <f t="shared" ca="1" si="228"/>
        <v>0</v>
      </c>
      <c r="N281" s="352">
        <f t="shared" ca="1" si="228"/>
        <v>0</v>
      </c>
      <c r="O281" s="352">
        <f t="shared" ca="1" si="228"/>
        <v>0</v>
      </c>
      <c r="P281" s="352">
        <f t="shared" ca="1" si="228"/>
        <v>0</v>
      </c>
      <c r="R281" s="434"/>
      <c r="S281" s="352">
        <f t="shared" ref="S281" ca="1" si="229">SUM(S278:S280)</f>
        <v>0</v>
      </c>
      <c r="T281" s="352">
        <f ca="1">SUM(T278:T280)</f>
        <v>0</v>
      </c>
    </row>
    <row r="282" spans="2:20" ht="13.5" customHeight="1" outlineLevel="1">
      <c r="B282" s="88"/>
      <c r="C282" s="88"/>
      <c r="D282" s="88"/>
      <c r="E282" s="88"/>
      <c r="F282" s="328"/>
      <c r="G282" s="141"/>
      <c r="H282" s="141"/>
      <c r="I282" s="141"/>
      <c r="J282" s="141"/>
      <c r="K282" s="141"/>
      <c r="L282" s="141"/>
      <c r="M282" s="141"/>
      <c r="N282" s="141"/>
      <c r="O282" s="141"/>
      <c r="P282" s="141"/>
      <c r="R282" s="434"/>
      <c r="S282" s="328"/>
      <c r="T282" s="141"/>
    </row>
    <row r="283" spans="2:20" ht="13.5" customHeight="1" outlineLevel="1">
      <c r="B283" s="359" t="str">
        <f>B345</f>
        <v>Subordinated note 1</v>
      </c>
      <c r="C283" s="360"/>
      <c r="D283" s="360"/>
      <c r="E283" s="361"/>
      <c r="F283" s="361"/>
      <c r="G283" s="363"/>
      <c r="H283" s="363"/>
      <c r="I283" s="361"/>
      <c r="J283" s="361"/>
      <c r="K283" s="361"/>
      <c r="L283" s="364"/>
      <c r="M283" s="361"/>
      <c r="N283" s="361"/>
      <c r="O283" s="361"/>
      <c r="P283" s="361"/>
      <c r="R283" s="434"/>
      <c r="S283" s="361"/>
      <c r="T283" s="363"/>
    </row>
    <row r="284" spans="2:20" ht="13.5" customHeight="1" outlineLevel="1">
      <c r="B284" s="147" t="s">
        <v>394</v>
      </c>
      <c r="C284" s="50"/>
      <c r="D284" s="50"/>
      <c r="G284" s="231">
        <f t="shared" ref="G284:P284" si="230">F287</f>
        <v>0</v>
      </c>
      <c r="H284" s="231">
        <f t="shared" ca="1" si="230"/>
        <v>0</v>
      </c>
      <c r="I284" s="231">
        <f t="shared" ca="1" si="230"/>
        <v>0</v>
      </c>
      <c r="J284" s="231">
        <f t="shared" ca="1" si="230"/>
        <v>0</v>
      </c>
      <c r="K284" s="231">
        <f t="shared" ca="1" si="230"/>
        <v>0</v>
      </c>
      <c r="L284" s="231">
        <f t="shared" ca="1" si="230"/>
        <v>0</v>
      </c>
      <c r="M284" s="231">
        <f t="shared" ca="1" si="230"/>
        <v>0</v>
      </c>
      <c r="N284" s="231">
        <f t="shared" ca="1" si="230"/>
        <v>0</v>
      </c>
      <c r="O284" s="231">
        <f t="shared" ca="1" si="230"/>
        <v>0</v>
      </c>
      <c r="P284" s="231">
        <f t="shared" ca="1" si="230"/>
        <v>0</v>
      </c>
      <c r="R284" s="434"/>
      <c r="S284" s="339">
        <f>F287</f>
        <v>0</v>
      </c>
      <c r="T284" s="231">
        <f ca="1">S287</f>
        <v>0</v>
      </c>
    </row>
    <row r="285" spans="2:20" ht="13.5" customHeight="1" outlineLevel="1">
      <c r="B285" s="147" t="s">
        <v>401</v>
      </c>
      <c r="C285" s="50"/>
      <c r="D285" s="50"/>
      <c r="G285" s="118">
        <f t="shared" ref="G285:P285" si="231">-MIN($F287*G264,G284)</f>
        <v>0</v>
      </c>
      <c r="H285" s="118">
        <f t="shared" ca="1" si="231"/>
        <v>0</v>
      </c>
      <c r="I285" s="118">
        <f t="shared" ca="1" si="231"/>
        <v>0</v>
      </c>
      <c r="J285" s="118">
        <f t="shared" ca="1" si="231"/>
        <v>0</v>
      </c>
      <c r="K285" s="118">
        <f t="shared" ca="1" si="231"/>
        <v>0</v>
      </c>
      <c r="L285" s="118">
        <f t="shared" ca="1" si="231"/>
        <v>0</v>
      </c>
      <c r="M285" s="118">
        <f t="shared" ca="1" si="231"/>
        <v>0</v>
      </c>
      <c r="N285" s="118">
        <f t="shared" ca="1" si="231"/>
        <v>0</v>
      </c>
      <c r="O285" s="118">
        <f t="shared" ca="1" si="231"/>
        <v>0</v>
      </c>
      <c r="P285" s="118">
        <f t="shared" ca="1" si="231"/>
        <v>0</v>
      </c>
      <c r="R285" s="434"/>
      <c r="S285" s="118">
        <f>-MIN($F287*S264,S284)</f>
        <v>0</v>
      </c>
      <c r="T285" s="118">
        <f ca="1">-MIN($F287*T264,T284)</f>
        <v>0</v>
      </c>
    </row>
    <row r="286" spans="2:20" ht="13.5" customHeight="1" outlineLevel="1">
      <c r="B286" s="147" t="s">
        <v>400</v>
      </c>
      <c r="C286" s="50"/>
      <c r="D286" s="50"/>
      <c r="G286" s="163">
        <f t="shared" ref="G286:P286" ca="1" si="232">G258</f>
        <v>0</v>
      </c>
      <c r="H286" s="163">
        <f t="shared" ca="1" si="232"/>
        <v>0</v>
      </c>
      <c r="I286" s="163">
        <f t="shared" ca="1" si="232"/>
        <v>0</v>
      </c>
      <c r="J286" s="163">
        <f t="shared" ca="1" si="232"/>
        <v>0</v>
      </c>
      <c r="K286" s="163">
        <f t="shared" ca="1" si="232"/>
        <v>0</v>
      </c>
      <c r="L286" s="163">
        <f t="shared" ca="1" si="232"/>
        <v>0</v>
      </c>
      <c r="M286" s="163">
        <f t="shared" ca="1" si="232"/>
        <v>0</v>
      </c>
      <c r="N286" s="163">
        <f t="shared" ca="1" si="232"/>
        <v>0</v>
      </c>
      <c r="O286" s="163">
        <f t="shared" ca="1" si="232"/>
        <v>0</v>
      </c>
      <c r="P286" s="163">
        <f t="shared" ca="1" si="232"/>
        <v>0</v>
      </c>
      <c r="R286" s="434"/>
      <c r="S286" s="163">
        <f ca="1">S258</f>
        <v>0</v>
      </c>
      <c r="T286" s="163">
        <f ca="1">T258</f>
        <v>0</v>
      </c>
    </row>
    <row r="287" spans="2:20" ht="13.5" customHeight="1" outlineLevel="1">
      <c r="B287" s="116" t="s">
        <v>397</v>
      </c>
      <c r="C287" s="116"/>
      <c r="D287" s="116"/>
      <c r="E287" s="116"/>
      <c r="F287" s="479">
        <f>F112</f>
        <v>0</v>
      </c>
      <c r="G287" s="352">
        <f t="shared" ref="G287:P287" ca="1" si="233">SUM(G284:G286)</f>
        <v>0</v>
      </c>
      <c r="H287" s="352">
        <f t="shared" ca="1" si="233"/>
        <v>0</v>
      </c>
      <c r="I287" s="352">
        <f t="shared" ca="1" si="233"/>
        <v>0</v>
      </c>
      <c r="J287" s="352">
        <f t="shared" ca="1" si="233"/>
        <v>0</v>
      </c>
      <c r="K287" s="352">
        <f t="shared" ca="1" si="233"/>
        <v>0</v>
      </c>
      <c r="L287" s="352">
        <f t="shared" ca="1" si="233"/>
        <v>0</v>
      </c>
      <c r="M287" s="352">
        <f t="shared" ca="1" si="233"/>
        <v>0</v>
      </c>
      <c r="N287" s="352">
        <f t="shared" ca="1" si="233"/>
        <v>0</v>
      </c>
      <c r="O287" s="352">
        <f t="shared" ca="1" si="233"/>
        <v>0</v>
      </c>
      <c r="P287" s="352">
        <f t="shared" ca="1" si="233"/>
        <v>0</v>
      </c>
      <c r="R287" s="434"/>
      <c r="S287" s="352">
        <f t="shared" ref="S287" ca="1" si="234">SUM(S284:S286)</f>
        <v>0</v>
      </c>
      <c r="T287" s="352">
        <f ca="1">SUM(T284:T286)</f>
        <v>0</v>
      </c>
    </row>
    <row r="288" spans="2:20" ht="13.5" customHeight="1" outlineLevel="1">
      <c r="B288" s="88"/>
      <c r="C288" s="88"/>
      <c r="D288" s="88"/>
      <c r="E288" s="88"/>
      <c r="F288" s="328"/>
      <c r="G288" s="141"/>
      <c r="H288" s="141"/>
      <c r="I288" s="141"/>
      <c r="J288" s="141"/>
      <c r="K288" s="141"/>
      <c r="L288" s="141"/>
      <c r="M288" s="141"/>
      <c r="N288" s="141"/>
      <c r="O288" s="141"/>
      <c r="P288" s="141"/>
      <c r="R288" s="434"/>
      <c r="S288" s="328"/>
      <c r="T288" s="141"/>
    </row>
    <row r="289" spans="2:20" ht="13.5" customHeight="1" outlineLevel="1">
      <c r="B289" s="359" t="str">
        <f>B346</f>
        <v>Convertible bond 1</v>
      </c>
      <c r="C289" s="360"/>
      <c r="D289" s="360"/>
      <c r="E289" s="361"/>
      <c r="F289" s="361"/>
      <c r="G289" s="363"/>
      <c r="H289" s="363"/>
      <c r="I289" s="361"/>
      <c r="J289" s="361"/>
      <c r="K289" s="361"/>
      <c r="L289" s="364"/>
      <c r="M289" s="361"/>
      <c r="N289" s="361"/>
      <c r="O289" s="361"/>
      <c r="P289" s="361"/>
      <c r="R289" s="434"/>
      <c r="S289" s="361"/>
      <c r="T289" s="363"/>
    </row>
    <row r="290" spans="2:20" ht="13.5" customHeight="1" outlineLevel="1">
      <c r="B290" s="147" t="s">
        <v>394</v>
      </c>
      <c r="C290" s="50"/>
      <c r="D290" s="50"/>
      <c r="G290" s="231">
        <f t="shared" ref="G290:P290" si="235">F293</f>
        <v>450</v>
      </c>
      <c r="H290" s="231">
        <f t="shared" si="235"/>
        <v>492.75</v>
      </c>
      <c r="I290" s="231">
        <f t="shared" si="235"/>
        <v>539.56124999999997</v>
      </c>
      <c r="J290" s="231">
        <f t="shared" si="235"/>
        <v>578.00498906249993</v>
      </c>
      <c r="K290" s="231">
        <f t="shared" si="235"/>
        <v>578.00498906249993</v>
      </c>
      <c r="L290" s="231">
        <f t="shared" si="235"/>
        <v>578.00498906249993</v>
      </c>
      <c r="M290" s="231">
        <f t="shared" si="235"/>
        <v>578.00498906249993</v>
      </c>
      <c r="N290" s="231">
        <f t="shared" si="235"/>
        <v>578.00498906249993</v>
      </c>
      <c r="O290" s="231">
        <f t="shared" si="235"/>
        <v>578.00498906249993</v>
      </c>
      <c r="P290" s="231">
        <f t="shared" si="235"/>
        <v>578.00498906249993</v>
      </c>
      <c r="R290" s="434"/>
      <c r="S290" s="339">
        <f>F293</f>
        <v>450</v>
      </c>
      <c r="T290" s="231">
        <f>S293</f>
        <v>471.375</v>
      </c>
    </row>
    <row r="291" spans="2:20" ht="13.5" customHeight="1" outlineLevel="1">
      <c r="B291" s="147" t="s">
        <v>402</v>
      </c>
      <c r="C291" s="50"/>
      <c r="D291" s="50"/>
      <c r="G291" s="163">
        <f t="shared" ref="G291:P291" si="236">G320*G335</f>
        <v>42.75</v>
      </c>
      <c r="H291" s="163">
        <f t="shared" si="236"/>
        <v>46.811250000000001</v>
      </c>
      <c r="I291" s="163">
        <f t="shared" si="236"/>
        <v>38.443739062500001</v>
      </c>
      <c r="J291" s="163">
        <f t="shared" si="236"/>
        <v>0</v>
      </c>
      <c r="K291" s="163">
        <f t="shared" si="236"/>
        <v>0</v>
      </c>
      <c r="L291" s="163">
        <f t="shared" si="236"/>
        <v>0</v>
      </c>
      <c r="M291" s="163">
        <f t="shared" si="236"/>
        <v>0</v>
      </c>
      <c r="N291" s="163">
        <f t="shared" si="236"/>
        <v>0</v>
      </c>
      <c r="O291" s="163">
        <f t="shared" si="236"/>
        <v>0</v>
      </c>
      <c r="P291" s="163">
        <f t="shared" si="236"/>
        <v>0</v>
      </c>
      <c r="R291" s="434"/>
      <c r="S291" s="163">
        <f>S320*S335</f>
        <v>21.375</v>
      </c>
      <c r="T291" s="163">
        <f>T320*T335</f>
        <v>21.375</v>
      </c>
    </row>
    <row r="292" spans="2:20" ht="13.5" customHeight="1" outlineLevel="1">
      <c r="B292" s="147" t="s">
        <v>401</v>
      </c>
      <c r="C292" s="50"/>
      <c r="D292" s="50"/>
      <c r="G292" s="330">
        <v>0</v>
      </c>
      <c r="H292" s="330">
        <v>0</v>
      </c>
      <c r="I292" s="330">
        <v>0</v>
      </c>
      <c r="J292" s="330">
        <v>0</v>
      </c>
      <c r="K292" s="330">
        <v>0</v>
      </c>
      <c r="L292" s="330">
        <v>0</v>
      </c>
      <c r="M292" s="330">
        <v>0</v>
      </c>
      <c r="N292" s="330">
        <v>0</v>
      </c>
      <c r="O292" s="330">
        <v>0</v>
      </c>
      <c r="P292" s="330">
        <v>0</v>
      </c>
      <c r="R292" s="434"/>
      <c r="S292" s="184">
        <f>S$3*$G292</f>
        <v>0</v>
      </c>
      <c r="T292" s="184">
        <f>T$3*$G292</f>
        <v>0</v>
      </c>
    </row>
    <row r="293" spans="2:20" ht="13.5" customHeight="1" outlineLevel="1">
      <c r="B293" s="116" t="s">
        <v>397</v>
      </c>
      <c r="C293" s="116"/>
      <c r="D293" s="116"/>
      <c r="E293" s="116"/>
      <c r="F293" s="479">
        <f>F113</f>
        <v>450</v>
      </c>
      <c r="G293" s="352">
        <f t="shared" ref="G293:P293" si="237">SUM(G290:G292)</f>
        <v>492.75</v>
      </c>
      <c r="H293" s="352">
        <f t="shared" si="237"/>
        <v>539.56124999999997</v>
      </c>
      <c r="I293" s="352">
        <f t="shared" si="237"/>
        <v>578.00498906249993</v>
      </c>
      <c r="J293" s="352">
        <f t="shared" si="237"/>
        <v>578.00498906249993</v>
      </c>
      <c r="K293" s="352">
        <f t="shared" si="237"/>
        <v>578.00498906249993</v>
      </c>
      <c r="L293" s="352">
        <f t="shared" si="237"/>
        <v>578.00498906249993</v>
      </c>
      <c r="M293" s="352">
        <f t="shared" si="237"/>
        <v>578.00498906249993</v>
      </c>
      <c r="N293" s="352">
        <f t="shared" si="237"/>
        <v>578.00498906249993</v>
      </c>
      <c r="O293" s="352">
        <f t="shared" si="237"/>
        <v>578.00498906249993</v>
      </c>
      <c r="P293" s="352">
        <f t="shared" si="237"/>
        <v>578.00498906249993</v>
      </c>
      <c r="R293" s="434"/>
      <c r="S293" s="352">
        <f>SUM(S290:S292)</f>
        <v>471.375</v>
      </c>
      <c r="T293" s="352">
        <f>SUM(T290:T292)</f>
        <v>492.75</v>
      </c>
    </row>
    <row r="294" spans="2:20" ht="13.5" customHeight="1" outlineLevel="1">
      <c r="B294" s="88"/>
      <c r="C294" s="88"/>
      <c r="D294" s="88"/>
      <c r="E294" s="88"/>
      <c r="F294" s="328"/>
      <c r="G294" s="141"/>
      <c r="H294" s="141"/>
      <c r="I294" s="141"/>
      <c r="J294" s="141"/>
      <c r="K294" s="141"/>
      <c r="L294" s="141"/>
      <c r="M294" s="141"/>
      <c r="N294" s="141"/>
      <c r="O294" s="141"/>
      <c r="P294" s="141"/>
      <c r="R294" s="434"/>
      <c r="S294" s="118"/>
      <c r="T294" s="118"/>
    </row>
    <row r="295" spans="2:20" ht="13.5" customHeight="1" outlineLevel="1">
      <c r="B295" s="359" t="str">
        <f>B347</f>
        <v>Preferred stock 1</v>
      </c>
      <c r="C295" s="360"/>
      <c r="D295" s="360"/>
      <c r="E295" s="361"/>
      <c r="F295" s="361"/>
      <c r="G295" s="363"/>
      <c r="H295" s="363"/>
      <c r="I295" s="361"/>
      <c r="J295" s="361"/>
      <c r="K295" s="361"/>
      <c r="L295" s="364"/>
      <c r="M295" s="361"/>
      <c r="N295" s="361"/>
      <c r="O295" s="361"/>
      <c r="P295" s="361"/>
      <c r="R295" s="434"/>
      <c r="S295" s="361"/>
      <c r="T295" s="363"/>
    </row>
    <row r="296" spans="2:20" ht="13.5" customHeight="1" outlineLevel="1">
      <c r="B296" s="147" t="s">
        <v>394</v>
      </c>
      <c r="C296" s="50"/>
      <c r="D296" s="50"/>
      <c r="G296" s="231">
        <f t="shared" ref="G296:P296" si="238">F299</f>
        <v>0</v>
      </c>
      <c r="H296" s="231">
        <f t="shared" si="238"/>
        <v>0</v>
      </c>
      <c r="I296" s="231">
        <f t="shared" si="238"/>
        <v>0</v>
      </c>
      <c r="J296" s="231">
        <f t="shared" si="238"/>
        <v>0</v>
      </c>
      <c r="K296" s="231">
        <f t="shared" si="238"/>
        <v>0</v>
      </c>
      <c r="L296" s="231">
        <f t="shared" si="238"/>
        <v>0</v>
      </c>
      <c r="M296" s="231">
        <f t="shared" si="238"/>
        <v>0</v>
      </c>
      <c r="N296" s="231">
        <f t="shared" si="238"/>
        <v>0</v>
      </c>
      <c r="O296" s="231">
        <f t="shared" si="238"/>
        <v>0</v>
      </c>
      <c r="P296" s="231">
        <f t="shared" si="238"/>
        <v>0</v>
      </c>
      <c r="R296" s="434"/>
      <c r="S296" s="339">
        <f>F299</f>
        <v>0</v>
      </c>
      <c r="T296" s="231">
        <f>S299</f>
        <v>0</v>
      </c>
    </row>
    <row r="297" spans="2:20" ht="13.5" customHeight="1" outlineLevel="1">
      <c r="B297" s="147" t="s">
        <v>402</v>
      </c>
      <c r="C297" s="50"/>
      <c r="D297" s="50"/>
      <c r="G297" s="163">
        <f t="shared" ref="G297:P297" si="239">G321*G336</f>
        <v>0</v>
      </c>
      <c r="H297" s="163">
        <f t="shared" si="239"/>
        <v>0</v>
      </c>
      <c r="I297" s="163">
        <f t="shared" si="239"/>
        <v>0</v>
      </c>
      <c r="J297" s="163">
        <f t="shared" si="239"/>
        <v>0</v>
      </c>
      <c r="K297" s="163">
        <f t="shared" si="239"/>
        <v>0</v>
      </c>
      <c r="L297" s="163">
        <f t="shared" si="239"/>
        <v>0</v>
      </c>
      <c r="M297" s="163">
        <f t="shared" si="239"/>
        <v>0</v>
      </c>
      <c r="N297" s="163">
        <f t="shared" si="239"/>
        <v>0</v>
      </c>
      <c r="O297" s="163">
        <f t="shared" si="239"/>
        <v>0</v>
      </c>
      <c r="P297" s="163">
        <f t="shared" si="239"/>
        <v>0</v>
      </c>
      <c r="R297" s="434"/>
      <c r="S297" s="163">
        <f>S321*S336</f>
        <v>0</v>
      </c>
      <c r="T297" s="163">
        <f>T321*T336</f>
        <v>0</v>
      </c>
    </row>
    <row r="298" spans="2:20" ht="13.5" customHeight="1" outlineLevel="1">
      <c r="B298" s="147" t="s">
        <v>403</v>
      </c>
      <c r="C298" s="50"/>
      <c r="D298" s="50"/>
      <c r="G298" s="330">
        <v>0</v>
      </c>
      <c r="H298" s="330">
        <v>0</v>
      </c>
      <c r="I298" s="330">
        <v>0</v>
      </c>
      <c r="J298" s="330">
        <v>0</v>
      </c>
      <c r="K298" s="330">
        <v>0</v>
      </c>
      <c r="L298" s="330">
        <v>0</v>
      </c>
      <c r="M298" s="330">
        <v>0</v>
      </c>
      <c r="N298" s="330">
        <v>0</v>
      </c>
      <c r="O298" s="330">
        <v>0</v>
      </c>
      <c r="P298" s="330">
        <v>0</v>
      </c>
      <c r="R298" s="434"/>
      <c r="S298" s="184">
        <f>S$3*$G298</f>
        <v>0</v>
      </c>
      <c r="T298" s="184">
        <f>T$3*$G298</f>
        <v>0</v>
      </c>
    </row>
    <row r="299" spans="2:20" ht="13.5" customHeight="1" outlineLevel="1">
      <c r="B299" s="116" t="s">
        <v>397</v>
      </c>
      <c r="C299" s="116"/>
      <c r="D299" s="116"/>
      <c r="E299" s="116"/>
      <c r="F299" s="479">
        <f>F118</f>
        <v>0</v>
      </c>
      <c r="G299" s="352">
        <f t="shared" ref="G299:P299" si="240">SUM(G296:G298)</f>
        <v>0</v>
      </c>
      <c r="H299" s="352">
        <f t="shared" si="240"/>
        <v>0</v>
      </c>
      <c r="I299" s="352">
        <f t="shared" si="240"/>
        <v>0</v>
      </c>
      <c r="J299" s="352">
        <f t="shared" si="240"/>
        <v>0</v>
      </c>
      <c r="K299" s="352">
        <f t="shared" si="240"/>
        <v>0</v>
      </c>
      <c r="L299" s="352">
        <f t="shared" si="240"/>
        <v>0</v>
      </c>
      <c r="M299" s="352">
        <f t="shared" si="240"/>
        <v>0</v>
      </c>
      <c r="N299" s="352">
        <f t="shared" si="240"/>
        <v>0</v>
      </c>
      <c r="O299" s="352">
        <f t="shared" si="240"/>
        <v>0</v>
      </c>
      <c r="P299" s="352">
        <f t="shared" si="240"/>
        <v>0</v>
      </c>
      <c r="R299" s="434"/>
      <c r="S299" s="352">
        <f>SUM(S296:S298)</f>
        <v>0</v>
      </c>
      <c r="T299" s="352">
        <f>SUM(T296:T298)</f>
        <v>0</v>
      </c>
    </row>
    <row r="300" spans="2:20" ht="13.5" customHeight="1" outlineLevel="1">
      <c r="B300" s="88"/>
      <c r="C300" s="88"/>
      <c r="D300" s="88"/>
      <c r="E300" s="88"/>
      <c r="F300" s="351"/>
      <c r="G300" s="328"/>
      <c r="H300" s="328"/>
      <c r="I300" s="328"/>
      <c r="J300" s="328"/>
      <c r="K300" s="328"/>
      <c r="L300" s="328"/>
      <c r="M300" s="328"/>
      <c r="N300" s="328"/>
      <c r="O300" s="328"/>
      <c r="P300" s="328"/>
      <c r="R300" s="434"/>
    </row>
    <row r="301" spans="2:20" ht="13.5" customHeight="1" outlineLevel="1">
      <c r="B301" s="457" t="s">
        <v>415</v>
      </c>
      <c r="C301" s="458"/>
      <c r="D301" s="459"/>
      <c r="E301" s="459"/>
      <c r="F301" s="459"/>
      <c r="G301" s="459"/>
      <c r="H301" s="459"/>
      <c r="I301" s="459"/>
      <c r="J301" s="459"/>
      <c r="K301" s="459"/>
      <c r="L301" s="459"/>
      <c r="M301" s="459"/>
      <c r="N301" s="459"/>
      <c r="O301" s="459"/>
      <c r="P301" s="460"/>
      <c r="R301" s="434"/>
      <c r="S301" s="461"/>
      <c r="T301" s="460"/>
    </row>
    <row r="302" spans="2:20" ht="13.5" customHeight="1" outlineLevel="1">
      <c r="B302" s="50"/>
      <c r="C302" s="50"/>
      <c r="D302" s="50"/>
      <c r="G302" s="350"/>
      <c r="H302" s="350"/>
      <c r="L302" s="57"/>
      <c r="R302" s="434"/>
      <c r="T302" s="350"/>
    </row>
    <row r="303" spans="2:20" ht="13.5" customHeight="1" outlineLevel="1">
      <c r="B303" s="147" t="s">
        <v>418</v>
      </c>
      <c r="C303" s="50"/>
      <c r="D303" s="50"/>
      <c r="F303" s="366"/>
      <c r="G303" s="481">
        <v>3.739725E-2</v>
      </c>
      <c r="H303" s="481">
        <v>4.1604000000000002E-2</v>
      </c>
      <c r="I303" s="481">
        <v>4.5736750000000007E-2</v>
      </c>
      <c r="J303" s="481">
        <v>4.8315000000000004E-2</v>
      </c>
      <c r="K303" s="481">
        <v>4.9805500000000003E-2</v>
      </c>
      <c r="L303" s="481">
        <v>5.1123500000000002E-2</v>
      </c>
      <c r="M303" s="481">
        <v>5.2225250000000001E-2</v>
      </c>
      <c r="N303" s="481">
        <v>5.3100000000000001E-2</v>
      </c>
      <c r="O303" s="481">
        <v>5.3999999999999999E-2</v>
      </c>
      <c r="P303" s="481">
        <v>5.4899999999999997E-2</v>
      </c>
      <c r="R303" s="434"/>
      <c r="S303" s="367">
        <f t="shared" ref="S303:T305" si="241">$G303</f>
        <v>3.739725E-2</v>
      </c>
      <c r="T303" s="367">
        <f t="shared" si="241"/>
        <v>3.739725E-2</v>
      </c>
    </row>
    <row r="304" spans="2:20" ht="13.5" customHeight="1" outlineLevel="1">
      <c r="B304" s="147" t="s">
        <v>30</v>
      </c>
      <c r="C304" s="50"/>
      <c r="D304" s="50"/>
      <c r="F304" s="115"/>
      <c r="G304" s="481">
        <v>2.5000000000000001E-3</v>
      </c>
      <c r="H304" s="368">
        <f t="shared" ref="H304:H305" si="242">G304</f>
        <v>2.5000000000000001E-3</v>
      </c>
      <c r="I304" s="368">
        <f t="shared" ref="I304:I305" si="243">H304</f>
        <v>2.5000000000000001E-3</v>
      </c>
      <c r="J304" s="368">
        <f t="shared" ref="J304:J305" si="244">I304</f>
        <v>2.5000000000000001E-3</v>
      </c>
      <c r="K304" s="368">
        <f t="shared" ref="K304:K305" si="245">J304</f>
        <v>2.5000000000000001E-3</v>
      </c>
      <c r="L304" s="368">
        <f t="shared" ref="L304:L305" si="246">K304</f>
        <v>2.5000000000000001E-3</v>
      </c>
      <c r="M304" s="368">
        <f t="shared" ref="M304:M305" si="247">L304</f>
        <v>2.5000000000000001E-3</v>
      </c>
      <c r="N304" s="368">
        <f t="shared" ref="N304:N305" si="248">M304</f>
        <v>2.5000000000000001E-3</v>
      </c>
      <c r="O304" s="368">
        <f t="shared" ref="O304:O305" si="249">N304</f>
        <v>2.5000000000000001E-3</v>
      </c>
      <c r="P304" s="368">
        <f t="shared" ref="P304:P305" si="250">O304</f>
        <v>2.5000000000000001E-3</v>
      </c>
      <c r="R304" s="434"/>
      <c r="S304" s="367">
        <f t="shared" si="241"/>
        <v>2.5000000000000001E-3</v>
      </c>
      <c r="T304" s="367">
        <f t="shared" si="241"/>
        <v>2.5000000000000001E-3</v>
      </c>
    </row>
    <row r="305" spans="2:20" ht="13.5" customHeight="1" outlineLevel="1">
      <c r="B305" s="147" t="s">
        <v>420</v>
      </c>
      <c r="C305" s="50"/>
      <c r="D305" s="50"/>
      <c r="F305" s="115"/>
      <c r="G305" s="481">
        <v>5.0000000000000001E-3</v>
      </c>
      <c r="H305" s="368">
        <f t="shared" si="242"/>
        <v>5.0000000000000001E-3</v>
      </c>
      <c r="I305" s="368">
        <f t="shared" si="243"/>
        <v>5.0000000000000001E-3</v>
      </c>
      <c r="J305" s="368">
        <f t="shared" si="244"/>
        <v>5.0000000000000001E-3</v>
      </c>
      <c r="K305" s="368">
        <f t="shared" si="245"/>
        <v>5.0000000000000001E-3</v>
      </c>
      <c r="L305" s="368">
        <f t="shared" si="246"/>
        <v>5.0000000000000001E-3</v>
      </c>
      <c r="M305" s="368">
        <f t="shared" si="247"/>
        <v>5.0000000000000001E-3</v>
      </c>
      <c r="N305" s="368">
        <f t="shared" si="248"/>
        <v>5.0000000000000001E-3</v>
      </c>
      <c r="O305" s="368">
        <f t="shared" si="249"/>
        <v>5.0000000000000001E-3</v>
      </c>
      <c r="P305" s="368">
        <f t="shared" si="250"/>
        <v>5.0000000000000001E-3</v>
      </c>
      <c r="R305" s="434"/>
      <c r="S305" s="367">
        <f t="shared" si="241"/>
        <v>5.0000000000000001E-3</v>
      </c>
      <c r="T305" s="367">
        <f t="shared" si="241"/>
        <v>5.0000000000000001E-3</v>
      </c>
    </row>
    <row r="306" spans="2:20" ht="13.5" customHeight="1" outlineLevel="1">
      <c r="B306" s="147"/>
      <c r="C306" s="88"/>
      <c r="D306" s="88"/>
      <c r="E306" s="88"/>
      <c r="F306" s="328"/>
      <c r="G306" s="482"/>
      <c r="H306" s="482"/>
      <c r="I306" s="482"/>
      <c r="J306" s="482"/>
      <c r="K306" s="482"/>
      <c r="L306" s="482"/>
      <c r="M306" s="482"/>
      <c r="N306" s="482"/>
      <c r="O306" s="482"/>
      <c r="P306" s="482"/>
      <c r="R306" s="434"/>
    </row>
    <row r="307" spans="2:20" ht="13.5" customHeight="1" outlineLevel="1">
      <c r="B307" s="147" t="str">
        <f>B343</f>
        <v>Revolver</v>
      </c>
      <c r="C307" s="88"/>
      <c r="D307" s="88"/>
      <c r="E307" s="88"/>
      <c r="F307" s="328"/>
      <c r="G307" s="368">
        <f t="shared" ref="G307:P307" si="251">$D343+(G$303+$E343)*($D343=0)</f>
        <v>7.9897250000000003E-2</v>
      </c>
      <c r="H307" s="368">
        <f t="shared" si="251"/>
        <v>8.4104000000000012E-2</v>
      </c>
      <c r="I307" s="368">
        <f t="shared" si="251"/>
        <v>8.8236750000000003E-2</v>
      </c>
      <c r="J307" s="368">
        <f t="shared" si="251"/>
        <v>9.0815000000000007E-2</v>
      </c>
      <c r="K307" s="368">
        <f t="shared" si="251"/>
        <v>9.2305500000000013E-2</v>
      </c>
      <c r="L307" s="368">
        <f t="shared" si="251"/>
        <v>9.3623499999999998E-2</v>
      </c>
      <c r="M307" s="368">
        <f t="shared" si="251"/>
        <v>9.4725250000000011E-2</v>
      </c>
      <c r="N307" s="368">
        <f t="shared" si="251"/>
        <v>9.5600000000000004E-2</v>
      </c>
      <c r="O307" s="368">
        <f t="shared" si="251"/>
        <v>9.6500000000000002E-2</v>
      </c>
      <c r="P307" s="368">
        <f t="shared" si="251"/>
        <v>9.74E-2</v>
      </c>
      <c r="R307" s="434"/>
      <c r="S307" s="368">
        <f t="shared" ref="S307:T311" si="252">$D343+(S$303+$E343)*($D343=0)</f>
        <v>7.9897250000000003E-2</v>
      </c>
      <c r="T307" s="368">
        <f t="shared" si="252"/>
        <v>7.9897250000000003E-2</v>
      </c>
    </row>
    <row r="308" spans="2:20" ht="13.5" customHeight="1" outlineLevel="1">
      <c r="B308" s="147" t="str">
        <f t="shared" ref="B308:B311" si="253">B344</f>
        <v>Senior credit facility 1</v>
      </c>
      <c r="C308" s="88"/>
      <c r="D308" s="88"/>
      <c r="E308" s="88"/>
      <c r="F308" s="328"/>
      <c r="G308" s="368">
        <f t="shared" ref="G308:P308" si="254">$D344+(G$303+$E344)*($D344=0)</f>
        <v>8.4897250000000007E-2</v>
      </c>
      <c r="H308" s="368">
        <f t="shared" si="254"/>
        <v>8.9104000000000003E-2</v>
      </c>
      <c r="I308" s="368">
        <f t="shared" si="254"/>
        <v>9.3236750000000007E-2</v>
      </c>
      <c r="J308" s="368">
        <f t="shared" si="254"/>
        <v>9.5815000000000011E-2</v>
      </c>
      <c r="K308" s="368">
        <f t="shared" si="254"/>
        <v>9.7305500000000003E-2</v>
      </c>
      <c r="L308" s="368">
        <f t="shared" si="254"/>
        <v>9.8623500000000003E-2</v>
      </c>
      <c r="M308" s="368">
        <f t="shared" si="254"/>
        <v>9.9725250000000001E-2</v>
      </c>
      <c r="N308" s="368">
        <f t="shared" si="254"/>
        <v>0.10059999999999999</v>
      </c>
      <c r="O308" s="368">
        <f t="shared" si="254"/>
        <v>0.10150000000000001</v>
      </c>
      <c r="P308" s="368">
        <f t="shared" si="254"/>
        <v>0.10239999999999999</v>
      </c>
      <c r="R308" s="434"/>
      <c r="S308" s="368">
        <f t="shared" si="252"/>
        <v>8.4897250000000007E-2</v>
      </c>
      <c r="T308" s="368">
        <f t="shared" si="252"/>
        <v>8.4897250000000007E-2</v>
      </c>
    </row>
    <row r="309" spans="2:20" ht="13.5" customHeight="1" outlineLevel="1">
      <c r="B309" s="147" t="str">
        <f t="shared" si="253"/>
        <v>Subordinated note 1</v>
      </c>
      <c r="C309" s="88"/>
      <c r="D309" s="88"/>
      <c r="E309" s="88"/>
      <c r="F309" s="328"/>
      <c r="G309" s="368">
        <f t="shared" ref="G309:P309" si="255">$D345+(G$303+$E345)*($D345=0)</f>
        <v>8.2500000000000004E-2</v>
      </c>
      <c r="H309" s="368">
        <f t="shared" si="255"/>
        <v>8.2500000000000004E-2</v>
      </c>
      <c r="I309" s="368">
        <f t="shared" si="255"/>
        <v>8.2500000000000004E-2</v>
      </c>
      <c r="J309" s="368">
        <f t="shared" si="255"/>
        <v>8.2500000000000004E-2</v>
      </c>
      <c r="K309" s="368">
        <f t="shared" si="255"/>
        <v>8.2500000000000004E-2</v>
      </c>
      <c r="L309" s="368">
        <f t="shared" si="255"/>
        <v>8.2500000000000004E-2</v>
      </c>
      <c r="M309" s="368">
        <f t="shared" si="255"/>
        <v>8.2500000000000004E-2</v>
      </c>
      <c r="N309" s="368">
        <f t="shared" si="255"/>
        <v>8.2500000000000004E-2</v>
      </c>
      <c r="O309" s="368">
        <f t="shared" si="255"/>
        <v>8.2500000000000004E-2</v>
      </c>
      <c r="P309" s="368">
        <f t="shared" si="255"/>
        <v>8.2500000000000004E-2</v>
      </c>
      <c r="R309" s="434"/>
      <c r="S309" s="368">
        <f t="shared" si="252"/>
        <v>8.2500000000000004E-2</v>
      </c>
      <c r="T309" s="368">
        <f t="shared" si="252"/>
        <v>8.2500000000000004E-2</v>
      </c>
    </row>
    <row r="310" spans="2:20" ht="13.5" customHeight="1" outlineLevel="1">
      <c r="B310" s="147" t="str">
        <f t="shared" si="253"/>
        <v>Convertible bond 1</v>
      </c>
      <c r="C310" s="88"/>
      <c r="D310" s="88"/>
      <c r="E310" s="88"/>
      <c r="F310" s="328"/>
      <c r="G310" s="368">
        <f t="shared" ref="G310:P310" si="256">$D346+(G$303+$E346)*($D346=0)</f>
        <v>9.5000000000000001E-2</v>
      </c>
      <c r="H310" s="368">
        <f t="shared" si="256"/>
        <v>9.5000000000000001E-2</v>
      </c>
      <c r="I310" s="368">
        <f t="shared" si="256"/>
        <v>9.5000000000000001E-2</v>
      </c>
      <c r="J310" s="368">
        <f t="shared" si="256"/>
        <v>9.5000000000000001E-2</v>
      </c>
      <c r="K310" s="368">
        <f t="shared" si="256"/>
        <v>9.5000000000000001E-2</v>
      </c>
      <c r="L310" s="368">
        <f t="shared" si="256"/>
        <v>9.5000000000000001E-2</v>
      </c>
      <c r="M310" s="368">
        <f t="shared" si="256"/>
        <v>9.5000000000000001E-2</v>
      </c>
      <c r="N310" s="368">
        <f t="shared" si="256"/>
        <v>9.5000000000000001E-2</v>
      </c>
      <c r="O310" s="368">
        <f t="shared" si="256"/>
        <v>9.5000000000000001E-2</v>
      </c>
      <c r="P310" s="368">
        <f t="shared" si="256"/>
        <v>9.5000000000000001E-2</v>
      </c>
      <c r="R310" s="434"/>
      <c r="S310" s="368">
        <f t="shared" si="252"/>
        <v>9.5000000000000001E-2</v>
      </c>
      <c r="T310" s="368">
        <f t="shared" si="252"/>
        <v>9.5000000000000001E-2</v>
      </c>
    </row>
    <row r="311" spans="2:20" ht="13.5" customHeight="1" outlineLevel="1">
      <c r="B311" s="147" t="str">
        <f t="shared" si="253"/>
        <v>Preferred stock 1</v>
      </c>
      <c r="C311" s="88"/>
      <c r="D311" s="88"/>
      <c r="E311" s="88"/>
      <c r="F311" s="328"/>
      <c r="G311" s="368">
        <f t="shared" ref="G311:P311" si="257">$D347+(G$303+$E347)*($D347=0)</f>
        <v>0.10249999999999999</v>
      </c>
      <c r="H311" s="368">
        <f t="shared" si="257"/>
        <v>0.10249999999999999</v>
      </c>
      <c r="I311" s="368">
        <f t="shared" si="257"/>
        <v>0.10249999999999999</v>
      </c>
      <c r="J311" s="368">
        <f t="shared" si="257"/>
        <v>0.10249999999999999</v>
      </c>
      <c r="K311" s="368">
        <f t="shared" si="257"/>
        <v>0.10249999999999999</v>
      </c>
      <c r="L311" s="368">
        <f t="shared" si="257"/>
        <v>0.10249999999999999</v>
      </c>
      <c r="M311" s="368">
        <f t="shared" si="257"/>
        <v>0.10249999999999999</v>
      </c>
      <c r="N311" s="368">
        <f t="shared" si="257"/>
        <v>0.10249999999999999</v>
      </c>
      <c r="O311" s="368">
        <f t="shared" si="257"/>
        <v>0.10249999999999999</v>
      </c>
      <c r="P311" s="368">
        <f t="shared" si="257"/>
        <v>0.10249999999999999</v>
      </c>
      <c r="R311" s="434"/>
      <c r="S311" s="368">
        <f t="shared" si="252"/>
        <v>0.10249999999999999</v>
      </c>
      <c r="T311" s="368">
        <f t="shared" si="252"/>
        <v>0.10249999999999999</v>
      </c>
    </row>
    <row r="312" spans="2:20" ht="13.5" customHeight="1" outlineLevel="1">
      <c r="B312" s="147"/>
      <c r="C312" s="88"/>
      <c r="D312" s="88"/>
      <c r="E312" s="88"/>
      <c r="F312" s="328"/>
      <c r="G312" s="482"/>
      <c r="H312" s="482"/>
      <c r="I312" s="482"/>
      <c r="J312" s="482"/>
      <c r="K312" s="482"/>
      <c r="L312" s="482"/>
      <c r="M312" s="482"/>
      <c r="N312" s="482"/>
      <c r="O312" s="482"/>
      <c r="P312" s="482"/>
      <c r="R312" s="434"/>
      <c r="S312" s="482"/>
      <c r="T312" s="482"/>
    </row>
    <row r="313" spans="2:20" ht="13.5" customHeight="1" outlineLevel="1">
      <c r="B313" s="457" t="s">
        <v>574</v>
      </c>
      <c r="C313" s="458"/>
      <c r="D313" s="459"/>
      <c r="E313" s="459"/>
      <c r="F313" s="459"/>
      <c r="G313" s="459"/>
      <c r="H313" s="459"/>
      <c r="I313" s="459"/>
      <c r="J313" s="459"/>
      <c r="K313" s="459"/>
      <c r="L313" s="459"/>
      <c r="M313" s="459"/>
      <c r="N313" s="459"/>
      <c r="O313" s="459"/>
      <c r="P313" s="460"/>
      <c r="R313" s="434"/>
      <c r="S313" s="461"/>
      <c r="T313" s="460"/>
    </row>
    <row r="314" spans="2:20" ht="13.5" customHeight="1" outlineLevel="1">
      <c r="B314" s="50"/>
      <c r="C314" s="50"/>
      <c r="D314" s="50"/>
      <c r="G314" s="350"/>
      <c r="H314" s="350"/>
      <c r="L314" s="57"/>
      <c r="R314" s="434"/>
      <c r="T314" s="350"/>
    </row>
    <row r="315" spans="2:20" ht="13.5" customHeight="1" outlineLevel="1">
      <c r="B315" s="147" t="s">
        <v>420</v>
      </c>
      <c r="C315" s="50"/>
      <c r="D315" s="50"/>
      <c r="G315" s="231">
        <f t="shared" ref="G315:P315" si="258">G305*IF(avg_int,AVERAGE(F275:G275),F275)*G$3</f>
        <v>9.2000000000000011</v>
      </c>
      <c r="H315" s="231">
        <f t="shared" ca="1" si="258"/>
        <v>10</v>
      </c>
      <c r="I315" s="231">
        <f t="shared" ca="1" si="258"/>
        <v>10</v>
      </c>
      <c r="J315" s="231">
        <f t="shared" ca="1" si="258"/>
        <v>10</v>
      </c>
      <c r="K315" s="231">
        <f t="shared" ca="1" si="258"/>
        <v>10</v>
      </c>
      <c r="L315" s="231">
        <f t="shared" ca="1" si="258"/>
        <v>10</v>
      </c>
      <c r="M315" s="231">
        <f t="shared" ca="1" si="258"/>
        <v>10</v>
      </c>
      <c r="N315" s="231">
        <f t="shared" ca="1" si="258"/>
        <v>10</v>
      </c>
      <c r="O315" s="231">
        <f t="shared" ca="1" si="258"/>
        <v>10</v>
      </c>
      <c r="P315" s="231">
        <f t="shared" ca="1" si="258"/>
        <v>10</v>
      </c>
      <c r="R315" s="434"/>
      <c r="S315" s="339">
        <f>S$3*$G315</f>
        <v>4.6000000000000005</v>
      </c>
      <c r="T315" s="339">
        <f>T$3*$G315</f>
        <v>4.6000000000000005</v>
      </c>
    </row>
    <row r="316" spans="2:20" ht="13.5" customHeight="1" outlineLevel="1">
      <c r="B316" s="147"/>
      <c r="C316" s="88"/>
      <c r="D316" s="88"/>
      <c r="E316" s="88"/>
      <c r="F316" s="328"/>
      <c r="G316" s="482"/>
      <c r="H316" s="482"/>
      <c r="I316" s="482"/>
      <c r="J316" s="482"/>
      <c r="K316" s="482"/>
      <c r="L316" s="482"/>
      <c r="M316" s="482"/>
      <c r="N316" s="482"/>
      <c r="O316" s="482"/>
      <c r="P316" s="482"/>
      <c r="R316" s="434"/>
      <c r="T316" s="350"/>
    </row>
    <row r="317" spans="2:20" ht="13.5" customHeight="1" outlineLevel="1">
      <c r="B317" s="147" t="str">
        <f>B343</f>
        <v>Revolver</v>
      </c>
      <c r="C317" s="88"/>
      <c r="D317" s="88"/>
      <c r="E317" s="88"/>
      <c r="F317" s="328"/>
      <c r="G317" s="231">
        <f t="shared" ref="G317:P317" si="259">G307*IF(avg_int,AVERAGE(G269,G272),G269)*G$3</f>
        <v>12.783560000000001</v>
      </c>
      <c r="H317" s="231">
        <f t="shared" ca="1" si="259"/>
        <v>0</v>
      </c>
      <c r="I317" s="231">
        <f t="shared" ca="1" si="259"/>
        <v>0</v>
      </c>
      <c r="J317" s="231">
        <f t="shared" ca="1" si="259"/>
        <v>0</v>
      </c>
      <c r="K317" s="231">
        <f t="shared" ca="1" si="259"/>
        <v>0</v>
      </c>
      <c r="L317" s="231">
        <f t="shared" ca="1" si="259"/>
        <v>0</v>
      </c>
      <c r="M317" s="231">
        <f t="shared" ca="1" si="259"/>
        <v>0</v>
      </c>
      <c r="N317" s="231">
        <f t="shared" ca="1" si="259"/>
        <v>0</v>
      </c>
      <c r="O317" s="231">
        <f t="shared" ca="1" si="259"/>
        <v>0</v>
      </c>
      <c r="P317" s="231">
        <f t="shared" ca="1" si="259"/>
        <v>0</v>
      </c>
      <c r="R317" s="434"/>
      <c r="S317" s="339">
        <f t="shared" ref="S317:T321" si="260">S$3*$G317</f>
        <v>6.3917800000000007</v>
      </c>
      <c r="T317" s="339">
        <f t="shared" si="260"/>
        <v>6.3917800000000007</v>
      </c>
    </row>
    <row r="318" spans="2:20" ht="13.5" customHeight="1" outlineLevel="1">
      <c r="B318" s="147" t="str">
        <f>B344</f>
        <v>Senior credit facility 1</v>
      </c>
      <c r="C318" s="88"/>
      <c r="D318" s="88"/>
      <c r="E318" s="88"/>
      <c r="F318" s="328"/>
      <c r="G318" s="231">
        <f t="shared" ref="G318:P318" si="261">G308*IF(avg_int,AVERAGE(G278,G281),G278)*G$3</f>
        <v>0</v>
      </c>
      <c r="H318" s="231">
        <f t="shared" ca="1" si="261"/>
        <v>0</v>
      </c>
      <c r="I318" s="231">
        <f t="shared" ca="1" si="261"/>
        <v>0</v>
      </c>
      <c r="J318" s="231">
        <f t="shared" ca="1" si="261"/>
        <v>0</v>
      </c>
      <c r="K318" s="231">
        <f t="shared" ca="1" si="261"/>
        <v>0</v>
      </c>
      <c r="L318" s="231">
        <f t="shared" ca="1" si="261"/>
        <v>0</v>
      </c>
      <c r="M318" s="231">
        <f t="shared" ca="1" si="261"/>
        <v>0</v>
      </c>
      <c r="N318" s="231">
        <f t="shared" ca="1" si="261"/>
        <v>0</v>
      </c>
      <c r="O318" s="231">
        <f t="shared" ca="1" si="261"/>
        <v>0</v>
      </c>
      <c r="P318" s="231">
        <f t="shared" ca="1" si="261"/>
        <v>0</v>
      </c>
      <c r="R318" s="434"/>
      <c r="S318" s="339">
        <f t="shared" si="260"/>
        <v>0</v>
      </c>
      <c r="T318" s="339">
        <f t="shared" si="260"/>
        <v>0</v>
      </c>
    </row>
    <row r="319" spans="2:20" ht="13.5" customHeight="1" outlineLevel="1">
      <c r="B319" s="147" t="str">
        <f>B345</f>
        <v>Subordinated note 1</v>
      </c>
      <c r="C319" s="88"/>
      <c r="D319" s="88"/>
      <c r="E319" s="88"/>
      <c r="F319" s="328"/>
      <c r="G319" s="231">
        <f t="shared" ref="G319:P319" si="262">G309*IF(avg_int,AVERAGE(G284,G287),G284)*G$3</f>
        <v>0</v>
      </c>
      <c r="H319" s="231">
        <f t="shared" ca="1" si="262"/>
        <v>0</v>
      </c>
      <c r="I319" s="231">
        <f t="shared" ca="1" si="262"/>
        <v>0</v>
      </c>
      <c r="J319" s="231">
        <f t="shared" ca="1" si="262"/>
        <v>0</v>
      </c>
      <c r="K319" s="231">
        <f t="shared" ca="1" si="262"/>
        <v>0</v>
      </c>
      <c r="L319" s="231">
        <f t="shared" ca="1" si="262"/>
        <v>0</v>
      </c>
      <c r="M319" s="231">
        <f t="shared" ca="1" si="262"/>
        <v>0</v>
      </c>
      <c r="N319" s="231">
        <f t="shared" ca="1" si="262"/>
        <v>0</v>
      </c>
      <c r="O319" s="231">
        <f t="shared" ca="1" si="262"/>
        <v>0</v>
      </c>
      <c r="P319" s="231">
        <f t="shared" ca="1" si="262"/>
        <v>0</v>
      </c>
      <c r="R319" s="434"/>
      <c r="S319" s="339">
        <f t="shared" si="260"/>
        <v>0</v>
      </c>
      <c r="T319" s="339">
        <f t="shared" si="260"/>
        <v>0</v>
      </c>
    </row>
    <row r="320" spans="2:20" ht="13.5" customHeight="1" outlineLevel="1">
      <c r="B320" s="147" t="str">
        <f>B346</f>
        <v>Convertible bond 1</v>
      </c>
      <c r="C320" s="88"/>
      <c r="D320" s="88"/>
      <c r="E320" s="88"/>
      <c r="F320" s="339">
        <f t="shared" ref="F320:F321" si="263">F$3*$G320</f>
        <v>42.75</v>
      </c>
      <c r="G320" s="231">
        <f t="shared" ref="G320:P320" si="264">G310*IF(avg_int,AVERAGE(G290,G293),G290)*G$3</f>
        <v>42.75</v>
      </c>
      <c r="H320" s="231">
        <f t="shared" si="264"/>
        <v>46.811250000000001</v>
      </c>
      <c r="I320" s="231">
        <f t="shared" si="264"/>
        <v>51.258318750000001</v>
      </c>
      <c r="J320" s="231">
        <f t="shared" si="264"/>
        <v>54.910473960937495</v>
      </c>
      <c r="K320" s="231">
        <f t="shared" si="264"/>
        <v>54.910473960937495</v>
      </c>
      <c r="L320" s="231">
        <f t="shared" si="264"/>
        <v>54.910473960937495</v>
      </c>
      <c r="M320" s="231">
        <f t="shared" si="264"/>
        <v>54.910473960937495</v>
      </c>
      <c r="N320" s="231">
        <f t="shared" si="264"/>
        <v>54.910473960937495</v>
      </c>
      <c r="O320" s="231">
        <f t="shared" si="264"/>
        <v>54.910473960937495</v>
      </c>
      <c r="P320" s="231">
        <f t="shared" si="264"/>
        <v>54.910473960937495</v>
      </c>
      <c r="R320" s="434"/>
      <c r="S320" s="339">
        <f t="shared" si="260"/>
        <v>21.375</v>
      </c>
      <c r="T320" s="339">
        <f t="shared" si="260"/>
        <v>21.375</v>
      </c>
    </row>
    <row r="321" spans="2:20" ht="13.5" customHeight="1" outlineLevel="1">
      <c r="B321" s="147" t="str">
        <f>B347</f>
        <v>Preferred stock 1</v>
      </c>
      <c r="C321" s="88"/>
      <c r="D321" s="88"/>
      <c r="E321" s="88"/>
      <c r="F321" s="339">
        <f t="shared" si="263"/>
        <v>0</v>
      </c>
      <c r="G321" s="231">
        <f t="shared" ref="G321:P321" si="265">G311*IF(avg_int,AVERAGE(G296,G299),G296)*G$3</f>
        <v>0</v>
      </c>
      <c r="H321" s="231">
        <f t="shared" si="265"/>
        <v>0</v>
      </c>
      <c r="I321" s="231">
        <f t="shared" si="265"/>
        <v>0</v>
      </c>
      <c r="J321" s="231">
        <f t="shared" si="265"/>
        <v>0</v>
      </c>
      <c r="K321" s="231">
        <f t="shared" si="265"/>
        <v>0</v>
      </c>
      <c r="L321" s="231">
        <f t="shared" si="265"/>
        <v>0</v>
      </c>
      <c r="M321" s="231">
        <f t="shared" si="265"/>
        <v>0</v>
      </c>
      <c r="N321" s="231">
        <f t="shared" si="265"/>
        <v>0</v>
      </c>
      <c r="O321" s="231">
        <f t="shared" si="265"/>
        <v>0</v>
      </c>
      <c r="P321" s="231">
        <f t="shared" si="265"/>
        <v>0</v>
      </c>
      <c r="R321" s="434"/>
      <c r="S321" s="339">
        <f t="shared" si="260"/>
        <v>0</v>
      </c>
      <c r="T321" s="339">
        <f t="shared" si="260"/>
        <v>0</v>
      </c>
    </row>
    <row r="322" spans="2:20" ht="13.5" customHeight="1" outlineLevel="1">
      <c r="B322" s="147"/>
      <c r="C322" s="88"/>
      <c r="D322" s="88"/>
      <c r="E322" s="88"/>
      <c r="F322" s="328"/>
      <c r="G322" s="482"/>
      <c r="H322" s="482"/>
      <c r="I322" s="482"/>
      <c r="J322" s="482"/>
      <c r="K322" s="482"/>
      <c r="L322" s="482"/>
      <c r="M322" s="482"/>
      <c r="N322" s="482"/>
      <c r="O322" s="482"/>
      <c r="P322" s="482"/>
      <c r="R322" s="434"/>
      <c r="S322" s="482"/>
      <c r="T322" s="231"/>
    </row>
    <row r="323" spans="2:20" ht="13.5" customHeight="1" outlineLevel="1">
      <c r="B323" s="147" t="s">
        <v>584</v>
      </c>
      <c r="C323" s="88"/>
      <c r="D323" s="88"/>
      <c r="E323" s="88"/>
      <c r="F323" s="328"/>
      <c r="G323" s="231">
        <f t="shared" ref="G323:P323" si="266">G315+SUMPRODUCT(G317:G321,$F343:$F347)</f>
        <v>21.983560000000004</v>
      </c>
      <c r="H323" s="231">
        <f t="shared" ca="1" si="266"/>
        <v>10</v>
      </c>
      <c r="I323" s="231">
        <f t="shared" ca="1" si="266"/>
        <v>10</v>
      </c>
      <c r="J323" s="231">
        <f t="shared" ca="1" si="266"/>
        <v>10</v>
      </c>
      <c r="K323" s="231">
        <f t="shared" ca="1" si="266"/>
        <v>10</v>
      </c>
      <c r="L323" s="231">
        <f t="shared" ca="1" si="266"/>
        <v>10</v>
      </c>
      <c r="M323" s="231">
        <f t="shared" ca="1" si="266"/>
        <v>10</v>
      </c>
      <c r="N323" s="231">
        <f t="shared" ca="1" si="266"/>
        <v>10</v>
      </c>
      <c r="O323" s="231">
        <f t="shared" ca="1" si="266"/>
        <v>10</v>
      </c>
      <c r="P323" s="231">
        <f t="shared" ca="1" si="266"/>
        <v>10</v>
      </c>
      <c r="R323" s="434"/>
      <c r="S323" s="231">
        <f>S315+SUMPRODUCT(S317:S321,$F343:$F347)</f>
        <v>10.991780000000002</v>
      </c>
      <c r="T323" s="231">
        <f>T315+SUMPRODUCT(T317:T321,$F343:$F347)</f>
        <v>10.991780000000002</v>
      </c>
    </row>
    <row r="324" spans="2:20" ht="13.5" customHeight="1" outlineLevel="1">
      <c r="B324" s="147" t="s">
        <v>585</v>
      </c>
      <c r="C324" s="88"/>
      <c r="D324" s="88"/>
      <c r="E324" s="88"/>
      <c r="F324" s="328"/>
      <c r="G324" s="231">
        <f t="shared" ref="G324:P324" si="267">G315+SUM(G317:G321)-SUMPRODUCT(G317:G321,G332:G336)-(SUMPRODUCT(G317:G321,$G343:$G347)-SUMPRODUCT(G317:G321,G332:G336,$G343:$G347))</f>
        <v>21.983559999999997</v>
      </c>
      <c r="H324" s="231">
        <f t="shared" ca="1" si="267"/>
        <v>10</v>
      </c>
      <c r="I324" s="231">
        <f t="shared" ca="1" si="267"/>
        <v>22.8145796875</v>
      </c>
      <c r="J324" s="231">
        <f t="shared" ca="1" si="267"/>
        <v>64.910473960937495</v>
      </c>
      <c r="K324" s="231">
        <f t="shared" ca="1" si="267"/>
        <v>64.910473960937495</v>
      </c>
      <c r="L324" s="231">
        <f t="shared" ca="1" si="267"/>
        <v>64.910473960937495</v>
      </c>
      <c r="M324" s="231">
        <f t="shared" ca="1" si="267"/>
        <v>64.910473960937495</v>
      </c>
      <c r="N324" s="231">
        <f t="shared" ca="1" si="267"/>
        <v>64.910473960937495</v>
      </c>
      <c r="O324" s="231">
        <f t="shared" ca="1" si="267"/>
        <v>64.910473960937495</v>
      </c>
      <c r="P324" s="231">
        <f t="shared" ca="1" si="267"/>
        <v>64.910473960937495</v>
      </c>
      <c r="R324" s="434"/>
      <c r="S324" s="231">
        <f>S315+SUM(S317:S321)-SUMPRODUCT(S317:S321,S332:S336)-(SUMPRODUCT(S317:S321,$G343:$G347)-SUMPRODUCT(S317:S321,S332:S336,$G343:$G347))</f>
        <v>10.991779999999999</v>
      </c>
      <c r="T324" s="231">
        <f>T315+SUM(T317:T321)-SUMPRODUCT(T317:T321,T332:T336)-(SUMPRODUCT(T317:T321,$G343:$G347)-SUMPRODUCT(T317:T321,T332:T336,$G343:$G347))</f>
        <v>10.991779999999999</v>
      </c>
    </row>
    <row r="325" spans="2:20" ht="13.5" customHeight="1" outlineLevel="1">
      <c r="B325" s="147" t="s">
        <v>575</v>
      </c>
      <c r="C325" s="88"/>
      <c r="D325" s="88"/>
      <c r="E325" s="88"/>
      <c r="F325" s="328"/>
      <c r="G325" s="231">
        <f t="shared" ref="G325:P325" si="268">SUM(G315,G317:G321)-SUMPRODUCT(G317:G321,$G343:$G347)</f>
        <v>64.733560000000011</v>
      </c>
      <c r="H325" s="231">
        <f t="shared" ca="1" si="268"/>
        <v>56.811250000000001</v>
      </c>
      <c r="I325" s="231">
        <f t="shared" ca="1" si="268"/>
        <v>61.258318750000001</v>
      </c>
      <c r="J325" s="231">
        <f t="shared" ca="1" si="268"/>
        <v>64.910473960937495</v>
      </c>
      <c r="K325" s="231">
        <f t="shared" ca="1" si="268"/>
        <v>64.910473960937495</v>
      </c>
      <c r="L325" s="231">
        <f t="shared" ca="1" si="268"/>
        <v>64.910473960937495</v>
      </c>
      <c r="M325" s="231">
        <f t="shared" ca="1" si="268"/>
        <v>64.910473960937495</v>
      </c>
      <c r="N325" s="231">
        <f t="shared" ca="1" si="268"/>
        <v>64.910473960937495</v>
      </c>
      <c r="O325" s="231">
        <f t="shared" ca="1" si="268"/>
        <v>64.910473960937495</v>
      </c>
      <c r="P325" s="231">
        <f t="shared" ca="1" si="268"/>
        <v>64.910473960937495</v>
      </c>
      <c r="R325" s="434"/>
      <c r="S325" s="231">
        <f>SUM(S315,S317:S321)-SUMPRODUCT(S317:S321,$G343:$G347)</f>
        <v>32.366780000000006</v>
      </c>
      <c r="T325" s="231">
        <f>SUM(T315,T317:T321)-SUMPRODUCT(T317:T321,$G343:$G347)</f>
        <v>32.366780000000006</v>
      </c>
    </row>
    <row r="326" spans="2:20" ht="13.5" customHeight="1" outlineLevel="1">
      <c r="B326" s="147" t="s">
        <v>581</v>
      </c>
      <c r="C326" s="88"/>
      <c r="D326" s="88"/>
      <c r="E326" s="88"/>
      <c r="F326" s="328"/>
      <c r="G326" s="231">
        <f t="shared" ref="G326:P326" si="269">SUMPRODUCT(G317:G321,$G343:$G347,$H343:$H347)</f>
        <v>0</v>
      </c>
      <c r="H326" s="231">
        <f t="shared" ca="1" si="269"/>
        <v>0</v>
      </c>
      <c r="I326" s="231">
        <f t="shared" ca="1" si="269"/>
        <v>0</v>
      </c>
      <c r="J326" s="231">
        <f t="shared" ca="1" si="269"/>
        <v>0</v>
      </c>
      <c r="K326" s="231">
        <f t="shared" ca="1" si="269"/>
        <v>0</v>
      </c>
      <c r="L326" s="231">
        <f t="shared" ca="1" si="269"/>
        <v>0</v>
      </c>
      <c r="M326" s="231">
        <f t="shared" ca="1" si="269"/>
        <v>0</v>
      </c>
      <c r="N326" s="231">
        <f t="shared" ca="1" si="269"/>
        <v>0</v>
      </c>
      <c r="O326" s="231">
        <f t="shared" ca="1" si="269"/>
        <v>0</v>
      </c>
      <c r="P326" s="231">
        <f t="shared" ca="1" si="269"/>
        <v>0</v>
      </c>
      <c r="R326" s="434"/>
      <c r="S326" s="231">
        <f>SUMPRODUCT(S317:S321,$G343:$G347,$H343:$H347)</f>
        <v>0</v>
      </c>
      <c r="T326" s="231">
        <f>SUMPRODUCT(T317:T321,$G343:$G347,$H343:$H347)</f>
        <v>0</v>
      </c>
    </row>
    <row r="327" spans="2:20" ht="13.5" customHeight="1" outlineLevel="1">
      <c r="B327" s="147" t="s">
        <v>582</v>
      </c>
      <c r="C327" s="88"/>
      <c r="D327" s="88"/>
      <c r="E327" s="88"/>
      <c r="F327" s="328"/>
      <c r="G327" s="231">
        <f t="shared" ref="G327:P327" si="270">SUMPRODUCT(G317:G321,$G343:$G347)-G326</f>
        <v>0</v>
      </c>
      <c r="H327" s="231">
        <f t="shared" ca="1" si="270"/>
        <v>0</v>
      </c>
      <c r="I327" s="231">
        <f t="shared" ca="1" si="270"/>
        <v>0</v>
      </c>
      <c r="J327" s="231">
        <f t="shared" ca="1" si="270"/>
        <v>0</v>
      </c>
      <c r="K327" s="231">
        <f t="shared" ca="1" si="270"/>
        <v>0</v>
      </c>
      <c r="L327" s="231">
        <f t="shared" ca="1" si="270"/>
        <v>0</v>
      </c>
      <c r="M327" s="231">
        <f t="shared" ca="1" si="270"/>
        <v>0</v>
      </c>
      <c r="N327" s="231">
        <f t="shared" ca="1" si="270"/>
        <v>0</v>
      </c>
      <c r="O327" s="231">
        <f t="shared" ca="1" si="270"/>
        <v>0</v>
      </c>
      <c r="P327" s="231">
        <f t="shared" ca="1" si="270"/>
        <v>0</v>
      </c>
      <c r="R327" s="434"/>
      <c r="S327" s="231">
        <f>SUMPRODUCT(S317:S321,$G343:$G347)-S326</f>
        <v>0</v>
      </c>
      <c r="T327" s="231">
        <f>SUMPRODUCT(T317:T321,$G343:$G347)-T326</f>
        <v>0</v>
      </c>
    </row>
    <row r="328" spans="2:20" ht="13.5" customHeight="1" outlineLevel="1">
      <c r="B328" s="147" t="s">
        <v>576</v>
      </c>
      <c r="C328" s="88"/>
      <c r="D328" s="88"/>
      <c r="E328" s="88"/>
      <c r="F328" s="328"/>
      <c r="G328" s="231">
        <f t="shared" ref="G328:P328" si="271">G326+G327</f>
        <v>0</v>
      </c>
      <c r="H328" s="231">
        <f t="shared" ca="1" si="271"/>
        <v>0</v>
      </c>
      <c r="I328" s="231">
        <f t="shared" ca="1" si="271"/>
        <v>0</v>
      </c>
      <c r="J328" s="231">
        <f t="shared" ca="1" si="271"/>
        <v>0</v>
      </c>
      <c r="K328" s="231">
        <f t="shared" ca="1" si="271"/>
        <v>0</v>
      </c>
      <c r="L328" s="231">
        <f t="shared" ca="1" si="271"/>
        <v>0</v>
      </c>
      <c r="M328" s="231">
        <f t="shared" ca="1" si="271"/>
        <v>0</v>
      </c>
      <c r="N328" s="231">
        <f t="shared" ca="1" si="271"/>
        <v>0</v>
      </c>
      <c r="O328" s="231">
        <f t="shared" ca="1" si="271"/>
        <v>0</v>
      </c>
      <c r="P328" s="231">
        <f t="shared" ca="1" si="271"/>
        <v>0</v>
      </c>
      <c r="R328" s="434"/>
      <c r="S328" s="231">
        <f>S326+S327</f>
        <v>0</v>
      </c>
      <c r="T328" s="231">
        <f>T326+T327</f>
        <v>0</v>
      </c>
    </row>
    <row r="329" spans="2:20" ht="13.5" customHeight="1" outlineLevel="1">
      <c r="B329" s="147"/>
      <c r="C329" s="88"/>
      <c r="D329" s="88"/>
      <c r="E329" s="88"/>
      <c r="F329" s="328"/>
      <c r="G329" s="231"/>
      <c r="H329" s="231"/>
      <c r="I329" s="231"/>
      <c r="J329" s="231"/>
      <c r="K329" s="231"/>
      <c r="L329" s="231"/>
      <c r="M329" s="231"/>
      <c r="N329" s="231"/>
      <c r="O329" s="231"/>
      <c r="P329" s="231"/>
      <c r="R329" s="434"/>
      <c r="S329" s="231"/>
      <c r="T329" s="231"/>
    </row>
    <row r="330" spans="2:20" ht="13.5" customHeight="1" outlineLevel="1">
      <c r="B330" s="457" t="s">
        <v>577</v>
      </c>
      <c r="C330" s="458"/>
      <c r="D330" s="459"/>
      <c r="E330" s="459"/>
      <c r="F330" s="459"/>
      <c r="G330" s="459"/>
      <c r="H330" s="459"/>
      <c r="I330" s="459"/>
      <c r="J330" s="459"/>
      <c r="K330" s="459"/>
      <c r="L330" s="459"/>
      <c r="M330" s="459"/>
      <c r="N330" s="459"/>
      <c r="O330" s="459"/>
      <c r="P330" s="460"/>
      <c r="R330" s="434"/>
      <c r="S330" s="461"/>
      <c r="T330" s="460"/>
    </row>
    <row r="331" spans="2:20" ht="13.5" customHeight="1" outlineLevel="1">
      <c r="B331" s="50"/>
      <c r="C331" s="50"/>
      <c r="D331" s="50"/>
      <c r="G331" s="350"/>
      <c r="H331" s="350"/>
      <c r="L331" s="57"/>
      <c r="R331" s="434"/>
      <c r="T331" s="350"/>
    </row>
    <row r="332" spans="2:20" ht="13.5" customHeight="1" outlineLevel="1">
      <c r="B332" s="147" t="str">
        <f>B343</f>
        <v>Revolver</v>
      </c>
      <c r="C332" s="88"/>
      <c r="D332" s="88"/>
      <c r="E332" s="88"/>
      <c r="F332" s="328"/>
      <c r="G332" s="358">
        <v>0</v>
      </c>
      <c r="H332" s="358">
        <v>0</v>
      </c>
      <c r="I332" s="358">
        <v>0</v>
      </c>
      <c r="J332" s="358">
        <v>0</v>
      </c>
      <c r="K332" s="358">
        <v>0</v>
      </c>
      <c r="L332" s="358">
        <v>0</v>
      </c>
      <c r="M332" s="358">
        <v>0</v>
      </c>
      <c r="N332" s="358">
        <v>0</v>
      </c>
      <c r="O332" s="358">
        <v>0</v>
      </c>
      <c r="P332" s="358">
        <v>0</v>
      </c>
      <c r="R332" s="434"/>
      <c r="S332" s="355">
        <f t="shared" ref="S332:T336" si="272">$G332</f>
        <v>0</v>
      </c>
      <c r="T332" s="355">
        <f t="shared" si="272"/>
        <v>0</v>
      </c>
    </row>
    <row r="333" spans="2:20" ht="13.5" customHeight="1" outlineLevel="1">
      <c r="B333" s="147" t="str">
        <f>B344</f>
        <v>Senior credit facility 1</v>
      </c>
      <c r="C333" s="88"/>
      <c r="D333" s="88"/>
      <c r="E333" s="88"/>
      <c r="F333" s="328"/>
      <c r="G333" s="358">
        <v>0</v>
      </c>
      <c r="H333" s="358">
        <v>0</v>
      </c>
      <c r="I333" s="358">
        <v>0</v>
      </c>
      <c r="J333" s="358">
        <v>0</v>
      </c>
      <c r="K333" s="358">
        <v>0</v>
      </c>
      <c r="L333" s="358">
        <v>0</v>
      </c>
      <c r="M333" s="358">
        <v>0</v>
      </c>
      <c r="N333" s="358">
        <v>0</v>
      </c>
      <c r="O333" s="358">
        <v>0</v>
      </c>
      <c r="P333" s="358">
        <v>0</v>
      </c>
      <c r="R333" s="434"/>
      <c r="S333" s="355">
        <f t="shared" si="272"/>
        <v>0</v>
      </c>
      <c r="T333" s="355">
        <f t="shared" si="272"/>
        <v>0</v>
      </c>
    </row>
    <row r="334" spans="2:20" ht="13.5" customHeight="1" outlineLevel="1">
      <c r="B334" s="147" t="str">
        <f>B345</f>
        <v>Subordinated note 1</v>
      </c>
      <c r="C334" s="88"/>
      <c r="D334" s="88"/>
      <c r="E334" s="88"/>
      <c r="F334" s="328"/>
      <c r="G334" s="358">
        <v>0</v>
      </c>
      <c r="H334" s="358">
        <v>0</v>
      </c>
      <c r="I334" s="358">
        <v>0</v>
      </c>
      <c r="J334" s="358">
        <v>0</v>
      </c>
      <c r="K334" s="358">
        <v>0</v>
      </c>
      <c r="L334" s="358">
        <v>0</v>
      </c>
      <c r="M334" s="358">
        <v>0</v>
      </c>
      <c r="N334" s="358">
        <v>0</v>
      </c>
      <c r="O334" s="358">
        <v>0</v>
      </c>
      <c r="P334" s="358">
        <v>0</v>
      </c>
      <c r="R334" s="434"/>
      <c r="S334" s="355">
        <f t="shared" si="272"/>
        <v>0</v>
      </c>
      <c r="T334" s="355">
        <f t="shared" si="272"/>
        <v>0</v>
      </c>
    </row>
    <row r="335" spans="2:20" ht="13.5" customHeight="1" outlineLevel="1">
      <c r="B335" s="147" t="str">
        <f>B346</f>
        <v>Convertible bond 1</v>
      </c>
      <c r="C335" s="88"/>
      <c r="D335" s="88"/>
      <c r="E335" s="88"/>
      <c r="F335" s="328"/>
      <c r="G335" s="358">
        <v>1</v>
      </c>
      <c r="H335" s="358">
        <v>1</v>
      </c>
      <c r="I335" s="358">
        <v>0.75</v>
      </c>
      <c r="J335" s="358">
        <v>0</v>
      </c>
      <c r="K335" s="358">
        <v>0</v>
      </c>
      <c r="L335" s="358">
        <v>0</v>
      </c>
      <c r="M335" s="358">
        <v>0</v>
      </c>
      <c r="N335" s="358">
        <v>0</v>
      </c>
      <c r="O335" s="358">
        <v>0</v>
      </c>
      <c r="P335" s="358">
        <v>0</v>
      </c>
      <c r="R335" s="434"/>
      <c r="S335" s="355">
        <f t="shared" si="272"/>
        <v>1</v>
      </c>
      <c r="T335" s="355">
        <f t="shared" si="272"/>
        <v>1</v>
      </c>
    </row>
    <row r="336" spans="2:20" ht="13.5" customHeight="1" outlineLevel="1">
      <c r="B336" s="147" t="str">
        <f>B347</f>
        <v>Preferred stock 1</v>
      </c>
      <c r="C336" s="88"/>
      <c r="D336" s="88"/>
      <c r="E336" s="88"/>
      <c r="F336" s="328"/>
      <c r="G336" s="358">
        <v>0</v>
      </c>
      <c r="H336" s="358">
        <v>0</v>
      </c>
      <c r="I336" s="358">
        <v>0</v>
      </c>
      <c r="J336" s="358">
        <v>0</v>
      </c>
      <c r="K336" s="358">
        <v>0</v>
      </c>
      <c r="L336" s="358">
        <v>0</v>
      </c>
      <c r="M336" s="358">
        <v>0</v>
      </c>
      <c r="N336" s="358">
        <v>0</v>
      </c>
      <c r="O336" s="358">
        <v>0</v>
      </c>
      <c r="P336" s="358">
        <v>0</v>
      </c>
      <c r="R336" s="434"/>
      <c r="S336" s="355">
        <f t="shared" si="272"/>
        <v>0</v>
      </c>
      <c r="T336" s="355">
        <f t="shared" si="272"/>
        <v>0</v>
      </c>
    </row>
    <row r="337" spans="1:20" ht="13.5" customHeight="1" outlineLevel="1">
      <c r="B337" s="50"/>
      <c r="C337" s="50"/>
      <c r="D337" s="50"/>
      <c r="G337" s="350"/>
      <c r="H337" s="350"/>
      <c r="L337" s="57"/>
      <c r="R337" s="434"/>
      <c r="T337" s="350"/>
    </row>
    <row r="338" spans="1:20" ht="13.5" customHeight="1" outlineLevel="1">
      <c r="B338" s="457" t="s">
        <v>425</v>
      </c>
      <c r="C338" s="458"/>
      <c r="D338" s="459"/>
      <c r="E338" s="459"/>
      <c r="F338" s="459"/>
      <c r="G338" s="459"/>
      <c r="H338" s="459"/>
      <c r="I338" s="459"/>
      <c r="J338" s="459"/>
      <c r="K338" s="459"/>
      <c r="L338" s="459"/>
      <c r="M338" s="459"/>
      <c r="N338" s="459"/>
      <c r="O338" s="459"/>
      <c r="P338" s="460"/>
      <c r="R338" s="434"/>
      <c r="S338" s="461"/>
      <c r="T338" s="460"/>
    </row>
    <row r="339" spans="1:20" ht="13.5" customHeight="1" outlineLevel="1">
      <c r="B339" s="50"/>
      <c r="C339" s="50"/>
      <c r="D339" s="50"/>
      <c r="G339" s="350"/>
      <c r="H339" s="350"/>
      <c r="L339" s="57"/>
      <c r="R339" s="434"/>
    </row>
    <row r="340" spans="1:20" ht="13.5" customHeight="1" outlineLevel="1">
      <c r="B340" s="369"/>
      <c r="C340" s="369"/>
      <c r="D340" s="432" t="s">
        <v>573</v>
      </c>
      <c r="E340" s="432" t="s">
        <v>426</v>
      </c>
      <c r="F340" s="432" t="s">
        <v>427</v>
      </c>
      <c r="G340" s="483" t="s">
        <v>360</v>
      </c>
      <c r="H340" s="483" t="s">
        <v>271</v>
      </c>
      <c r="I340" s="483" t="s">
        <v>270</v>
      </c>
      <c r="J340" s="432" t="s">
        <v>30</v>
      </c>
      <c r="R340" s="434"/>
    </row>
    <row r="341" spans="1:20" ht="13.5" customHeight="1" outlineLevel="1" thickBot="1">
      <c r="B341" s="484"/>
      <c r="C341" s="484"/>
      <c r="D341" s="485" t="s">
        <v>358</v>
      </c>
      <c r="E341" s="485" t="s">
        <v>418</v>
      </c>
      <c r="F341" s="485" t="s">
        <v>428</v>
      </c>
      <c r="G341" s="486" t="s">
        <v>337</v>
      </c>
      <c r="H341" s="486" t="s">
        <v>337</v>
      </c>
      <c r="I341" s="486" t="s">
        <v>248</v>
      </c>
      <c r="J341" s="485" t="s">
        <v>411</v>
      </c>
      <c r="R341" s="434"/>
    </row>
    <row r="342" spans="1:20" ht="5.0999999999999996" customHeight="1" outlineLevel="1">
      <c r="B342" s="147"/>
      <c r="C342" s="50"/>
      <c r="D342" s="50"/>
      <c r="E342" s="350"/>
      <c r="F342" s="350"/>
      <c r="G342" s="350"/>
      <c r="R342" s="434"/>
    </row>
    <row r="343" spans="1:20" ht="13.5" customHeight="1" outlineLevel="1">
      <c r="B343" s="487" t="s">
        <v>66</v>
      </c>
      <c r="C343" s="488"/>
      <c r="D343" s="372">
        <v>0</v>
      </c>
      <c r="E343" s="372">
        <v>4.2500000000000003E-2</v>
      </c>
      <c r="F343" s="373">
        <v>1</v>
      </c>
      <c r="G343" s="373">
        <v>0</v>
      </c>
      <c r="H343" s="373">
        <v>0</v>
      </c>
      <c r="I343" s="374">
        <v>0</v>
      </c>
      <c r="J343" s="375">
        <v>1</v>
      </c>
      <c r="L343" s="57"/>
      <c r="R343" s="434"/>
    </row>
    <row r="344" spans="1:20" ht="13.5" customHeight="1" outlineLevel="1">
      <c r="B344" s="487" t="s">
        <v>286</v>
      </c>
      <c r="C344" s="488"/>
      <c r="D344" s="372">
        <v>0</v>
      </c>
      <c r="E344" s="372">
        <v>4.7500000000000001E-2</v>
      </c>
      <c r="F344" s="373">
        <v>1</v>
      </c>
      <c r="G344" s="373">
        <v>0</v>
      </c>
      <c r="H344" s="373">
        <v>0</v>
      </c>
      <c r="I344" s="374">
        <v>0</v>
      </c>
      <c r="J344" s="375">
        <v>1</v>
      </c>
      <c r="L344" s="57"/>
      <c r="R344" s="434"/>
    </row>
    <row r="345" spans="1:20" ht="13.5" customHeight="1" outlineLevel="1">
      <c r="B345" s="487" t="s">
        <v>288</v>
      </c>
      <c r="C345" s="488"/>
      <c r="D345" s="372">
        <v>8.2500000000000004E-2</v>
      </c>
      <c r="E345" s="372">
        <v>0</v>
      </c>
      <c r="F345" s="373">
        <v>0</v>
      </c>
      <c r="G345" s="373">
        <v>0</v>
      </c>
      <c r="H345" s="373">
        <v>0</v>
      </c>
      <c r="I345" s="374">
        <v>0</v>
      </c>
      <c r="J345" s="375">
        <v>0</v>
      </c>
      <c r="L345" s="57"/>
      <c r="R345" s="434"/>
    </row>
    <row r="346" spans="1:20" ht="13.5" customHeight="1" outlineLevel="1">
      <c r="B346" s="487" t="s">
        <v>290</v>
      </c>
      <c r="C346" s="488"/>
      <c r="D346" s="372">
        <v>9.5000000000000001E-2</v>
      </c>
      <c r="E346" s="372">
        <v>0</v>
      </c>
      <c r="F346" s="373">
        <v>0</v>
      </c>
      <c r="G346" s="373">
        <v>0</v>
      </c>
      <c r="H346" s="373">
        <v>1</v>
      </c>
      <c r="I346" s="374">
        <v>43.12</v>
      </c>
      <c r="J346" s="375">
        <v>0</v>
      </c>
      <c r="L346" s="57"/>
      <c r="R346" s="434"/>
    </row>
    <row r="347" spans="1:20" ht="13.5" customHeight="1" outlineLevel="1">
      <c r="B347" s="487" t="s">
        <v>295</v>
      </c>
      <c r="C347" s="488"/>
      <c r="D347" s="372">
        <v>0.10249999999999999</v>
      </c>
      <c r="E347" s="372">
        <v>0</v>
      </c>
      <c r="F347" s="373">
        <v>0</v>
      </c>
      <c r="G347" s="373">
        <v>1</v>
      </c>
      <c r="H347" s="373">
        <v>0</v>
      </c>
      <c r="I347" s="374">
        <v>0</v>
      </c>
      <c r="J347" s="375">
        <v>0</v>
      </c>
      <c r="L347" s="57"/>
      <c r="R347" s="434"/>
    </row>
    <row r="348" spans="1:20" ht="5.0999999999999996" customHeight="1" outlineLevel="1" thickBot="1">
      <c r="B348" s="348"/>
      <c r="C348" s="348"/>
      <c r="D348" s="348"/>
      <c r="E348" s="349"/>
      <c r="F348" s="349"/>
      <c r="G348" s="349"/>
      <c r="H348" s="349"/>
      <c r="I348" s="349"/>
      <c r="J348" s="349"/>
      <c r="K348" s="349"/>
      <c r="L348" s="349"/>
      <c r="M348" s="349"/>
      <c r="N348" s="349"/>
      <c r="O348" s="349"/>
      <c r="P348" s="349"/>
      <c r="Q348" s="349"/>
      <c r="R348" s="349"/>
      <c r="S348" s="349"/>
      <c r="T348" s="349"/>
    </row>
    <row r="349" spans="1:20" ht="13.5" customHeight="1" outlineLevel="1">
      <c r="B349" s="50"/>
      <c r="C349" s="50"/>
      <c r="D349" s="50"/>
      <c r="G349" s="350"/>
      <c r="H349" s="350"/>
      <c r="L349" s="57"/>
    </row>
    <row r="350" spans="1:20" ht="13.5" customHeight="1" outlineLevel="1" thickBot="1">
      <c r="B350" s="50"/>
      <c r="C350" s="50"/>
      <c r="D350" s="50"/>
      <c r="G350" s="350"/>
      <c r="H350" s="350"/>
      <c r="L350" s="57"/>
    </row>
    <row r="351" spans="1:20" ht="20.7" thickTop="1">
      <c r="A351" s="281" t="s">
        <v>631</v>
      </c>
      <c r="B351" s="429" t="str">
        <f>acquirer&amp;" Depreciation Schedule"</f>
        <v>BuyerCo Depreciation Schedule</v>
      </c>
      <c r="C351" s="430"/>
      <c r="D351" s="431"/>
      <c r="E351" s="431"/>
      <c r="F351" s="431"/>
      <c r="G351" s="431"/>
      <c r="H351" s="431"/>
      <c r="I351" s="431"/>
      <c r="J351" s="431"/>
      <c r="K351" s="431"/>
      <c r="L351" s="431"/>
      <c r="M351" s="431"/>
      <c r="N351" s="431"/>
      <c r="O351" s="431"/>
      <c r="P351" s="431"/>
      <c r="Q351" s="431"/>
      <c r="R351" s="431"/>
      <c r="S351" s="431"/>
      <c r="T351" s="431"/>
    </row>
    <row r="352" spans="1:20" ht="5.0999999999999996" customHeight="1" outlineLevel="1">
      <c r="B352" s="107"/>
      <c r="C352" s="285"/>
      <c r="L352" s="57"/>
    </row>
    <row r="353" spans="2:20" ht="13.5" customHeight="1" outlineLevel="1">
      <c r="B353" s="286"/>
      <c r="C353" s="286"/>
      <c r="D353" s="286"/>
      <c r="E353" s="42"/>
      <c r="F353" s="432" t="s">
        <v>630</v>
      </c>
      <c r="G353" s="433" t="s">
        <v>629</v>
      </c>
      <c r="H353" s="433"/>
      <c r="I353" s="433"/>
      <c r="J353" s="433"/>
      <c r="K353" s="433"/>
      <c r="L353" s="433"/>
      <c r="M353" s="433"/>
      <c r="N353" s="433"/>
      <c r="O353" s="433"/>
      <c r="P353" s="433"/>
      <c r="R353" s="434"/>
      <c r="S353" s="433" t="s">
        <v>628</v>
      </c>
      <c r="T353" s="433"/>
    </row>
    <row r="354" spans="2:20" ht="13.5" customHeight="1" outlineLevel="1" thickBot="1">
      <c r="B354" s="435" t="str">
        <f>"("&amp;curr&amp;" in millions)"</f>
        <v>($ in millions)</v>
      </c>
      <c r="C354" s="436"/>
      <c r="D354" s="436"/>
      <c r="E354" s="437"/>
      <c r="F354" s="439">
        <f>F$8</f>
        <v>44926</v>
      </c>
      <c r="G354" s="439">
        <f>G$8</f>
        <v>45291</v>
      </c>
      <c r="H354" s="439">
        <f>H$8</f>
        <v>45657</v>
      </c>
      <c r="I354" s="439">
        <f>I$8</f>
        <v>46022</v>
      </c>
      <c r="J354" s="439">
        <f t="shared" ref="J354:P354" si="273">J$8</f>
        <v>46387</v>
      </c>
      <c r="K354" s="439">
        <f t="shared" si="273"/>
        <v>46752</v>
      </c>
      <c r="L354" s="439">
        <f t="shared" si="273"/>
        <v>47118</v>
      </c>
      <c r="M354" s="439">
        <f t="shared" si="273"/>
        <v>47483</v>
      </c>
      <c r="N354" s="439">
        <f t="shared" si="273"/>
        <v>47848</v>
      </c>
      <c r="O354" s="439">
        <f t="shared" si="273"/>
        <v>48213</v>
      </c>
      <c r="P354" s="439">
        <f t="shared" si="273"/>
        <v>48579</v>
      </c>
      <c r="R354" s="434"/>
      <c r="S354" s="440">
        <f>S$8</f>
        <v>45107</v>
      </c>
      <c r="T354" s="440">
        <f>T$8</f>
        <v>45291</v>
      </c>
    </row>
    <row r="355" spans="2:20" ht="5.0999999999999996" customHeight="1" outlineLevel="1">
      <c r="B355" s="318"/>
      <c r="C355" s="318"/>
      <c r="D355" s="318"/>
      <c r="E355" s="319"/>
      <c r="F355" s="319"/>
      <c r="G355" s="319"/>
      <c r="H355" s="319"/>
      <c r="I355" s="319"/>
      <c r="J355" s="319"/>
      <c r="K355" s="319"/>
      <c r="L355" s="327"/>
      <c r="R355" s="434"/>
      <c r="S355" s="319"/>
      <c r="T355" s="319"/>
    </row>
    <row r="356" spans="2:20" ht="13.5" customHeight="1" outlineLevel="1">
      <c r="B356" s="88" t="s">
        <v>107</v>
      </c>
      <c r="C356" s="50"/>
      <c r="D356" s="50"/>
      <c r="F356" s="50"/>
      <c r="G356" s="341">
        <f t="shared" ref="G356:P356" si="274">G46</f>
        <v>203.6</v>
      </c>
      <c r="H356" s="341">
        <f t="shared" si="274"/>
        <v>226.3</v>
      </c>
      <c r="I356" s="341">
        <f t="shared" si="274"/>
        <v>248.93</v>
      </c>
      <c r="J356" s="341">
        <f t="shared" si="274"/>
        <v>273.82300000000009</v>
      </c>
      <c r="K356" s="341">
        <f t="shared" si="274"/>
        <v>301.20530000000014</v>
      </c>
      <c r="L356" s="341">
        <f t="shared" si="274"/>
        <v>331.32583000000017</v>
      </c>
      <c r="M356" s="341">
        <f t="shared" si="274"/>
        <v>364.45841300000018</v>
      </c>
      <c r="N356" s="341">
        <f t="shared" si="274"/>
        <v>400.90425430000022</v>
      </c>
      <c r="O356" s="341">
        <f t="shared" si="274"/>
        <v>440.99467973000031</v>
      </c>
      <c r="P356" s="341">
        <f t="shared" si="274"/>
        <v>485.09414770300037</v>
      </c>
      <c r="R356" s="434"/>
      <c r="S356" s="341"/>
      <c r="T356" s="341"/>
    </row>
    <row r="357" spans="2:20" ht="13.5" customHeight="1" outlineLevel="1">
      <c r="B357" s="50"/>
      <c r="C357" s="50"/>
      <c r="D357" s="50"/>
      <c r="F357" s="50"/>
      <c r="R357" s="434"/>
      <c r="S357" s="350"/>
      <c r="T357" s="57"/>
    </row>
    <row r="358" spans="2:20" ht="13.5" customHeight="1" outlineLevel="1">
      <c r="B358" s="457" t="s">
        <v>639</v>
      </c>
      <c r="C358" s="458"/>
      <c r="D358" s="459"/>
      <c r="E358" s="459"/>
      <c r="F358" s="459"/>
      <c r="G358" s="459"/>
      <c r="H358" s="459"/>
      <c r="I358" s="459"/>
      <c r="J358" s="459"/>
      <c r="K358" s="459"/>
      <c r="L358" s="459"/>
      <c r="M358" s="459"/>
      <c r="N358" s="459"/>
      <c r="O358" s="459"/>
      <c r="P358" s="460"/>
      <c r="R358" s="434"/>
      <c r="S358" s="461"/>
      <c r="T358" s="460"/>
    </row>
    <row r="359" spans="2:20" ht="13.5" customHeight="1" outlineLevel="1">
      <c r="B359" s="321"/>
      <c r="C359" s="321"/>
      <c r="D359" s="321"/>
      <c r="E359" s="385"/>
      <c r="F359" s="385"/>
      <c r="G359" s="385"/>
      <c r="H359" s="385"/>
      <c r="I359" s="385"/>
      <c r="J359" s="385"/>
      <c r="K359" s="385"/>
      <c r="L359" s="57"/>
      <c r="R359" s="434"/>
      <c r="S359" s="385"/>
      <c r="T359" s="385"/>
    </row>
    <row r="360" spans="2:20" ht="13.5" customHeight="1" outlineLevel="1">
      <c r="B360" s="88" t="s">
        <v>158</v>
      </c>
      <c r="C360" s="50"/>
      <c r="D360" s="50"/>
      <c r="F360" s="330">
        <v>20</v>
      </c>
      <c r="G360" s="118"/>
      <c r="H360" s="118"/>
      <c r="I360" s="118"/>
      <c r="J360" s="118"/>
      <c r="K360" s="118"/>
      <c r="L360" s="118"/>
      <c r="M360" s="118"/>
      <c r="N360" s="118"/>
      <c r="O360" s="118"/>
      <c r="P360" s="118"/>
      <c r="R360" s="434"/>
      <c r="S360" s="118"/>
      <c r="T360" s="118"/>
    </row>
    <row r="361" spans="2:20" ht="13.5" customHeight="1" outlineLevel="1">
      <c r="B361" s="88" t="s">
        <v>513</v>
      </c>
      <c r="C361" s="50"/>
      <c r="D361" s="50"/>
      <c r="F361" s="478">
        <v>1</v>
      </c>
      <c r="G361" s="118"/>
      <c r="H361" s="118"/>
      <c r="I361" s="118"/>
      <c r="J361" s="118"/>
      <c r="K361" s="118"/>
      <c r="L361" s="118"/>
      <c r="M361" s="118"/>
      <c r="N361" s="118"/>
      <c r="O361" s="118"/>
      <c r="P361" s="118"/>
      <c r="R361" s="434"/>
      <c r="S361" s="118"/>
      <c r="T361" s="118"/>
    </row>
    <row r="362" spans="2:20" ht="13.5" customHeight="1" outlineLevel="1">
      <c r="B362" s="321"/>
      <c r="C362" s="321"/>
      <c r="D362" s="321"/>
      <c r="E362" s="385"/>
      <c r="F362" s="385"/>
      <c r="G362" s="385"/>
      <c r="H362" s="385"/>
      <c r="I362" s="385"/>
      <c r="J362" s="385"/>
      <c r="K362" s="385"/>
      <c r="L362" s="57"/>
      <c r="R362" s="434"/>
      <c r="S362" s="385"/>
      <c r="T362" s="385"/>
    </row>
    <row r="363" spans="2:20" ht="13.5" customHeight="1" outlineLevel="1">
      <c r="B363" s="489">
        <f t="array" ref="B363:B372">TRANSPOSE(G354:P354)</f>
        <v>45291</v>
      </c>
      <c r="C363" s="341">
        <f t="array" ref="C363:C372">TRANSPOSE(G356:P356)</f>
        <v>203.6</v>
      </c>
      <c r="D363" s="50"/>
      <c r="F363" s="50"/>
      <c r="G363" s="351">
        <f>MIN($C363/$F$360*G$3,$C363-SUM($F363:F363))*IF($F$361,0.5,1)</f>
        <v>5.09</v>
      </c>
      <c r="H363" s="328">
        <f>MIN($C363/$F$360*H$3,$C363-SUM($F363:G363))</f>
        <v>10.18</v>
      </c>
      <c r="I363" s="328">
        <f>MIN($C363/$F$360*I$3,$C363-SUM($F363:H363))</f>
        <v>10.18</v>
      </c>
      <c r="J363" s="328">
        <f>MIN($C363/$F$360*J$3,$C363-SUM($F363:I363))</f>
        <v>10.18</v>
      </c>
      <c r="K363" s="328">
        <f>MIN($C363/$F$360*K$3,$C363-SUM($F363:J363))</f>
        <v>10.18</v>
      </c>
      <c r="L363" s="328">
        <f>MIN($C363/$F$360*L$3,$C363-SUM($F363:K363))</f>
        <v>10.18</v>
      </c>
      <c r="M363" s="328">
        <f>MIN($C363/$F$360*M$3,$C363-SUM($F363:L363))</f>
        <v>10.18</v>
      </c>
      <c r="N363" s="328">
        <f>MIN($C363/$F$360*N$3,$C363-SUM($F363:M363))</f>
        <v>10.18</v>
      </c>
      <c r="O363" s="328">
        <f>MIN($C363/$F$360*O$3,$C363-SUM($F363:N363))</f>
        <v>10.18</v>
      </c>
      <c r="P363" s="328">
        <f>MIN($C363/$F$360*P$3,$C363-SUM($F363:O363))</f>
        <v>10.18</v>
      </c>
      <c r="R363" s="434"/>
      <c r="S363" s="50"/>
      <c r="T363" s="50"/>
    </row>
    <row r="364" spans="2:20" ht="13.5" customHeight="1" outlineLevel="1">
      <c r="B364" s="489">
        <v>45657</v>
      </c>
      <c r="C364" s="341">
        <v>226.3</v>
      </c>
      <c r="D364" s="50"/>
      <c r="F364" s="50"/>
      <c r="G364" s="264"/>
      <c r="H364" s="184">
        <f>MIN($C364/$F$360*H$3,$C364-SUM($F364:G364))*IF($F$361,0.5,1)</f>
        <v>5.6575000000000006</v>
      </c>
      <c r="I364" s="163">
        <f>MIN($C364/$F$360*I$3,$C364-SUM($F364:H364))</f>
        <v>11.315000000000001</v>
      </c>
      <c r="J364" s="163">
        <f>MIN($C364/$F$360*J$3,$C364-SUM($F364:I364))</f>
        <v>11.315000000000001</v>
      </c>
      <c r="K364" s="163">
        <f>MIN($C364/$F$360*K$3,$C364-SUM($F364:J364))</f>
        <v>11.315000000000001</v>
      </c>
      <c r="L364" s="163">
        <f>MIN($C364/$F$360*L$3,$C364-SUM($F364:K364))</f>
        <v>11.315000000000001</v>
      </c>
      <c r="M364" s="163">
        <f>MIN($C364/$F$360*M$3,$C364-SUM($F364:L364))</f>
        <v>11.315000000000001</v>
      </c>
      <c r="N364" s="163">
        <f>MIN($C364/$F$360*N$3,$C364-SUM($F364:M364))</f>
        <v>11.315000000000001</v>
      </c>
      <c r="O364" s="163">
        <f>MIN($C364/$F$360*O$3,$C364-SUM($F364:N364))</f>
        <v>11.315000000000001</v>
      </c>
      <c r="P364" s="163">
        <f>MIN($C364/$F$360*P$3,$C364-SUM($F364:O364))</f>
        <v>11.315000000000001</v>
      </c>
      <c r="R364" s="434"/>
      <c r="S364" s="50"/>
      <c r="T364" s="50"/>
    </row>
    <row r="365" spans="2:20" ht="13.5" customHeight="1" outlineLevel="1">
      <c r="B365" s="489">
        <v>46022</v>
      </c>
      <c r="C365" s="341">
        <v>248.93</v>
      </c>
      <c r="D365" s="50"/>
      <c r="F365" s="50"/>
      <c r="G365" s="264"/>
      <c r="H365" s="264"/>
      <c r="I365" s="184">
        <f>MIN($C365/$F$360*I$3,$C365-SUM($F365:H365))*IF($F$361,0.5,1)</f>
        <v>6.2232500000000002</v>
      </c>
      <c r="J365" s="163">
        <f>MIN($C365/$F$360*J$3,$C365-SUM($F365:I365))</f>
        <v>12.4465</v>
      </c>
      <c r="K365" s="163">
        <f>MIN($C365/$F$360*K$3,$C365-SUM($F365:J365))</f>
        <v>12.4465</v>
      </c>
      <c r="L365" s="163">
        <f>MIN($C365/$F$360*L$3,$C365-SUM($F365:K365))</f>
        <v>12.4465</v>
      </c>
      <c r="M365" s="163">
        <f>MIN($C365/$F$360*M$3,$C365-SUM($F365:L365))</f>
        <v>12.4465</v>
      </c>
      <c r="N365" s="163">
        <f>MIN($C365/$F$360*N$3,$C365-SUM($F365:M365))</f>
        <v>12.4465</v>
      </c>
      <c r="O365" s="163">
        <f>MIN($C365/$F$360*O$3,$C365-SUM($F365:N365))</f>
        <v>12.4465</v>
      </c>
      <c r="P365" s="163">
        <f>MIN($C365/$F$360*P$3,$C365-SUM($F365:O365))</f>
        <v>12.4465</v>
      </c>
      <c r="R365" s="434"/>
      <c r="S365" s="50"/>
      <c r="T365" s="50"/>
    </row>
    <row r="366" spans="2:20" ht="13.5" customHeight="1" outlineLevel="1">
      <c r="B366" s="489">
        <v>46387</v>
      </c>
      <c r="C366" s="341">
        <v>273.82300000000009</v>
      </c>
      <c r="D366" s="50"/>
      <c r="F366" s="50"/>
      <c r="G366" s="264"/>
      <c r="H366" s="264"/>
      <c r="I366" s="264"/>
      <c r="J366" s="184">
        <f>MIN($C366/$F$360*J$3,$C366-SUM($F366:I366))*IF($F$361,0.5,1)</f>
        <v>6.845575000000002</v>
      </c>
      <c r="K366" s="163">
        <f>MIN($C366/$F$360*K$3,$C366-SUM($F366:J366))</f>
        <v>13.691150000000004</v>
      </c>
      <c r="L366" s="163">
        <f>MIN($C366/$F$360*L$3,$C366-SUM($F366:K366))</f>
        <v>13.691150000000004</v>
      </c>
      <c r="M366" s="163">
        <f>MIN($C366/$F$360*M$3,$C366-SUM($F366:L366))</f>
        <v>13.691150000000004</v>
      </c>
      <c r="N366" s="163">
        <f>MIN($C366/$F$360*N$3,$C366-SUM($F366:M366))</f>
        <v>13.691150000000004</v>
      </c>
      <c r="O366" s="163">
        <f>MIN($C366/$F$360*O$3,$C366-SUM($F366:N366))</f>
        <v>13.691150000000004</v>
      </c>
      <c r="P366" s="163">
        <f>MIN($C366/$F$360*P$3,$C366-SUM($F366:O366))</f>
        <v>13.691150000000004</v>
      </c>
      <c r="R366" s="434"/>
      <c r="S366" s="50"/>
      <c r="T366" s="50"/>
    </row>
    <row r="367" spans="2:20" ht="13.5" customHeight="1" outlineLevel="1">
      <c r="B367" s="489">
        <v>46752</v>
      </c>
      <c r="C367" s="341">
        <v>301.20530000000014</v>
      </c>
      <c r="D367" s="50"/>
      <c r="F367" s="50"/>
      <c r="G367" s="264"/>
      <c r="H367" s="264"/>
      <c r="I367" s="264"/>
      <c r="J367" s="264"/>
      <c r="K367" s="184">
        <f>MIN($C367/$F$360*K$3,$C367-SUM($F367:J367))*IF($F$361,0.5,1)</f>
        <v>7.5301325000000032</v>
      </c>
      <c r="L367" s="163">
        <f>MIN($C367/$F$360*L$3,$C367-SUM($F367:K367))</f>
        <v>15.060265000000006</v>
      </c>
      <c r="M367" s="163">
        <f>MIN($C367/$F$360*M$3,$C367-SUM($F367:L367))</f>
        <v>15.060265000000006</v>
      </c>
      <c r="N367" s="163">
        <f>MIN($C367/$F$360*N$3,$C367-SUM($F367:M367))</f>
        <v>15.060265000000006</v>
      </c>
      <c r="O367" s="163">
        <f>MIN($C367/$F$360*O$3,$C367-SUM($F367:N367))</f>
        <v>15.060265000000006</v>
      </c>
      <c r="P367" s="163">
        <f>MIN($C367/$F$360*P$3,$C367-SUM($F367:O367))</f>
        <v>15.060265000000006</v>
      </c>
      <c r="R367" s="434"/>
      <c r="S367" s="50"/>
      <c r="T367" s="50"/>
    </row>
    <row r="368" spans="2:20" ht="13.5" customHeight="1" outlineLevel="1">
      <c r="B368" s="489">
        <v>47118</v>
      </c>
      <c r="C368" s="341">
        <v>331.32583000000017</v>
      </c>
      <c r="D368" s="50"/>
      <c r="F368" s="50"/>
      <c r="G368" s="264"/>
      <c r="H368" s="264"/>
      <c r="I368" s="264"/>
      <c r="J368" s="264"/>
      <c r="K368" s="264"/>
      <c r="L368" s="184">
        <f>MIN($C368/$F$360*L$3,$C368-SUM($F368:K368))*IF($F$361,0.5,1)</f>
        <v>8.2831457500000045</v>
      </c>
      <c r="M368" s="163">
        <f>MIN($C368/$F$360*M$3,$C368-SUM($F368:L368))</f>
        <v>16.566291500000009</v>
      </c>
      <c r="N368" s="163">
        <f>MIN($C368/$F$360*N$3,$C368-SUM($F368:M368))</f>
        <v>16.566291500000009</v>
      </c>
      <c r="O368" s="163">
        <f>MIN($C368/$F$360*O$3,$C368-SUM($F368:N368))</f>
        <v>16.566291500000009</v>
      </c>
      <c r="P368" s="163">
        <f>MIN($C368/$F$360*P$3,$C368-SUM($F368:O368))</f>
        <v>16.566291500000009</v>
      </c>
      <c r="R368" s="434"/>
      <c r="S368" s="50"/>
      <c r="T368" s="50"/>
    </row>
    <row r="369" spans="2:20" ht="13.5" customHeight="1" outlineLevel="1">
      <c r="B369" s="489">
        <v>47483</v>
      </c>
      <c r="C369" s="341">
        <v>364.45841300000018</v>
      </c>
      <c r="D369" s="50"/>
      <c r="F369" s="50"/>
      <c r="G369" s="264"/>
      <c r="H369" s="264"/>
      <c r="I369" s="264"/>
      <c r="J369" s="264"/>
      <c r="K369" s="264"/>
      <c r="L369" s="264"/>
      <c r="M369" s="184">
        <f>MIN($C369/$F$360*M$3,$C369-SUM($F369:L369))*IF($F$361,0.5,1)</f>
        <v>9.1114603250000048</v>
      </c>
      <c r="N369" s="163">
        <f>MIN($C369/$F$360*N$3,$C369-SUM($F369:M369))</f>
        <v>18.22292065000001</v>
      </c>
      <c r="O369" s="163">
        <f>MIN($C369/$F$360*O$3,$C369-SUM($F369:N369))</f>
        <v>18.22292065000001</v>
      </c>
      <c r="P369" s="163">
        <f>MIN($C369/$F$360*P$3,$C369-SUM($F369:O369))</f>
        <v>18.22292065000001</v>
      </c>
      <c r="R369" s="434"/>
      <c r="S369" s="50"/>
      <c r="T369" s="50"/>
    </row>
    <row r="370" spans="2:20" ht="13.5" customHeight="1" outlineLevel="1">
      <c r="B370" s="489">
        <v>47848</v>
      </c>
      <c r="C370" s="341">
        <v>400.90425430000022</v>
      </c>
      <c r="D370" s="50"/>
      <c r="F370" s="50"/>
      <c r="G370" s="264"/>
      <c r="H370" s="264"/>
      <c r="I370" s="264"/>
      <c r="J370" s="264"/>
      <c r="K370" s="264"/>
      <c r="L370" s="264"/>
      <c r="M370" s="264"/>
      <c r="N370" s="184">
        <f>MIN($C370/$F$360*N$3,$C370-SUM($F370:M370))*IF($F$361,0.5,1)</f>
        <v>10.022606357500006</v>
      </c>
      <c r="O370" s="163">
        <f>MIN($C370/$F$360*O$3,$C370-SUM($F370:N370))</f>
        <v>20.045212715000012</v>
      </c>
      <c r="P370" s="163">
        <f>MIN($C370/$F$360*P$3,$C370-SUM($F370:O370))</f>
        <v>20.045212715000012</v>
      </c>
      <c r="R370" s="434"/>
      <c r="S370" s="50"/>
      <c r="T370" s="50"/>
    </row>
    <row r="371" spans="2:20" ht="13.5" customHeight="1" outlineLevel="1">
      <c r="B371" s="489">
        <v>48213</v>
      </c>
      <c r="C371" s="341">
        <v>440.99467973000031</v>
      </c>
      <c r="D371" s="50"/>
      <c r="F371" s="50"/>
      <c r="G371" s="264"/>
      <c r="H371" s="264"/>
      <c r="I371" s="264"/>
      <c r="J371" s="264"/>
      <c r="K371" s="264"/>
      <c r="L371" s="264"/>
      <c r="M371" s="264"/>
      <c r="N371" s="264"/>
      <c r="O371" s="184">
        <f>MIN($C371/$F$360*O$3,$C371-SUM($F371:N371))*IF($F$361,0.5,1)</f>
        <v>11.024866993250008</v>
      </c>
      <c r="P371" s="163">
        <f>MIN($C371/$F$360*P$3,$C371-SUM($F371:O371))</f>
        <v>22.049733986500016</v>
      </c>
      <c r="R371" s="434"/>
      <c r="S371" s="50"/>
      <c r="T371" s="50"/>
    </row>
    <row r="372" spans="2:20" ht="13.5" customHeight="1" outlineLevel="1">
      <c r="B372" s="489">
        <v>48579</v>
      </c>
      <c r="C372" s="341">
        <v>485.09414770300037</v>
      </c>
      <c r="D372" s="50"/>
      <c r="F372" s="50"/>
      <c r="G372" s="264"/>
      <c r="H372" s="264"/>
      <c r="I372" s="264"/>
      <c r="J372" s="264"/>
      <c r="K372" s="264"/>
      <c r="L372" s="264"/>
      <c r="M372" s="264"/>
      <c r="N372" s="264"/>
      <c r="O372" s="264"/>
      <c r="P372" s="184">
        <f>MIN($C372/$F$360*P$3,$C372-SUM($F372:O372))*IF($F$361,0.5,1)</f>
        <v>12.12735369257501</v>
      </c>
      <c r="R372" s="434"/>
      <c r="S372" s="50"/>
      <c r="T372" s="50"/>
    </row>
    <row r="373" spans="2:20" ht="13.5" customHeight="1" outlineLevel="1">
      <c r="B373" s="119" t="s">
        <v>619</v>
      </c>
      <c r="C373" s="119"/>
      <c r="D373" s="119"/>
      <c r="E373" s="119"/>
      <c r="F373" s="119"/>
      <c r="G373" s="120">
        <f t="shared" ref="G373:P373" si="275">SUM(G363:G372)</f>
        <v>5.09</v>
      </c>
      <c r="H373" s="120">
        <f t="shared" si="275"/>
        <v>15.8375</v>
      </c>
      <c r="I373" s="120">
        <f t="shared" si="275"/>
        <v>27.718250000000001</v>
      </c>
      <c r="J373" s="120">
        <f t="shared" si="275"/>
        <v>40.787075000000009</v>
      </c>
      <c r="K373" s="120">
        <f t="shared" si="275"/>
        <v>55.162782500000013</v>
      </c>
      <c r="L373" s="120">
        <f t="shared" si="275"/>
        <v>70.97606075000003</v>
      </c>
      <c r="M373" s="120">
        <f t="shared" si="275"/>
        <v>88.370666825000043</v>
      </c>
      <c r="N373" s="120">
        <f t="shared" si="275"/>
        <v>107.50473350750005</v>
      </c>
      <c r="O373" s="120">
        <f t="shared" si="275"/>
        <v>128.55220685825006</v>
      </c>
      <c r="P373" s="120">
        <f t="shared" si="275"/>
        <v>151.70442754407509</v>
      </c>
      <c r="R373" s="434"/>
      <c r="S373" s="479">
        <f>S$3*$G373</f>
        <v>2.5449999999999999</v>
      </c>
      <c r="T373" s="479">
        <f>T$3*$G373</f>
        <v>2.5449999999999999</v>
      </c>
    </row>
    <row r="374" spans="2:20" ht="13.5" customHeight="1" outlineLevel="1">
      <c r="B374" s="88" t="s">
        <v>481</v>
      </c>
      <c r="C374" s="50"/>
      <c r="D374" s="50"/>
      <c r="G374" s="163">
        <f t="shared" ref="G374:P374" si="276">G375-G373</f>
        <v>69.61</v>
      </c>
      <c r="H374" s="163">
        <f t="shared" si="276"/>
        <v>69.5625</v>
      </c>
      <c r="I374" s="163">
        <f t="shared" si="276"/>
        <v>66.221750000000014</v>
      </c>
      <c r="J374" s="163">
        <f t="shared" si="276"/>
        <v>62.546925000000023</v>
      </c>
      <c r="K374" s="163">
        <f t="shared" si="276"/>
        <v>58.504617500000045</v>
      </c>
      <c r="L374" s="163">
        <f t="shared" si="276"/>
        <v>54.058079250000034</v>
      </c>
      <c r="M374" s="163">
        <f t="shared" si="276"/>
        <v>49.166887175000042</v>
      </c>
      <c r="N374" s="163">
        <f t="shared" si="276"/>
        <v>43.786575892500053</v>
      </c>
      <c r="O374" s="163">
        <f t="shared" si="276"/>
        <v>37.868233481750053</v>
      </c>
      <c r="P374" s="163">
        <f t="shared" si="276"/>
        <v>31.358056829925061</v>
      </c>
      <c r="R374" s="434"/>
      <c r="S374" s="184">
        <f>S$3*$G374</f>
        <v>34.805</v>
      </c>
      <c r="T374" s="184">
        <f>T$3*$G374</f>
        <v>34.805</v>
      </c>
    </row>
    <row r="375" spans="2:20" ht="13.5" customHeight="1" outlineLevel="1">
      <c r="B375" s="490" t="s">
        <v>512</v>
      </c>
      <c r="C375" s="490"/>
      <c r="D375" s="490"/>
      <c r="E375" s="490"/>
      <c r="F375" s="490"/>
      <c r="G375" s="491">
        <f t="shared" ref="G375:P375" si="277">G15</f>
        <v>74.7</v>
      </c>
      <c r="H375" s="491">
        <f t="shared" si="277"/>
        <v>85.4</v>
      </c>
      <c r="I375" s="491">
        <f t="shared" si="277"/>
        <v>93.940000000000012</v>
      </c>
      <c r="J375" s="491">
        <f t="shared" si="277"/>
        <v>103.33400000000003</v>
      </c>
      <c r="K375" s="491">
        <f t="shared" si="277"/>
        <v>113.66740000000006</v>
      </c>
      <c r="L375" s="491">
        <f t="shared" si="277"/>
        <v>125.03414000000006</v>
      </c>
      <c r="M375" s="491">
        <f t="shared" si="277"/>
        <v>137.53755400000009</v>
      </c>
      <c r="N375" s="491">
        <f t="shared" si="277"/>
        <v>151.2913094000001</v>
      </c>
      <c r="O375" s="491">
        <f t="shared" si="277"/>
        <v>166.42044034000011</v>
      </c>
      <c r="P375" s="491">
        <f t="shared" si="277"/>
        <v>183.06248437400015</v>
      </c>
      <c r="R375" s="434"/>
      <c r="S375" s="492">
        <f>S15</f>
        <v>37.35</v>
      </c>
      <c r="T375" s="492">
        <f>T15</f>
        <v>37.35</v>
      </c>
    </row>
    <row r="376" spans="2:20" ht="13.5" customHeight="1" outlineLevel="1">
      <c r="B376" s="88"/>
      <c r="C376" s="88"/>
      <c r="D376" s="88"/>
      <c r="E376" s="88"/>
      <c r="F376" s="88"/>
      <c r="G376" s="114"/>
      <c r="H376" s="114"/>
      <c r="I376" s="114"/>
      <c r="J376" s="114"/>
      <c r="K376" s="114"/>
      <c r="L376" s="114"/>
      <c r="M376" s="114"/>
      <c r="N376" s="114"/>
      <c r="O376" s="114"/>
      <c r="P376" s="114"/>
      <c r="R376" s="434"/>
      <c r="S376" s="114"/>
      <c r="T376" s="114"/>
    </row>
    <row r="377" spans="2:20" ht="13.5" customHeight="1" outlineLevel="1">
      <c r="B377" s="457" t="s">
        <v>637</v>
      </c>
      <c r="C377" s="458"/>
      <c r="D377" s="459"/>
      <c r="E377" s="459"/>
      <c r="F377" s="459"/>
      <c r="G377" s="459"/>
      <c r="H377" s="459"/>
      <c r="I377" s="459"/>
      <c r="J377" s="459"/>
      <c r="K377" s="459"/>
      <c r="L377" s="459"/>
      <c r="M377" s="459"/>
      <c r="N377" s="459"/>
      <c r="O377" s="459"/>
      <c r="P377" s="460"/>
      <c r="R377" s="434"/>
      <c r="S377" s="461"/>
      <c r="T377" s="460"/>
    </row>
    <row r="378" spans="2:20" ht="13.5" customHeight="1" outlineLevel="1">
      <c r="B378" s="321"/>
      <c r="C378" s="321"/>
      <c r="D378" s="321"/>
      <c r="E378" s="385"/>
      <c r="F378" s="385"/>
      <c r="G378" s="385"/>
      <c r="H378" s="385"/>
      <c r="I378" s="385"/>
      <c r="J378" s="385"/>
      <c r="K378" s="385"/>
      <c r="L378" s="57"/>
      <c r="R378" s="434"/>
      <c r="S378" s="385"/>
      <c r="T378" s="385"/>
    </row>
    <row r="379" spans="2:20" ht="13.5" customHeight="1" outlineLevel="1">
      <c r="B379" s="36" t="s">
        <v>638</v>
      </c>
      <c r="E379" s="319"/>
      <c r="F379" s="330">
        <v>20</v>
      </c>
      <c r="G379" s="114"/>
      <c r="H379" s="114"/>
      <c r="I379" s="114"/>
      <c r="J379" s="114"/>
      <c r="K379" s="114"/>
      <c r="L379" s="114"/>
      <c r="M379" s="114"/>
      <c r="N379" s="114"/>
      <c r="O379" s="114"/>
      <c r="P379" s="114"/>
      <c r="R379" s="434"/>
      <c r="S379" s="114"/>
      <c r="T379" s="114"/>
    </row>
    <row r="380" spans="2:20" ht="13.5" customHeight="1" outlineLevel="1">
      <c r="B380" s="88"/>
      <c r="C380" s="88"/>
      <c r="D380" s="88"/>
      <c r="E380" s="88"/>
      <c r="F380" s="88"/>
      <c r="G380" s="114"/>
      <c r="H380" s="114"/>
      <c r="I380" s="114"/>
      <c r="J380" s="114"/>
      <c r="K380" s="114"/>
      <c r="L380" s="114"/>
      <c r="M380" s="114"/>
      <c r="N380" s="114"/>
      <c r="O380" s="114"/>
      <c r="P380" s="114"/>
      <c r="R380" s="434"/>
      <c r="S380" s="114"/>
      <c r="T380" s="114"/>
    </row>
    <row r="381" spans="2:20" ht="13.5" customHeight="1" outlineLevel="1">
      <c r="B381" s="489">
        <f>B363</f>
        <v>45291</v>
      </c>
      <c r="C381" s="114">
        <f>C363</f>
        <v>203.6</v>
      </c>
      <c r="D381" s="493"/>
      <c r="E381" s="170"/>
      <c r="F381" s="493"/>
      <c r="G381" s="328">
        <f>$C381*HLOOKUP($F$379,macrs,COUNTA($F381:F381)+1+2)</f>
        <v>7.6349999999999998</v>
      </c>
      <c r="H381" s="328">
        <f>$C381*HLOOKUP($F$379,macrs,COUNTA($F381:G381)+1+2)</f>
        <v>14.697884</v>
      </c>
      <c r="I381" s="328">
        <f>$C381*HLOOKUP($F$379,macrs,COUNTA($F381:H381)+1+2)</f>
        <v>13.594371999999998</v>
      </c>
      <c r="J381" s="328">
        <f>$C381*HLOOKUP($F$379,macrs,COUNTA($F381:I381)+1+2)</f>
        <v>12.576371999999999</v>
      </c>
      <c r="K381" s="328">
        <f>$C381*HLOOKUP($F$379,macrs,COUNTA($F381:J381)+1+2)</f>
        <v>11.631667999999999</v>
      </c>
      <c r="L381" s="328">
        <f>$C381*HLOOKUP($F$379,macrs,COUNTA($F381:K381)+1+2)</f>
        <v>10.760260000000001</v>
      </c>
      <c r="M381" s="328">
        <f>$C381*HLOOKUP($F$379,macrs,COUNTA($F381:L381)+1+2)</f>
        <v>9.951967999999999</v>
      </c>
      <c r="N381" s="328">
        <f>$C381*HLOOKUP($F$379,macrs,COUNTA($F381:M381)+1+2)</f>
        <v>9.2067920000000001</v>
      </c>
      <c r="O381" s="328">
        <f>$C381*HLOOKUP($F$379,macrs,COUNTA($F381:N381)+1+2)</f>
        <v>9.0846319999999992</v>
      </c>
      <c r="P381" s="328">
        <f>$C381*HLOOKUP($F$379,macrs,COUNTA($F381:O381)+1+2)</f>
        <v>9.0825959999999988</v>
      </c>
      <c r="R381" s="434"/>
      <c r="S381" s="114"/>
      <c r="T381" s="114"/>
    </row>
    <row r="382" spans="2:20" ht="13.5" customHeight="1" outlineLevel="1">
      <c r="B382" s="489">
        <f t="shared" ref="B382:C382" si="278">B364</f>
        <v>45657</v>
      </c>
      <c r="C382" s="114">
        <f t="shared" si="278"/>
        <v>226.3</v>
      </c>
      <c r="D382" s="493"/>
      <c r="E382" s="170"/>
      <c r="F382" s="493"/>
      <c r="G382" s="264"/>
      <c r="H382" s="199">
        <f>$C382*HLOOKUP($F$379,macrs,COUNTA($F382:G382)+1+2)</f>
        <v>8.4862500000000001</v>
      </c>
      <c r="I382" s="199">
        <f>$C382*HLOOKUP($F$379,macrs,COUNTA($F382:H382)+1+2)</f>
        <v>16.336597000000001</v>
      </c>
      <c r="J382" s="199">
        <f>$C382*HLOOKUP($F$379,macrs,COUNTA($F382:I382)+1+2)</f>
        <v>15.110051</v>
      </c>
      <c r="K382" s="199">
        <f>$C382*HLOOKUP($F$379,macrs,COUNTA($F382:J382)+1+2)</f>
        <v>13.978551</v>
      </c>
      <c r="L382" s="199">
        <f>$C382*HLOOKUP($F$379,macrs,COUNTA($F382:K382)+1+2)</f>
        <v>12.928519000000001</v>
      </c>
      <c r="M382" s="199">
        <f>$C382*HLOOKUP($F$379,macrs,COUNTA($F382:L382)+1+2)</f>
        <v>11.959955000000001</v>
      </c>
      <c r="N382" s="199">
        <f>$C382*HLOOKUP($F$379,macrs,COUNTA($F382:M382)+1+2)</f>
        <v>11.061544000000001</v>
      </c>
      <c r="O382" s="199">
        <f>$C382*HLOOKUP($F$379,macrs,COUNTA($F382:N382)+1+2)</f>
        <v>10.233286000000001</v>
      </c>
      <c r="P382" s="199">
        <f>$C382*HLOOKUP($F$379,macrs,COUNTA($F382:O382)+1+2)</f>
        <v>10.097506000000001</v>
      </c>
      <c r="R382" s="434"/>
      <c r="S382" s="114"/>
      <c r="T382" s="114"/>
    </row>
    <row r="383" spans="2:20" ht="13.5" customHeight="1" outlineLevel="1">
      <c r="B383" s="489">
        <f t="shared" ref="B383:C383" si="279">B365</f>
        <v>46022</v>
      </c>
      <c r="C383" s="114">
        <f t="shared" si="279"/>
        <v>248.93</v>
      </c>
      <c r="D383" s="493"/>
      <c r="E383" s="170"/>
      <c r="F383" s="493"/>
      <c r="G383" s="264"/>
      <c r="H383" s="264"/>
      <c r="I383" s="199">
        <f>$C383*HLOOKUP($F$379,macrs,COUNTA($F383:H383)+1+2)</f>
        <v>9.3348750000000003</v>
      </c>
      <c r="J383" s="199">
        <f>$C383*HLOOKUP($F$379,macrs,COUNTA($F383:I383)+1+2)</f>
        <v>17.9702567</v>
      </c>
      <c r="K383" s="199">
        <f>$C383*HLOOKUP($F$379,macrs,COUNTA($F383:J383)+1+2)</f>
        <v>16.621056100000001</v>
      </c>
      <c r="L383" s="199">
        <f>$C383*HLOOKUP($F$379,macrs,COUNTA($F383:K383)+1+2)</f>
        <v>15.376406100000001</v>
      </c>
      <c r="M383" s="199">
        <f>$C383*HLOOKUP($F$379,macrs,COUNTA($F383:L383)+1+2)</f>
        <v>14.2213709</v>
      </c>
      <c r="N383" s="199">
        <f>$C383*HLOOKUP($F$379,macrs,COUNTA($F383:M383)+1+2)</f>
        <v>13.155950500000001</v>
      </c>
      <c r="O383" s="199">
        <f>$C383*HLOOKUP($F$379,macrs,COUNTA($F383:N383)+1+2)</f>
        <v>12.167698400000001</v>
      </c>
      <c r="P383" s="199">
        <f>$C383*HLOOKUP($F$379,macrs,COUNTA($F383:O383)+1+2)</f>
        <v>11.256614600000001</v>
      </c>
      <c r="R383" s="434"/>
      <c r="S383" s="114"/>
      <c r="T383" s="114"/>
    </row>
    <row r="384" spans="2:20" ht="13.5" customHeight="1" outlineLevel="1">
      <c r="B384" s="489">
        <f t="shared" ref="B384:C384" si="280">B366</f>
        <v>46387</v>
      </c>
      <c r="C384" s="114">
        <f t="shared" si="280"/>
        <v>273.82300000000009</v>
      </c>
      <c r="D384" s="493"/>
      <c r="E384" s="170"/>
      <c r="F384" s="493"/>
      <c r="G384" s="264"/>
      <c r="H384" s="264"/>
      <c r="I384" s="264"/>
      <c r="J384" s="199">
        <f>$C384*HLOOKUP($F$379,macrs,COUNTA($F384:I384)+1+2)</f>
        <v>10.268362500000004</v>
      </c>
      <c r="K384" s="199">
        <f>$C384*HLOOKUP($F$379,macrs,COUNTA($F384:J384)+1+2)</f>
        <v>19.767282370000007</v>
      </c>
      <c r="L384" s="199">
        <f>$C384*HLOOKUP($F$379,macrs,COUNTA($F384:K384)+1+2)</f>
        <v>18.283161710000005</v>
      </c>
      <c r="M384" s="199">
        <f>$C384*HLOOKUP($F$379,macrs,COUNTA($F384:L384)+1+2)</f>
        <v>16.914046710000004</v>
      </c>
      <c r="N384" s="199">
        <f>$C384*HLOOKUP($F$379,macrs,COUNTA($F384:M384)+1+2)</f>
        <v>15.643507990000005</v>
      </c>
      <c r="O384" s="199">
        <f>$C384*HLOOKUP($F$379,macrs,COUNTA($F384:N384)+1+2)</f>
        <v>14.471545550000005</v>
      </c>
      <c r="P384" s="199">
        <f>$C384*HLOOKUP($F$379,macrs,COUNTA($F384:O384)+1+2)</f>
        <v>13.384468240000004</v>
      </c>
      <c r="R384" s="434"/>
      <c r="S384" s="114"/>
      <c r="T384" s="114"/>
    </row>
    <row r="385" spans="2:20" ht="13.5" customHeight="1" outlineLevel="1">
      <c r="B385" s="489">
        <f t="shared" ref="B385:C385" si="281">B367</f>
        <v>46752</v>
      </c>
      <c r="C385" s="114">
        <f t="shared" si="281"/>
        <v>301.20530000000014</v>
      </c>
      <c r="D385" s="493"/>
      <c r="E385" s="170"/>
      <c r="F385" s="493"/>
      <c r="G385" s="264"/>
      <c r="H385" s="264"/>
      <c r="I385" s="264"/>
      <c r="J385" s="264"/>
      <c r="K385" s="199">
        <f>$C385*HLOOKUP($F$379,macrs,COUNTA($F385:J385)+1+2)</f>
        <v>11.295198750000004</v>
      </c>
      <c r="L385" s="199">
        <f>$C385*HLOOKUP($F$379,macrs,COUNTA($F385:K385)+1+2)</f>
        <v>21.744010607000011</v>
      </c>
      <c r="M385" s="199">
        <f>$C385*HLOOKUP($F$379,macrs,COUNTA($F385:L385)+1+2)</f>
        <v>20.11147788100001</v>
      </c>
      <c r="N385" s="199">
        <f>$C385*HLOOKUP($F$379,macrs,COUNTA($F385:M385)+1+2)</f>
        <v>18.605451381000009</v>
      </c>
      <c r="O385" s="199">
        <f>$C385*HLOOKUP($F$379,macrs,COUNTA($F385:N385)+1+2)</f>
        <v>17.207858789000007</v>
      </c>
      <c r="P385" s="199">
        <f>$C385*HLOOKUP($F$379,macrs,COUNTA($F385:O385)+1+2)</f>
        <v>15.918700105000008</v>
      </c>
      <c r="R385" s="434"/>
      <c r="S385" s="114"/>
      <c r="T385" s="114"/>
    </row>
    <row r="386" spans="2:20" ht="13.5" customHeight="1" outlineLevel="1">
      <c r="B386" s="489">
        <f t="shared" ref="B386:C386" si="282">B368</f>
        <v>47118</v>
      </c>
      <c r="C386" s="114">
        <f t="shared" si="282"/>
        <v>331.32583000000017</v>
      </c>
      <c r="D386" s="493"/>
      <c r="E386" s="170"/>
      <c r="F386" s="493"/>
      <c r="G386" s="264"/>
      <c r="H386" s="264"/>
      <c r="I386" s="264"/>
      <c r="J386" s="264"/>
      <c r="K386" s="264"/>
      <c r="L386" s="199">
        <f>$C386*HLOOKUP($F$379,macrs,COUNTA($F386:K386)+1+2)</f>
        <v>12.424718625000006</v>
      </c>
      <c r="M386" s="199">
        <f>$C386*HLOOKUP($F$379,macrs,COUNTA($F386:L386)+1+2)</f>
        <v>23.918411667700013</v>
      </c>
      <c r="N386" s="199">
        <f>$C386*HLOOKUP($F$379,macrs,COUNTA($F386:M386)+1+2)</f>
        <v>22.12262566910001</v>
      </c>
      <c r="O386" s="199">
        <f>$C386*HLOOKUP($F$379,macrs,COUNTA($F386:N386)+1+2)</f>
        <v>20.46599651910001</v>
      </c>
      <c r="P386" s="199">
        <f>$C386*HLOOKUP($F$379,macrs,COUNTA($F386:O386)+1+2)</f>
        <v>18.928644667900009</v>
      </c>
      <c r="R386" s="434"/>
      <c r="S386" s="114"/>
      <c r="T386" s="114"/>
    </row>
    <row r="387" spans="2:20" ht="13.5" customHeight="1" outlineLevel="1">
      <c r="B387" s="489">
        <f t="shared" ref="B387:C387" si="283">B369</f>
        <v>47483</v>
      </c>
      <c r="C387" s="114">
        <f t="shared" si="283"/>
        <v>364.45841300000018</v>
      </c>
      <c r="D387" s="493"/>
      <c r="E387" s="170"/>
      <c r="F387" s="493"/>
      <c r="G387" s="264"/>
      <c r="H387" s="264"/>
      <c r="I387" s="264"/>
      <c r="J387" s="264"/>
      <c r="K387" s="264"/>
      <c r="L387" s="264"/>
      <c r="M387" s="199">
        <f>$C387*HLOOKUP($F$379,macrs,COUNTA($F387:L387)+1+2)</f>
        <v>13.667190487500006</v>
      </c>
      <c r="N387" s="199">
        <f>$C387*HLOOKUP($F$379,macrs,COUNTA($F387:M387)+1+2)</f>
        <v>26.310252834470013</v>
      </c>
      <c r="O387" s="199">
        <f>$C387*HLOOKUP($F$379,macrs,COUNTA($F387:N387)+1+2)</f>
        <v>24.334888236010009</v>
      </c>
      <c r="P387" s="199">
        <f>$C387*HLOOKUP($F$379,macrs,COUNTA($F387:O387)+1+2)</f>
        <v>22.51259617101001</v>
      </c>
      <c r="R387" s="434"/>
      <c r="S387" s="114"/>
      <c r="T387" s="114"/>
    </row>
    <row r="388" spans="2:20" ht="13.5" customHeight="1" outlineLevel="1">
      <c r="B388" s="489">
        <f t="shared" ref="B388:C388" si="284">B370</f>
        <v>47848</v>
      </c>
      <c r="C388" s="114">
        <f t="shared" si="284"/>
        <v>400.90425430000022</v>
      </c>
      <c r="D388" s="493"/>
      <c r="E388" s="170"/>
      <c r="F388" s="493"/>
      <c r="G388" s="264"/>
      <c r="H388" s="264"/>
      <c r="I388" s="264"/>
      <c r="J388" s="264"/>
      <c r="K388" s="264"/>
      <c r="L388" s="264"/>
      <c r="M388" s="264"/>
      <c r="N388" s="199">
        <f>$C388*HLOOKUP($F$379,macrs,COUNTA($F388:M388)+1+2)</f>
        <v>15.033909536250007</v>
      </c>
      <c r="O388" s="199">
        <f>$C388*HLOOKUP($F$379,macrs,COUNTA($F388:N388)+1+2)</f>
        <v>28.941278117917019</v>
      </c>
      <c r="P388" s="199">
        <f>$C388*HLOOKUP($F$379,macrs,COUNTA($F388:O388)+1+2)</f>
        <v>26.768377059611012</v>
      </c>
      <c r="R388" s="434"/>
      <c r="S388" s="114"/>
      <c r="T388" s="114"/>
    </row>
    <row r="389" spans="2:20" ht="13.5" customHeight="1" outlineLevel="1">
      <c r="B389" s="489">
        <f t="shared" ref="B389:C389" si="285">B371</f>
        <v>48213</v>
      </c>
      <c r="C389" s="114">
        <f t="shared" si="285"/>
        <v>440.99467973000031</v>
      </c>
      <c r="D389" s="493"/>
      <c r="E389" s="170"/>
      <c r="F389" s="493"/>
      <c r="G389" s="264"/>
      <c r="H389" s="264"/>
      <c r="I389" s="264"/>
      <c r="J389" s="264"/>
      <c r="K389" s="264"/>
      <c r="L389" s="264"/>
      <c r="M389" s="264"/>
      <c r="N389" s="264"/>
      <c r="O389" s="199">
        <f>$C389*HLOOKUP($F$379,macrs,COUNTA($F389:N389)+1+2)</f>
        <v>16.537300489875012</v>
      </c>
      <c r="P389" s="199">
        <f>$C389*HLOOKUP($F$379,macrs,COUNTA($F389:O389)+1+2)</f>
        <v>31.835405929708724</v>
      </c>
      <c r="R389" s="434"/>
      <c r="S389" s="114"/>
      <c r="T389" s="114"/>
    </row>
    <row r="390" spans="2:20" ht="13.5" customHeight="1" outlineLevel="1">
      <c r="B390" s="489">
        <f t="shared" ref="B390:C390" si="286">B372</f>
        <v>48579</v>
      </c>
      <c r="C390" s="114">
        <f t="shared" si="286"/>
        <v>485.09414770300037</v>
      </c>
      <c r="D390" s="493"/>
      <c r="E390" s="170"/>
      <c r="F390" s="493"/>
      <c r="G390" s="264"/>
      <c r="H390" s="264"/>
      <c r="I390" s="264"/>
      <c r="J390" s="264"/>
      <c r="K390" s="264"/>
      <c r="L390" s="264"/>
      <c r="M390" s="264"/>
      <c r="N390" s="264"/>
      <c r="O390" s="264"/>
      <c r="P390" s="199">
        <f>$C390*HLOOKUP($F$379,macrs,COUNTA($F390:O390)+1+2)</f>
        <v>18.191030538862513</v>
      </c>
      <c r="R390" s="434"/>
      <c r="S390" s="114"/>
      <c r="T390" s="114"/>
    </row>
    <row r="391" spans="2:20" ht="13.5" customHeight="1" outlineLevel="1">
      <c r="B391" s="119" t="s">
        <v>636</v>
      </c>
      <c r="C391" s="494"/>
      <c r="D391" s="494"/>
      <c r="E391" s="494"/>
      <c r="F391" s="494"/>
      <c r="G391" s="120">
        <f t="shared" ref="G391:P391" si="287">SUM(G381:G390)</f>
        <v>7.6349999999999998</v>
      </c>
      <c r="H391" s="120">
        <f t="shared" si="287"/>
        <v>23.184134</v>
      </c>
      <c r="I391" s="120">
        <f t="shared" si="287"/>
        <v>39.265844000000001</v>
      </c>
      <c r="J391" s="120">
        <f t="shared" si="287"/>
        <v>55.9250422</v>
      </c>
      <c r="K391" s="120">
        <f t="shared" si="287"/>
        <v>73.293756220000006</v>
      </c>
      <c r="L391" s="120">
        <f t="shared" si="287"/>
        <v>91.517076042000028</v>
      </c>
      <c r="M391" s="120">
        <f t="shared" si="287"/>
        <v>110.74442064620004</v>
      </c>
      <c r="N391" s="120">
        <f t="shared" si="287"/>
        <v>131.14003391082005</v>
      </c>
      <c r="O391" s="120">
        <f t="shared" si="287"/>
        <v>153.44448410190205</v>
      </c>
      <c r="P391" s="120">
        <f t="shared" si="287"/>
        <v>177.97593931209229</v>
      </c>
      <c r="R391" s="434"/>
      <c r="S391" s="479">
        <f>S$3*$G391</f>
        <v>3.8174999999999999</v>
      </c>
      <c r="T391" s="479">
        <f>T$3*$G391</f>
        <v>3.8174999999999999</v>
      </c>
    </row>
    <row r="392" spans="2:20" ht="13.5" customHeight="1" outlineLevel="1">
      <c r="B392" s="88"/>
      <c r="C392" s="88"/>
      <c r="D392" s="88"/>
      <c r="E392" s="88"/>
      <c r="F392" s="88"/>
      <c r="G392" s="114"/>
      <c r="H392" s="114"/>
      <c r="I392" s="114"/>
      <c r="J392" s="114"/>
      <c r="K392" s="114"/>
      <c r="L392" s="114"/>
      <c r="M392" s="114"/>
      <c r="N392" s="114"/>
      <c r="O392" s="114"/>
      <c r="P392" s="114"/>
      <c r="R392" s="434"/>
      <c r="S392" s="114"/>
      <c r="T392" s="114"/>
    </row>
    <row r="393" spans="2:20" ht="13.5" customHeight="1" outlineLevel="1">
      <c r="B393" s="457" t="s">
        <v>535</v>
      </c>
      <c r="C393" s="458"/>
      <c r="D393" s="459"/>
      <c r="E393" s="459"/>
      <c r="F393" s="459"/>
      <c r="G393" s="459"/>
      <c r="H393" s="459"/>
      <c r="I393" s="459"/>
      <c r="J393" s="459"/>
      <c r="K393" s="459"/>
      <c r="L393" s="459"/>
      <c r="M393" s="459"/>
      <c r="N393" s="459"/>
      <c r="O393" s="459"/>
      <c r="P393" s="460"/>
      <c r="R393" s="434"/>
      <c r="S393" s="461"/>
      <c r="T393" s="460"/>
    </row>
    <row r="394" spans="2:20" ht="13.5" customHeight="1" outlineLevel="1">
      <c r="B394" s="321"/>
      <c r="C394" s="321"/>
      <c r="D394" s="321"/>
      <c r="E394" s="385"/>
      <c r="F394" s="385"/>
      <c r="G394" s="385"/>
      <c r="H394" s="385"/>
      <c r="I394" s="385"/>
      <c r="J394" s="385"/>
      <c r="K394" s="385"/>
      <c r="L394" s="57"/>
      <c r="R394" s="434"/>
      <c r="S394" s="385"/>
      <c r="T394" s="385"/>
    </row>
    <row r="395" spans="2:20" ht="13.5" customHeight="1" outlineLevel="1">
      <c r="B395" s="88" t="s">
        <v>640</v>
      </c>
      <c r="C395" s="318"/>
      <c r="D395" s="318"/>
      <c r="E395" s="319"/>
      <c r="F395" s="478">
        <v>0</v>
      </c>
      <c r="G395" s="385"/>
      <c r="H395" s="385"/>
      <c r="I395" s="385"/>
      <c r="J395" s="385"/>
      <c r="K395" s="385"/>
      <c r="L395" s="57"/>
      <c r="R395" s="434"/>
      <c r="S395" s="385"/>
      <c r="T395" s="385"/>
    </row>
    <row r="396" spans="2:20" ht="13.5" customHeight="1" outlineLevel="1">
      <c r="B396" s="321"/>
      <c r="C396" s="321"/>
      <c r="D396" s="321"/>
      <c r="E396" s="385"/>
      <c r="F396" s="385"/>
      <c r="G396" s="385"/>
      <c r="H396" s="385"/>
      <c r="I396" s="385"/>
      <c r="J396" s="385"/>
      <c r="K396" s="385"/>
      <c r="L396" s="57"/>
      <c r="R396" s="434"/>
      <c r="S396" s="385"/>
      <c r="T396" s="385"/>
    </row>
    <row r="397" spans="2:20" ht="13.5" customHeight="1" outlineLevel="1">
      <c r="B397" s="88" t="s">
        <v>480</v>
      </c>
      <c r="C397" s="88"/>
      <c r="D397" s="88"/>
      <c r="E397" s="88"/>
      <c r="F397" s="88"/>
      <c r="G397" s="328">
        <f>CHOOSE($F395+1,G373,G391)</f>
        <v>5.09</v>
      </c>
      <c r="H397" s="328">
        <f t="shared" ref="H397:P397" si="288">CHOOSE($F395+1,H373,H391)</f>
        <v>15.8375</v>
      </c>
      <c r="I397" s="328">
        <f t="shared" si="288"/>
        <v>27.718250000000001</v>
      </c>
      <c r="J397" s="328">
        <f t="shared" si="288"/>
        <v>40.787075000000009</v>
      </c>
      <c r="K397" s="328">
        <f t="shared" si="288"/>
        <v>55.162782500000013</v>
      </c>
      <c r="L397" s="328">
        <f t="shared" si="288"/>
        <v>70.97606075000003</v>
      </c>
      <c r="M397" s="328">
        <f t="shared" si="288"/>
        <v>88.370666825000043</v>
      </c>
      <c r="N397" s="328">
        <f t="shared" si="288"/>
        <v>107.50473350750005</v>
      </c>
      <c r="O397" s="328">
        <f t="shared" si="288"/>
        <v>128.55220685825006</v>
      </c>
      <c r="P397" s="328">
        <f t="shared" si="288"/>
        <v>151.70442754407509</v>
      </c>
      <c r="R397" s="434"/>
      <c r="S397" s="328">
        <f t="shared" ref="S397:T397" si="289">CHOOSE($F395+1,S373,S391)</f>
        <v>2.5449999999999999</v>
      </c>
      <c r="T397" s="328">
        <f t="shared" si="289"/>
        <v>2.5449999999999999</v>
      </c>
    </row>
    <row r="398" spans="2:20" ht="13.5" customHeight="1" outlineLevel="1">
      <c r="B398" s="88" t="s">
        <v>618</v>
      </c>
      <c r="C398" s="50"/>
      <c r="D398" s="50"/>
      <c r="G398" s="495">
        <f t="shared" ref="G398:P398" si="290">G374</f>
        <v>69.61</v>
      </c>
      <c r="H398" s="495">
        <f t="shared" si="290"/>
        <v>69.5625</v>
      </c>
      <c r="I398" s="495">
        <f t="shared" si="290"/>
        <v>66.221750000000014</v>
      </c>
      <c r="J398" s="495">
        <f t="shared" si="290"/>
        <v>62.546925000000023</v>
      </c>
      <c r="K398" s="495">
        <f t="shared" si="290"/>
        <v>58.504617500000045</v>
      </c>
      <c r="L398" s="495">
        <f t="shared" si="290"/>
        <v>54.058079250000034</v>
      </c>
      <c r="M398" s="495">
        <f t="shared" si="290"/>
        <v>49.166887175000042</v>
      </c>
      <c r="N398" s="495">
        <f t="shared" si="290"/>
        <v>43.786575892500053</v>
      </c>
      <c r="O398" s="495">
        <f t="shared" si="290"/>
        <v>37.868233481750053</v>
      </c>
      <c r="P398" s="495">
        <f t="shared" si="290"/>
        <v>31.358056829925061</v>
      </c>
      <c r="R398" s="434"/>
      <c r="S398" s="184">
        <f>S$3*$G398</f>
        <v>34.805</v>
      </c>
      <c r="T398" s="184">
        <f>T$3*$G398</f>
        <v>34.805</v>
      </c>
    </row>
    <row r="399" spans="2:20" ht="13.5" customHeight="1" outlineLevel="1">
      <c r="B399" s="490" t="s">
        <v>620</v>
      </c>
      <c r="C399" s="490"/>
      <c r="D399" s="490"/>
      <c r="E399" s="490"/>
      <c r="F399" s="490"/>
      <c r="G399" s="491">
        <f t="shared" ref="G399:P399" si="291">SUM(G397:G398)</f>
        <v>74.7</v>
      </c>
      <c r="H399" s="491">
        <f t="shared" si="291"/>
        <v>85.4</v>
      </c>
      <c r="I399" s="491">
        <f t="shared" si="291"/>
        <v>93.940000000000012</v>
      </c>
      <c r="J399" s="491">
        <f t="shared" si="291"/>
        <v>103.33400000000003</v>
      </c>
      <c r="K399" s="491">
        <f t="shared" si="291"/>
        <v>113.66740000000006</v>
      </c>
      <c r="L399" s="491">
        <f t="shared" si="291"/>
        <v>125.03414000000006</v>
      </c>
      <c r="M399" s="491">
        <f t="shared" si="291"/>
        <v>137.53755400000009</v>
      </c>
      <c r="N399" s="491">
        <f t="shared" si="291"/>
        <v>151.2913094000001</v>
      </c>
      <c r="O399" s="491">
        <f t="shared" si="291"/>
        <v>166.42044034000011</v>
      </c>
      <c r="P399" s="491">
        <f t="shared" si="291"/>
        <v>183.06248437400015</v>
      </c>
      <c r="R399" s="434"/>
      <c r="S399" s="492">
        <f>SUM(S397:S398)</f>
        <v>37.35</v>
      </c>
      <c r="T399" s="492">
        <f>SUM(T397:T398)</f>
        <v>37.35</v>
      </c>
    </row>
    <row r="400" spans="2:20" ht="5.0999999999999996" customHeight="1" outlineLevel="1" thickBot="1">
      <c r="B400" s="348"/>
      <c r="C400" s="348"/>
      <c r="D400" s="348"/>
      <c r="E400" s="349"/>
      <c r="F400" s="349"/>
      <c r="G400" s="349"/>
      <c r="H400" s="349"/>
      <c r="I400" s="349"/>
      <c r="J400" s="349"/>
      <c r="K400" s="349"/>
      <c r="L400" s="349"/>
      <c r="M400" s="349"/>
      <c r="N400" s="349"/>
      <c r="O400" s="349"/>
      <c r="P400" s="349"/>
      <c r="Q400" s="349"/>
      <c r="R400" s="349"/>
      <c r="S400" s="349"/>
      <c r="T400" s="349"/>
    </row>
    <row r="401" spans="1:20" ht="13.5" customHeight="1" outlineLevel="1">
      <c r="B401" s="50"/>
      <c r="C401" s="50"/>
      <c r="D401" s="50"/>
      <c r="G401" s="350"/>
      <c r="H401" s="350"/>
      <c r="L401" s="57"/>
    </row>
    <row r="402" spans="1:20" ht="13.5" customHeight="1" outlineLevel="1" thickBot="1">
      <c r="B402" s="50"/>
      <c r="C402" s="50"/>
      <c r="D402" s="50"/>
      <c r="G402" s="350"/>
      <c r="H402" s="350"/>
      <c r="L402" s="57"/>
    </row>
    <row r="403" spans="1:20" ht="20.7" thickTop="1">
      <c r="A403" s="281" t="s">
        <v>631</v>
      </c>
      <c r="B403" s="429" t="str">
        <f>acquirer&amp;" Tax Schedule"</f>
        <v>BuyerCo Tax Schedule</v>
      </c>
      <c r="C403" s="430"/>
      <c r="D403" s="431"/>
      <c r="E403" s="431"/>
      <c r="F403" s="431"/>
      <c r="G403" s="431"/>
      <c r="H403" s="431"/>
      <c r="I403" s="431"/>
      <c r="J403" s="431"/>
      <c r="K403" s="431"/>
      <c r="L403" s="431"/>
      <c r="M403" s="431"/>
      <c r="N403" s="431"/>
      <c r="O403" s="431"/>
      <c r="P403" s="431"/>
      <c r="Q403" s="431"/>
      <c r="R403" s="431"/>
      <c r="S403" s="431"/>
      <c r="T403" s="431"/>
    </row>
    <row r="404" spans="1:20" ht="5.0999999999999996" customHeight="1" outlineLevel="1">
      <c r="B404" s="107"/>
      <c r="C404" s="285"/>
      <c r="L404" s="57"/>
    </row>
    <row r="405" spans="1:20" ht="13.5" customHeight="1" outlineLevel="1">
      <c r="B405" s="286"/>
      <c r="C405" s="286"/>
      <c r="D405" s="286"/>
      <c r="E405" s="42"/>
      <c r="F405" s="432" t="s">
        <v>630</v>
      </c>
      <c r="G405" s="433" t="s">
        <v>629</v>
      </c>
      <c r="H405" s="433"/>
      <c r="I405" s="433"/>
      <c r="J405" s="433"/>
      <c r="K405" s="433"/>
      <c r="L405" s="433"/>
      <c r="M405" s="433"/>
      <c r="N405" s="433"/>
      <c r="O405" s="433"/>
      <c r="P405" s="433"/>
      <c r="R405" s="434"/>
      <c r="S405" s="433" t="s">
        <v>628</v>
      </c>
      <c r="T405" s="433"/>
    </row>
    <row r="406" spans="1:20" ht="13.5" customHeight="1" outlineLevel="1" thickBot="1">
      <c r="B406" s="435" t="str">
        <f>"("&amp;curr&amp;" in millions)"</f>
        <v>($ in millions)</v>
      </c>
      <c r="C406" s="436"/>
      <c r="D406" s="436"/>
      <c r="E406" s="437"/>
      <c r="F406" s="439">
        <f>F$8</f>
        <v>44926</v>
      </c>
      <c r="G406" s="439">
        <f>G$8</f>
        <v>45291</v>
      </c>
      <c r="H406" s="439">
        <f>H$8</f>
        <v>45657</v>
      </c>
      <c r="I406" s="439">
        <f>I$8</f>
        <v>46022</v>
      </c>
      <c r="J406" s="439">
        <f t="shared" ref="J406:P406" si="292">J$8</f>
        <v>46387</v>
      </c>
      <c r="K406" s="439">
        <f t="shared" si="292"/>
        <v>46752</v>
      </c>
      <c r="L406" s="439">
        <f t="shared" si="292"/>
        <v>47118</v>
      </c>
      <c r="M406" s="439">
        <f t="shared" si="292"/>
        <v>47483</v>
      </c>
      <c r="N406" s="439">
        <f t="shared" si="292"/>
        <v>47848</v>
      </c>
      <c r="O406" s="439">
        <f t="shared" si="292"/>
        <v>48213</v>
      </c>
      <c r="P406" s="439">
        <f t="shared" si="292"/>
        <v>48579</v>
      </c>
      <c r="R406" s="434"/>
      <c r="S406" s="440">
        <f>S$8</f>
        <v>45107</v>
      </c>
      <c r="T406" s="440">
        <f>T$8</f>
        <v>45291</v>
      </c>
    </row>
    <row r="407" spans="1:20" ht="5.0999999999999996" customHeight="1" outlineLevel="1">
      <c r="B407" s="318"/>
      <c r="C407" s="318"/>
      <c r="D407" s="318"/>
      <c r="E407" s="319"/>
      <c r="F407" s="319"/>
      <c r="G407" s="319"/>
      <c r="H407" s="319"/>
      <c r="I407" s="319"/>
      <c r="J407" s="319"/>
      <c r="K407" s="319"/>
      <c r="L407" s="327"/>
      <c r="R407" s="434"/>
      <c r="S407" s="319"/>
      <c r="T407" s="319"/>
    </row>
    <row r="408" spans="1:20" ht="13.75" customHeight="1" outlineLevel="1">
      <c r="B408" s="395" t="s">
        <v>566</v>
      </c>
      <c r="C408" s="496"/>
      <c r="D408" s="496"/>
      <c r="E408" s="497"/>
      <c r="F408" s="497"/>
      <c r="G408" s="497"/>
      <c r="H408" s="497"/>
      <c r="I408" s="497"/>
      <c r="J408" s="497"/>
      <c r="K408" s="497"/>
      <c r="L408" s="498"/>
      <c r="M408" s="499"/>
      <c r="N408" s="499"/>
      <c r="O408" s="499"/>
      <c r="P408" s="499"/>
      <c r="Q408" s="500"/>
      <c r="R408" s="434"/>
      <c r="S408" s="501"/>
      <c r="T408" s="501"/>
    </row>
    <row r="409" spans="1:20" ht="13.75" customHeight="1" outlineLevel="1">
      <c r="B409" s="318"/>
      <c r="C409" s="318"/>
      <c r="D409" s="318"/>
      <c r="E409" s="319"/>
      <c r="F409" s="319"/>
      <c r="G409" s="319"/>
      <c r="H409" s="319"/>
      <c r="I409" s="319"/>
      <c r="J409" s="319"/>
      <c r="K409" s="319"/>
      <c r="L409" s="327"/>
      <c r="R409" s="434"/>
      <c r="S409" s="319"/>
      <c r="T409" s="319"/>
    </row>
    <row r="410" spans="1:20" ht="13.75" customHeight="1" outlineLevel="1">
      <c r="B410" s="36" t="s">
        <v>489</v>
      </c>
      <c r="C410" s="318"/>
      <c r="D410" s="318"/>
      <c r="E410" s="319"/>
      <c r="F410" s="464"/>
      <c r="G410" s="375">
        <v>0.32990000000000003</v>
      </c>
      <c r="H410" s="177">
        <f t="shared" ref="H410:P411" si="293">G410</f>
        <v>0.32990000000000003</v>
      </c>
      <c r="I410" s="177">
        <f t="shared" si="293"/>
        <v>0.32990000000000003</v>
      </c>
      <c r="J410" s="177">
        <f t="shared" si="293"/>
        <v>0.32990000000000003</v>
      </c>
      <c r="K410" s="177">
        <f t="shared" si="293"/>
        <v>0.32990000000000003</v>
      </c>
      <c r="L410" s="177">
        <f t="shared" si="293"/>
        <v>0.32990000000000003</v>
      </c>
      <c r="M410" s="177">
        <f t="shared" si="293"/>
        <v>0.32990000000000003</v>
      </c>
      <c r="N410" s="177">
        <f t="shared" si="293"/>
        <v>0.32990000000000003</v>
      </c>
      <c r="O410" s="177">
        <f t="shared" si="293"/>
        <v>0.32990000000000003</v>
      </c>
      <c r="P410" s="177">
        <f t="shared" si="293"/>
        <v>0.32990000000000003</v>
      </c>
      <c r="R410" s="434"/>
      <c r="S410" s="177">
        <f>$G410</f>
        <v>0.32990000000000003</v>
      </c>
      <c r="T410" s="177">
        <f>$G410</f>
        <v>0.32990000000000003</v>
      </c>
    </row>
    <row r="411" spans="1:20" ht="13.75" customHeight="1" outlineLevel="1">
      <c r="B411" s="36" t="s">
        <v>490</v>
      </c>
      <c r="C411" s="318"/>
      <c r="D411" s="318"/>
      <c r="E411" s="319"/>
      <c r="F411" s="464"/>
      <c r="G411" s="375">
        <v>0.03</v>
      </c>
      <c r="H411" s="177">
        <f t="shared" si="293"/>
        <v>0.03</v>
      </c>
      <c r="I411" s="177">
        <f t="shared" si="293"/>
        <v>0.03</v>
      </c>
      <c r="J411" s="177">
        <f t="shared" si="293"/>
        <v>0.03</v>
      </c>
      <c r="K411" s="177">
        <f t="shared" si="293"/>
        <v>0.03</v>
      </c>
      <c r="L411" s="177">
        <f t="shared" si="293"/>
        <v>0.03</v>
      </c>
      <c r="M411" s="177">
        <f t="shared" si="293"/>
        <v>0.03</v>
      </c>
      <c r="N411" s="177">
        <f t="shared" si="293"/>
        <v>0.03</v>
      </c>
      <c r="O411" s="177">
        <f t="shared" si="293"/>
        <v>0.03</v>
      </c>
      <c r="P411" s="177">
        <f t="shared" si="293"/>
        <v>0.03</v>
      </c>
      <c r="R411" s="434"/>
      <c r="S411" s="177">
        <f>$G411</f>
        <v>0.03</v>
      </c>
      <c r="T411" s="177">
        <f>$G411</f>
        <v>0.03</v>
      </c>
    </row>
    <row r="412" spans="1:20" ht="13.75" customHeight="1" outlineLevel="1">
      <c r="B412" s="36" t="s">
        <v>491</v>
      </c>
      <c r="C412" s="318"/>
      <c r="D412" s="318"/>
      <c r="E412" s="319"/>
      <c r="F412" s="399">
        <f>F73</f>
        <v>0.35032894736842118</v>
      </c>
      <c r="G412" s="177">
        <f t="shared" ref="G412:P412" si="294">G410*(1-G411)+G411</f>
        <v>0.35000300000000006</v>
      </c>
      <c r="H412" s="177">
        <f t="shared" si="294"/>
        <v>0.35000300000000006</v>
      </c>
      <c r="I412" s="177">
        <f t="shared" si="294"/>
        <v>0.35000300000000006</v>
      </c>
      <c r="J412" s="177">
        <f t="shared" si="294"/>
        <v>0.35000300000000006</v>
      </c>
      <c r="K412" s="177">
        <f t="shared" si="294"/>
        <v>0.35000300000000006</v>
      </c>
      <c r="L412" s="177">
        <f t="shared" si="294"/>
        <v>0.35000300000000006</v>
      </c>
      <c r="M412" s="177">
        <f t="shared" si="294"/>
        <v>0.35000300000000006</v>
      </c>
      <c r="N412" s="177">
        <f t="shared" si="294"/>
        <v>0.35000300000000006</v>
      </c>
      <c r="O412" s="177">
        <f t="shared" si="294"/>
        <v>0.35000300000000006</v>
      </c>
      <c r="P412" s="177">
        <f t="shared" si="294"/>
        <v>0.35000300000000006</v>
      </c>
      <c r="R412" s="434"/>
      <c r="S412" s="177">
        <f>S410*(1-S411)+S411</f>
        <v>0.35000300000000006</v>
      </c>
      <c r="T412" s="177">
        <f>T410*(1-T411)+T411</f>
        <v>0.35000300000000006</v>
      </c>
    </row>
    <row r="413" spans="1:20" ht="13.75" customHeight="1" outlineLevel="1">
      <c r="C413" s="318"/>
      <c r="D413" s="318"/>
      <c r="E413" s="319"/>
      <c r="F413" s="319"/>
      <c r="G413" s="319"/>
      <c r="H413" s="319"/>
      <c r="I413" s="319"/>
      <c r="J413" s="319"/>
      <c r="K413" s="319"/>
      <c r="L413" s="327"/>
      <c r="R413" s="434"/>
      <c r="S413" s="319"/>
      <c r="T413" s="319"/>
    </row>
    <row r="414" spans="1:20" ht="13.5" customHeight="1" outlineLevel="1">
      <c r="B414" s="457" t="s">
        <v>544</v>
      </c>
      <c r="C414" s="458"/>
      <c r="D414" s="459"/>
      <c r="E414" s="459"/>
      <c r="F414" s="459"/>
      <c r="G414" s="459"/>
      <c r="H414" s="459"/>
      <c r="I414" s="459"/>
      <c r="J414" s="459"/>
      <c r="K414" s="459"/>
      <c r="L414" s="459"/>
      <c r="M414" s="459"/>
      <c r="N414" s="459"/>
      <c r="O414" s="459"/>
      <c r="P414" s="460"/>
      <c r="R414" s="434"/>
      <c r="S414" s="461"/>
      <c r="T414" s="460"/>
    </row>
    <row r="415" spans="1:20" ht="13.75" customHeight="1" outlineLevel="1">
      <c r="B415" s="318"/>
      <c r="C415" s="318"/>
      <c r="D415" s="318"/>
      <c r="E415" s="319"/>
      <c r="F415" s="319"/>
      <c r="G415" s="319"/>
      <c r="H415" s="319"/>
      <c r="I415" s="319"/>
      <c r="J415" s="319"/>
      <c r="K415" s="319"/>
      <c r="L415" s="327"/>
      <c r="R415" s="434"/>
      <c r="S415" s="319"/>
      <c r="T415" s="319"/>
    </row>
    <row r="416" spans="1:20" ht="13.75" customHeight="1" outlineLevel="1">
      <c r="B416" s="36" t="s">
        <v>93</v>
      </c>
      <c r="G416" s="401">
        <f t="shared" ref="G416:P416" si="295">G14</f>
        <v>734.2</v>
      </c>
      <c r="H416" s="401">
        <f t="shared" si="295"/>
        <v>832.69999999999982</v>
      </c>
      <c r="I416" s="401">
        <f t="shared" si="295"/>
        <v>915.96999999999991</v>
      </c>
      <c r="J416" s="401">
        <f t="shared" si="295"/>
        <v>1007.5669999999999</v>
      </c>
      <c r="K416" s="401">
        <f t="shared" si="295"/>
        <v>1108.3237000000004</v>
      </c>
      <c r="L416" s="401">
        <f t="shared" si="295"/>
        <v>1219.15607</v>
      </c>
      <c r="M416" s="401">
        <f t="shared" si="295"/>
        <v>1341.0716770000006</v>
      </c>
      <c r="N416" s="401">
        <f t="shared" si="295"/>
        <v>1475.178844700001</v>
      </c>
      <c r="O416" s="401">
        <f t="shared" si="295"/>
        <v>1622.6967291700012</v>
      </c>
      <c r="P416" s="401">
        <f t="shared" si="295"/>
        <v>1784.9664020870011</v>
      </c>
      <c r="R416" s="434"/>
      <c r="S416" s="401">
        <f>S14</f>
        <v>367.1</v>
      </c>
      <c r="T416" s="401">
        <f>T14</f>
        <v>367.1</v>
      </c>
    </row>
    <row r="417" spans="2:20" ht="13.75" customHeight="1" outlineLevel="1">
      <c r="B417" s="36" t="s">
        <v>482</v>
      </c>
      <c r="G417" s="163">
        <f t="shared" ref="G417:P417" si="296">-G399</f>
        <v>-74.7</v>
      </c>
      <c r="H417" s="163">
        <f t="shared" si="296"/>
        <v>-85.4</v>
      </c>
      <c r="I417" s="163">
        <f t="shared" si="296"/>
        <v>-93.940000000000012</v>
      </c>
      <c r="J417" s="163">
        <f t="shared" si="296"/>
        <v>-103.33400000000003</v>
      </c>
      <c r="K417" s="163">
        <f t="shared" si="296"/>
        <v>-113.66740000000006</v>
      </c>
      <c r="L417" s="163">
        <f t="shared" si="296"/>
        <v>-125.03414000000006</v>
      </c>
      <c r="M417" s="163">
        <f t="shared" si="296"/>
        <v>-137.53755400000009</v>
      </c>
      <c r="N417" s="163">
        <f t="shared" si="296"/>
        <v>-151.2913094000001</v>
      </c>
      <c r="O417" s="163">
        <f t="shared" si="296"/>
        <v>-166.42044034000011</v>
      </c>
      <c r="P417" s="163">
        <f t="shared" si="296"/>
        <v>-183.06248437400015</v>
      </c>
      <c r="R417" s="434"/>
      <c r="S417" s="163">
        <f>-S399</f>
        <v>-37.35</v>
      </c>
      <c r="T417" s="163">
        <f>-T399</f>
        <v>-37.35</v>
      </c>
    </row>
    <row r="418" spans="2:20" ht="13.75" customHeight="1" outlineLevel="1">
      <c r="B418" s="36" t="s">
        <v>483</v>
      </c>
      <c r="G418" s="163">
        <f t="shared" ref="G418:P418" si="297">-G16</f>
        <v>-62</v>
      </c>
      <c r="H418" s="163">
        <f t="shared" si="297"/>
        <v>-62</v>
      </c>
      <c r="I418" s="163">
        <f t="shared" si="297"/>
        <v>-62</v>
      </c>
      <c r="J418" s="163">
        <f t="shared" si="297"/>
        <v>-62</v>
      </c>
      <c r="K418" s="163">
        <f t="shared" si="297"/>
        <v>-36.720000000000027</v>
      </c>
      <c r="L418" s="163">
        <f t="shared" si="297"/>
        <v>0</v>
      </c>
      <c r="M418" s="163">
        <f t="shared" si="297"/>
        <v>0</v>
      </c>
      <c r="N418" s="163">
        <f t="shared" si="297"/>
        <v>0</v>
      </c>
      <c r="O418" s="163">
        <f t="shared" si="297"/>
        <v>0</v>
      </c>
      <c r="P418" s="163">
        <f t="shared" si="297"/>
        <v>0</v>
      </c>
      <c r="R418" s="434"/>
      <c r="S418" s="163">
        <f>-S16</f>
        <v>-31</v>
      </c>
      <c r="T418" s="163">
        <f>-T16</f>
        <v>-31</v>
      </c>
    </row>
    <row r="419" spans="2:20" ht="13.75" customHeight="1" outlineLevel="1">
      <c r="B419" s="36" t="s">
        <v>484</v>
      </c>
      <c r="G419" s="98">
        <v>0</v>
      </c>
      <c r="H419" s="98">
        <v>0</v>
      </c>
      <c r="I419" s="98">
        <v>0</v>
      </c>
      <c r="J419" s="98">
        <v>0</v>
      </c>
      <c r="K419" s="98">
        <v>0</v>
      </c>
      <c r="L419" s="98">
        <v>0</v>
      </c>
      <c r="M419" s="98">
        <v>0</v>
      </c>
      <c r="N419" s="98">
        <v>0</v>
      </c>
      <c r="O419" s="98">
        <v>0</v>
      </c>
      <c r="P419" s="98">
        <v>0</v>
      </c>
      <c r="R419" s="434"/>
      <c r="S419" s="98">
        <v>0</v>
      </c>
      <c r="T419" s="98">
        <v>0</v>
      </c>
    </row>
    <row r="420" spans="2:20" ht="13.75" customHeight="1" outlineLevel="1">
      <c r="B420" s="36" t="s">
        <v>485</v>
      </c>
      <c r="G420" s="163">
        <f t="shared" ref="G420:P420" si="298">-G17</f>
        <v>-53.7</v>
      </c>
      <c r="H420" s="163">
        <f t="shared" si="298"/>
        <v>-59.6</v>
      </c>
      <c r="I420" s="163">
        <f t="shared" si="298"/>
        <v>-65.56</v>
      </c>
      <c r="J420" s="163">
        <f t="shared" si="298"/>
        <v>-72.116000000000014</v>
      </c>
      <c r="K420" s="163">
        <f t="shared" si="298"/>
        <v>-79.327600000000032</v>
      </c>
      <c r="L420" s="163">
        <f t="shared" si="298"/>
        <v>-87.260360000000048</v>
      </c>
      <c r="M420" s="163">
        <f t="shared" si="298"/>
        <v>-95.986396000000056</v>
      </c>
      <c r="N420" s="163">
        <f t="shared" si="298"/>
        <v>-105.58503560000007</v>
      </c>
      <c r="O420" s="163">
        <f t="shared" si="298"/>
        <v>-116.14353916000009</v>
      </c>
      <c r="P420" s="163">
        <f t="shared" si="298"/>
        <v>-127.75789307600012</v>
      </c>
      <c r="R420" s="434"/>
      <c r="S420" s="163">
        <f>-S17</f>
        <v>-26.85</v>
      </c>
      <c r="T420" s="163">
        <f>-T17</f>
        <v>-26.85</v>
      </c>
    </row>
    <row r="421" spans="2:20" ht="13.75" customHeight="1" outlineLevel="1">
      <c r="B421" s="57" t="s">
        <v>487</v>
      </c>
      <c r="G421" s="163">
        <f t="shared" ref="G421:P421" ca="1" si="299">-G27</f>
        <v>-61.654067500000004</v>
      </c>
      <c r="H421" s="163">
        <f t="shared" ca="1" si="299"/>
        <v>-53.307364899930676</v>
      </c>
      <c r="I421" s="163">
        <f t="shared" ca="1" si="299"/>
        <v>-56.771848226049073</v>
      </c>
      <c r="J421" s="163">
        <f t="shared" ca="1" si="299"/>
        <v>-59.376054051869779</v>
      </c>
      <c r="K421" s="163">
        <f t="shared" ca="1" si="299"/>
        <v>-58.327297059340758</v>
      </c>
      <c r="L421" s="163">
        <f t="shared" ca="1" si="299"/>
        <v>-57.187692387160261</v>
      </c>
      <c r="M421" s="163">
        <f t="shared" ca="1" si="299"/>
        <v>-55.955976129629782</v>
      </c>
      <c r="N421" s="163">
        <f t="shared" ca="1" si="299"/>
        <v>-54.587629329543503</v>
      </c>
      <c r="O421" s="163">
        <f t="shared" ca="1" si="299"/>
        <v>-53.068967062006969</v>
      </c>
      <c r="P421" s="163">
        <f t="shared" ca="1" si="299"/>
        <v>-51.384935874096669</v>
      </c>
      <c r="R421" s="434"/>
      <c r="S421" s="163">
        <f ca="1">-S27</f>
        <v>-30.827033750000002</v>
      </c>
      <c r="T421" s="163">
        <f ca="1">-T27</f>
        <v>-30.827033750000002</v>
      </c>
    </row>
    <row r="422" spans="2:20" ht="13.75" customHeight="1" outlineLevel="1">
      <c r="B422" s="88" t="s">
        <v>486</v>
      </c>
      <c r="G422" s="163">
        <f t="shared" ref="G422:P422" si="300">-G226*(1-$F229)</f>
        <v>0</v>
      </c>
      <c r="H422" s="163">
        <f t="shared" si="300"/>
        <v>0</v>
      </c>
      <c r="I422" s="163">
        <f t="shared" si="300"/>
        <v>0</v>
      </c>
      <c r="J422" s="163">
        <f t="shared" si="300"/>
        <v>0</v>
      </c>
      <c r="K422" s="163">
        <f t="shared" si="300"/>
        <v>0</v>
      </c>
      <c r="L422" s="163">
        <f t="shared" si="300"/>
        <v>0</v>
      </c>
      <c r="M422" s="163">
        <f t="shared" si="300"/>
        <v>0</v>
      </c>
      <c r="N422" s="163">
        <f t="shared" si="300"/>
        <v>0</v>
      </c>
      <c r="O422" s="163">
        <f t="shared" si="300"/>
        <v>0</v>
      </c>
      <c r="P422" s="163">
        <f t="shared" si="300"/>
        <v>0</v>
      </c>
      <c r="R422" s="434"/>
      <c r="S422" s="163">
        <f>-S226*(1-$F229)</f>
        <v>0</v>
      </c>
      <c r="T422" s="163">
        <f>-T226*(1-$F229)</f>
        <v>0</v>
      </c>
    </row>
    <row r="423" spans="2:20" ht="13.75" customHeight="1" outlineLevel="1">
      <c r="B423" s="301" t="s">
        <v>488</v>
      </c>
      <c r="G423" s="163">
        <f t="shared" ref="G423:P423" si="301">-G29</f>
        <v>0</v>
      </c>
      <c r="H423" s="163">
        <f t="shared" si="301"/>
        <v>0</v>
      </c>
      <c r="I423" s="163">
        <f t="shared" si="301"/>
        <v>0</v>
      </c>
      <c r="J423" s="163">
        <f t="shared" si="301"/>
        <v>0</v>
      </c>
      <c r="K423" s="163">
        <f t="shared" si="301"/>
        <v>0</v>
      </c>
      <c r="L423" s="163">
        <f t="shared" si="301"/>
        <v>0</v>
      </c>
      <c r="M423" s="163">
        <f t="shared" si="301"/>
        <v>0</v>
      </c>
      <c r="N423" s="163">
        <f t="shared" si="301"/>
        <v>0</v>
      </c>
      <c r="O423" s="163">
        <f t="shared" si="301"/>
        <v>0</v>
      </c>
      <c r="P423" s="163">
        <f t="shared" si="301"/>
        <v>0</v>
      </c>
      <c r="R423" s="434"/>
      <c r="S423" s="163">
        <f>-S29</f>
        <v>0</v>
      </c>
      <c r="T423" s="163">
        <f>-T29</f>
        <v>0</v>
      </c>
    </row>
    <row r="424" spans="2:20" ht="13.75" customHeight="1" outlineLevel="1">
      <c r="B424" s="116" t="s">
        <v>564</v>
      </c>
      <c r="C424" s="116"/>
      <c r="D424" s="116"/>
      <c r="E424" s="116"/>
      <c r="F424" s="116"/>
      <c r="G424" s="144">
        <f t="shared" ref="G424:P424" ca="1" si="302">SUM(G416:G423)</f>
        <v>482.14593249999996</v>
      </c>
      <c r="H424" s="144">
        <f t="shared" ca="1" si="302"/>
        <v>572.39263510006913</v>
      </c>
      <c r="I424" s="144">
        <f t="shared" ca="1" si="302"/>
        <v>637.69815177395071</v>
      </c>
      <c r="J424" s="144">
        <f t="shared" ca="1" si="302"/>
        <v>710.74094594813005</v>
      </c>
      <c r="K424" s="144">
        <f t="shared" ca="1" si="302"/>
        <v>820.28140294065952</v>
      </c>
      <c r="L424" s="144">
        <f t="shared" ca="1" si="302"/>
        <v>949.67387761283976</v>
      </c>
      <c r="M424" s="144">
        <f t="shared" ca="1" si="302"/>
        <v>1051.5917508703708</v>
      </c>
      <c r="N424" s="144">
        <f t="shared" ca="1" si="302"/>
        <v>1163.7148703704574</v>
      </c>
      <c r="O424" s="144">
        <f t="shared" ca="1" si="302"/>
        <v>1287.063782607994</v>
      </c>
      <c r="P424" s="144">
        <f t="shared" ca="1" si="302"/>
        <v>1422.7610887629041</v>
      </c>
      <c r="R424" s="434"/>
      <c r="S424" s="144">
        <f ca="1">SUM(S416:S423)</f>
        <v>241.07296624999998</v>
      </c>
      <c r="T424" s="144">
        <f ca="1">SUM(T416:T423)</f>
        <v>241.07296624999998</v>
      </c>
    </row>
    <row r="425" spans="2:20" ht="13.75" customHeight="1" outlineLevel="1">
      <c r="B425" s="36" t="s">
        <v>518</v>
      </c>
      <c r="C425" s="88"/>
      <c r="D425" s="88"/>
      <c r="E425" s="88"/>
      <c r="F425" s="88"/>
      <c r="G425" s="118">
        <f ca="1">G447+G463</f>
        <v>0</v>
      </c>
      <c r="H425" s="118">
        <f t="shared" ref="H425:P425" ca="1" si="303">H447+H463</f>
        <v>0</v>
      </c>
      <c r="I425" s="118">
        <f t="shared" ca="1" si="303"/>
        <v>0</v>
      </c>
      <c r="J425" s="118">
        <f t="shared" ca="1" si="303"/>
        <v>0</v>
      </c>
      <c r="K425" s="118">
        <f t="shared" ca="1" si="303"/>
        <v>0</v>
      </c>
      <c r="L425" s="118">
        <f t="shared" ca="1" si="303"/>
        <v>0</v>
      </c>
      <c r="M425" s="118">
        <f t="shared" ca="1" si="303"/>
        <v>0</v>
      </c>
      <c r="N425" s="118">
        <f t="shared" ca="1" si="303"/>
        <v>0</v>
      </c>
      <c r="O425" s="118">
        <f t="shared" ca="1" si="303"/>
        <v>0</v>
      </c>
      <c r="P425" s="118">
        <f t="shared" ca="1" si="303"/>
        <v>0</v>
      </c>
      <c r="R425" s="434"/>
      <c r="S425" s="118">
        <f t="shared" ref="S425:T425" ca="1" si="304">S447+S463</f>
        <v>0</v>
      </c>
      <c r="T425" s="118">
        <f t="shared" ca="1" si="304"/>
        <v>0</v>
      </c>
    </row>
    <row r="426" spans="2:20" ht="13.75" customHeight="1" outlineLevel="1">
      <c r="B426" s="116" t="s">
        <v>549</v>
      </c>
      <c r="C426" s="116"/>
      <c r="D426" s="116"/>
      <c r="E426" s="116"/>
      <c r="F426" s="116"/>
      <c r="G426" s="144">
        <f t="shared" ref="G426:P426" ca="1" si="305">SUM(G424:G425)</f>
        <v>482.14593249999996</v>
      </c>
      <c r="H426" s="144">
        <f t="shared" ca="1" si="305"/>
        <v>572.39263510006913</v>
      </c>
      <c r="I426" s="144">
        <f t="shared" ca="1" si="305"/>
        <v>637.69815177395071</v>
      </c>
      <c r="J426" s="144">
        <f t="shared" ca="1" si="305"/>
        <v>710.74094594813005</v>
      </c>
      <c r="K426" s="144">
        <f t="shared" ca="1" si="305"/>
        <v>820.28140294065952</v>
      </c>
      <c r="L426" s="144">
        <f t="shared" ca="1" si="305"/>
        <v>949.67387761283976</v>
      </c>
      <c r="M426" s="144">
        <f t="shared" ca="1" si="305"/>
        <v>1051.5917508703708</v>
      </c>
      <c r="N426" s="144">
        <f t="shared" ca="1" si="305"/>
        <v>1163.7148703704574</v>
      </c>
      <c r="O426" s="144">
        <f t="shared" ca="1" si="305"/>
        <v>1287.063782607994</v>
      </c>
      <c r="P426" s="144">
        <f t="shared" ca="1" si="305"/>
        <v>1422.7610887629041</v>
      </c>
      <c r="R426" s="434"/>
      <c r="S426" s="144">
        <f ca="1">SUM(S424:S425)</f>
        <v>241.07296624999998</v>
      </c>
      <c r="T426" s="144">
        <f ca="1">SUM(T424:T425)</f>
        <v>241.07296624999998</v>
      </c>
    </row>
    <row r="427" spans="2:20" ht="13.75" customHeight="1" outlineLevel="1">
      <c r="B427" s="36" t="s">
        <v>551</v>
      </c>
      <c r="G427" s="163">
        <f t="shared" ref="G427:P427" ca="1" si="306">-MAX(0,G426*G411)</f>
        <v>-14.464377974999998</v>
      </c>
      <c r="H427" s="163">
        <f t="shared" ca="1" si="306"/>
        <v>-17.171779053002073</v>
      </c>
      <c r="I427" s="163">
        <f t="shared" ca="1" si="306"/>
        <v>-19.130944553218519</v>
      </c>
      <c r="J427" s="163">
        <f t="shared" ca="1" si="306"/>
        <v>-21.322228378443899</v>
      </c>
      <c r="K427" s="163">
        <f t="shared" ca="1" si="306"/>
        <v>-24.608442088219785</v>
      </c>
      <c r="L427" s="163">
        <f t="shared" ca="1" si="306"/>
        <v>-28.490216328385191</v>
      </c>
      <c r="M427" s="163">
        <f t="shared" ca="1" si="306"/>
        <v>-31.547752526111122</v>
      </c>
      <c r="N427" s="163">
        <f t="shared" ca="1" si="306"/>
        <v>-34.911446111113719</v>
      </c>
      <c r="O427" s="163">
        <f t="shared" ca="1" si="306"/>
        <v>-38.611913478239821</v>
      </c>
      <c r="P427" s="163">
        <f t="shared" ca="1" si="306"/>
        <v>-42.682832662887122</v>
      </c>
      <c r="R427" s="434"/>
      <c r="S427" s="163">
        <f ca="1">-MAX(0,S426*S411)</f>
        <v>-7.2321889874999989</v>
      </c>
      <c r="T427" s="163">
        <f ca="1">-MAX(0,T426*T411)</f>
        <v>-7.2321889874999989</v>
      </c>
    </row>
    <row r="428" spans="2:20" ht="13.75" customHeight="1" outlineLevel="1">
      <c r="B428" s="116" t="s">
        <v>550</v>
      </c>
      <c r="C428" s="116"/>
      <c r="D428" s="116"/>
      <c r="E428" s="116"/>
      <c r="F428" s="116"/>
      <c r="G428" s="403">
        <f t="shared" ref="G428:P428" ca="1" si="307">SUM(G426:G427)</f>
        <v>467.68155452499997</v>
      </c>
      <c r="H428" s="403">
        <f t="shared" ca="1" si="307"/>
        <v>555.22085604706706</v>
      </c>
      <c r="I428" s="403">
        <f t="shared" ca="1" si="307"/>
        <v>618.56720722073214</v>
      </c>
      <c r="J428" s="403">
        <f t="shared" ca="1" si="307"/>
        <v>689.41871756968612</v>
      </c>
      <c r="K428" s="403">
        <f t="shared" ca="1" si="307"/>
        <v>795.6729608524397</v>
      </c>
      <c r="L428" s="403">
        <f t="shared" ca="1" si="307"/>
        <v>921.18366128445462</v>
      </c>
      <c r="M428" s="403">
        <f t="shared" ca="1" si="307"/>
        <v>1020.0439983442596</v>
      </c>
      <c r="N428" s="403">
        <f t="shared" ca="1" si="307"/>
        <v>1128.8034242593437</v>
      </c>
      <c r="O428" s="403">
        <f t="shared" ca="1" si="307"/>
        <v>1248.4518691297542</v>
      </c>
      <c r="P428" s="403">
        <f t="shared" ca="1" si="307"/>
        <v>1380.0782561000169</v>
      </c>
      <c r="R428" s="434"/>
      <c r="S428" s="403">
        <f ca="1">SUM(S426:S427)</f>
        <v>233.84077726249998</v>
      </c>
      <c r="T428" s="403">
        <f ca="1">SUM(T426:T427)</f>
        <v>233.84077726249998</v>
      </c>
    </row>
    <row r="429" spans="2:20" s="193" customFormat="1" ht="13.75" customHeight="1" outlineLevel="1">
      <c r="B429" s="260"/>
      <c r="C429" s="260"/>
      <c r="D429" s="260"/>
      <c r="E429" s="260"/>
      <c r="F429" s="260"/>
      <c r="G429" s="443"/>
      <c r="H429" s="443"/>
      <c r="I429" s="443"/>
      <c r="J429" s="443"/>
      <c r="K429" s="443"/>
      <c r="L429" s="443"/>
      <c r="M429" s="443"/>
      <c r="N429" s="443"/>
      <c r="O429" s="443"/>
      <c r="P429" s="443"/>
      <c r="R429" s="502"/>
      <c r="S429" s="118"/>
      <c r="T429" s="118"/>
    </row>
    <row r="430" spans="2:20" s="193" customFormat="1" ht="13.75" customHeight="1" outlineLevel="1">
      <c r="B430" s="36" t="s">
        <v>552</v>
      </c>
      <c r="C430" s="260"/>
      <c r="D430" s="260"/>
      <c r="E430" s="260"/>
      <c r="F430" s="260"/>
      <c r="G430" s="401">
        <f t="shared" ref="G430:P430" ca="1" si="308">G486</f>
        <v>154.28814483779749</v>
      </c>
      <c r="H430" s="401">
        <f t="shared" ca="1" si="308"/>
        <v>183.16736040992743</v>
      </c>
      <c r="I430" s="401">
        <f t="shared" ca="1" si="308"/>
        <v>204.06532166211954</v>
      </c>
      <c r="J430" s="401">
        <f t="shared" ca="1" si="308"/>
        <v>227.43923492623946</v>
      </c>
      <c r="K430" s="401">
        <f t="shared" ca="1" si="308"/>
        <v>262.49250978521985</v>
      </c>
      <c r="L430" s="401">
        <f t="shared" ca="1" si="308"/>
        <v>303.89848985774159</v>
      </c>
      <c r="M430" s="401">
        <f t="shared" ca="1" si="308"/>
        <v>336.51251505377127</v>
      </c>
      <c r="N430" s="401">
        <f t="shared" ca="1" si="308"/>
        <v>372.39224966315754</v>
      </c>
      <c r="O430" s="401">
        <f t="shared" ca="1" si="308"/>
        <v>411.86427162590593</v>
      </c>
      <c r="P430" s="401">
        <f t="shared" ca="1" si="308"/>
        <v>455.2878166873956</v>
      </c>
      <c r="R430" s="502"/>
      <c r="S430" s="401">
        <f ca="1">S486</f>
        <v>77.144072418898745</v>
      </c>
      <c r="T430" s="401">
        <f ca="1">T486</f>
        <v>77.144072418898745</v>
      </c>
    </row>
    <row r="431" spans="2:20" s="193" customFormat="1" ht="13.75" customHeight="1" outlineLevel="1">
      <c r="B431" s="36" t="s">
        <v>553</v>
      </c>
      <c r="C431" s="260"/>
      <c r="D431" s="260"/>
      <c r="E431" s="260"/>
      <c r="F431" s="260"/>
      <c r="G431" s="163">
        <f t="shared" ref="G431:P431" ca="1" si="309">-G427</f>
        <v>14.464377974999998</v>
      </c>
      <c r="H431" s="163">
        <f t="shared" ca="1" si="309"/>
        <v>17.171779053002073</v>
      </c>
      <c r="I431" s="163">
        <f t="shared" ca="1" si="309"/>
        <v>19.130944553218519</v>
      </c>
      <c r="J431" s="163">
        <f t="shared" ca="1" si="309"/>
        <v>21.322228378443899</v>
      </c>
      <c r="K431" s="163">
        <f t="shared" ca="1" si="309"/>
        <v>24.608442088219785</v>
      </c>
      <c r="L431" s="163">
        <f t="shared" ca="1" si="309"/>
        <v>28.490216328385191</v>
      </c>
      <c r="M431" s="163">
        <f t="shared" ca="1" si="309"/>
        <v>31.547752526111122</v>
      </c>
      <c r="N431" s="163">
        <f t="shared" ca="1" si="309"/>
        <v>34.911446111113719</v>
      </c>
      <c r="O431" s="163">
        <f t="shared" ca="1" si="309"/>
        <v>38.611913478239821</v>
      </c>
      <c r="P431" s="163">
        <f t="shared" ca="1" si="309"/>
        <v>42.682832662887122</v>
      </c>
      <c r="R431" s="502"/>
      <c r="S431" s="163">
        <f ca="1">-S427</f>
        <v>7.2321889874999989</v>
      </c>
      <c r="T431" s="163">
        <f ca="1">-T427</f>
        <v>7.2321889874999989</v>
      </c>
    </row>
    <row r="432" spans="2:20" ht="13.75" customHeight="1" outlineLevel="1">
      <c r="B432" s="445" t="s">
        <v>554</v>
      </c>
      <c r="C432" s="445"/>
      <c r="D432" s="445"/>
      <c r="E432" s="445"/>
      <c r="F432" s="445"/>
      <c r="G432" s="446">
        <f t="shared" ref="G432:P432" ca="1" si="310">SUM(G430:G431)</f>
        <v>168.75252281279748</v>
      </c>
      <c r="H432" s="446">
        <f t="shared" ca="1" si="310"/>
        <v>200.3391394629295</v>
      </c>
      <c r="I432" s="446">
        <f t="shared" ca="1" si="310"/>
        <v>223.19626621533806</v>
      </c>
      <c r="J432" s="446">
        <f t="shared" ca="1" si="310"/>
        <v>248.76146330468336</v>
      </c>
      <c r="K432" s="446">
        <f t="shared" ca="1" si="310"/>
        <v>287.10095187343961</v>
      </c>
      <c r="L432" s="446">
        <f t="shared" ca="1" si="310"/>
        <v>332.3887061861268</v>
      </c>
      <c r="M432" s="446">
        <f t="shared" ca="1" si="310"/>
        <v>368.06026757988241</v>
      </c>
      <c r="N432" s="446">
        <f t="shared" ca="1" si="310"/>
        <v>407.30369577427126</v>
      </c>
      <c r="O432" s="446">
        <f t="shared" ca="1" si="310"/>
        <v>450.47618510414577</v>
      </c>
      <c r="P432" s="446">
        <f t="shared" ca="1" si="310"/>
        <v>497.97064935028271</v>
      </c>
      <c r="R432" s="434"/>
      <c r="S432" s="446">
        <f ca="1">SUM(S430:S431)</f>
        <v>84.37626140639874</v>
      </c>
      <c r="T432" s="446">
        <f ca="1">SUM(T430:T431)</f>
        <v>84.37626140639874</v>
      </c>
    </row>
    <row r="433" spans="2:20" ht="13.75" customHeight="1" outlineLevel="1">
      <c r="B433" s="36" t="s">
        <v>515</v>
      </c>
      <c r="G433" s="163">
        <f t="shared" ref="G433:P433" ca="1" si="311">G434-G432</f>
        <v>0</v>
      </c>
      <c r="H433" s="163">
        <f t="shared" ca="1" si="311"/>
        <v>0</v>
      </c>
      <c r="I433" s="163">
        <f t="shared" ca="1" si="311"/>
        <v>0</v>
      </c>
      <c r="J433" s="163">
        <f t="shared" ca="1" si="311"/>
        <v>0</v>
      </c>
      <c r="K433" s="163">
        <f t="shared" ca="1" si="311"/>
        <v>0</v>
      </c>
      <c r="L433" s="163">
        <f t="shared" ca="1" si="311"/>
        <v>0</v>
      </c>
      <c r="M433" s="163">
        <f t="shared" ca="1" si="311"/>
        <v>0</v>
      </c>
      <c r="N433" s="163">
        <f t="shared" ca="1" si="311"/>
        <v>0</v>
      </c>
      <c r="O433" s="163">
        <f t="shared" ca="1" si="311"/>
        <v>0</v>
      </c>
      <c r="P433" s="163">
        <f t="shared" ca="1" si="311"/>
        <v>0</v>
      </c>
      <c r="R433" s="434"/>
      <c r="S433" s="163">
        <f ca="1">S434-S432</f>
        <v>0</v>
      </c>
      <c r="T433" s="163">
        <f ca="1">T434-T432</f>
        <v>0</v>
      </c>
    </row>
    <row r="434" spans="2:20" ht="13.75" customHeight="1" outlineLevel="1">
      <c r="B434" s="116" t="s">
        <v>514</v>
      </c>
      <c r="C434" s="116"/>
      <c r="D434" s="116"/>
      <c r="E434" s="116"/>
      <c r="F434" s="116"/>
      <c r="G434" s="403">
        <f t="shared" ref="G434:P434" ca="1" si="312">G31</f>
        <v>168.75252281279757</v>
      </c>
      <c r="H434" s="403">
        <f t="shared" ca="1" si="312"/>
        <v>200.33913946292952</v>
      </c>
      <c r="I434" s="403">
        <f t="shared" ca="1" si="312"/>
        <v>223.19626621533814</v>
      </c>
      <c r="J434" s="403">
        <f t="shared" ca="1" si="312"/>
        <v>248.76146330468342</v>
      </c>
      <c r="K434" s="403">
        <f t="shared" ca="1" si="312"/>
        <v>287.10095187343973</v>
      </c>
      <c r="L434" s="403">
        <f t="shared" ca="1" si="312"/>
        <v>332.3887061861268</v>
      </c>
      <c r="M434" s="403">
        <f t="shared" ca="1" si="312"/>
        <v>368.06026757988246</v>
      </c>
      <c r="N434" s="403">
        <f t="shared" ca="1" si="312"/>
        <v>407.30369577427132</v>
      </c>
      <c r="O434" s="403">
        <f t="shared" ca="1" si="312"/>
        <v>450.47618510414577</v>
      </c>
      <c r="P434" s="403">
        <f t="shared" ca="1" si="312"/>
        <v>497.97064935028283</v>
      </c>
      <c r="R434" s="434"/>
      <c r="S434" s="403">
        <f ca="1">S31</f>
        <v>84.376261406398783</v>
      </c>
      <c r="T434" s="403">
        <f ca="1">T31</f>
        <v>84.376261406398783</v>
      </c>
    </row>
    <row r="435" spans="2:20" ht="13.75" customHeight="1" outlineLevel="1">
      <c r="G435" s="163"/>
      <c r="H435" s="163"/>
      <c r="I435" s="163"/>
      <c r="J435" s="163"/>
      <c r="K435" s="163"/>
      <c r="L435" s="163"/>
      <c r="M435" s="163"/>
      <c r="N435" s="163"/>
      <c r="O435" s="163"/>
      <c r="P435" s="163"/>
      <c r="R435" s="434"/>
      <c r="S435" s="163"/>
      <c r="T435" s="163"/>
    </row>
    <row r="436" spans="2:20" ht="13.75" customHeight="1" outlineLevel="1">
      <c r="B436" s="36" t="s">
        <v>526</v>
      </c>
      <c r="G436" s="401">
        <f t="shared" ref="G436:P436" si="313">F438</f>
        <v>0</v>
      </c>
      <c r="H436" s="401">
        <f t="shared" ca="1" si="313"/>
        <v>0</v>
      </c>
      <c r="I436" s="401">
        <f t="shared" ca="1" si="313"/>
        <v>0</v>
      </c>
      <c r="J436" s="401">
        <f t="shared" ca="1" si="313"/>
        <v>0</v>
      </c>
      <c r="K436" s="401">
        <f t="shared" ca="1" si="313"/>
        <v>0</v>
      </c>
      <c r="L436" s="401">
        <f t="shared" ca="1" si="313"/>
        <v>0</v>
      </c>
      <c r="M436" s="401">
        <f t="shared" ca="1" si="313"/>
        <v>0</v>
      </c>
      <c r="N436" s="401">
        <f t="shared" ca="1" si="313"/>
        <v>0</v>
      </c>
      <c r="O436" s="401">
        <f t="shared" ca="1" si="313"/>
        <v>0</v>
      </c>
      <c r="P436" s="401">
        <f t="shared" ca="1" si="313"/>
        <v>0</v>
      </c>
      <c r="R436" s="434"/>
      <c r="S436" s="304">
        <f>F438</f>
        <v>0</v>
      </c>
      <c r="T436" s="401">
        <f ca="1">S438</f>
        <v>0</v>
      </c>
    </row>
    <row r="437" spans="2:20" ht="13.75" customHeight="1" outlineLevel="1">
      <c r="B437" s="36" t="s">
        <v>525</v>
      </c>
      <c r="G437" s="163">
        <f t="shared" ref="G437:P437" ca="1" si="314">G433</f>
        <v>0</v>
      </c>
      <c r="H437" s="163">
        <f t="shared" ca="1" si="314"/>
        <v>0</v>
      </c>
      <c r="I437" s="163">
        <f t="shared" ca="1" si="314"/>
        <v>0</v>
      </c>
      <c r="J437" s="163">
        <f t="shared" ca="1" si="314"/>
        <v>0</v>
      </c>
      <c r="K437" s="163">
        <f t="shared" ca="1" si="314"/>
        <v>0</v>
      </c>
      <c r="L437" s="163">
        <f t="shared" ca="1" si="314"/>
        <v>0</v>
      </c>
      <c r="M437" s="163">
        <f t="shared" ca="1" si="314"/>
        <v>0</v>
      </c>
      <c r="N437" s="163">
        <f t="shared" ca="1" si="314"/>
        <v>0</v>
      </c>
      <c r="O437" s="163">
        <f t="shared" ca="1" si="314"/>
        <v>0</v>
      </c>
      <c r="P437" s="163">
        <f t="shared" ca="1" si="314"/>
        <v>0</v>
      </c>
      <c r="R437" s="434"/>
      <c r="S437" s="163">
        <f ca="1">S433</f>
        <v>0</v>
      </c>
      <c r="T437" s="163">
        <f ca="1">T433</f>
        <v>0</v>
      </c>
    </row>
    <row r="438" spans="2:20" ht="13.5" customHeight="1" outlineLevel="1">
      <c r="B438" s="407" t="s">
        <v>527</v>
      </c>
      <c r="C438" s="407"/>
      <c r="D438" s="407"/>
      <c r="E438" s="407"/>
      <c r="F438" s="503">
        <f>F114</f>
        <v>0</v>
      </c>
      <c r="G438" s="157">
        <f t="shared" ref="G438:P438" ca="1" si="315">SUM(G436:G437)</f>
        <v>0</v>
      </c>
      <c r="H438" s="157">
        <f t="shared" ca="1" si="315"/>
        <v>0</v>
      </c>
      <c r="I438" s="157">
        <f t="shared" ca="1" si="315"/>
        <v>0</v>
      </c>
      <c r="J438" s="157">
        <f t="shared" ca="1" si="315"/>
        <v>0</v>
      </c>
      <c r="K438" s="157">
        <f t="shared" ca="1" si="315"/>
        <v>0</v>
      </c>
      <c r="L438" s="157">
        <f t="shared" ca="1" si="315"/>
        <v>0</v>
      </c>
      <c r="M438" s="157">
        <f t="shared" ca="1" si="315"/>
        <v>0</v>
      </c>
      <c r="N438" s="157">
        <f t="shared" ca="1" si="315"/>
        <v>0</v>
      </c>
      <c r="O438" s="157">
        <f t="shared" ca="1" si="315"/>
        <v>0</v>
      </c>
      <c r="P438" s="157">
        <f t="shared" ca="1" si="315"/>
        <v>0</v>
      </c>
      <c r="R438" s="434"/>
      <c r="S438" s="157">
        <f ca="1">SUM(S436:S437)</f>
        <v>0</v>
      </c>
      <c r="T438" s="157">
        <f ca="1">SUM(T436:T437)</f>
        <v>0</v>
      </c>
    </row>
    <row r="439" spans="2:20" ht="13.75" customHeight="1" outlineLevel="1">
      <c r="G439" s="163"/>
      <c r="H439" s="163"/>
      <c r="I439" s="163"/>
      <c r="J439" s="163"/>
      <c r="K439" s="163"/>
      <c r="L439" s="163"/>
      <c r="M439" s="163"/>
      <c r="N439" s="163"/>
      <c r="O439" s="163"/>
      <c r="P439" s="163"/>
      <c r="R439" s="434"/>
      <c r="S439" s="163"/>
      <c r="T439" s="163"/>
    </row>
    <row r="440" spans="2:20" ht="13.5" customHeight="1" outlineLevel="1">
      <c r="B440" s="457" t="s">
        <v>650</v>
      </c>
      <c r="C440" s="458"/>
      <c r="D440" s="459"/>
      <c r="E440" s="459"/>
      <c r="F440" s="459"/>
      <c r="G440" s="459"/>
      <c r="H440" s="459"/>
      <c r="I440" s="459"/>
      <c r="J440" s="459"/>
      <c r="K440" s="459"/>
      <c r="L440" s="459"/>
      <c r="M440" s="459"/>
      <c r="N440" s="459"/>
      <c r="O440" s="459"/>
      <c r="P440" s="460"/>
      <c r="R440" s="434"/>
      <c r="S440" s="461"/>
      <c r="T440" s="460"/>
    </row>
    <row r="441" spans="2:20" ht="13.75" customHeight="1" outlineLevel="1">
      <c r="F441" s="163"/>
      <c r="G441" s="163"/>
      <c r="H441" s="163"/>
      <c r="I441" s="163"/>
      <c r="J441" s="163"/>
      <c r="K441" s="163"/>
      <c r="L441" s="163"/>
      <c r="M441" s="163"/>
      <c r="N441" s="163"/>
      <c r="O441" s="163"/>
      <c r="P441" s="163"/>
      <c r="R441" s="434"/>
      <c r="S441" s="163"/>
      <c r="T441" s="163"/>
    </row>
    <row r="442" spans="2:20" ht="13.75" customHeight="1" outlineLevel="1">
      <c r="B442" s="88" t="s">
        <v>652</v>
      </c>
      <c r="C442" s="88"/>
      <c r="D442" s="88"/>
      <c r="F442" s="456">
        <v>0</v>
      </c>
      <c r="G442" s="401">
        <f>$F442*G$3</f>
        <v>0</v>
      </c>
      <c r="H442" s="401">
        <f t="shared" ref="H442:P442" si="316">$F442*H$3</f>
        <v>0</v>
      </c>
      <c r="I442" s="401">
        <f t="shared" si="316"/>
        <v>0</v>
      </c>
      <c r="J442" s="401">
        <f t="shared" si="316"/>
        <v>0</v>
      </c>
      <c r="K442" s="401">
        <f t="shared" si="316"/>
        <v>0</v>
      </c>
      <c r="L442" s="401">
        <f t="shared" si="316"/>
        <v>0</v>
      </c>
      <c r="M442" s="401">
        <f t="shared" si="316"/>
        <v>0</v>
      </c>
      <c r="N442" s="401">
        <f t="shared" si="316"/>
        <v>0</v>
      </c>
      <c r="O442" s="401">
        <f t="shared" si="316"/>
        <v>0</v>
      </c>
      <c r="P442" s="401">
        <f t="shared" si="316"/>
        <v>0</v>
      </c>
      <c r="R442" s="434"/>
      <c r="S442" s="401">
        <f t="shared" ref="S442:T442" si="317">$F442*S$3</f>
        <v>0</v>
      </c>
      <c r="T442" s="401">
        <f t="shared" si="317"/>
        <v>0</v>
      </c>
    </row>
    <row r="443" spans="2:20" ht="13.75" customHeight="1" outlineLevel="1">
      <c r="B443" s="36" t="s">
        <v>543</v>
      </c>
      <c r="F443" s="504">
        <v>0</v>
      </c>
      <c r="G443" s="307">
        <f>MAX(0,F443-G$3)</f>
        <v>0</v>
      </c>
      <c r="H443" s="307">
        <f t="shared" ref="H443:P443" si="318">MAX(0,G443-H$3)</f>
        <v>0</v>
      </c>
      <c r="I443" s="307">
        <f t="shared" si="318"/>
        <v>0</v>
      </c>
      <c r="J443" s="307">
        <f t="shared" si="318"/>
        <v>0</v>
      </c>
      <c r="K443" s="307">
        <f t="shared" si="318"/>
        <v>0</v>
      </c>
      <c r="L443" s="307">
        <f t="shared" si="318"/>
        <v>0</v>
      </c>
      <c r="M443" s="307">
        <f t="shared" si="318"/>
        <v>0</v>
      </c>
      <c r="N443" s="307">
        <f t="shared" si="318"/>
        <v>0</v>
      </c>
      <c r="O443" s="307">
        <f t="shared" si="318"/>
        <v>0</v>
      </c>
      <c r="P443" s="307">
        <f t="shared" si="318"/>
        <v>0</v>
      </c>
      <c r="R443" s="434"/>
      <c r="S443" s="505">
        <f>MAX(0,$F443-SUM($S$3:S$3))</f>
        <v>0</v>
      </c>
      <c r="T443" s="505">
        <f>MAX(0,$F443-SUM($S$3:T$3))</f>
        <v>0</v>
      </c>
    </row>
    <row r="444" spans="2:20" ht="13.75" customHeight="1" outlineLevel="1">
      <c r="G444" s="163"/>
      <c r="H444" s="163"/>
      <c r="I444" s="163"/>
      <c r="J444" s="163"/>
      <c r="K444" s="163"/>
      <c r="L444" s="163"/>
      <c r="M444" s="163"/>
      <c r="N444" s="163"/>
      <c r="O444" s="163"/>
      <c r="P444" s="163"/>
      <c r="R444" s="434"/>
      <c r="S444" s="163"/>
      <c r="T444" s="163"/>
    </row>
    <row r="445" spans="2:20" ht="13.75" customHeight="1" outlineLevel="1">
      <c r="B445" s="354" t="s">
        <v>653</v>
      </c>
      <c r="C445" s="88"/>
      <c r="D445" s="88"/>
      <c r="E445" s="118"/>
      <c r="F445" s="118"/>
      <c r="G445" s="118"/>
      <c r="H445" s="163"/>
      <c r="I445" s="163"/>
      <c r="J445" s="163"/>
      <c r="K445" s="163"/>
      <c r="L445" s="163"/>
      <c r="M445" s="163"/>
      <c r="N445" s="163"/>
      <c r="O445" s="163"/>
      <c r="P445" s="163"/>
      <c r="R445" s="434"/>
      <c r="S445" s="163"/>
      <c r="T445" s="163"/>
    </row>
    <row r="446" spans="2:20" ht="13.75" customHeight="1" outlineLevel="1">
      <c r="B446" s="36" t="s">
        <v>394</v>
      </c>
      <c r="F446" s="401"/>
      <c r="G446" s="401">
        <f t="shared" ref="G446:P446" si="319">F449</f>
        <v>0</v>
      </c>
      <c r="H446" s="401">
        <f t="shared" ca="1" si="319"/>
        <v>0</v>
      </c>
      <c r="I446" s="401">
        <f t="shared" ca="1" si="319"/>
        <v>0</v>
      </c>
      <c r="J446" s="401">
        <f t="shared" ca="1" si="319"/>
        <v>0</v>
      </c>
      <c r="K446" s="401">
        <f t="shared" ca="1" si="319"/>
        <v>0</v>
      </c>
      <c r="L446" s="401">
        <f t="shared" ca="1" si="319"/>
        <v>0</v>
      </c>
      <c r="M446" s="401">
        <f t="shared" ca="1" si="319"/>
        <v>0</v>
      </c>
      <c r="N446" s="401">
        <f t="shared" ca="1" si="319"/>
        <v>0</v>
      </c>
      <c r="O446" s="401">
        <f t="shared" ca="1" si="319"/>
        <v>0</v>
      </c>
      <c r="P446" s="401">
        <f t="shared" ca="1" si="319"/>
        <v>0</v>
      </c>
      <c r="R446" s="434"/>
      <c r="S446" s="304">
        <f>F449</f>
        <v>0</v>
      </c>
      <c r="T446" s="401">
        <f t="shared" ref="T446" ca="1" si="320">S449</f>
        <v>0</v>
      </c>
    </row>
    <row r="447" spans="2:20" ht="13.75" customHeight="1" outlineLevel="1">
      <c r="B447" s="36" t="s">
        <v>518</v>
      </c>
      <c r="F447" s="163"/>
      <c r="G447" s="163">
        <f ca="1">IF(G424&gt;0,-MIN(G424,G446,G442+G452),0)</f>
        <v>0</v>
      </c>
      <c r="H447" s="163">
        <f t="shared" ref="H447:P447" ca="1" si="321">IF(H424&gt;0,-MIN(H424,H446,H442+H452),0)</f>
        <v>0</v>
      </c>
      <c r="I447" s="163">
        <f t="shared" ca="1" si="321"/>
        <v>0</v>
      </c>
      <c r="J447" s="163">
        <f t="shared" ca="1" si="321"/>
        <v>0</v>
      </c>
      <c r="K447" s="163">
        <f t="shared" ca="1" si="321"/>
        <v>0</v>
      </c>
      <c r="L447" s="163">
        <f t="shared" ca="1" si="321"/>
        <v>0</v>
      </c>
      <c r="M447" s="163">
        <f t="shared" ca="1" si="321"/>
        <v>0</v>
      </c>
      <c r="N447" s="163">
        <f t="shared" ca="1" si="321"/>
        <v>0</v>
      </c>
      <c r="O447" s="163">
        <f t="shared" ca="1" si="321"/>
        <v>0</v>
      </c>
      <c r="P447" s="163">
        <f t="shared" ca="1" si="321"/>
        <v>0</v>
      </c>
      <c r="R447" s="434"/>
      <c r="S447" s="163">
        <f t="shared" ref="S447:T447" ca="1" si="322">IF(S424&gt;0,-MIN(S424,S446,S442+S452),0)</f>
        <v>0</v>
      </c>
      <c r="T447" s="163">
        <f t="shared" ca="1" si="322"/>
        <v>0</v>
      </c>
    </row>
    <row r="448" spans="2:20" ht="13.75" customHeight="1" outlineLevel="1">
      <c r="B448" s="36" t="s">
        <v>519</v>
      </c>
      <c r="F448" s="118"/>
      <c r="G448" s="118">
        <f ca="1">IF(G443&gt;0,0,-SUM(G446:G447))</f>
        <v>0</v>
      </c>
      <c r="H448" s="118">
        <f t="shared" ref="H448:P448" ca="1" si="323">IF(H443&gt;0,0,-SUM(H446:H447))</f>
        <v>0</v>
      </c>
      <c r="I448" s="118">
        <f t="shared" ca="1" si="323"/>
        <v>0</v>
      </c>
      <c r="J448" s="118">
        <f t="shared" ca="1" si="323"/>
        <v>0</v>
      </c>
      <c r="K448" s="118">
        <f t="shared" ca="1" si="323"/>
        <v>0</v>
      </c>
      <c r="L448" s="118">
        <f t="shared" ca="1" si="323"/>
        <v>0</v>
      </c>
      <c r="M448" s="118">
        <f t="shared" ca="1" si="323"/>
        <v>0</v>
      </c>
      <c r="N448" s="118">
        <f t="shared" ca="1" si="323"/>
        <v>0</v>
      </c>
      <c r="O448" s="118">
        <f t="shared" ca="1" si="323"/>
        <v>0</v>
      </c>
      <c r="P448" s="118">
        <f t="shared" ca="1" si="323"/>
        <v>0</v>
      </c>
      <c r="R448" s="434"/>
      <c r="S448" s="118">
        <f t="shared" ref="S448:T448" ca="1" si="324">IF(S443&gt;0,0,-SUM(S446:S447))</f>
        <v>0</v>
      </c>
      <c r="T448" s="118">
        <f t="shared" ca="1" si="324"/>
        <v>0</v>
      </c>
    </row>
    <row r="449" spans="2:20" ht="13.75" customHeight="1" outlineLevel="1">
      <c r="B449" s="116" t="s">
        <v>397</v>
      </c>
      <c r="C449" s="116"/>
      <c r="D449" s="116"/>
      <c r="E449" s="116"/>
      <c r="F449" s="506">
        <v>0</v>
      </c>
      <c r="G449" s="403">
        <f ca="1">SUM(G446:G448)</f>
        <v>0</v>
      </c>
      <c r="H449" s="403">
        <f t="shared" ref="H449:P449" ca="1" si="325">SUM(H446:H448)</f>
        <v>0</v>
      </c>
      <c r="I449" s="403">
        <f t="shared" ca="1" si="325"/>
        <v>0</v>
      </c>
      <c r="J449" s="403">
        <f t="shared" ca="1" si="325"/>
        <v>0</v>
      </c>
      <c r="K449" s="403">
        <f t="shared" ca="1" si="325"/>
        <v>0</v>
      </c>
      <c r="L449" s="403">
        <f t="shared" ca="1" si="325"/>
        <v>0</v>
      </c>
      <c r="M449" s="403">
        <f t="shared" ca="1" si="325"/>
        <v>0</v>
      </c>
      <c r="N449" s="403">
        <f t="shared" ca="1" si="325"/>
        <v>0</v>
      </c>
      <c r="O449" s="403">
        <f t="shared" ca="1" si="325"/>
        <v>0</v>
      </c>
      <c r="P449" s="403">
        <f t="shared" ca="1" si="325"/>
        <v>0</v>
      </c>
      <c r="R449" s="434"/>
      <c r="S449" s="403">
        <f t="shared" ref="S449:T449" ca="1" si="326">SUM(S446:S448)</f>
        <v>0</v>
      </c>
      <c r="T449" s="403">
        <f t="shared" ca="1" si="326"/>
        <v>0</v>
      </c>
    </row>
    <row r="450" spans="2:20" ht="13.75" customHeight="1" outlineLevel="1">
      <c r="B450" s="88"/>
      <c r="C450" s="88"/>
      <c r="D450" s="88"/>
      <c r="E450" s="88"/>
      <c r="F450" s="118"/>
      <c r="G450" s="118"/>
      <c r="H450" s="163"/>
      <c r="I450" s="163"/>
      <c r="J450" s="163"/>
      <c r="K450" s="163"/>
      <c r="L450" s="163"/>
      <c r="M450" s="163"/>
      <c r="N450" s="163"/>
      <c r="O450" s="163"/>
      <c r="P450" s="163"/>
      <c r="R450" s="434"/>
      <c r="S450" s="163"/>
      <c r="T450" s="163"/>
    </row>
    <row r="451" spans="2:20" ht="13.75" customHeight="1" outlineLevel="1">
      <c r="B451" s="354" t="s">
        <v>654</v>
      </c>
      <c r="C451" s="88"/>
      <c r="D451" s="88"/>
      <c r="E451" s="118"/>
      <c r="F451" s="118"/>
      <c r="G451" s="118"/>
      <c r="H451" s="163"/>
      <c r="I451" s="163"/>
      <c r="J451" s="163"/>
      <c r="K451" s="163"/>
      <c r="L451" s="163"/>
      <c r="M451" s="163"/>
      <c r="N451" s="163"/>
      <c r="O451" s="163"/>
      <c r="P451" s="163"/>
      <c r="R451" s="434"/>
      <c r="S451" s="163"/>
      <c r="T451" s="163"/>
    </row>
    <row r="452" spans="2:20" ht="13.75" customHeight="1" outlineLevel="1">
      <c r="B452" s="88" t="s">
        <v>394</v>
      </c>
      <c r="C452" s="88"/>
      <c r="D452" s="88"/>
      <c r="E452" s="88"/>
      <c r="F452" s="118"/>
      <c r="G452" s="401">
        <f t="shared" ref="G452:P452" si="327">F455</f>
        <v>0</v>
      </c>
      <c r="H452" s="401">
        <f t="shared" ca="1" si="327"/>
        <v>0</v>
      </c>
      <c r="I452" s="401">
        <f t="shared" ca="1" si="327"/>
        <v>0</v>
      </c>
      <c r="J452" s="401">
        <f t="shared" ca="1" si="327"/>
        <v>0</v>
      </c>
      <c r="K452" s="401">
        <f t="shared" ca="1" si="327"/>
        <v>0</v>
      </c>
      <c r="L452" s="401">
        <f t="shared" ca="1" si="327"/>
        <v>0</v>
      </c>
      <c r="M452" s="401">
        <f t="shared" ca="1" si="327"/>
        <v>0</v>
      </c>
      <c r="N452" s="401">
        <f t="shared" ca="1" si="327"/>
        <v>0</v>
      </c>
      <c r="O452" s="401">
        <f t="shared" ca="1" si="327"/>
        <v>0</v>
      </c>
      <c r="P452" s="401">
        <f t="shared" ca="1" si="327"/>
        <v>0</v>
      </c>
      <c r="R452" s="434"/>
      <c r="S452" s="304">
        <f>F455</f>
        <v>0</v>
      </c>
      <c r="T452" s="401">
        <f t="shared" ref="T452" ca="1" si="328">S455</f>
        <v>0</v>
      </c>
    </row>
    <row r="453" spans="2:20" ht="13.75" customHeight="1" outlineLevel="1">
      <c r="B453" s="88" t="s">
        <v>655</v>
      </c>
      <c r="C453" s="88"/>
      <c r="D453" s="88"/>
      <c r="E453" s="88"/>
      <c r="F453" s="118"/>
      <c r="G453" s="118">
        <f ca="1">IF(G449&gt;0,MAX(0,G442+G447),0)</f>
        <v>0</v>
      </c>
      <c r="H453" s="118">
        <f t="shared" ref="H453:P453" ca="1" si="329">IF(H449&gt;0,MAX(0,H442+H447),0)</f>
        <v>0</v>
      </c>
      <c r="I453" s="118">
        <f t="shared" ca="1" si="329"/>
        <v>0</v>
      </c>
      <c r="J453" s="118">
        <f t="shared" ca="1" si="329"/>
        <v>0</v>
      </c>
      <c r="K453" s="118">
        <f t="shared" ca="1" si="329"/>
        <v>0</v>
      </c>
      <c r="L453" s="118">
        <f t="shared" ca="1" si="329"/>
        <v>0</v>
      </c>
      <c r="M453" s="118">
        <f t="shared" ca="1" si="329"/>
        <v>0</v>
      </c>
      <c r="N453" s="118">
        <f t="shared" ca="1" si="329"/>
        <v>0</v>
      </c>
      <c r="O453" s="118">
        <f t="shared" ca="1" si="329"/>
        <v>0</v>
      </c>
      <c r="P453" s="118">
        <f t="shared" ca="1" si="329"/>
        <v>0</v>
      </c>
      <c r="R453" s="434"/>
      <c r="S453" s="118">
        <f t="shared" ref="S453:T453" ca="1" si="330">IF(S449&gt;0,MAX(0,S442+S447),0)</f>
        <v>0</v>
      </c>
      <c r="T453" s="118">
        <f t="shared" ca="1" si="330"/>
        <v>0</v>
      </c>
    </row>
    <row r="454" spans="2:20" ht="13.75" customHeight="1" outlineLevel="1">
      <c r="B454" s="88" t="s">
        <v>656</v>
      </c>
      <c r="C454" s="88"/>
      <c r="D454" s="88"/>
      <c r="E454" s="88"/>
      <c r="F454" s="118"/>
      <c r="G454" s="118">
        <f ca="1">-MAX(0,-G447-G442)</f>
        <v>0</v>
      </c>
      <c r="H454" s="118">
        <f t="shared" ref="H454:P454" ca="1" si="331">-MAX(0,-H447-H442)</f>
        <v>0</v>
      </c>
      <c r="I454" s="118">
        <f t="shared" ca="1" si="331"/>
        <v>0</v>
      </c>
      <c r="J454" s="118">
        <f t="shared" ca="1" si="331"/>
        <v>0</v>
      </c>
      <c r="K454" s="118">
        <f t="shared" ca="1" si="331"/>
        <v>0</v>
      </c>
      <c r="L454" s="118">
        <f t="shared" ca="1" si="331"/>
        <v>0</v>
      </c>
      <c r="M454" s="118">
        <f t="shared" ca="1" si="331"/>
        <v>0</v>
      </c>
      <c r="N454" s="118">
        <f t="shared" ca="1" si="331"/>
        <v>0</v>
      </c>
      <c r="O454" s="118">
        <f t="shared" ca="1" si="331"/>
        <v>0</v>
      </c>
      <c r="P454" s="118">
        <f t="shared" ca="1" si="331"/>
        <v>0</v>
      </c>
      <c r="R454" s="434"/>
      <c r="S454" s="118">
        <f t="shared" ref="S454:T454" ca="1" si="332">-MAX(0,-S447-S442)</f>
        <v>0</v>
      </c>
      <c r="T454" s="118">
        <f t="shared" ca="1" si="332"/>
        <v>0</v>
      </c>
    </row>
    <row r="455" spans="2:20" ht="13.75" customHeight="1" outlineLevel="1">
      <c r="B455" s="116" t="s">
        <v>397</v>
      </c>
      <c r="C455" s="116"/>
      <c r="D455" s="116"/>
      <c r="E455" s="116"/>
      <c r="F455" s="506">
        <v>0</v>
      </c>
      <c r="G455" s="403">
        <f t="shared" ref="G455:P455" ca="1" si="333">SUM(G452:G454)</f>
        <v>0</v>
      </c>
      <c r="H455" s="403">
        <f t="shared" ca="1" si="333"/>
        <v>0</v>
      </c>
      <c r="I455" s="403">
        <f t="shared" ca="1" si="333"/>
        <v>0</v>
      </c>
      <c r="J455" s="403">
        <f t="shared" ca="1" si="333"/>
        <v>0</v>
      </c>
      <c r="K455" s="403">
        <f t="shared" ca="1" si="333"/>
        <v>0</v>
      </c>
      <c r="L455" s="403">
        <f t="shared" ca="1" si="333"/>
        <v>0</v>
      </c>
      <c r="M455" s="403">
        <f t="shared" ca="1" si="333"/>
        <v>0</v>
      </c>
      <c r="N455" s="403">
        <f t="shared" ca="1" si="333"/>
        <v>0</v>
      </c>
      <c r="O455" s="403">
        <f t="shared" ca="1" si="333"/>
        <v>0</v>
      </c>
      <c r="P455" s="403">
        <f t="shared" ca="1" si="333"/>
        <v>0</v>
      </c>
      <c r="R455" s="434"/>
      <c r="S455" s="403">
        <f t="shared" ref="S455:T455" ca="1" si="334">SUM(S452:S454)</f>
        <v>0</v>
      </c>
      <c r="T455" s="403">
        <f t="shared" ca="1" si="334"/>
        <v>0</v>
      </c>
    </row>
    <row r="456" spans="2:20" ht="13.75" customHeight="1" outlineLevel="1">
      <c r="G456" s="163"/>
      <c r="H456" s="163"/>
      <c r="I456" s="163"/>
      <c r="J456" s="163"/>
      <c r="K456" s="163"/>
      <c r="L456" s="163"/>
      <c r="M456" s="163"/>
      <c r="N456" s="163"/>
      <c r="O456" s="163"/>
      <c r="P456" s="163"/>
      <c r="R456" s="434"/>
      <c r="S456" s="163"/>
      <c r="T456" s="163"/>
    </row>
    <row r="457" spans="2:20" ht="13.5" customHeight="1" outlineLevel="1">
      <c r="B457" s="457" t="s">
        <v>657</v>
      </c>
      <c r="C457" s="458"/>
      <c r="D457" s="459"/>
      <c r="E457" s="459"/>
      <c r="F457" s="459"/>
      <c r="G457" s="459"/>
      <c r="H457" s="459"/>
      <c r="I457" s="459"/>
      <c r="J457" s="459"/>
      <c r="K457" s="459"/>
      <c r="L457" s="459"/>
      <c r="M457" s="459"/>
      <c r="N457" s="459"/>
      <c r="O457" s="459"/>
      <c r="P457" s="460"/>
      <c r="R457" s="434"/>
      <c r="S457" s="461"/>
      <c r="T457" s="460"/>
    </row>
    <row r="458" spans="2:20" ht="13.75" customHeight="1" outlineLevel="1">
      <c r="B458" s="318"/>
      <c r="C458" s="318"/>
      <c r="D458" s="318"/>
      <c r="E458" s="319"/>
      <c r="F458" s="319"/>
      <c r="G458" s="319"/>
      <c r="H458" s="319"/>
      <c r="I458" s="319"/>
      <c r="J458" s="319"/>
      <c r="K458" s="319"/>
      <c r="L458" s="327"/>
      <c r="R458" s="434"/>
      <c r="S458" s="319"/>
      <c r="T458" s="319"/>
    </row>
    <row r="459" spans="2:20" ht="13.75" customHeight="1" outlineLevel="1">
      <c r="B459" s="36" t="s">
        <v>543</v>
      </c>
      <c r="F459" s="504">
        <v>0</v>
      </c>
      <c r="G459" s="307">
        <f>MAX(0,F459-G$3)</f>
        <v>0</v>
      </c>
      <c r="H459" s="307">
        <f t="shared" ref="H459" si="335">MAX(0,G459-H$3)</f>
        <v>0</v>
      </c>
      <c r="I459" s="307">
        <f t="shared" ref="I459" si="336">MAX(0,H459-I$3)</f>
        <v>0</v>
      </c>
      <c r="J459" s="307">
        <f t="shared" ref="J459" si="337">MAX(0,I459-J$3)</f>
        <v>0</v>
      </c>
      <c r="K459" s="307">
        <f t="shared" ref="K459" si="338">MAX(0,J459-K$3)</f>
        <v>0</v>
      </c>
      <c r="L459" s="307">
        <f t="shared" ref="L459" si="339">MAX(0,K459-L$3)</f>
        <v>0</v>
      </c>
      <c r="M459" s="307">
        <f t="shared" ref="M459" si="340">MAX(0,L459-M$3)</f>
        <v>0</v>
      </c>
      <c r="N459" s="307">
        <f t="shared" ref="N459" si="341">MAX(0,M459-N$3)</f>
        <v>0</v>
      </c>
      <c r="O459" s="307">
        <f t="shared" ref="O459" si="342">MAX(0,N459-O$3)</f>
        <v>0</v>
      </c>
      <c r="P459" s="307">
        <f t="shared" ref="P459" si="343">MAX(0,O459-P$3)</f>
        <v>0</v>
      </c>
      <c r="R459" s="434"/>
      <c r="S459" s="505">
        <f>MAX(0,$F459-SUM($S$3:S$3))</f>
        <v>0</v>
      </c>
      <c r="T459" s="505">
        <f>MAX(0,$F459-SUM($S$3:T$3))</f>
        <v>0</v>
      </c>
    </row>
    <row r="460" spans="2:20" ht="13.75" customHeight="1" outlineLevel="1">
      <c r="G460" s="163"/>
      <c r="H460" s="163"/>
      <c r="I460" s="163"/>
      <c r="J460" s="163"/>
      <c r="K460" s="163"/>
      <c r="L460" s="163"/>
      <c r="M460" s="163"/>
      <c r="N460" s="163"/>
      <c r="O460" s="163"/>
      <c r="P460" s="163"/>
      <c r="R460" s="434"/>
      <c r="S460" s="163"/>
      <c r="T460" s="163"/>
    </row>
    <row r="461" spans="2:20" ht="13.75" customHeight="1" outlineLevel="1">
      <c r="B461" s="36" t="s">
        <v>516</v>
      </c>
      <c r="G461" s="401">
        <f>F465</f>
        <v>0</v>
      </c>
      <c r="H461" s="401">
        <f t="shared" ref="H461:P461" ca="1" si="344">G465</f>
        <v>0</v>
      </c>
      <c r="I461" s="401">
        <f t="shared" ca="1" si="344"/>
        <v>0</v>
      </c>
      <c r="J461" s="401">
        <f t="shared" ca="1" si="344"/>
        <v>0</v>
      </c>
      <c r="K461" s="401">
        <f t="shared" ca="1" si="344"/>
        <v>0</v>
      </c>
      <c r="L461" s="401">
        <f t="shared" ca="1" si="344"/>
        <v>0</v>
      </c>
      <c r="M461" s="401">
        <f t="shared" ca="1" si="344"/>
        <v>0</v>
      </c>
      <c r="N461" s="401">
        <f t="shared" ca="1" si="344"/>
        <v>0</v>
      </c>
      <c r="O461" s="401">
        <f t="shared" ca="1" si="344"/>
        <v>0</v>
      </c>
      <c r="P461" s="401">
        <f t="shared" ca="1" si="344"/>
        <v>0</v>
      </c>
      <c r="R461" s="434"/>
      <c r="S461" s="304">
        <f>F465</f>
        <v>0</v>
      </c>
      <c r="T461" s="401">
        <f ca="1">S465</f>
        <v>0</v>
      </c>
    </row>
    <row r="462" spans="2:20" ht="13.75" customHeight="1" outlineLevel="1">
      <c r="B462" s="36" t="s">
        <v>517</v>
      </c>
      <c r="G462" s="163">
        <f t="shared" ref="G462:P462" ca="1" si="345">MAX(0,-G424)</f>
        <v>0</v>
      </c>
      <c r="H462" s="163">
        <f t="shared" ca="1" si="345"/>
        <v>0</v>
      </c>
      <c r="I462" s="163">
        <f t="shared" ca="1" si="345"/>
        <v>0</v>
      </c>
      <c r="J462" s="163">
        <f t="shared" ca="1" si="345"/>
        <v>0</v>
      </c>
      <c r="K462" s="163">
        <f t="shared" ca="1" si="345"/>
        <v>0</v>
      </c>
      <c r="L462" s="163">
        <f t="shared" ca="1" si="345"/>
        <v>0</v>
      </c>
      <c r="M462" s="163">
        <f t="shared" ca="1" si="345"/>
        <v>0</v>
      </c>
      <c r="N462" s="163">
        <f t="shared" ca="1" si="345"/>
        <v>0</v>
      </c>
      <c r="O462" s="163">
        <f t="shared" ca="1" si="345"/>
        <v>0</v>
      </c>
      <c r="P462" s="163">
        <f t="shared" ca="1" si="345"/>
        <v>0</v>
      </c>
      <c r="R462" s="434"/>
      <c r="S462" s="163">
        <f ca="1">MAX(0,-S424)</f>
        <v>0</v>
      </c>
      <c r="T462" s="163">
        <f ca="1">MAX(0,-T424)</f>
        <v>0</v>
      </c>
    </row>
    <row r="463" spans="2:20" ht="13.75" customHeight="1" outlineLevel="1">
      <c r="B463" s="36" t="s">
        <v>518</v>
      </c>
      <c r="G463" s="163">
        <f ca="1">IF(G424+G447&gt;0,-MIN(G461+G462,G424+G447),0)</f>
        <v>0</v>
      </c>
      <c r="H463" s="163">
        <f t="shared" ref="H463:P463" ca="1" si="346">IF(H424+H447&gt;0,-MIN(H461+H462,H424+H447),0)</f>
        <v>0</v>
      </c>
      <c r="I463" s="163">
        <f t="shared" ca="1" si="346"/>
        <v>0</v>
      </c>
      <c r="J463" s="163">
        <f t="shared" ca="1" si="346"/>
        <v>0</v>
      </c>
      <c r="K463" s="163">
        <f t="shared" ca="1" si="346"/>
        <v>0</v>
      </c>
      <c r="L463" s="163">
        <f t="shared" ca="1" si="346"/>
        <v>0</v>
      </c>
      <c r="M463" s="163">
        <f t="shared" ca="1" si="346"/>
        <v>0</v>
      </c>
      <c r="N463" s="163">
        <f t="shared" ca="1" si="346"/>
        <v>0</v>
      </c>
      <c r="O463" s="163">
        <f t="shared" ca="1" si="346"/>
        <v>0</v>
      </c>
      <c r="P463" s="163">
        <f t="shared" ca="1" si="346"/>
        <v>0</v>
      </c>
      <c r="R463" s="434"/>
      <c r="S463" s="163">
        <f t="shared" ref="S463" ca="1" si="347">IF(S424+S447&gt;0,-MIN(S461+S462,S424+S447),0)</f>
        <v>0</v>
      </c>
      <c r="T463" s="163">
        <f t="shared" ref="T463" ca="1" si="348">IF(T424+T447&gt;0,-MIN(T461+T462,T424+T447),0)</f>
        <v>0</v>
      </c>
    </row>
    <row r="464" spans="2:20" ht="13.75" customHeight="1" outlineLevel="1">
      <c r="B464" s="36" t="s">
        <v>519</v>
      </c>
      <c r="G464" s="118">
        <f ca="1">IF(G459&gt;0,0,-SUM(G461:G463))</f>
        <v>0</v>
      </c>
      <c r="H464" s="118">
        <f t="shared" ref="H464:P464" ca="1" si="349">IF(H459&gt;0,0,-SUM(H461:H463))</f>
        <v>0</v>
      </c>
      <c r="I464" s="118">
        <f t="shared" ca="1" si="349"/>
        <v>0</v>
      </c>
      <c r="J464" s="118">
        <f t="shared" ca="1" si="349"/>
        <v>0</v>
      </c>
      <c r="K464" s="118">
        <f t="shared" ca="1" si="349"/>
        <v>0</v>
      </c>
      <c r="L464" s="118">
        <f t="shared" ca="1" si="349"/>
        <v>0</v>
      </c>
      <c r="M464" s="118">
        <f t="shared" ca="1" si="349"/>
        <v>0</v>
      </c>
      <c r="N464" s="118">
        <f t="shared" ca="1" si="349"/>
        <v>0</v>
      </c>
      <c r="O464" s="118">
        <f t="shared" ca="1" si="349"/>
        <v>0</v>
      </c>
      <c r="P464" s="118">
        <f t="shared" ca="1" si="349"/>
        <v>0</v>
      </c>
      <c r="R464" s="434"/>
      <c r="S464" s="118">
        <f t="shared" ref="S464:T464" ca="1" si="350">IF(S459&gt;0,0,-SUM(S461:S463))</f>
        <v>0</v>
      </c>
      <c r="T464" s="118">
        <f t="shared" ca="1" si="350"/>
        <v>0</v>
      </c>
    </row>
    <row r="465" spans="2:20" ht="13.75" customHeight="1" outlineLevel="1">
      <c r="B465" s="116" t="s">
        <v>528</v>
      </c>
      <c r="C465" s="116"/>
      <c r="D465" s="116"/>
      <c r="E465" s="116"/>
      <c r="F465" s="506">
        <v>0</v>
      </c>
      <c r="G465" s="403">
        <f t="shared" ref="G465:P465" ca="1" si="351">SUM(G461:G464)</f>
        <v>0</v>
      </c>
      <c r="H465" s="403">
        <f t="shared" ca="1" si="351"/>
        <v>0</v>
      </c>
      <c r="I465" s="403">
        <f t="shared" ca="1" si="351"/>
        <v>0</v>
      </c>
      <c r="J465" s="403">
        <f t="shared" ca="1" si="351"/>
        <v>0</v>
      </c>
      <c r="K465" s="403">
        <f t="shared" ca="1" si="351"/>
        <v>0</v>
      </c>
      <c r="L465" s="403">
        <f t="shared" ca="1" si="351"/>
        <v>0</v>
      </c>
      <c r="M465" s="403">
        <f t="shared" ca="1" si="351"/>
        <v>0</v>
      </c>
      <c r="N465" s="403">
        <f t="shared" ca="1" si="351"/>
        <v>0</v>
      </c>
      <c r="O465" s="403">
        <f t="shared" ca="1" si="351"/>
        <v>0</v>
      </c>
      <c r="P465" s="403">
        <f t="shared" ca="1" si="351"/>
        <v>0</v>
      </c>
      <c r="R465" s="434"/>
      <c r="S465" s="403">
        <f ca="1">SUM(S461:S464)</f>
        <v>0</v>
      </c>
      <c r="T465" s="403">
        <f ca="1">SUM(T461:T464)</f>
        <v>0</v>
      </c>
    </row>
    <row r="466" spans="2:20" ht="13.75" customHeight="1" outlineLevel="1">
      <c r="G466" s="163"/>
      <c r="H466" s="163"/>
      <c r="I466" s="163"/>
      <c r="J466" s="163"/>
      <c r="K466" s="163"/>
      <c r="L466" s="163"/>
      <c r="M466" s="163"/>
      <c r="N466" s="163"/>
      <c r="O466" s="163"/>
      <c r="P466" s="163"/>
      <c r="R466" s="434"/>
      <c r="S466" s="163"/>
      <c r="T466" s="163"/>
    </row>
    <row r="467" spans="2:20" ht="13.5" customHeight="1" outlineLevel="1">
      <c r="B467" s="457" t="s">
        <v>651</v>
      </c>
      <c r="C467" s="458"/>
      <c r="D467" s="459"/>
      <c r="E467" s="459"/>
      <c r="F467" s="459"/>
      <c r="G467" s="459"/>
      <c r="H467" s="459"/>
      <c r="I467" s="459"/>
      <c r="J467" s="459"/>
      <c r="K467" s="459"/>
      <c r="L467" s="459"/>
      <c r="M467" s="459"/>
      <c r="N467" s="459"/>
      <c r="O467" s="459"/>
      <c r="P467" s="460"/>
      <c r="R467" s="434"/>
      <c r="S467" s="461"/>
      <c r="T467" s="460"/>
    </row>
    <row r="468" spans="2:20" ht="13.75" customHeight="1" outlineLevel="1">
      <c r="G468" s="163"/>
      <c r="H468" s="163"/>
      <c r="I468" s="163"/>
      <c r="J468" s="163"/>
      <c r="K468" s="163"/>
      <c r="L468" s="163"/>
      <c r="M468" s="163"/>
      <c r="N468" s="163"/>
      <c r="O468" s="163"/>
      <c r="P468" s="163"/>
      <c r="R468" s="434"/>
      <c r="S468" s="163"/>
      <c r="T468" s="163"/>
    </row>
    <row r="469" spans="2:20" ht="13.75" customHeight="1" outlineLevel="1">
      <c r="B469" s="36" t="s">
        <v>520</v>
      </c>
      <c r="G469" s="401">
        <f>F471</f>
        <v>0</v>
      </c>
      <c r="H469" s="401">
        <f t="shared" ref="H469:P469" ca="1" si="352">G471</f>
        <v>0</v>
      </c>
      <c r="I469" s="401">
        <f t="shared" ca="1" si="352"/>
        <v>0</v>
      </c>
      <c r="J469" s="401">
        <f t="shared" ca="1" si="352"/>
        <v>0</v>
      </c>
      <c r="K469" s="401">
        <f t="shared" ca="1" si="352"/>
        <v>0</v>
      </c>
      <c r="L469" s="401">
        <f t="shared" ca="1" si="352"/>
        <v>0</v>
      </c>
      <c r="M469" s="401">
        <f t="shared" ca="1" si="352"/>
        <v>0</v>
      </c>
      <c r="N469" s="401">
        <f t="shared" ca="1" si="352"/>
        <v>0</v>
      </c>
      <c r="O469" s="401">
        <f t="shared" ca="1" si="352"/>
        <v>0</v>
      </c>
      <c r="P469" s="401">
        <f t="shared" ca="1" si="352"/>
        <v>0</v>
      </c>
      <c r="R469" s="434"/>
      <c r="S469" s="304">
        <f>F471</f>
        <v>0</v>
      </c>
      <c r="T469" s="401">
        <f ca="1">S471</f>
        <v>0</v>
      </c>
    </row>
    <row r="470" spans="2:20" ht="13.75" customHeight="1" outlineLevel="1">
      <c r="B470" s="36" t="s">
        <v>522</v>
      </c>
      <c r="G470" s="163">
        <f ca="1">SUM(G447:G448,G462:G464)*G412</f>
        <v>0</v>
      </c>
      <c r="H470" s="163">
        <f t="shared" ref="H470:P470" ca="1" si="353">SUM(H447:H448,H462:H464)*H412</f>
        <v>0</v>
      </c>
      <c r="I470" s="163">
        <f t="shared" ca="1" si="353"/>
        <v>0</v>
      </c>
      <c r="J470" s="163">
        <f t="shared" ca="1" si="353"/>
        <v>0</v>
      </c>
      <c r="K470" s="163">
        <f t="shared" ca="1" si="353"/>
        <v>0</v>
      </c>
      <c r="L470" s="163">
        <f t="shared" ca="1" si="353"/>
        <v>0</v>
      </c>
      <c r="M470" s="163">
        <f t="shared" ca="1" si="353"/>
        <v>0</v>
      </c>
      <c r="N470" s="163">
        <f t="shared" ca="1" si="353"/>
        <v>0</v>
      </c>
      <c r="O470" s="163">
        <f t="shared" ca="1" si="353"/>
        <v>0</v>
      </c>
      <c r="P470" s="163">
        <f t="shared" ca="1" si="353"/>
        <v>0</v>
      </c>
      <c r="R470" s="434"/>
      <c r="S470" s="163">
        <f t="shared" ref="S470:T470" ca="1" si="354">SUM(S447:S448,S462:S464)*S412</f>
        <v>0</v>
      </c>
      <c r="T470" s="163">
        <f t="shared" ca="1" si="354"/>
        <v>0</v>
      </c>
    </row>
    <row r="471" spans="2:20" ht="13.75" customHeight="1" outlineLevel="1">
      <c r="B471" s="116" t="s">
        <v>521</v>
      </c>
      <c r="C471" s="116"/>
      <c r="D471" s="116"/>
      <c r="E471" s="116"/>
      <c r="F471" s="479">
        <f>(F449+F465)*G412</f>
        <v>0</v>
      </c>
      <c r="G471" s="403">
        <f t="shared" ref="G471:P471" ca="1" si="355">SUM(G469:G470)</f>
        <v>0</v>
      </c>
      <c r="H471" s="403">
        <f t="shared" ca="1" si="355"/>
        <v>0</v>
      </c>
      <c r="I471" s="403">
        <f t="shared" ca="1" si="355"/>
        <v>0</v>
      </c>
      <c r="J471" s="403">
        <f t="shared" ca="1" si="355"/>
        <v>0</v>
      </c>
      <c r="K471" s="403">
        <f t="shared" ca="1" si="355"/>
        <v>0</v>
      </c>
      <c r="L471" s="403">
        <f t="shared" ca="1" si="355"/>
        <v>0</v>
      </c>
      <c r="M471" s="403">
        <f t="shared" ca="1" si="355"/>
        <v>0</v>
      </c>
      <c r="N471" s="403">
        <f t="shared" ca="1" si="355"/>
        <v>0</v>
      </c>
      <c r="O471" s="403">
        <f t="shared" ca="1" si="355"/>
        <v>0</v>
      </c>
      <c r="P471" s="403">
        <f t="shared" ca="1" si="355"/>
        <v>0</v>
      </c>
      <c r="R471" s="434"/>
      <c r="S471" s="403">
        <f ca="1">SUM(S469:S470)</f>
        <v>0</v>
      </c>
      <c r="T471" s="403">
        <f ca="1">SUM(T469:T470)</f>
        <v>0</v>
      </c>
    </row>
    <row r="472" spans="2:20" ht="13.75" customHeight="1" outlineLevel="1">
      <c r="B472" s="88"/>
      <c r="C472" s="88"/>
      <c r="D472" s="88"/>
      <c r="E472" s="88"/>
      <c r="F472" s="351"/>
      <c r="G472" s="114"/>
      <c r="H472" s="114"/>
      <c r="I472" s="114"/>
      <c r="J472" s="114"/>
      <c r="K472" s="114"/>
      <c r="L472" s="114"/>
      <c r="M472" s="114"/>
      <c r="N472" s="114"/>
      <c r="O472" s="114"/>
      <c r="P472" s="114"/>
      <c r="R472" s="434"/>
      <c r="S472" s="114"/>
      <c r="T472" s="114"/>
    </row>
    <row r="473" spans="2:20" ht="13.5" customHeight="1" outlineLevel="1">
      <c r="B473" s="457" t="s">
        <v>546</v>
      </c>
      <c r="C473" s="458"/>
      <c r="D473" s="459"/>
      <c r="E473" s="459"/>
      <c r="F473" s="459"/>
      <c r="G473" s="459"/>
      <c r="H473" s="459"/>
      <c r="I473" s="459"/>
      <c r="J473" s="459"/>
      <c r="K473" s="459"/>
      <c r="L473" s="459"/>
      <c r="M473" s="459"/>
      <c r="N473" s="459"/>
      <c r="O473" s="459"/>
      <c r="P473" s="460"/>
      <c r="R473" s="434"/>
      <c r="S473" s="461"/>
      <c r="T473" s="460"/>
    </row>
    <row r="474" spans="2:20" ht="13.75" customHeight="1" outlineLevel="1">
      <c r="B474" s="318"/>
      <c r="C474" s="318"/>
      <c r="D474" s="318"/>
      <c r="E474" s="319"/>
      <c r="F474" s="319"/>
      <c r="G474" s="319"/>
      <c r="H474" s="319"/>
      <c r="I474" s="319"/>
      <c r="J474" s="319"/>
      <c r="K474" s="319"/>
      <c r="L474" s="327"/>
      <c r="R474" s="434"/>
    </row>
    <row r="475" spans="2:20" ht="13.75" customHeight="1" outlineLevel="1">
      <c r="B475" s="392" t="s">
        <v>566</v>
      </c>
      <c r="C475" s="318"/>
      <c r="D475" s="318"/>
      <c r="E475" s="319"/>
      <c r="F475" s="319"/>
      <c r="G475" s="319"/>
      <c r="H475" s="319"/>
      <c r="I475" s="319"/>
      <c r="J475" s="319"/>
      <c r="K475" s="319"/>
      <c r="L475" s="327"/>
      <c r="R475" s="434"/>
    </row>
    <row r="476" spans="2:20" ht="5.0999999999999996" customHeight="1" outlineLevel="1">
      <c r="B476" s="318"/>
      <c r="C476" s="318"/>
      <c r="D476" s="318"/>
      <c r="E476" s="319"/>
      <c r="F476" s="319"/>
      <c r="G476" s="319"/>
      <c r="H476" s="319"/>
      <c r="I476" s="319"/>
      <c r="J476" s="319"/>
      <c r="K476" s="319"/>
      <c r="L476" s="327"/>
      <c r="R476" s="434"/>
    </row>
    <row r="477" spans="2:20" ht="13.75" customHeight="1" outlineLevel="1">
      <c r="B477" s="36" t="s">
        <v>565</v>
      </c>
      <c r="G477" s="179">
        <v>0.2</v>
      </c>
      <c r="H477" s="177">
        <f t="shared" ref="H477:P478" si="356">G477</f>
        <v>0.2</v>
      </c>
      <c r="I477" s="177">
        <f t="shared" si="356"/>
        <v>0.2</v>
      </c>
      <c r="J477" s="177">
        <f t="shared" si="356"/>
        <v>0.2</v>
      </c>
      <c r="K477" s="177">
        <f t="shared" si="356"/>
        <v>0.2</v>
      </c>
      <c r="L477" s="177">
        <f t="shared" si="356"/>
        <v>0.2</v>
      </c>
      <c r="M477" s="177">
        <f t="shared" si="356"/>
        <v>0.2</v>
      </c>
      <c r="N477" s="177">
        <f t="shared" si="356"/>
        <v>0.2</v>
      </c>
      <c r="O477" s="177">
        <f t="shared" si="356"/>
        <v>0.2</v>
      </c>
      <c r="P477" s="177">
        <f t="shared" si="356"/>
        <v>0.2</v>
      </c>
      <c r="R477" s="434"/>
      <c r="S477" s="177">
        <f>$G477</f>
        <v>0.2</v>
      </c>
      <c r="T477" s="177">
        <f>$G477</f>
        <v>0.2</v>
      </c>
    </row>
    <row r="478" spans="2:20" ht="13.75" customHeight="1" outlineLevel="1">
      <c r="B478" s="36" t="s">
        <v>547</v>
      </c>
      <c r="G478" s="179">
        <v>0.9</v>
      </c>
      <c r="H478" s="177">
        <f t="shared" si="356"/>
        <v>0.9</v>
      </c>
      <c r="I478" s="177">
        <f t="shared" si="356"/>
        <v>0.9</v>
      </c>
      <c r="J478" s="177">
        <f t="shared" si="356"/>
        <v>0.9</v>
      </c>
      <c r="K478" s="177">
        <f t="shared" si="356"/>
        <v>0.9</v>
      </c>
      <c r="L478" s="177">
        <f t="shared" si="356"/>
        <v>0.9</v>
      </c>
      <c r="M478" s="177">
        <f t="shared" si="356"/>
        <v>0.9</v>
      </c>
      <c r="N478" s="177">
        <f t="shared" si="356"/>
        <v>0.9</v>
      </c>
      <c r="O478" s="177">
        <f t="shared" si="356"/>
        <v>0.9</v>
      </c>
      <c r="P478" s="177">
        <f t="shared" si="356"/>
        <v>0.9</v>
      </c>
      <c r="R478" s="434"/>
      <c r="S478" s="177">
        <f>$G478</f>
        <v>0.9</v>
      </c>
      <c r="T478" s="177">
        <f>$G478</f>
        <v>0.9</v>
      </c>
    </row>
    <row r="479" spans="2:20" ht="13.75" customHeight="1" outlineLevel="1">
      <c r="B479" s="36" t="s">
        <v>548</v>
      </c>
      <c r="G479" s="177">
        <f t="shared" ref="G479:P479" si="357">G477*(1-G478)</f>
        <v>1.9999999999999997E-2</v>
      </c>
      <c r="H479" s="177">
        <f t="shared" si="357"/>
        <v>1.9999999999999997E-2</v>
      </c>
      <c r="I479" s="177">
        <f t="shared" si="357"/>
        <v>1.9999999999999997E-2</v>
      </c>
      <c r="J479" s="177">
        <f t="shared" si="357"/>
        <v>1.9999999999999997E-2</v>
      </c>
      <c r="K479" s="177">
        <f t="shared" si="357"/>
        <v>1.9999999999999997E-2</v>
      </c>
      <c r="L479" s="177">
        <f t="shared" si="357"/>
        <v>1.9999999999999997E-2</v>
      </c>
      <c r="M479" s="177">
        <f t="shared" si="357"/>
        <v>1.9999999999999997E-2</v>
      </c>
      <c r="N479" s="177">
        <f t="shared" si="357"/>
        <v>1.9999999999999997E-2</v>
      </c>
      <c r="O479" s="177">
        <f t="shared" si="357"/>
        <v>1.9999999999999997E-2</v>
      </c>
      <c r="P479" s="177">
        <f t="shared" si="357"/>
        <v>1.9999999999999997E-2</v>
      </c>
      <c r="R479" s="434"/>
      <c r="S479" s="177">
        <f>S477*(1-S478)</f>
        <v>1.9999999999999997E-2</v>
      </c>
      <c r="T479" s="177">
        <f>T477*(1-T478)</f>
        <v>1.9999999999999997E-2</v>
      </c>
    </row>
    <row r="480" spans="2:20" ht="13.75" customHeight="1" outlineLevel="1">
      <c r="G480" s="163"/>
      <c r="H480" s="163"/>
      <c r="I480" s="163"/>
      <c r="J480" s="163"/>
      <c r="K480" s="163"/>
      <c r="L480" s="163"/>
      <c r="M480" s="163"/>
      <c r="N480" s="163"/>
      <c r="O480" s="163"/>
      <c r="P480" s="163"/>
      <c r="R480" s="434"/>
      <c r="S480" s="163"/>
      <c r="T480" s="163"/>
    </row>
    <row r="481" spans="2:20" ht="13.75" customHeight="1" outlineLevel="1">
      <c r="B481" s="36" t="s">
        <v>563</v>
      </c>
      <c r="G481" s="401">
        <f t="shared" ref="G481:P481" ca="1" si="358">MAX(0,G428*G410)</f>
        <v>154.28814483779749</v>
      </c>
      <c r="H481" s="401">
        <f t="shared" ca="1" si="358"/>
        <v>183.16736040992743</v>
      </c>
      <c r="I481" s="401">
        <f t="shared" ca="1" si="358"/>
        <v>204.06532166211954</v>
      </c>
      <c r="J481" s="401">
        <f t="shared" ca="1" si="358"/>
        <v>227.43923492623946</v>
      </c>
      <c r="K481" s="401">
        <f t="shared" ca="1" si="358"/>
        <v>262.49250978521985</v>
      </c>
      <c r="L481" s="401">
        <f t="shared" ca="1" si="358"/>
        <v>303.89848985774159</v>
      </c>
      <c r="M481" s="401">
        <f t="shared" ca="1" si="358"/>
        <v>336.51251505377127</v>
      </c>
      <c r="N481" s="401">
        <f t="shared" ca="1" si="358"/>
        <v>372.39224966315754</v>
      </c>
      <c r="O481" s="401">
        <f t="shared" ca="1" si="358"/>
        <v>411.86427162590593</v>
      </c>
      <c r="P481" s="401">
        <f t="shared" ca="1" si="358"/>
        <v>455.2878166873956</v>
      </c>
      <c r="R481" s="434"/>
      <c r="S481" s="401">
        <f ca="1">MAX(0,S428*S410)</f>
        <v>77.144072418898745</v>
      </c>
      <c r="T481" s="401">
        <f ca="1">MAX(0,T428*T410)</f>
        <v>77.144072418898745</v>
      </c>
    </row>
    <row r="482" spans="2:20" ht="13.75" customHeight="1" outlineLevel="1">
      <c r="B482" s="36" t="s">
        <v>555</v>
      </c>
      <c r="G482" s="163">
        <f t="shared" ref="G482:P482" ca="1" si="359">MAX(0,(G424+G427)*G479)</f>
        <v>9.3536310904999986</v>
      </c>
      <c r="H482" s="163">
        <f t="shared" ca="1" si="359"/>
        <v>11.10441712094134</v>
      </c>
      <c r="I482" s="163">
        <f t="shared" ca="1" si="359"/>
        <v>12.371344144414641</v>
      </c>
      <c r="J482" s="163">
        <f t="shared" ca="1" si="359"/>
        <v>13.78837435139372</v>
      </c>
      <c r="K482" s="163">
        <f t="shared" ca="1" si="359"/>
        <v>15.913459217048791</v>
      </c>
      <c r="L482" s="163">
        <f t="shared" ca="1" si="359"/>
        <v>18.42367322568909</v>
      </c>
      <c r="M482" s="163">
        <f t="shared" ca="1" si="359"/>
        <v>20.400879966885189</v>
      </c>
      <c r="N482" s="163">
        <f t="shared" ca="1" si="359"/>
        <v>22.57606848518687</v>
      </c>
      <c r="O482" s="163">
        <f t="shared" ca="1" si="359"/>
        <v>24.969037382595079</v>
      </c>
      <c r="P482" s="163">
        <f t="shared" ca="1" si="359"/>
        <v>27.601565122000334</v>
      </c>
      <c r="R482" s="434"/>
      <c r="S482" s="163">
        <f ca="1">MAX(0,(S424+S427)*S479)</f>
        <v>4.6768155452499993</v>
      </c>
      <c r="T482" s="163">
        <f ca="1">MAX(0,(T424+T427)*T479)</f>
        <v>4.6768155452499993</v>
      </c>
    </row>
    <row r="483" spans="2:20" ht="13.75" customHeight="1" outlineLevel="1">
      <c r="G483" s="163"/>
      <c r="H483" s="163"/>
      <c r="I483" s="163"/>
      <c r="J483" s="163"/>
      <c r="K483" s="163"/>
      <c r="L483" s="163"/>
      <c r="M483" s="163"/>
      <c r="N483" s="163"/>
      <c r="O483" s="163"/>
      <c r="P483" s="163"/>
      <c r="R483" s="434"/>
      <c r="S483" s="163"/>
      <c r="T483" s="163"/>
    </row>
    <row r="484" spans="2:20" ht="13.75" customHeight="1" outlineLevel="1">
      <c r="B484" s="36" t="s">
        <v>556</v>
      </c>
      <c r="G484" s="401">
        <f t="shared" ref="G484:P484" ca="1" si="360">MAX(G481,G482)</f>
        <v>154.28814483779749</v>
      </c>
      <c r="H484" s="401">
        <f t="shared" ca="1" si="360"/>
        <v>183.16736040992743</v>
      </c>
      <c r="I484" s="401">
        <f t="shared" ca="1" si="360"/>
        <v>204.06532166211954</v>
      </c>
      <c r="J484" s="401">
        <f t="shared" ca="1" si="360"/>
        <v>227.43923492623946</v>
      </c>
      <c r="K484" s="401">
        <f t="shared" ca="1" si="360"/>
        <v>262.49250978521985</v>
      </c>
      <c r="L484" s="401">
        <f t="shared" ca="1" si="360"/>
        <v>303.89848985774159</v>
      </c>
      <c r="M484" s="401">
        <f t="shared" ca="1" si="360"/>
        <v>336.51251505377127</v>
      </c>
      <c r="N484" s="401">
        <f t="shared" ca="1" si="360"/>
        <v>372.39224966315754</v>
      </c>
      <c r="O484" s="401">
        <f t="shared" ca="1" si="360"/>
        <v>411.86427162590593</v>
      </c>
      <c r="P484" s="401">
        <f t="shared" ca="1" si="360"/>
        <v>455.2878166873956</v>
      </c>
      <c r="R484" s="434"/>
      <c r="S484" s="401">
        <f ca="1">MAX(S481,S482)</f>
        <v>77.144072418898745</v>
      </c>
      <c r="T484" s="401">
        <f ca="1">MAX(T481,T482)</f>
        <v>77.144072418898745</v>
      </c>
    </row>
    <row r="485" spans="2:20" ht="13.75" customHeight="1" outlineLevel="1">
      <c r="B485" s="36" t="s">
        <v>557</v>
      </c>
      <c r="G485" s="163">
        <f t="shared" ref="G485:P485" ca="1" si="361">G492</f>
        <v>0</v>
      </c>
      <c r="H485" s="163">
        <f t="shared" ca="1" si="361"/>
        <v>0</v>
      </c>
      <c r="I485" s="163">
        <f t="shared" ca="1" si="361"/>
        <v>0</v>
      </c>
      <c r="J485" s="163">
        <f t="shared" ca="1" si="361"/>
        <v>0</v>
      </c>
      <c r="K485" s="163">
        <f t="shared" ca="1" si="361"/>
        <v>0</v>
      </c>
      <c r="L485" s="163">
        <f t="shared" ca="1" si="361"/>
        <v>0</v>
      </c>
      <c r="M485" s="163">
        <f t="shared" ca="1" si="361"/>
        <v>0</v>
      </c>
      <c r="N485" s="163">
        <f t="shared" ca="1" si="361"/>
        <v>0</v>
      </c>
      <c r="O485" s="163">
        <f t="shared" ca="1" si="361"/>
        <v>0</v>
      </c>
      <c r="P485" s="163">
        <f t="shared" ca="1" si="361"/>
        <v>0</v>
      </c>
      <c r="R485" s="434"/>
      <c r="S485" s="163">
        <f ca="1">S492</f>
        <v>0</v>
      </c>
      <c r="T485" s="163">
        <f ca="1">T492</f>
        <v>0</v>
      </c>
    </row>
    <row r="486" spans="2:20" ht="13.75" customHeight="1" outlineLevel="1">
      <c r="B486" s="116" t="s">
        <v>552</v>
      </c>
      <c r="C486" s="116"/>
      <c r="D486" s="116"/>
      <c r="E486" s="116"/>
      <c r="F486" s="116"/>
      <c r="G486" s="403">
        <f t="shared" ref="G486:P486" ca="1" si="362">SUM(G484:G485)</f>
        <v>154.28814483779749</v>
      </c>
      <c r="H486" s="403">
        <f t="shared" ca="1" si="362"/>
        <v>183.16736040992743</v>
      </c>
      <c r="I486" s="403">
        <f t="shared" ca="1" si="362"/>
        <v>204.06532166211954</v>
      </c>
      <c r="J486" s="403">
        <f t="shared" ca="1" si="362"/>
        <v>227.43923492623946</v>
      </c>
      <c r="K486" s="403">
        <f t="shared" ca="1" si="362"/>
        <v>262.49250978521985</v>
      </c>
      <c r="L486" s="403">
        <f t="shared" ca="1" si="362"/>
        <v>303.89848985774159</v>
      </c>
      <c r="M486" s="403">
        <f t="shared" ca="1" si="362"/>
        <v>336.51251505377127</v>
      </c>
      <c r="N486" s="403">
        <f t="shared" ca="1" si="362"/>
        <v>372.39224966315754</v>
      </c>
      <c r="O486" s="403">
        <f t="shared" ca="1" si="362"/>
        <v>411.86427162590593</v>
      </c>
      <c r="P486" s="403">
        <f t="shared" ca="1" si="362"/>
        <v>455.2878166873956</v>
      </c>
      <c r="R486" s="434"/>
      <c r="S486" s="403">
        <f ca="1">SUM(S484:S485)</f>
        <v>77.144072418898745</v>
      </c>
      <c r="T486" s="403">
        <f ca="1">SUM(T484:T485)</f>
        <v>77.144072418898745</v>
      </c>
    </row>
    <row r="487" spans="2:20" ht="13.75" customHeight="1" outlineLevel="1">
      <c r="B487" s="59" t="s">
        <v>558</v>
      </c>
      <c r="G487" s="177">
        <f t="shared" ref="G487:P487" ca="1" si="363">IFERROR(G486/(G424+G427),"NA")</f>
        <v>0.32990000000000003</v>
      </c>
      <c r="H487" s="177">
        <f t="shared" ca="1" si="363"/>
        <v>0.32990000000000003</v>
      </c>
      <c r="I487" s="177">
        <f t="shared" ca="1" si="363"/>
        <v>0.32990000000000003</v>
      </c>
      <c r="J487" s="177">
        <f t="shared" ca="1" si="363"/>
        <v>0.32990000000000003</v>
      </c>
      <c r="K487" s="177">
        <f t="shared" ca="1" si="363"/>
        <v>0.32989999999999997</v>
      </c>
      <c r="L487" s="177">
        <f t="shared" ca="1" si="363"/>
        <v>0.32990000000000003</v>
      </c>
      <c r="M487" s="177">
        <f t="shared" ca="1" si="363"/>
        <v>0.32990000000000003</v>
      </c>
      <c r="N487" s="177">
        <f t="shared" ca="1" si="363"/>
        <v>0.32990000000000003</v>
      </c>
      <c r="O487" s="177">
        <f t="shared" ca="1" si="363"/>
        <v>0.32990000000000003</v>
      </c>
      <c r="P487" s="177">
        <f t="shared" ca="1" si="363"/>
        <v>0.32990000000000003</v>
      </c>
      <c r="R487" s="434"/>
      <c r="S487" s="177">
        <f ca="1">IFERROR(S486/(S424+S427),"NA")</f>
        <v>0.32990000000000003</v>
      </c>
      <c r="T487" s="177">
        <f ca="1">IFERROR(T486/(T424+T427),"NA")</f>
        <v>0.32990000000000003</v>
      </c>
    </row>
    <row r="488" spans="2:20" ht="13.75" customHeight="1" outlineLevel="1">
      <c r="G488" s="163"/>
      <c r="H488" s="163"/>
      <c r="I488" s="163"/>
      <c r="J488" s="163"/>
      <c r="K488" s="163"/>
      <c r="L488" s="163"/>
      <c r="M488" s="163"/>
      <c r="N488" s="163"/>
      <c r="O488" s="163"/>
      <c r="P488" s="163"/>
      <c r="R488" s="434"/>
      <c r="S488" s="163"/>
      <c r="T488" s="163"/>
    </row>
    <row r="489" spans="2:20" ht="13.75" customHeight="1" outlineLevel="1">
      <c r="B489" s="53" t="s">
        <v>559</v>
      </c>
      <c r="G489" s="163"/>
      <c r="H489" s="163"/>
      <c r="I489" s="163"/>
      <c r="J489" s="163"/>
      <c r="K489" s="163"/>
      <c r="L489" s="163"/>
      <c r="M489" s="163"/>
      <c r="N489" s="163"/>
      <c r="O489" s="163"/>
      <c r="P489" s="163"/>
      <c r="R489" s="434"/>
      <c r="S489" s="163"/>
      <c r="T489" s="163"/>
    </row>
    <row r="490" spans="2:20" ht="13.75" customHeight="1" outlineLevel="1">
      <c r="B490" s="36" t="s">
        <v>560</v>
      </c>
      <c r="G490" s="401">
        <f>F493</f>
        <v>0</v>
      </c>
      <c r="H490" s="401">
        <f t="shared" ref="H490:P490" ca="1" si="364">G493</f>
        <v>0</v>
      </c>
      <c r="I490" s="401">
        <f t="shared" ca="1" si="364"/>
        <v>0</v>
      </c>
      <c r="J490" s="401">
        <f t="shared" ca="1" si="364"/>
        <v>0</v>
      </c>
      <c r="K490" s="401">
        <f t="shared" ca="1" si="364"/>
        <v>0</v>
      </c>
      <c r="L490" s="401">
        <f t="shared" ca="1" si="364"/>
        <v>0</v>
      </c>
      <c r="M490" s="401">
        <f t="shared" ca="1" si="364"/>
        <v>0</v>
      </c>
      <c r="N490" s="401">
        <f t="shared" ca="1" si="364"/>
        <v>0</v>
      </c>
      <c r="O490" s="401">
        <f t="shared" ca="1" si="364"/>
        <v>0</v>
      </c>
      <c r="P490" s="401">
        <f t="shared" ca="1" si="364"/>
        <v>0</v>
      </c>
      <c r="R490" s="434"/>
      <c r="S490" s="304">
        <f>F493</f>
        <v>0</v>
      </c>
      <c r="T490" s="401">
        <f ca="1">S493</f>
        <v>0</v>
      </c>
    </row>
    <row r="491" spans="2:20" ht="13.75" customHeight="1" outlineLevel="1">
      <c r="B491" s="36" t="s">
        <v>562</v>
      </c>
      <c r="G491" s="163">
        <f t="shared" ref="G491:P491" ca="1" si="365">IF(G482&gt;G481,G486,0)</f>
        <v>0</v>
      </c>
      <c r="H491" s="163">
        <f t="shared" ca="1" si="365"/>
        <v>0</v>
      </c>
      <c r="I491" s="163">
        <f t="shared" ca="1" si="365"/>
        <v>0</v>
      </c>
      <c r="J491" s="163">
        <f t="shared" ca="1" si="365"/>
        <v>0</v>
      </c>
      <c r="K491" s="163">
        <f t="shared" ca="1" si="365"/>
        <v>0</v>
      </c>
      <c r="L491" s="163">
        <f t="shared" ca="1" si="365"/>
        <v>0</v>
      </c>
      <c r="M491" s="163">
        <f t="shared" ca="1" si="365"/>
        <v>0</v>
      </c>
      <c r="N491" s="163">
        <f t="shared" ca="1" si="365"/>
        <v>0</v>
      </c>
      <c r="O491" s="163">
        <f t="shared" ca="1" si="365"/>
        <v>0</v>
      </c>
      <c r="P491" s="163">
        <f t="shared" ca="1" si="365"/>
        <v>0</v>
      </c>
      <c r="R491" s="434"/>
      <c r="S491" s="163">
        <f t="shared" ref="S491:T491" ca="1" si="366">IF(S482&gt;S481,S486,0)</f>
        <v>0</v>
      </c>
      <c r="T491" s="163">
        <f t="shared" ca="1" si="366"/>
        <v>0</v>
      </c>
    </row>
    <row r="492" spans="2:20" ht="13.75" customHeight="1" outlineLevel="1">
      <c r="B492" s="36" t="s">
        <v>557</v>
      </c>
      <c r="G492" s="163">
        <f t="shared" ref="G492:P492" ca="1" si="367">IF(G481&gt;G482,-MIN(G490,G484-G482),0)</f>
        <v>0</v>
      </c>
      <c r="H492" s="163">
        <f t="shared" ca="1" si="367"/>
        <v>0</v>
      </c>
      <c r="I492" s="163">
        <f t="shared" ca="1" si="367"/>
        <v>0</v>
      </c>
      <c r="J492" s="163">
        <f t="shared" ca="1" si="367"/>
        <v>0</v>
      </c>
      <c r="K492" s="163">
        <f t="shared" ca="1" si="367"/>
        <v>0</v>
      </c>
      <c r="L492" s="163">
        <f t="shared" ca="1" si="367"/>
        <v>0</v>
      </c>
      <c r="M492" s="163">
        <f t="shared" ca="1" si="367"/>
        <v>0</v>
      </c>
      <c r="N492" s="163">
        <f t="shared" ca="1" si="367"/>
        <v>0</v>
      </c>
      <c r="O492" s="163">
        <f t="shared" ca="1" si="367"/>
        <v>0</v>
      </c>
      <c r="P492" s="163">
        <f t="shared" ca="1" si="367"/>
        <v>0</v>
      </c>
      <c r="R492" s="434"/>
      <c r="S492" s="163">
        <f t="shared" ref="S492:T492" ca="1" si="368">IF(S481&gt;S482,-MIN(S490,S484-S482),0)</f>
        <v>0</v>
      </c>
      <c r="T492" s="163">
        <f t="shared" ca="1" si="368"/>
        <v>0</v>
      </c>
    </row>
    <row r="493" spans="2:20" ht="13.75" customHeight="1" outlineLevel="1">
      <c r="B493" s="116" t="s">
        <v>561</v>
      </c>
      <c r="C493" s="116"/>
      <c r="D493" s="116"/>
      <c r="E493" s="116"/>
      <c r="F493" s="506">
        <v>0</v>
      </c>
      <c r="G493" s="403">
        <f t="shared" ref="G493:P493" ca="1" si="369">SUM(G490:G492)</f>
        <v>0</v>
      </c>
      <c r="H493" s="403">
        <f t="shared" ca="1" si="369"/>
        <v>0</v>
      </c>
      <c r="I493" s="403">
        <f t="shared" ca="1" si="369"/>
        <v>0</v>
      </c>
      <c r="J493" s="403">
        <f t="shared" ca="1" si="369"/>
        <v>0</v>
      </c>
      <c r="K493" s="403">
        <f t="shared" ca="1" si="369"/>
        <v>0</v>
      </c>
      <c r="L493" s="403">
        <f t="shared" ca="1" si="369"/>
        <v>0</v>
      </c>
      <c r="M493" s="403">
        <f t="shared" ca="1" si="369"/>
        <v>0</v>
      </c>
      <c r="N493" s="403">
        <f t="shared" ca="1" si="369"/>
        <v>0</v>
      </c>
      <c r="O493" s="403">
        <f t="shared" ca="1" si="369"/>
        <v>0</v>
      </c>
      <c r="P493" s="403">
        <f t="shared" ca="1" si="369"/>
        <v>0</v>
      </c>
      <c r="R493" s="434"/>
      <c r="S493" s="403">
        <f ca="1">SUM(S490:S492)</f>
        <v>0</v>
      </c>
      <c r="T493" s="403">
        <f ca="1">SUM(T490:T492)</f>
        <v>0</v>
      </c>
    </row>
    <row r="494" spans="2:20" ht="5.0999999999999996" customHeight="1" outlineLevel="1" thickBot="1">
      <c r="B494" s="348"/>
      <c r="C494" s="348"/>
      <c r="D494" s="348"/>
      <c r="E494" s="349"/>
      <c r="F494" s="349"/>
      <c r="G494" s="349"/>
      <c r="H494" s="349"/>
      <c r="I494" s="349"/>
      <c r="J494" s="349"/>
      <c r="K494" s="349"/>
      <c r="L494" s="349"/>
      <c r="M494" s="349"/>
      <c r="N494" s="349"/>
      <c r="O494" s="349"/>
      <c r="P494" s="349"/>
      <c r="Q494" s="349"/>
      <c r="R494" s="349"/>
      <c r="S494" s="349"/>
      <c r="T494" s="349"/>
    </row>
    <row r="495" spans="2:20" ht="13.5" customHeight="1" outlineLevel="1">
      <c r="B495" s="50"/>
      <c r="C495" s="50"/>
      <c r="D495" s="50"/>
      <c r="G495" s="350"/>
      <c r="H495" s="350"/>
      <c r="L495" s="57"/>
    </row>
    <row r="496" spans="2:20" ht="13.5" customHeight="1" outlineLevel="1" thickBot="1">
      <c r="B496" s="50"/>
      <c r="C496" s="50"/>
      <c r="D496" s="50"/>
      <c r="G496" s="350"/>
      <c r="H496" s="350"/>
      <c r="L496" s="57"/>
    </row>
    <row r="497" spans="1:20" ht="20.7" thickTop="1">
      <c r="A497" s="281" t="s">
        <v>631</v>
      </c>
      <c r="B497" s="429" t="str">
        <f>acquirer&amp;" Shares Outstanding"</f>
        <v>BuyerCo Shares Outstanding</v>
      </c>
      <c r="C497" s="430"/>
      <c r="D497" s="431"/>
      <c r="E497" s="431"/>
      <c r="F497" s="431"/>
      <c r="G497" s="431"/>
      <c r="H497" s="431"/>
      <c r="I497" s="431"/>
      <c r="J497" s="431"/>
      <c r="K497" s="431"/>
      <c r="L497" s="431"/>
      <c r="M497" s="431"/>
      <c r="N497" s="431"/>
      <c r="O497" s="431"/>
      <c r="P497" s="431"/>
      <c r="Q497" s="431"/>
      <c r="R497" s="431"/>
      <c r="S497" s="431"/>
      <c r="T497" s="431"/>
    </row>
    <row r="498" spans="1:20" ht="5.0999999999999996" customHeight="1" outlineLevel="1">
      <c r="B498" s="107"/>
    </row>
    <row r="499" spans="1:20" ht="13.5" customHeight="1" outlineLevel="1">
      <c r="B499" s="286"/>
      <c r="C499" s="286"/>
      <c r="D499" s="286"/>
      <c r="E499" s="42"/>
      <c r="F499" s="432" t="s">
        <v>630</v>
      </c>
      <c r="G499" s="433" t="s">
        <v>629</v>
      </c>
      <c r="H499" s="433"/>
      <c r="I499" s="433"/>
      <c r="J499" s="433"/>
      <c r="K499" s="433"/>
      <c r="L499" s="433"/>
      <c r="M499" s="433"/>
      <c r="N499" s="433"/>
      <c r="O499" s="433"/>
      <c r="P499" s="433"/>
      <c r="R499" s="434"/>
      <c r="S499" s="433" t="s">
        <v>628</v>
      </c>
      <c r="T499" s="433"/>
    </row>
    <row r="500" spans="1:20" ht="13.5" customHeight="1" outlineLevel="1" thickBot="1">
      <c r="B500" s="435" t="str">
        <f>"("&amp;curr&amp;" in millions)"</f>
        <v>($ in millions)</v>
      </c>
      <c r="C500" s="436"/>
      <c r="D500" s="436"/>
      <c r="E500" s="437"/>
      <c r="F500" s="439">
        <f>F$8</f>
        <v>44926</v>
      </c>
      <c r="G500" s="439">
        <f>G$8</f>
        <v>45291</v>
      </c>
      <c r="H500" s="439">
        <f>H$8</f>
        <v>45657</v>
      </c>
      <c r="I500" s="439">
        <f>I$8</f>
        <v>46022</v>
      </c>
      <c r="J500" s="439">
        <f t="shared" ref="J500:P500" si="370">J$8</f>
        <v>46387</v>
      </c>
      <c r="K500" s="439">
        <f t="shared" si="370"/>
        <v>46752</v>
      </c>
      <c r="L500" s="439">
        <f t="shared" si="370"/>
        <v>47118</v>
      </c>
      <c r="M500" s="439">
        <f t="shared" si="370"/>
        <v>47483</v>
      </c>
      <c r="N500" s="439">
        <f t="shared" si="370"/>
        <v>47848</v>
      </c>
      <c r="O500" s="439">
        <f t="shared" si="370"/>
        <v>48213</v>
      </c>
      <c r="P500" s="439">
        <f t="shared" si="370"/>
        <v>48579</v>
      </c>
      <c r="R500" s="434"/>
      <c r="S500" s="440">
        <f>S$8</f>
        <v>45107</v>
      </c>
      <c r="T500" s="440">
        <f>T$8</f>
        <v>45291</v>
      </c>
    </row>
    <row r="501" spans="1:20" ht="5.0999999999999996" customHeight="1" outlineLevel="1">
      <c r="C501" s="381"/>
      <c r="D501" s="381"/>
      <c r="G501" s="199"/>
      <c r="H501" s="199"/>
      <c r="I501" s="199"/>
      <c r="J501" s="199"/>
      <c r="K501" s="199"/>
      <c r="L501" s="199"/>
      <c r="M501" s="199"/>
      <c r="N501" s="199"/>
      <c r="O501" s="199"/>
      <c r="P501" s="199"/>
      <c r="R501" s="434"/>
      <c r="T501" s="199"/>
    </row>
    <row r="502" spans="1:20" ht="13.5" customHeight="1" outlineLevel="1">
      <c r="B502" s="457" t="s">
        <v>264</v>
      </c>
      <c r="C502" s="458"/>
      <c r="D502" s="459"/>
      <c r="E502" s="459"/>
      <c r="F502" s="459"/>
      <c r="G502" s="459"/>
      <c r="H502" s="459"/>
      <c r="I502" s="459"/>
      <c r="J502" s="459"/>
      <c r="K502" s="459"/>
      <c r="L502" s="459"/>
      <c r="M502" s="459"/>
      <c r="N502" s="459"/>
      <c r="O502" s="459"/>
      <c r="P502" s="460"/>
      <c r="R502" s="434"/>
      <c r="S502" s="461"/>
      <c r="T502" s="460"/>
    </row>
    <row r="503" spans="1:20" ht="13.5" customHeight="1" outlineLevel="1">
      <c r="B503" s="321"/>
      <c r="C503" s="321"/>
      <c r="D503" s="321"/>
      <c r="E503" s="385"/>
      <c r="F503" s="385"/>
      <c r="G503" s="385"/>
      <c r="H503" s="385"/>
      <c r="I503" s="385"/>
      <c r="J503" s="385"/>
      <c r="K503" s="385"/>
      <c r="L503" s="57"/>
      <c r="R503" s="434"/>
    </row>
    <row r="504" spans="1:20" ht="13.5" customHeight="1" outlineLevel="1">
      <c r="B504" s="36" t="s">
        <v>578</v>
      </c>
      <c r="D504" s="189">
        <f>Inputs!E43</f>
        <v>31.71</v>
      </c>
      <c r="G504" s="199"/>
      <c r="H504" s="199"/>
      <c r="I504" s="199"/>
      <c r="J504" s="199"/>
      <c r="K504" s="199"/>
      <c r="L504" s="199"/>
      <c r="M504" s="199"/>
      <c r="N504" s="199"/>
      <c r="O504" s="199"/>
      <c r="P504" s="199"/>
      <c r="R504" s="434"/>
    </row>
    <row r="505" spans="1:20" ht="13.5" customHeight="1" outlineLevel="1">
      <c r="B505" s="321"/>
      <c r="C505" s="321"/>
      <c r="D505" s="321"/>
      <c r="E505" s="385"/>
      <c r="F505" s="385"/>
      <c r="G505" s="385"/>
      <c r="H505" s="385"/>
      <c r="I505" s="385"/>
      <c r="J505" s="385"/>
      <c r="K505" s="385"/>
      <c r="L505" s="57"/>
      <c r="R505" s="434"/>
    </row>
    <row r="506" spans="1:20" ht="13.5" customHeight="1" outlineLevel="1">
      <c r="D506" s="507" t="s">
        <v>266</v>
      </c>
      <c r="E506" s="508"/>
      <c r="F506" s="508"/>
      <c r="G506" s="509"/>
      <c r="H506" s="509"/>
      <c r="I506" s="509"/>
      <c r="J506" s="509"/>
      <c r="K506" s="509"/>
      <c r="L506" s="510"/>
      <c r="R506" s="434"/>
    </row>
    <row r="507" spans="1:20" ht="13.5" customHeight="1" outlineLevel="1">
      <c r="B507" s="186"/>
      <c r="D507" s="483" t="s">
        <v>183</v>
      </c>
      <c r="E507" s="483" t="s">
        <v>184</v>
      </c>
      <c r="F507" s="483" t="s">
        <v>185</v>
      </c>
      <c r="G507" s="509"/>
      <c r="H507" s="509"/>
      <c r="I507" s="509"/>
      <c r="J507" s="509"/>
      <c r="K507" s="509"/>
      <c r="L507" s="510"/>
      <c r="R507" s="434"/>
    </row>
    <row r="508" spans="1:20" ht="13.5" customHeight="1" outlineLevel="1" thickBot="1">
      <c r="B508" s="511"/>
      <c r="C508" s="511"/>
      <c r="D508" s="486" t="s">
        <v>182</v>
      </c>
      <c r="E508" s="486" t="s">
        <v>186</v>
      </c>
      <c r="F508" s="486" t="s">
        <v>257</v>
      </c>
      <c r="G508" s="509"/>
      <c r="H508" s="509"/>
      <c r="I508" s="509"/>
      <c r="J508" s="509"/>
      <c r="K508" s="509"/>
      <c r="L508" s="510"/>
      <c r="R508" s="434"/>
    </row>
    <row r="509" spans="1:20" ht="5.0999999999999996" customHeight="1" outlineLevel="1">
      <c r="F509" s="512"/>
      <c r="G509" s="509"/>
      <c r="H509" s="509"/>
      <c r="I509" s="509"/>
      <c r="J509" s="509"/>
      <c r="K509" s="509"/>
      <c r="L509" s="510"/>
      <c r="R509" s="434"/>
    </row>
    <row r="510" spans="1:20" ht="13.5" customHeight="1" outlineLevel="1">
      <c r="B510" s="170" t="s">
        <v>188</v>
      </c>
      <c r="D510" s="513">
        <v>0.27</v>
      </c>
      <c r="E510" s="374">
        <v>2.31</v>
      </c>
      <c r="F510" s="134">
        <f t="shared" ref="F510:F519" si="371">IF(E510&gt;$D$504,0,D510-D510*E510/$D$504)</f>
        <v>0.25033112582781458</v>
      </c>
      <c r="G510" s="509"/>
      <c r="H510" s="509"/>
      <c r="I510" s="509"/>
      <c r="J510" s="509"/>
      <c r="K510" s="509"/>
      <c r="L510" s="510"/>
      <c r="R510" s="434"/>
    </row>
    <row r="511" spans="1:20" ht="13.5" customHeight="1" outlineLevel="1">
      <c r="B511" s="170" t="s">
        <v>189</v>
      </c>
      <c r="D511" s="513">
        <v>1.548</v>
      </c>
      <c r="E511" s="504">
        <v>12.31</v>
      </c>
      <c r="F511" s="134">
        <f t="shared" si="371"/>
        <v>0.94705771050141907</v>
      </c>
      <c r="G511" s="509"/>
      <c r="H511" s="509"/>
      <c r="I511" s="509"/>
      <c r="J511" s="509"/>
      <c r="K511" s="509"/>
      <c r="L511" s="510"/>
      <c r="R511" s="434"/>
    </row>
    <row r="512" spans="1:20" ht="13.5" customHeight="1" outlineLevel="1">
      <c r="B512" s="170" t="s">
        <v>190</v>
      </c>
      <c r="D512" s="513">
        <v>2.855</v>
      </c>
      <c r="E512" s="504">
        <v>22</v>
      </c>
      <c r="F512" s="134">
        <f t="shared" si="371"/>
        <v>0.87423683380637018</v>
      </c>
      <c r="G512" s="509"/>
      <c r="H512" s="509"/>
      <c r="I512" s="509"/>
      <c r="J512" s="509"/>
      <c r="K512" s="509"/>
      <c r="L512" s="510"/>
      <c r="R512" s="434"/>
    </row>
    <row r="513" spans="2:20" ht="13.5" customHeight="1" outlineLevel="1">
      <c r="B513" s="170" t="s">
        <v>191</v>
      </c>
      <c r="D513" s="513">
        <v>2.431</v>
      </c>
      <c r="E513" s="504">
        <v>25.07</v>
      </c>
      <c r="F513" s="134">
        <f t="shared" si="371"/>
        <v>0.50904572690003147</v>
      </c>
      <c r="G513" s="509"/>
      <c r="H513" s="509"/>
      <c r="I513" s="509"/>
      <c r="J513" s="509"/>
      <c r="K513" s="509"/>
      <c r="L513" s="510"/>
      <c r="R513" s="434"/>
    </row>
    <row r="514" spans="2:20" ht="13.5" customHeight="1" outlineLevel="1">
      <c r="B514" s="170" t="s">
        <v>192</v>
      </c>
      <c r="D514" s="513">
        <v>2.1819999999999999</v>
      </c>
      <c r="E514" s="504">
        <v>27.88</v>
      </c>
      <c r="F514" s="134">
        <f t="shared" si="371"/>
        <v>0.26354651529485973</v>
      </c>
      <c r="G514" s="509"/>
      <c r="H514" s="509"/>
      <c r="I514" s="509"/>
      <c r="J514" s="509"/>
      <c r="K514" s="509"/>
      <c r="L514" s="510"/>
      <c r="R514" s="434"/>
    </row>
    <row r="515" spans="2:20" ht="13.5" customHeight="1" outlineLevel="1">
      <c r="B515" s="170" t="s">
        <v>193</v>
      </c>
      <c r="D515" s="513">
        <v>3.3940000000000001</v>
      </c>
      <c r="E515" s="504">
        <v>31.31</v>
      </c>
      <c r="F515" s="134">
        <f t="shared" si="371"/>
        <v>4.2812992746767975E-2</v>
      </c>
      <c r="G515" s="509"/>
      <c r="H515" s="509"/>
      <c r="I515" s="509"/>
      <c r="J515" s="509"/>
      <c r="K515" s="509"/>
      <c r="L515" s="510"/>
      <c r="R515" s="434"/>
    </row>
    <row r="516" spans="2:20" ht="13.5" customHeight="1" outlineLevel="1">
      <c r="B516" s="170" t="s">
        <v>194</v>
      </c>
      <c r="D516" s="513">
        <v>2.6779999999999999</v>
      </c>
      <c r="E516" s="504">
        <v>34.35</v>
      </c>
      <c r="F516" s="134">
        <f t="shared" si="371"/>
        <v>0</v>
      </c>
      <c r="G516" s="509"/>
      <c r="H516" s="509"/>
      <c r="I516" s="509"/>
      <c r="J516" s="509"/>
      <c r="K516" s="509"/>
      <c r="L516" s="510"/>
      <c r="R516" s="434"/>
    </row>
    <row r="517" spans="2:20" ht="13.5" customHeight="1" outlineLevel="1">
      <c r="B517" s="170" t="s">
        <v>195</v>
      </c>
      <c r="D517" s="513">
        <v>2.1379999999999999</v>
      </c>
      <c r="E517" s="504">
        <v>38.630000000000003</v>
      </c>
      <c r="F517" s="134">
        <f t="shared" si="371"/>
        <v>0</v>
      </c>
      <c r="G517" s="509"/>
      <c r="H517" s="509"/>
      <c r="I517" s="509"/>
      <c r="J517" s="509"/>
      <c r="K517" s="509"/>
      <c r="L517" s="510"/>
      <c r="R517" s="434"/>
    </row>
    <row r="518" spans="2:20" ht="13.5" customHeight="1" outlineLevel="1">
      <c r="B518" s="170" t="s">
        <v>196</v>
      </c>
      <c r="D518" s="513">
        <v>2.6309999999999998</v>
      </c>
      <c r="E518" s="504">
        <v>52.72</v>
      </c>
      <c r="F518" s="134">
        <f t="shared" si="371"/>
        <v>0</v>
      </c>
      <c r="G518" s="509"/>
      <c r="H518" s="509"/>
      <c r="I518" s="509"/>
      <c r="J518" s="509"/>
      <c r="K518" s="509"/>
      <c r="L518" s="510"/>
      <c r="R518" s="434"/>
    </row>
    <row r="519" spans="2:20" ht="13.5" customHeight="1" outlineLevel="1">
      <c r="B519" s="170" t="s">
        <v>197</v>
      </c>
      <c r="D519" s="513">
        <v>0.32900000000000001</v>
      </c>
      <c r="E519" s="504">
        <v>70</v>
      </c>
      <c r="F519" s="134">
        <f t="shared" si="371"/>
        <v>0</v>
      </c>
      <c r="G519" s="509"/>
      <c r="H519" s="509"/>
      <c r="I519" s="509"/>
      <c r="J519" s="509"/>
      <c r="K519" s="509"/>
      <c r="L519" s="510"/>
      <c r="R519" s="434"/>
    </row>
    <row r="520" spans="2:20" ht="13.5" customHeight="1" outlineLevel="1">
      <c r="B520" s="123" t="s">
        <v>272</v>
      </c>
      <c r="C520" s="123"/>
      <c r="D520" s="123"/>
      <c r="E520" s="176"/>
      <c r="F520" s="176">
        <f>SUM(F510:F519)</f>
        <v>2.8870309050772631</v>
      </c>
      <c r="G520" s="509"/>
      <c r="H520" s="509"/>
      <c r="I520" s="509"/>
      <c r="J520" s="509"/>
      <c r="K520" s="509"/>
      <c r="L520" s="510"/>
      <c r="R520" s="434"/>
    </row>
    <row r="521" spans="2:20" ht="13.5" customHeight="1" outlineLevel="1">
      <c r="E521" s="171"/>
      <c r="F521" s="171"/>
      <c r="G521" s="509"/>
      <c r="H521" s="509"/>
      <c r="I521" s="509"/>
      <c r="J521" s="509"/>
      <c r="K521" s="509"/>
      <c r="L521" s="510"/>
      <c r="R521" s="434"/>
    </row>
    <row r="522" spans="2:20" ht="13.5" customHeight="1" outlineLevel="1">
      <c r="B522" s="457" t="s">
        <v>267</v>
      </c>
      <c r="C522" s="458"/>
      <c r="D522" s="459"/>
      <c r="E522" s="459"/>
      <c r="F522" s="459"/>
      <c r="G522" s="459"/>
      <c r="H522" s="459"/>
      <c r="I522" s="459"/>
      <c r="J522" s="459"/>
      <c r="K522" s="459"/>
      <c r="L522" s="459"/>
      <c r="M522" s="459"/>
      <c r="N522" s="459"/>
      <c r="O522" s="459"/>
      <c r="P522" s="460"/>
      <c r="R522" s="434"/>
      <c r="S522" s="461"/>
      <c r="T522" s="460"/>
    </row>
    <row r="523" spans="2:20" ht="13.5" customHeight="1" outlineLevel="1">
      <c r="B523" s="321"/>
      <c r="C523" s="321"/>
      <c r="D523" s="321"/>
      <c r="E523" s="385"/>
      <c r="F523" s="385"/>
      <c r="G523" s="385"/>
      <c r="H523" s="385"/>
      <c r="I523" s="385"/>
      <c r="J523" s="385"/>
      <c r="K523" s="385"/>
      <c r="L523" s="57"/>
      <c r="R523" s="434"/>
      <c r="S523" s="385"/>
      <c r="T523" s="385"/>
    </row>
    <row r="524" spans="2:20" ht="13.5" customHeight="1" outlineLevel="1">
      <c r="B524" s="514" t="s">
        <v>571</v>
      </c>
      <c r="E524" s="171"/>
      <c r="F524" s="509"/>
      <c r="G524" s="509"/>
      <c r="H524" s="509"/>
      <c r="I524" s="509"/>
      <c r="J524" s="509"/>
      <c r="K524" s="509"/>
      <c r="L524" s="510"/>
      <c r="R524" s="434"/>
      <c r="S524" s="509"/>
      <c r="T524" s="509"/>
    </row>
    <row r="525" spans="2:20" ht="13.5" customHeight="1" outlineLevel="1">
      <c r="B525" s="170" t="str">
        <f>B346</f>
        <v>Convertible bond 1</v>
      </c>
      <c r="E525" s="171"/>
      <c r="F525" s="114">
        <f t="shared" ref="F525:P525" si="372">F293</f>
        <v>450</v>
      </c>
      <c r="G525" s="114">
        <f t="shared" si="372"/>
        <v>492.75</v>
      </c>
      <c r="H525" s="114">
        <f t="shared" si="372"/>
        <v>539.56124999999997</v>
      </c>
      <c r="I525" s="114">
        <f t="shared" si="372"/>
        <v>578.00498906249993</v>
      </c>
      <c r="J525" s="114">
        <f t="shared" si="372"/>
        <v>578.00498906249993</v>
      </c>
      <c r="K525" s="114">
        <f t="shared" si="372"/>
        <v>578.00498906249993</v>
      </c>
      <c r="L525" s="114">
        <f t="shared" si="372"/>
        <v>578.00498906249993</v>
      </c>
      <c r="M525" s="114">
        <f t="shared" si="372"/>
        <v>578.00498906249993</v>
      </c>
      <c r="N525" s="114">
        <f t="shared" si="372"/>
        <v>578.00498906249993</v>
      </c>
      <c r="O525" s="114">
        <f t="shared" si="372"/>
        <v>578.00498906249993</v>
      </c>
      <c r="P525" s="114">
        <f t="shared" si="372"/>
        <v>578.00498906249993</v>
      </c>
      <c r="R525" s="434"/>
      <c r="S525" s="114">
        <f>S293</f>
        <v>471.375</v>
      </c>
      <c r="T525" s="114">
        <f>T293</f>
        <v>492.75</v>
      </c>
    </row>
    <row r="526" spans="2:20" ht="13.5" customHeight="1" outlineLevel="1">
      <c r="B526" s="170" t="str">
        <f>B347</f>
        <v>Preferred stock 1</v>
      </c>
      <c r="E526" s="171"/>
      <c r="F526" s="114">
        <f t="shared" ref="F526:P526" si="373">F299</f>
        <v>0</v>
      </c>
      <c r="G526" s="114">
        <f t="shared" si="373"/>
        <v>0</v>
      </c>
      <c r="H526" s="114">
        <f t="shared" si="373"/>
        <v>0</v>
      </c>
      <c r="I526" s="114">
        <f t="shared" si="373"/>
        <v>0</v>
      </c>
      <c r="J526" s="114">
        <f t="shared" si="373"/>
        <v>0</v>
      </c>
      <c r="K526" s="114">
        <f t="shared" si="373"/>
        <v>0</v>
      </c>
      <c r="L526" s="114">
        <f t="shared" si="373"/>
        <v>0</v>
      </c>
      <c r="M526" s="114">
        <f t="shared" si="373"/>
        <v>0</v>
      </c>
      <c r="N526" s="114">
        <f t="shared" si="373"/>
        <v>0</v>
      </c>
      <c r="O526" s="114">
        <f t="shared" si="373"/>
        <v>0</v>
      </c>
      <c r="P526" s="114">
        <f t="shared" si="373"/>
        <v>0</v>
      </c>
      <c r="R526" s="434"/>
      <c r="S526" s="114">
        <f>S299</f>
        <v>0</v>
      </c>
      <c r="T526" s="114">
        <f>T299</f>
        <v>0</v>
      </c>
    </row>
    <row r="527" spans="2:20" ht="13.5" customHeight="1" outlineLevel="1">
      <c r="E527" s="171"/>
      <c r="F527" s="509"/>
      <c r="G527" s="509"/>
      <c r="H527" s="509"/>
      <c r="I527" s="509"/>
      <c r="J527" s="509"/>
      <c r="K527" s="509"/>
      <c r="L527" s="510"/>
      <c r="R527" s="434"/>
      <c r="S527" s="137"/>
      <c r="T527" s="137"/>
    </row>
    <row r="528" spans="2:20" ht="13.5" customHeight="1" outlineLevel="1">
      <c r="B528" s="514" t="s">
        <v>569</v>
      </c>
      <c r="C528" s="170"/>
      <c r="E528" s="171"/>
      <c r="F528" s="509"/>
      <c r="G528" s="509"/>
      <c r="H528" s="509"/>
      <c r="I528" s="509"/>
      <c r="J528" s="509"/>
      <c r="K528" s="509"/>
      <c r="L528" s="510"/>
      <c r="R528" s="434"/>
      <c r="S528" s="137"/>
      <c r="T528" s="137"/>
    </row>
    <row r="529" spans="2:20" ht="13.5" customHeight="1" outlineLevel="1">
      <c r="B529" s="170" t="str">
        <f>B525</f>
        <v>Convertible bond 1</v>
      </c>
      <c r="C529" s="170"/>
      <c r="E529" s="171"/>
      <c r="F529" s="305">
        <f>I346</f>
        <v>43.12</v>
      </c>
      <c r="G529" s="190">
        <f>F529</f>
        <v>43.12</v>
      </c>
      <c r="H529" s="190">
        <f t="shared" ref="H529:P529" si="374">G529</f>
        <v>43.12</v>
      </c>
      <c r="I529" s="190">
        <f t="shared" si="374"/>
        <v>43.12</v>
      </c>
      <c r="J529" s="190">
        <f t="shared" si="374"/>
        <v>43.12</v>
      </c>
      <c r="K529" s="190">
        <f t="shared" si="374"/>
        <v>43.12</v>
      </c>
      <c r="L529" s="190">
        <f t="shared" si="374"/>
        <v>43.12</v>
      </c>
      <c r="M529" s="190">
        <f t="shared" si="374"/>
        <v>43.12</v>
      </c>
      <c r="N529" s="190">
        <f t="shared" si="374"/>
        <v>43.12</v>
      </c>
      <c r="O529" s="190">
        <f t="shared" si="374"/>
        <v>43.12</v>
      </c>
      <c r="P529" s="190">
        <f t="shared" si="374"/>
        <v>43.12</v>
      </c>
      <c r="R529" s="434"/>
      <c r="S529" s="190">
        <f>$F529</f>
        <v>43.12</v>
      </c>
      <c r="T529" s="190">
        <f>$F529</f>
        <v>43.12</v>
      </c>
    </row>
    <row r="530" spans="2:20" ht="13.5" customHeight="1" outlineLevel="1">
      <c r="B530" s="170" t="str">
        <f>B526</f>
        <v>Preferred stock 1</v>
      </c>
      <c r="C530" s="170"/>
      <c r="E530" s="171"/>
      <c r="F530" s="305">
        <f>I347</f>
        <v>0</v>
      </c>
      <c r="G530" s="190">
        <f>F530</f>
        <v>0</v>
      </c>
      <c r="H530" s="190">
        <f t="shared" ref="H530:P530" si="375">G530</f>
        <v>0</v>
      </c>
      <c r="I530" s="190">
        <f t="shared" si="375"/>
        <v>0</v>
      </c>
      <c r="J530" s="190">
        <f t="shared" si="375"/>
        <v>0</v>
      </c>
      <c r="K530" s="190">
        <f t="shared" si="375"/>
        <v>0</v>
      </c>
      <c r="L530" s="190">
        <f t="shared" si="375"/>
        <v>0</v>
      </c>
      <c r="M530" s="190">
        <f t="shared" si="375"/>
        <v>0</v>
      </c>
      <c r="N530" s="190">
        <f t="shared" si="375"/>
        <v>0</v>
      </c>
      <c r="O530" s="190">
        <f t="shared" si="375"/>
        <v>0</v>
      </c>
      <c r="P530" s="190">
        <f t="shared" si="375"/>
        <v>0</v>
      </c>
      <c r="R530" s="434"/>
      <c r="S530" s="190">
        <f>$F530</f>
        <v>0</v>
      </c>
      <c r="T530" s="190">
        <f>$F530</f>
        <v>0</v>
      </c>
    </row>
    <row r="531" spans="2:20" ht="13.5" customHeight="1" outlineLevel="1">
      <c r="E531" s="171"/>
      <c r="F531" s="509"/>
      <c r="G531" s="509"/>
      <c r="H531" s="509"/>
      <c r="I531" s="509"/>
      <c r="J531" s="509"/>
      <c r="K531" s="509"/>
      <c r="L531" s="510"/>
      <c r="R531" s="434"/>
      <c r="S531" s="137"/>
      <c r="T531" s="137"/>
    </row>
    <row r="532" spans="2:20" ht="13.5" customHeight="1" outlineLevel="1">
      <c r="B532" s="514" t="s">
        <v>570</v>
      </c>
      <c r="E532" s="171"/>
      <c r="F532" s="509"/>
      <c r="G532" s="509"/>
      <c r="H532" s="509"/>
      <c r="I532" s="509"/>
      <c r="J532" s="509"/>
      <c r="K532" s="509"/>
      <c r="L532" s="510"/>
      <c r="R532" s="434"/>
      <c r="S532" s="137"/>
      <c r="T532" s="137"/>
    </row>
    <row r="533" spans="2:20" ht="13.5" customHeight="1" outlineLevel="1">
      <c r="B533" s="170" t="str">
        <f>B525</f>
        <v>Convertible bond 1</v>
      </c>
      <c r="E533" s="171"/>
      <c r="F533" s="134">
        <f>IFERROR(F525/F529,0)</f>
        <v>10.435992578849723</v>
      </c>
      <c r="G533" s="134">
        <f t="shared" ref="G533:P533" si="376">IFERROR(G525/G529,0)</f>
        <v>11.427411873840446</v>
      </c>
      <c r="H533" s="134">
        <f t="shared" si="376"/>
        <v>12.513016001855288</v>
      </c>
      <c r="I533" s="134">
        <f t="shared" si="376"/>
        <v>13.404568391987477</v>
      </c>
      <c r="J533" s="134">
        <f t="shared" si="376"/>
        <v>13.404568391987477</v>
      </c>
      <c r="K533" s="134">
        <f t="shared" si="376"/>
        <v>13.404568391987477</v>
      </c>
      <c r="L533" s="134">
        <f t="shared" si="376"/>
        <v>13.404568391987477</v>
      </c>
      <c r="M533" s="134">
        <f t="shared" si="376"/>
        <v>13.404568391987477</v>
      </c>
      <c r="N533" s="134">
        <f t="shared" si="376"/>
        <v>13.404568391987477</v>
      </c>
      <c r="O533" s="134">
        <f t="shared" si="376"/>
        <v>13.404568391987477</v>
      </c>
      <c r="P533" s="134">
        <f t="shared" si="376"/>
        <v>13.404568391987477</v>
      </c>
      <c r="R533" s="434"/>
      <c r="S533" s="134">
        <f>IFERROR(S525/S529,0)</f>
        <v>10.931702226345084</v>
      </c>
      <c r="T533" s="134">
        <f>IFERROR(T525/T529,0)</f>
        <v>11.427411873840446</v>
      </c>
    </row>
    <row r="534" spans="2:20" ht="13.5" customHeight="1" outlineLevel="1">
      <c r="B534" s="170" t="str">
        <f>B526</f>
        <v>Preferred stock 1</v>
      </c>
      <c r="E534" s="171"/>
      <c r="F534" s="134">
        <f>IFERROR(F526/F530,0)</f>
        <v>0</v>
      </c>
      <c r="G534" s="134">
        <f t="shared" ref="G534:P534" si="377">IFERROR(G526/G530,0)</f>
        <v>0</v>
      </c>
      <c r="H534" s="134">
        <f t="shared" si="377"/>
        <v>0</v>
      </c>
      <c r="I534" s="134">
        <f t="shared" si="377"/>
        <v>0</v>
      </c>
      <c r="J534" s="134">
        <f t="shared" si="377"/>
        <v>0</v>
      </c>
      <c r="K534" s="134">
        <f t="shared" si="377"/>
        <v>0</v>
      </c>
      <c r="L534" s="134">
        <f t="shared" si="377"/>
        <v>0</v>
      </c>
      <c r="M534" s="134">
        <f t="shared" si="377"/>
        <v>0</v>
      </c>
      <c r="N534" s="134">
        <f t="shared" si="377"/>
        <v>0</v>
      </c>
      <c r="O534" s="134">
        <f t="shared" si="377"/>
        <v>0</v>
      </c>
      <c r="P534" s="134">
        <f t="shared" si="377"/>
        <v>0</v>
      </c>
      <c r="R534" s="434"/>
      <c r="S534" s="134">
        <f>IFERROR(S526/S530,0)</f>
        <v>0</v>
      </c>
      <c r="T534" s="134">
        <f>IFERROR(T526/T530,0)</f>
        <v>0</v>
      </c>
    </row>
    <row r="535" spans="2:20" ht="13.5" customHeight="1" outlineLevel="1">
      <c r="E535" s="171"/>
      <c r="F535" s="509"/>
      <c r="G535" s="509"/>
      <c r="H535" s="509"/>
      <c r="I535" s="509"/>
      <c r="J535" s="509"/>
      <c r="K535" s="509"/>
      <c r="L535" s="510"/>
      <c r="R535" s="434"/>
      <c r="S535" s="137"/>
      <c r="T535" s="137"/>
    </row>
    <row r="536" spans="2:20" ht="13.5" customHeight="1" outlineLevel="1">
      <c r="B536" s="514" t="s">
        <v>572</v>
      </c>
      <c r="E536" s="171"/>
      <c r="F536" s="509"/>
      <c r="G536" s="509"/>
      <c r="H536" s="509"/>
      <c r="I536" s="509"/>
      <c r="J536" s="509"/>
      <c r="K536" s="509"/>
      <c r="L536" s="510"/>
      <c r="R536" s="434"/>
      <c r="S536" s="515"/>
      <c r="T536" s="515"/>
    </row>
    <row r="537" spans="2:20" ht="13.5" customHeight="1" outlineLevel="1">
      <c r="B537" s="170" t="str">
        <f>B525</f>
        <v>Convertible bond 1</v>
      </c>
      <c r="E537" s="171"/>
      <c r="F537" s="515">
        <f t="shared" ref="F537:P537" si="378">(F$35+F320*(1-F$73*(1-$G346)))/(F$548+F533)</f>
        <v>1.5152281557338305</v>
      </c>
      <c r="G537" s="515">
        <f t="shared" ca="1" si="378"/>
        <v>1.497257931082759</v>
      </c>
      <c r="H537" s="515">
        <f t="shared" ca="1" si="378"/>
        <v>1.7578951395630862</v>
      </c>
      <c r="I537" s="515">
        <f t="shared" ca="1" si="378"/>
        <v>1.948333158815212</v>
      </c>
      <c r="J537" s="515">
        <f t="shared" ca="1" si="378"/>
        <v>2.1652224971024885</v>
      </c>
      <c r="K537" s="515">
        <f t="shared" ca="1" si="378"/>
        <v>2.4749972270328278</v>
      </c>
      <c r="L537" s="515">
        <f t="shared" ca="1" si="378"/>
        <v>2.8409124331317623</v>
      </c>
      <c r="M537" s="515">
        <f t="shared" ca="1" si="378"/>
        <v>3.1291308916833769</v>
      </c>
      <c r="N537" s="515">
        <f t="shared" ca="1" si="378"/>
        <v>3.4462092572086847</v>
      </c>
      <c r="O537" s="515">
        <f t="shared" ca="1" si="378"/>
        <v>3.7950335822540877</v>
      </c>
      <c r="P537" s="515">
        <f t="shared" ca="1" si="378"/>
        <v>4.1787785247211309</v>
      </c>
      <c r="R537" s="434"/>
      <c r="S537" s="515">
        <f ca="1">(S$35+S320*(1-S$73*(1-$G346)))/(S$548+S533)</f>
        <v>0.75026108466887986</v>
      </c>
      <c r="T537" s="515">
        <f ca="1">(T$35+T320*(1-T$73*(1-$G346)))/(T$548+T533)</f>
        <v>0.74862896554137948</v>
      </c>
    </row>
    <row r="538" spans="2:20" ht="13.5" customHeight="1" outlineLevel="1">
      <c r="B538" s="170" t="str">
        <f>B526</f>
        <v>Preferred stock 1</v>
      </c>
      <c r="E538" s="171"/>
      <c r="F538" s="515">
        <f t="shared" ref="F538:P538" si="379">(F$35+F321*(1-F$73*(1-$G347)))/(F$548+F534)</f>
        <v>1.4599686753556358</v>
      </c>
      <c r="G538" s="515">
        <f t="shared" ca="1" si="379"/>
        <v>1.4479258266019344</v>
      </c>
      <c r="H538" s="515">
        <f t="shared" ca="1" si="379"/>
        <v>1.7189444594518628</v>
      </c>
      <c r="I538" s="515">
        <f t="shared" ca="1" si="379"/>
        <v>1.9150625594665232</v>
      </c>
      <c r="J538" s="515">
        <f t="shared" ca="1" si="379"/>
        <v>2.1344163712545412</v>
      </c>
      <c r="K538" s="515">
        <f t="shared" ca="1" si="379"/>
        <v>2.4633758128801566</v>
      </c>
      <c r="L538" s="515">
        <f t="shared" ca="1" si="379"/>
        <v>2.8519525760903002</v>
      </c>
      <c r="M538" s="515">
        <f t="shared" ca="1" si="379"/>
        <v>3.1580207412135675</v>
      </c>
      <c r="N538" s="515">
        <f t="shared" ca="1" si="379"/>
        <v>3.4947361411373254</v>
      </c>
      <c r="O538" s="515">
        <f t="shared" ca="1" si="379"/>
        <v>3.8651635650210361</v>
      </c>
      <c r="P538" s="515">
        <f t="shared" ca="1" si="379"/>
        <v>4.2726742810468403</v>
      </c>
      <c r="R538" s="434"/>
      <c r="S538" s="515">
        <f ca="1">(S$35+S321*(1-S$73*(1-$G347)))/(S$548+S534)</f>
        <v>0.72396291330096718</v>
      </c>
      <c r="T538" s="515">
        <f ca="1">(T$35+T321*(1-T$73*(1-$G347)))/(T$548+T534)</f>
        <v>0.72396291330096718</v>
      </c>
    </row>
    <row r="539" spans="2:20" ht="13.5" customHeight="1" outlineLevel="1">
      <c r="B539" s="170"/>
      <c r="E539" s="171"/>
      <c r="F539" s="509"/>
      <c r="G539" s="509"/>
      <c r="H539" s="509"/>
      <c r="I539" s="509"/>
      <c r="J539" s="509"/>
      <c r="K539" s="509"/>
      <c r="L539" s="510"/>
      <c r="R539" s="434"/>
      <c r="S539" s="137"/>
      <c r="T539" s="137"/>
    </row>
    <row r="540" spans="2:20" ht="13.5" customHeight="1" outlineLevel="1">
      <c r="B540" s="170" t="s">
        <v>567</v>
      </c>
      <c r="E540" s="171"/>
      <c r="F540" s="515">
        <f t="shared" ref="F540:P540" si="380">F$35/F$548</f>
        <v>1.4599686753556358</v>
      </c>
      <c r="G540" s="515">
        <f t="shared" ca="1" si="380"/>
        <v>1.4479258266019344</v>
      </c>
      <c r="H540" s="515">
        <f t="shared" ca="1" si="380"/>
        <v>1.7189444594518628</v>
      </c>
      <c r="I540" s="515">
        <f t="shared" ca="1" si="380"/>
        <v>1.9150625594665232</v>
      </c>
      <c r="J540" s="515">
        <f t="shared" ca="1" si="380"/>
        <v>2.1344163712545412</v>
      </c>
      <c r="K540" s="515">
        <f t="shared" ca="1" si="380"/>
        <v>2.4633758128801566</v>
      </c>
      <c r="L540" s="515">
        <f t="shared" ca="1" si="380"/>
        <v>2.8519525760903002</v>
      </c>
      <c r="M540" s="515">
        <f t="shared" ca="1" si="380"/>
        <v>3.1580207412135675</v>
      </c>
      <c r="N540" s="515">
        <f t="shared" ca="1" si="380"/>
        <v>3.4947361411373254</v>
      </c>
      <c r="O540" s="515">
        <f t="shared" ca="1" si="380"/>
        <v>3.8651635650210361</v>
      </c>
      <c r="P540" s="515">
        <f t="shared" ca="1" si="380"/>
        <v>4.2726742810468403</v>
      </c>
      <c r="R540" s="434"/>
      <c r="S540" s="515">
        <f ca="1">S$35/S$548</f>
        <v>0.72396291330096718</v>
      </c>
      <c r="T540" s="515">
        <f ca="1">T$35/T$548</f>
        <v>0.72396291330096718</v>
      </c>
    </row>
    <row r="541" spans="2:20" ht="13.5" customHeight="1" outlineLevel="1">
      <c r="B541" s="170"/>
      <c r="E541" s="171"/>
      <c r="F541" s="509"/>
      <c r="G541" s="509"/>
      <c r="H541" s="509"/>
      <c r="I541" s="509"/>
      <c r="J541" s="509"/>
      <c r="K541" s="509"/>
      <c r="L541" s="510"/>
      <c r="R541" s="434"/>
      <c r="S541" s="137"/>
      <c r="T541" s="137"/>
    </row>
    <row r="542" spans="2:20" ht="13.5" customHeight="1" outlineLevel="1">
      <c r="B542" s="514" t="s">
        <v>568</v>
      </c>
      <c r="E542" s="171"/>
      <c r="F542" s="509"/>
      <c r="G542" s="509"/>
      <c r="H542" s="509"/>
      <c r="I542" s="509"/>
      <c r="J542" s="509"/>
      <c r="K542" s="509"/>
      <c r="L542" s="510"/>
      <c r="R542" s="434"/>
      <c r="S542" s="170"/>
      <c r="T542" s="170"/>
    </row>
    <row r="543" spans="2:20" ht="13.5" customHeight="1" outlineLevel="1">
      <c r="B543" s="170" t="str">
        <f>B525</f>
        <v>Convertible bond 1</v>
      </c>
      <c r="E543" s="171"/>
      <c r="F543" s="93">
        <f t="shared" ref="F543" si="381">(F537&lt;F$540)*1</f>
        <v>0</v>
      </c>
      <c r="G543" s="93">
        <f t="shared" ref="G543:P543" ca="1" si="382">(G537&lt;G$540)*1</f>
        <v>0</v>
      </c>
      <c r="H543" s="93">
        <f t="shared" ca="1" si="382"/>
        <v>0</v>
      </c>
      <c r="I543" s="93">
        <f t="shared" ca="1" si="382"/>
        <v>0</v>
      </c>
      <c r="J543" s="93">
        <f t="shared" ca="1" si="382"/>
        <v>0</v>
      </c>
      <c r="K543" s="93">
        <f t="shared" ca="1" si="382"/>
        <v>0</v>
      </c>
      <c r="L543" s="93">
        <f t="shared" ca="1" si="382"/>
        <v>1</v>
      </c>
      <c r="M543" s="93">
        <f t="shared" ca="1" si="382"/>
        <v>1</v>
      </c>
      <c r="N543" s="93">
        <f t="shared" ca="1" si="382"/>
        <v>1</v>
      </c>
      <c r="O543" s="93">
        <f t="shared" ca="1" si="382"/>
        <v>1</v>
      </c>
      <c r="P543" s="93">
        <f t="shared" ca="1" si="382"/>
        <v>1</v>
      </c>
      <c r="R543" s="434"/>
      <c r="S543" s="93">
        <f ca="1">(S537&lt;S$540)*1</f>
        <v>0</v>
      </c>
      <c r="T543" s="93">
        <f ca="1">(T537&lt;T$540)*1</f>
        <v>0</v>
      </c>
    </row>
    <row r="544" spans="2:20" ht="13.5" customHeight="1" outlineLevel="1">
      <c r="B544" s="170" t="str">
        <f>B526</f>
        <v>Preferred stock 1</v>
      </c>
      <c r="E544" s="171"/>
      <c r="F544" s="93">
        <f t="shared" ref="F544" si="383">(F538&lt;F$540)*1</f>
        <v>0</v>
      </c>
      <c r="G544" s="93">
        <f t="shared" ref="G544:P544" ca="1" si="384">(G538&lt;G$540)*1</f>
        <v>0</v>
      </c>
      <c r="H544" s="93">
        <f t="shared" ca="1" si="384"/>
        <v>0</v>
      </c>
      <c r="I544" s="93">
        <f t="shared" ca="1" si="384"/>
        <v>0</v>
      </c>
      <c r="J544" s="93">
        <f t="shared" ca="1" si="384"/>
        <v>0</v>
      </c>
      <c r="K544" s="93">
        <f t="shared" ca="1" si="384"/>
        <v>0</v>
      </c>
      <c r="L544" s="93">
        <f t="shared" ca="1" si="384"/>
        <v>0</v>
      </c>
      <c r="M544" s="93">
        <f t="shared" ca="1" si="384"/>
        <v>0</v>
      </c>
      <c r="N544" s="93">
        <f t="shared" ca="1" si="384"/>
        <v>0</v>
      </c>
      <c r="O544" s="93">
        <f t="shared" ca="1" si="384"/>
        <v>0</v>
      </c>
      <c r="P544" s="93">
        <f t="shared" ca="1" si="384"/>
        <v>0</v>
      </c>
      <c r="R544" s="434"/>
      <c r="S544" s="93">
        <f ca="1">(S538&lt;S$540)*1</f>
        <v>0</v>
      </c>
      <c r="T544" s="93">
        <f ca="1">(T538&lt;T$540)*1</f>
        <v>0</v>
      </c>
    </row>
    <row r="545" spans="1:20" ht="13.5" customHeight="1" outlineLevel="1">
      <c r="E545" s="171"/>
      <c r="F545" s="509"/>
      <c r="G545" s="509"/>
      <c r="H545" s="509"/>
      <c r="I545" s="509"/>
      <c r="J545" s="509"/>
      <c r="K545" s="509"/>
      <c r="L545" s="510"/>
      <c r="R545" s="434"/>
      <c r="S545" s="509"/>
      <c r="T545" s="509"/>
    </row>
    <row r="546" spans="1:20" ht="13.5" customHeight="1" outlineLevel="1">
      <c r="B546" s="457" t="s">
        <v>579</v>
      </c>
      <c r="C546" s="458"/>
      <c r="D546" s="459"/>
      <c r="E546" s="459"/>
      <c r="F546" s="459"/>
      <c r="G546" s="459"/>
      <c r="H546" s="459"/>
      <c r="I546" s="459"/>
      <c r="J546" s="459"/>
      <c r="K546" s="459"/>
      <c r="L546" s="459"/>
      <c r="M546" s="459"/>
      <c r="N546" s="459"/>
      <c r="O546" s="459"/>
      <c r="P546" s="460"/>
      <c r="R546" s="434"/>
      <c r="S546" s="461"/>
      <c r="T546" s="460"/>
    </row>
    <row r="547" spans="1:20" ht="13.5" customHeight="1" outlineLevel="1">
      <c r="B547" s="321"/>
      <c r="C547" s="321"/>
      <c r="D547" s="321"/>
      <c r="E547" s="385"/>
      <c r="F547" s="385"/>
      <c r="G547" s="385"/>
      <c r="H547" s="385"/>
      <c r="I547" s="385"/>
      <c r="J547" s="385"/>
      <c r="K547" s="385"/>
      <c r="L547" s="57"/>
      <c r="R547" s="434"/>
      <c r="S547" s="385"/>
      <c r="T547" s="385"/>
    </row>
    <row r="548" spans="1:20" ht="13.5" customHeight="1" outlineLevel="1">
      <c r="B548" s="36" t="s">
        <v>123</v>
      </c>
      <c r="E548" s="171"/>
      <c r="F548" s="513">
        <v>216.44300000000001</v>
      </c>
      <c r="G548" s="134">
        <f>F548</f>
        <v>216.44300000000001</v>
      </c>
      <c r="H548" s="134">
        <f t="shared" ref="H548:P548" si="385">G548</f>
        <v>216.44300000000001</v>
      </c>
      <c r="I548" s="134">
        <f t="shared" si="385"/>
        <v>216.44300000000001</v>
      </c>
      <c r="J548" s="134">
        <f t="shared" si="385"/>
        <v>216.44300000000001</v>
      </c>
      <c r="K548" s="134">
        <f t="shared" si="385"/>
        <v>216.44300000000001</v>
      </c>
      <c r="L548" s="134">
        <f t="shared" si="385"/>
        <v>216.44300000000001</v>
      </c>
      <c r="M548" s="134">
        <f t="shared" si="385"/>
        <v>216.44300000000001</v>
      </c>
      <c r="N548" s="134">
        <f t="shared" si="385"/>
        <v>216.44300000000001</v>
      </c>
      <c r="O548" s="134">
        <f t="shared" si="385"/>
        <v>216.44300000000001</v>
      </c>
      <c r="P548" s="134">
        <f t="shared" si="385"/>
        <v>216.44300000000001</v>
      </c>
      <c r="R548" s="434"/>
      <c r="S548" s="134">
        <f>$G548</f>
        <v>216.44300000000001</v>
      </c>
      <c r="T548" s="134">
        <f>$G548</f>
        <v>216.44300000000001</v>
      </c>
    </row>
    <row r="549" spans="1:20" ht="13.5" customHeight="1" outlineLevel="1">
      <c r="B549" s="36" t="s">
        <v>273</v>
      </c>
      <c r="E549" s="171"/>
      <c r="F549" s="134">
        <f t="shared" ref="F549:T549" si="386">$F520</f>
        <v>2.8870309050772631</v>
      </c>
      <c r="G549" s="134">
        <f t="shared" si="386"/>
        <v>2.8870309050772631</v>
      </c>
      <c r="H549" s="134">
        <f t="shared" si="386"/>
        <v>2.8870309050772631</v>
      </c>
      <c r="I549" s="134">
        <f t="shared" si="386"/>
        <v>2.8870309050772631</v>
      </c>
      <c r="J549" s="134">
        <f t="shared" si="386"/>
        <v>2.8870309050772631</v>
      </c>
      <c r="K549" s="134">
        <f t="shared" si="386"/>
        <v>2.8870309050772631</v>
      </c>
      <c r="L549" s="134">
        <f t="shared" si="386"/>
        <v>2.8870309050772631</v>
      </c>
      <c r="M549" s="134">
        <f t="shared" si="386"/>
        <v>2.8870309050772631</v>
      </c>
      <c r="N549" s="134">
        <f t="shared" si="386"/>
        <v>2.8870309050772631</v>
      </c>
      <c r="O549" s="134">
        <f t="shared" si="386"/>
        <v>2.8870309050772631</v>
      </c>
      <c r="P549" s="134">
        <f t="shared" si="386"/>
        <v>2.8870309050772631</v>
      </c>
      <c r="R549" s="434"/>
      <c r="S549" s="134">
        <f t="shared" si="386"/>
        <v>2.8870309050772631</v>
      </c>
      <c r="T549" s="134">
        <f t="shared" si="386"/>
        <v>2.8870309050772631</v>
      </c>
    </row>
    <row r="550" spans="1:20" ht="13.5" customHeight="1" outlineLevel="1">
      <c r="B550" s="36" t="str">
        <f>"( + ) Shares from "&amp;B525</f>
        <v>( + ) Shares from Convertible bond 1</v>
      </c>
      <c r="E550" s="171"/>
      <c r="F550" s="134">
        <f t="shared" ref="F550" si="387">F533*F543</f>
        <v>0</v>
      </c>
      <c r="G550" s="134">
        <f t="shared" ref="G550:P550" ca="1" si="388">G533*G543</f>
        <v>0</v>
      </c>
      <c r="H550" s="134">
        <f t="shared" ca="1" si="388"/>
        <v>0</v>
      </c>
      <c r="I550" s="134">
        <f t="shared" ca="1" si="388"/>
        <v>0</v>
      </c>
      <c r="J550" s="134">
        <f t="shared" ca="1" si="388"/>
        <v>0</v>
      </c>
      <c r="K550" s="134">
        <f t="shared" ca="1" si="388"/>
        <v>0</v>
      </c>
      <c r="L550" s="134">
        <f t="shared" ca="1" si="388"/>
        <v>13.404568391987477</v>
      </c>
      <c r="M550" s="134">
        <f t="shared" ca="1" si="388"/>
        <v>13.404568391987477</v>
      </c>
      <c r="N550" s="134">
        <f t="shared" ca="1" si="388"/>
        <v>13.404568391987477</v>
      </c>
      <c r="O550" s="134">
        <f t="shared" ca="1" si="388"/>
        <v>13.404568391987477</v>
      </c>
      <c r="P550" s="134">
        <f t="shared" ca="1" si="388"/>
        <v>13.404568391987477</v>
      </c>
      <c r="R550" s="434"/>
      <c r="S550" s="134">
        <f ca="1">S533*S543</f>
        <v>0</v>
      </c>
      <c r="T550" s="134">
        <f ca="1">T533*T543</f>
        <v>0</v>
      </c>
    </row>
    <row r="551" spans="1:20" ht="13.5" customHeight="1" outlineLevel="1">
      <c r="B551" s="36" t="str">
        <f>"( + ) Shares from "&amp;B526</f>
        <v>( + ) Shares from Preferred stock 1</v>
      </c>
      <c r="E551" s="171"/>
      <c r="F551" s="134">
        <f t="shared" ref="F551" si="389">F534*F544</f>
        <v>0</v>
      </c>
      <c r="G551" s="134">
        <f t="shared" ref="G551:P551" ca="1" si="390">G534*G544</f>
        <v>0</v>
      </c>
      <c r="H551" s="134">
        <f t="shared" ca="1" si="390"/>
        <v>0</v>
      </c>
      <c r="I551" s="134">
        <f t="shared" ca="1" si="390"/>
        <v>0</v>
      </c>
      <c r="J551" s="134">
        <f t="shared" ca="1" si="390"/>
        <v>0</v>
      </c>
      <c r="K551" s="134">
        <f t="shared" ca="1" si="390"/>
        <v>0</v>
      </c>
      <c r="L551" s="134">
        <f t="shared" ca="1" si="390"/>
        <v>0</v>
      </c>
      <c r="M551" s="134">
        <f t="shared" ca="1" si="390"/>
        <v>0</v>
      </c>
      <c r="N551" s="134">
        <f t="shared" ca="1" si="390"/>
        <v>0</v>
      </c>
      <c r="O551" s="134">
        <f t="shared" ca="1" si="390"/>
        <v>0</v>
      </c>
      <c r="P551" s="134">
        <f t="shared" ca="1" si="390"/>
        <v>0</v>
      </c>
      <c r="R551" s="434"/>
      <c r="S551" s="134">
        <f ca="1">S534*S544</f>
        <v>0</v>
      </c>
      <c r="T551" s="134">
        <f ca="1">T534*T544</f>
        <v>0</v>
      </c>
    </row>
    <row r="552" spans="1:20" s="193" customFormat="1" ht="13.5" customHeight="1" outlineLevel="1">
      <c r="B552" s="254" t="s">
        <v>122</v>
      </c>
      <c r="C552" s="254"/>
      <c r="D552" s="254"/>
      <c r="E552" s="516"/>
      <c r="F552" s="516">
        <f>SUM(F548:F551)</f>
        <v>219.33003090507728</v>
      </c>
      <c r="G552" s="516">
        <f t="shared" ref="G552:P552" ca="1" si="391">SUM(G548:G551)</f>
        <v>219.33003090507728</v>
      </c>
      <c r="H552" s="516">
        <f t="shared" ca="1" si="391"/>
        <v>219.33003090507728</v>
      </c>
      <c r="I552" s="516">
        <f t="shared" ca="1" si="391"/>
        <v>219.33003090507728</v>
      </c>
      <c r="J552" s="516">
        <f t="shared" ca="1" si="391"/>
        <v>219.33003090507728</v>
      </c>
      <c r="K552" s="516">
        <f t="shared" ca="1" si="391"/>
        <v>219.33003090507728</v>
      </c>
      <c r="L552" s="516">
        <f t="shared" ca="1" si="391"/>
        <v>232.73459929706476</v>
      </c>
      <c r="M552" s="516">
        <f t="shared" ca="1" si="391"/>
        <v>232.73459929706476</v>
      </c>
      <c r="N552" s="516">
        <f t="shared" ca="1" si="391"/>
        <v>232.73459929706476</v>
      </c>
      <c r="O552" s="516">
        <f t="shared" ca="1" si="391"/>
        <v>232.73459929706476</v>
      </c>
      <c r="P552" s="516">
        <f t="shared" ca="1" si="391"/>
        <v>232.73459929706476</v>
      </c>
      <c r="R552" s="502"/>
      <c r="S552" s="516">
        <f ca="1">SUM(S548:S551)</f>
        <v>219.33003090507728</v>
      </c>
      <c r="T552" s="516">
        <f ca="1">SUM(T548:T551)</f>
        <v>219.33003090507728</v>
      </c>
    </row>
    <row r="553" spans="1:20" ht="5.0999999999999996" customHeight="1" outlineLevel="1" thickBot="1">
      <c r="B553" s="77"/>
      <c r="C553" s="77"/>
      <c r="D553" s="77"/>
      <c r="E553" s="517"/>
      <c r="F553" s="517"/>
      <c r="G553" s="518"/>
      <c r="H553" s="519"/>
      <c r="I553" s="519"/>
      <c r="J553" s="519"/>
      <c r="K553" s="519"/>
      <c r="L553" s="519"/>
      <c r="M553" s="519"/>
      <c r="N553" s="519"/>
      <c r="O553" s="519"/>
      <c r="P553" s="519"/>
      <c r="Q553" s="519"/>
      <c r="R553" s="519"/>
      <c r="S553" s="519"/>
      <c r="T553" s="519"/>
    </row>
    <row r="554" spans="1:20" ht="13.5" customHeight="1" outlineLevel="1"/>
    <row r="555" spans="1:20" ht="13.5" customHeight="1" outlineLevel="1" thickBot="1"/>
    <row r="556" spans="1:20" ht="20.7" thickTop="1">
      <c r="A556" s="281" t="s">
        <v>631</v>
      </c>
      <c r="B556" s="429" t="str">
        <f>acquirer&amp;" Summary Credit Metrics"</f>
        <v>BuyerCo Summary Credit Metrics</v>
      </c>
      <c r="C556" s="430"/>
      <c r="D556" s="431"/>
      <c r="E556" s="431"/>
      <c r="F556" s="431"/>
      <c r="G556" s="431"/>
      <c r="H556" s="431"/>
      <c r="I556" s="431"/>
      <c r="J556" s="431"/>
      <c r="K556" s="431"/>
      <c r="L556" s="431"/>
      <c r="M556" s="431"/>
      <c r="N556" s="431"/>
      <c r="O556" s="431"/>
      <c r="P556" s="431"/>
      <c r="Q556" s="431"/>
      <c r="R556" s="431"/>
      <c r="S556" s="431"/>
      <c r="T556" s="431"/>
    </row>
    <row r="557" spans="1:20" ht="5.0999999999999996" customHeight="1" outlineLevel="1">
      <c r="B557" s="107"/>
    </row>
    <row r="558" spans="1:20" ht="13.5" customHeight="1" outlineLevel="1">
      <c r="B558" s="286"/>
      <c r="C558" s="286"/>
      <c r="D558" s="286"/>
      <c r="E558" s="42"/>
      <c r="F558" s="432" t="s">
        <v>630</v>
      </c>
      <c r="G558" s="433" t="s">
        <v>629</v>
      </c>
      <c r="H558" s="433"/>
      <c r="I558" s="433"/>
      <c r="J558" s="433"/>
      <c r="K558" s="433"/>
      <c r="L558" s="433"/>
      <c r="M558" s="433"/>
      <c r="N558" s="433"/>
      <c r="O558" s="433"/>
      <c r="P558" s="433"/>
      <c r="R558" s="434"/>
      <c r="S558" s="433" t="s">
        <v>628</v>
      </c>
      <c r="T558" s="433"/>
    </row>
    <row r="559" spans="1:20" ht="13.5" customHeight="1" outlineLevel="1" thickBot="1">
      <c r="B559" s="435" t="str">
        <f>"("&amp;curr&amp;" in millions)"</f>
        <v>($ in millions)</v>
      </c>
      <c r="C559" s="436"/>
      <c r="D559" s="436"/>
      <c r="E559" s="437"/>
      <c r="F559" s="439">
        <f>F$8</f>
        <v>44926</v>
      </c>
      <c r="G559" s="439">
        <f>G$8</f>
        <v>45291</v>
      </c>
      <c r="H559" s="439">
        <f>H$8</f>
        <v>45657</v>
      </c>
      <c r="I559" s="439">
        <f>I$8</f>
        <v>46022</v>
      </c>
      <c r="J559" s="439">
        <f t="shared" ref="J559:P559" si="392">J$8</f>
        <v>46387</v>
      </c>
      <c r="K559" s="439">
        <f t="shared" si="392"/>
        <v>46752</v>
      </c>
      <c r="L559" s="439">
        <f t="shared" si="392"/>
        <v>47118</v>
      </c>
      <c r="M559" s="439">
        <f t="shared" si="392"/>
        <v>47483</v>
      </c>
      <c r="N559" s="439">
        <f t="shared" si="392"/>
        <v>47848</v>
      </c>
      <c r="O559" s="439">
        <f t="shared" si="392"/>
        <v>48213</v>
      </c>
      <c r="P559" s="439">
        <f t="shared" si="392"/>
        <v>48579</v>
      </c>
      <c r="R559" s="434"/>
      <c r="S559" s="440">
        <f>S$8</f>
        <v>45107</v>
      </c>
      <c r="T559" s="440">
        <f>T$8</f>
        <v>45291</v>
      </c>
    </row>
    <row r="560" spans="1:20" ht="5.0999999999999996" customHeight="1" outlineLevel="1">
      <c r="C560" s="381"/>
      <c r="D560" s="381"/>
      <c r="G560" s="199"/>
      <c r="H560" s="199"/>
      <c r="I560" s="199"/>
      <c r="J560" s="199"/>
      <c r="K560" s="199"/>
      <c r="L560" s="199"/>
      <c r="M560" s="199"/>
      <c r="N560" s="199"/>
      <c r="O560" s="199"/>
      <c r="P560" s="199"/>
      <c r="R560" s="434"/>
      <c r="T560" s="199"/>
    </row>
    <row r="561" spans="2:20" ht="13.5" customHeight="1" outlineLevel="1">
      <c r="B561" s="457" t="s">
        <v>617</v>
      </c>
      <c r="C561" s="458"/>
      <c r="D561" s="459"/>
      <c r="E561" s="459"/>
      <c r="F561" s="459"/>
      <c r="G561" s="459"/>
      <c r="H561" s="459"/>
      <c r="I561" s="459"/>
      <c r="J561" s="459"/>
      <c r="K561" s="459"/>
      <c r="L561" s="459"/>
      <c r="M561" s="459"/>
      <c r="N561" s="459"/>
      <c r="O561" s="459"/>
      <c r="P561" s="460"/>
      <c r="R561" s="434"/>
      <c r="S561" s="461"/>
      <c r="T561" s="460"/>
    </row>
    <row r="562" spans="2:20" ht="13.5" customHeight="1" outlineLevel="1">
      <c r="B562" s="321"/>
      <c r="C562" s="321"/>
      <c r="D562" s="321"/>
      <c r="E562" s="385"/>
      <c r="F562" s="385"/>
      <c r="G562" s="385"/>
      <c r="H562" s="385"/>
      <c r="I562" s="385"/>
      <c r="J562" s="385"/>
      <c r="K562" s="385"/>
      <c r="L562" s="57"/>
      <c r="R562" s="434"/>
      <c r="S562" s="385"/>
      <c r="T562" s="385"/>
    </row>
    <row r="563" spans="2:20" ht="13.5" customHeight="1" outlineLevel="1">
      <c r="B563" s="36" t="s">
        <v>298</v>
      </c>
      <c r="F563" s="231"/>
      <c r="G563" s="231">
        <f t="shared" ref="G563:P563" ca="1" si="393">G272+G281+G287+G293</f>
        <v>492.75</v>
      </c>
      <c r="H563" s="231">
        <f t="shared" ca="1" si="393"/>
        <v>539.56124999999997</v>
      </c>
      <c r="I563" s="231">
        <f t="shared" ca="1" si="393"/>
        <v>578.00498906249993</v>
      </c>
      <c r="J563" s="231">
        <f t="shared" ca="1" si="393"/>
        <v>578.00498906249993</v>
      </c>
      <c r="K563" s="231">
        <f t="shared" ca="1" si="393"/>
        <v>578.00498906249993</v>
      </c>
      <c r="L563" s="231">
        <f t="shared" ca="1" si="393"/>
        <v>578.00498906249993</v>
      </c>
      <c r="M563" s="231">
        <f t="shared" ca="1" si="393"/>
        <v>578.00498906249993</v>
      </c>
      <c r="N563" s="231">
        <f t="shared" ca="1" si="393"/>
        <v>578.00498906249993</v>
      </c>
      <c r="O563" s="231">
        <f t="shared" ca="1" si="393"/>
        <v>578.00498906249993</v>
      </c>
      <c r="P563" s="231">
        <f t="shared" ca="1" si="393"/>
        <v>578.00498906249993</v>
      </c>
      <c r="R563" s="434"/>
      <c r="S563" s="231">
        <f ca="1">S272+S281+S287+S293</f>
        <v>471.375</v>
      </c>
      <c r="T563" s="231">
        <f ca="1">T272+T281+T287+T293</f>
        <v>492.75</v>
      </c>
    </row>
    <row r="564" spans="2:20" ht="13.5" customHeight="1" outlineLevel="1">
      <c r="B564" s="36" t="s">
        <v>609</v>
      </c>
      <c r="C564" s="381"/>
      <c r="D564" s="381"/>
      <c r="F564" s="163"/>
      <c r="G564" s="163">
        <f t="shared" ref="G564:P564" ca="1" si="394">G563-G84</f>
        <v>-908.80404002773071</v>
      </c>
      <c r="H564" s="163">
        <f t="shared" ca="1" si="394"/>
        <v>-1255.02695958037</v>
      </c>
      <c r="I564" s="163">
        <f t="shared" ca="1" si="394"/>
        <v>-1635.762974564585</v>
      </c>
      <c r="J564" s="163">
        <f t="shared" ca="1" si="394"/>
        <v>-2055.2657715761948</v>
      </c>
      <c r="K564" s="163">
        <f t="shared" ca="1" si="394"/>
        <v>-2511.1076404483942</v>
      </c>
      <c r="L564" s="163">
        <f t="shared" ca="1" si="394"/>
        <v>-3003.7941434605841</v>
      </c>
      <c r="M564" s="163">
        <f t="shared" ca="1" si="394"/>
        <v>-3551.1328634950974</v>
      </c>
      <c r="N564" s="163">
        <f t="shared" ca="1" si="394"/>
        <v>-4158.5977705097102</v>
      </c>
      <c r="O564" s="163">
        <f t="shared" ca="1" si="394"/>
        <v>-4832.2102456738294</v>
      </c>
      <c r="P564" s="163">
        <f t="shared" ca="1" si="394"/>
        <v>-5578.5938225127475</v>
      </c>
      <c r="R564" s="434"/>
      <c r="S564" s="163">
        <f ca="1">S563-S84</f>
        <v>-763.03619518412938</v>
      </c>
      <c r="T564" s="163">
        <f ca="1">T563-T84</f>
        <v>-908.80404002773071</v>
      </c>
    </row>
    <row r="565" spans="2:20" ht="13.5" customHeight="1" outlineLevel="1">
      <c r="B565" s="36" t="s">
        <v>610</v>
      </c>
      <c r="C565" s="381"/>
      <c r="D565" s="381"/>
      <c r="F565" s="163"/>
      <c r="G565" s="163">
        <f t="shared" ref="G565:P565" ca="1" si="395">G272+G281</f>
        <v>0</v>
      </c>
      <c r="H565" s="163">
        <f t="shared" ca="1" si="395"/>
        <v>0</v>
      </c>
      <c r="I565" s="163">
        <f t="shared" ca="1" si="395"/>
        <v>0</v>
      </c>
      <c r="J565" s="163">
        <f t="shared" ca="1" si="395"/>
        <v>0</v>
      </c>
      <c r="K565" s="163">
        <f t="shared" ca="1" si="395"/>
        <v>0</v>
      </c>
      <c r="L565" s="163">
        <f t="shared" ca="1" si="395"/>
        <v>0</v>
      </c>
      <c r="M565" s="163">
        <f t="shared" ca="1" si="395"/>
        <v>0</v>
      </c>
      <c r="N565" s="163">
        <f t="shared" ca="1" si="395"/>
        <v>0</v>
      </c>
      <c r="O565" s="163">
        <f t="shared" ca="1" si="395"/>
        <v>0</v>
      </c>
      <c r="P565" s="163">
        <f t="shared" ca="1" si="395"/>
        <v>0</v>
      </c>
      <c r="R565" s="434"/>
      <c r="S565" s="163">
        <f ca="1">S272+S281</f>
        <v>0</v>
      </c>
      <c r="T565" s="163">
        <f ca="1">T272+T281</f>
        <v>0</v>
      </c>
    </row>
    <row r="566" spans="2:20" ht="13.5" customHeight="1" outlineLevel="1">
      <c r="B566" s="36" t="s">
        <v>611</v>
      </c>
      <c r="C566" s="381"/>
      <c r="D566" s="381"/>
      <c r="F566" s="163"/>
      <c r="G566" s="163">
        <f t="shared" ref="G566:P566" si="396">G299</f>
        <v>0</v>
      </c>
      <c r="H566" s="163">
        <f t="shared" si="396"/>
        <v>0</v>
      </c>
      <c r="I566" s="163">
        <f t="shared" si="396"/>
        <v>0</v>
      </c>
      <c r="J566" s="163">
        <f t="shared" si="396"/>
        <v>0</v>
      </c>
      <c r="K566" s="163">
        <f t="shared" si="396"/>
        <v>0</v>
      </c>
      <c r="L566" s="163">
        <f t="shared" si="396"/>
        <v>0</v>
      </c>
      <c r="M566" s="163">
        <f t="shared" si="396"/>
        <v>0</v>
      </c>
      <c r="N566" s="163">
        <f t="shared" si="396"/>
        <v>0</v>
      </c>
      <c r="O566" s="163">
        <f t="shared" si="396"/>
        <v>0</v>
      </c>
      <c r="P566" s="163">
        <f t="shared" si="396"/>
        <v>0</v>
      </c>
      <c r="R566" s="434"/>
      <c r="S566" s="163">
        <f>S299</f>
        <v>0</v>
      </c>
      <c r="T566" s="163">
        <f>T299</f>
        <v>0</v>
      </c>
    </row>
    <row r="567" spans="2:20" ht="13.5" customHeight="1" outlineLevel="1">
      <c r="B567" s="36" t="s">
        <v>612</v>
      </c>
      <c r="C567" s="381"/>
      <c r="D567" s="381"/>
      <c r="F567" s="163"/>
      <c r="G567" s="163">
        <f t="shared" ref="G567:P567" ca="1" si="397">G563+G566+SUM(G119:G123)</f>
        <v>3574.8796896872018</v>
      </c>
      <c r="H567" s="163">
        <f t="shared" ca="1" si="397"/>
        <v>4044.6867153243411</v>
      </c>
      <c r="I567" s="163">
        <f t="shared" ca="1" si="397"/>
        <v>4554.5346199454534</v>
      </c>
      <c r="J567" s="163">
        <f t="shared" ca="1" si="397"/>
        <v>5079.9723825888996</v>
      </c>
      <c r="K567" s="163">
        <f t="shared" ca="1" si="397"/>
        <v>5683.82271365612</v>
      </c>
      <c r="L567" s="163">
        <f t="shared" ca="1" si="397"/>
        <v>6379.7105250828317</v>
      </c>
      <c r="M567" s="163">
        <f t="shared" ca="1" si="397"/>
        <v>7150.5706843733205</v>
      </c>
      <c r="N567" s="163">
        <f t="shared" ca="1" si="397"/>
        <v>8003.9091745695059</v>
      </c>
      <c r="O567" s="163">
        <f t="shared" ca="1" si="397"/>
        <v>8947.9825912333545</v>
      </c>
      <c r="P567" s="163">
        <f t="shared" ca="1" si="397"/>
        <v>9991.8732037219761</v>
      </c>
      <c r="R567" s="434"/>
      <c r="S567" s="163">
        <f ca="1">S563+S566+SUM(S119:S123)</f>
        <v>3374.2868448436011</v>
      </c>
      <c r="T567" s="163">
        <f ca="1">T563+T566+SUM(T119:T123)</f>
        <v>3574.8796896872018</v>
      </c>
    </row>
    <row r="568" spans="2:20" ht="13.5" customHeight="1" outlineLevel="1">
      <c r="C568" s="381"/>
      <c r="D568" s="381"/>
      <c r="G568" s="199"/>
      <c r="H568" s="199"/>
      <c r="I568" s="199"/>
      <c r="J568" s="199"/>
      <c r="K568" s="199"/>
      <c r="L568" s="199"/>
      <c r="M568" s="199"/>
      <c r="N568" s="199"/>
      <c r="O568" s="199"/>
      <c r="P568" s="199"/>
      <c r="R568" s="434"/>
      <c r="T568" s="199"/>
    </row>
    <row r="569" spans="2:20" ht="13.5" customHeight="1" outlineLevel="1">
      <c r="B569" s="457" t="s">
        <v>586</v>
      </c>
      <c r="C569" s="458"/>
      <c r="D569" s="459"/>
      <c r="E569" s="459"/>
      <c r="F569" s="459"/>
      <c r="G569" s="459"/>
      <c r="H569" s="459"/>
      <c r="I569" s="459"/>
      <c r="J569" s="459"/>
      <c r="K569" s="459"/>
      <c r="L569" s="459"/>
      <c r="M569" s="459"/>
      <c r="N569" s="459"/>
      <c r="O569" s="459"/>
      <c r="P569" s="460"/>
      <c r="R569" s="434"/>
      <c r="S569" s="461"/>
      <c r="T569" s="460"/>
    </row>
    <row r="570" spans="2:20" ht="13.5" customHeight="1" outlineLevel="1">
      <c r="B570" s="321"/>
      <c r="C570" s="321"/>
      <c r="D570" s="321"/>
      <c r="E570" s="385"/>
      <c r="F570" s="385"/>
      <c r="G570" s="385"/>
      <c r="H570" s="385"/>
      <c r="I570" s="385"/>
      <c r="J570" s="385"/>
      <c r="K570" s="385"/>
      <c r="L570" s="57"/>
      <c r="R570" s="434"/>
      <c r="S570" s="385"/>
      <c r="T570" s="385"/>
    </row>
    <row r="571" spans="2:20" ht="13.5" customHeight="1" outlineLevel="1">
      <c r="B571" s="36" t="s">
        <v>584</v>
      </c>
      <c r="F571" s="231"/>
      <c r="G571" s="231">
        <f t="shared" ref="G571:P571" si="398">G323</f>
        <v>21.983560000000004</v>
      </c>
      <c r="H571" s="231">
        <f t="shared" ca="1" si="398"/>
        <v>10</v>
      </c>
      <c r="I571" s="231">
        <f t="shared" ca="1" si="398"/>
        <v>10</v>
      </c>
      <c r="J571" s="231">
        <f t="shared" ca="1" si="398"/>
        <v>10</v>
      </c>
      <c r="K571" s="231">
        <f t="shared" ca="1" si="398"/>
        <v>10</v>
      </c>
      <c r="L571" s="231">
        <f t="shared" ca="1" si="398"/>
        <v>10</v>
      </c>
      <c r="M571" s="231">
        <f t="shared" ca="1" si="398"/>
        <v>10</v>
      </c>
      <c r="N571" s="231">
        <f t="shared" ca="1" si="398"/>
        <v>10</v>
      </c>
      <c r="O571" s="231">
        <f t="shared" ca="1" si="398"/>
        <v>10</v>
      </c>
      <c r="P571" s="231">
        <f t="shared" ca="1" si="398"/>
        <v>10</v>
      </c>
      <c r="R571" s="434"/>
      <c r="S571" s="231">
        <f t="shared" ref="S571:T573" si="399">S323</f>
        <v>10.991780000000002</v>
      </c>
      <c r="T571" s="231">
        <f t="shared" si="399"/>
        <v>10.991780000000002</v>
      </c>
    </row>
    <row r="572" spans="2:20" ht="13.5" customHeight="1" outlineLevel="1">
      <c r="B572" s="36" t="s">
        <v>585</v>
      </c>
      <c r="F572" s="163"/>
      <c r="G572" s="163">
        <f t="shared" ref="G572:P572" si="400">G324</f>
        <v>21.983559999999997</v>
      </c>
      <c r="H572" s="163">
        <f t="shared" ca="1" si="400"/>
        <v>10</v>
      </c>
      <c r="I572" s="163">
        <f t="shared" ca="1" si="400"/>
        <v>22.8145796875</v>
      </c>
      <c r="J572" s="163">
        <f t="shared" ca="1" si="400"/>
        <v>64.910473960937495</v>
      </c>
      <c r="K572" s="163">
        <f t="shared" ca="1" si="400"/>
        <v>64.910473960937495</v>
      </c>
      <c r="L572" s="163">
        <f t="shared" ca="1" si="400"/>
        <v>64.910473960937495</v>
      </c>
      <c r="M572" s="163">
        <f t="shared" ca="1" si="400"/>
        <v>64.910473960937495</v>
      </c>
      <c r="N572" s="163">
        <f t="shared" ca="1" si="400"/>
        <v>64.910473960937495</v>
      </c>
      <c r="O572" s="163">
        <f t="shared" ca="1" si="400"/>
        <v>64.910473960937495</v>
      </c>
      <c r="P572" s="163">
        <f t="shared" ca="1" si="400"/>
        <v>64.910473960937495</v>
      </c>
      <c r="R572" s="434"/>
      <c r="S572" s="163">
        <f t="shared" si="399"/>
        <v>10.991779999999999</v>
      </c>
      <c r="T572" s="163">
        <f t="shared" si="399"/>
        <v>10.991779999999999</v>
      </c>
    </row>
    <row r="573" spans="2:20" ht="13.5" customHeight="1" outlineLevel="1">
      <c r="B573" s="36" t="s">
        <v>575</v>
      </c>
      <c r="F573" s="163"/>
      <c r="G573" s="163">
        <f t="shared" ref="G573:P573" si="401">G325</f>
        <v>64.733560000000011</v>
      </c>
      <c r="H573" s="163">
        <f t="shared" ca="1" si="401"/>
        <v>56.811250000000001</v>
      </c>
      <c r="I573" s="163">
        <f t="shared" ca="1" si="401"/>
        <v>61.258318750000001</v>
      </c>
      <c r="J573" s="163">
        <f t="shared" ca="1" si="401"/>
        <v>64.910473960937495</v>
      </c>
      <c r="K573" s="163">
        <f t="shared" ca="1" si="401"/>
        <v>64.910473960937495</v>
      </c>
      <c r="L573" s="163">
        <f t="shared" ca="1" si="401"/>
        <v>64.910473960937495</v>
      </c>
      <c r="M573" s="163">
        <f t="shared" ca="1" si="401"/>
        <v>64.910473960937495</v>
      </c>
      <c r="N573" s="163">
        <f t="shared" ca="1" si="401"/>
        <v>64.910473960937495</v>
      </c>
      <c r="O573" s="163">
        <f t="shared" ca="1" si="401"/>
        <v>64.910473960937495</v>
      </c>
      <c r="P573" s="163">
        <f t="shared" ca="1" si="401"/>
        <v>64.910473960937495</v>
      </c>
      <c r="R573" s="434"/>
      <c r="S573" s="163">
        <f t="shared" si="399"/>
        <v>32.366780000000006</v>
      </c>
      <c r="T573" s="163">
        <f t="shared" si="399"/>
        <v>32.366780000000006</v>
      </c>
    </row>
    <row r="574" spans="2:20" ht="13.5" customHeight="1" outlineLevel="1">
      <c r="B574" s="36" t="s">
        <v>587</v>
      </c>
      <c r="F574" s="163"/>
      <c r="G574" s="163">
        <f t="shared" ref="G574:P574" si="402">G325+G328</f>
        <v>64.733560000000011</v>
      </c>
      <c r="H574" s="163">
        <f t="shared" ca="1" si="402"/>
        <v>56.811250000000001</v>
      </c>
      <c r="I574" s="163">
        <f t="shared" ca="1" si="402"/>
        <v>61.258318750000001</v>
      </c>
      <c r="J574" s="163">
        <f t="shared" ca="1" si="402"/>
        <v>64.910473960937495</v>
      </c>
      <c r="K574" s="163">
        <f t="shared" ca="1" si="402"/>
        <v>64.910473960937495</v>
      </c>
      <c r="L574" s="163">
        <f t="shared" ca="1" si="402"/>
        <v>64.910473960937495</v>
      </c>
      <c r="M574" s="163">
        <f t="shared" ca="1" si="402"/>
        <v>64.910473960937495</v>
      </c>
      <c r="N574" s="163">
        <f t="shared" ca="1" si="402"/>
        <v>64.910473960937495</v>
      </c>
      <c r="O574" s="163">
        <f t="shared" ca="1" si="402"/>
        <v>64.910473960937495</v>
      </c>
      <c r="P574" s="163">
        <f t="shared" ca="1" si="402"/>
        <v>64.910473960937495</v>
      </c>
      <c r="R574" s="434"/>
      <c r="S574" s="163">
        <f>S325+S328</f>
        <v>32.366780000000006</v>
      </c>
      <c r="T574" s="163">
        <f>T325+T328</f>
        <v>32.366780000000006</v>
      </c>
    </row>
    <row r="575" spans="2:20" ht="13.5" customHeight="1" outlineLevel="1">
      <c r="G575" s="36" t="s">
        <v>643</v>
      </c>
      <c r="R575" s="434"/>
    </row>
    <row r="576" spans="2:20" ht="13.5" customHeight="1" outlineLevel="1">
      <c r="B576" s="457" t="s">
        <v>616</v>
      </c>
      <c r="C576" s="458"/>
      <c r="D576" s="459"/>
      <c r="E576" s="459"/>
      <c r="F576" s="459"/>
      <c r="G576" s="459"/>
      <c r="H576" s="459"/>
      <c r="I576" s="459"/>
      <c r="J576" s="459"/>
      <c r="K576" s="459"/>
      <c r="L576" s="459"/>
      <c r="M576" s="459"/>
      <c r="N576" s="459"/>
      <c r="O576" s="459"/>
      <c r="P576" s="460"/>
      <c r="R576" s="434"/>
      <c r="S576" s="461"/>
      <c r="T576" s="460"/>
    </row>
    <row r="577" spans="2:20" ht="13.5" customHeight="1" outlineLevel="1">
      <c r="B577" s="321"/>
      <c r="C577" s="321"/>
      <c r="D577" s="321"/>
      <c r="E577" s="385"/>
      <c r="F577" s="385"/>
      <c r="G577" s="385"/>
      <c r="H577" s="385"/>
      <c r="I577" s="385"/>
      <c r="J577" s="385"/>
      <c r="K577" s="385"/>
      <c r="L577" s="57"/>
      <c r="R577" s="434"/>
      <c r="S577" s="385"/>
      <c r="T577" s="385"/>
    </row>
    <row r="578" spans="2:20" ht="13.5" customHeight="1" outlineLevel="1">
      <c r="B578" s="53" t="s">
        <v>93</v>
      </c>
      <c r="G578" s="231">
        <f t="shared" ref="G578:P578" si="403">G14</f>
        <v>734.2</v>
      </c>
      <c r="H578" s="231">
        <f t="shared" si="403"/>
        <v>832.69999999999982</v>
      </c>
      <c r="I578" s="231">
        <f t="shared" si="403"/>
        <v>915.96999999999991</v>
      </c>
      <c r="J578" s="231">
        <f t="shared" si="403"/>
        <v>1007.5669999999999</v>
      </c>
      <c r="K578" s="231">
        <f t="shared" si="403"/>
        <v>1108.3237000000004</v>
      </c>
      <c r="L578" s="231">
        <f t="shared" si="403"/>
        <v>1219.15607</v>
      </c>
      <c r="M578" s="231">
        <f t="shared" si="403"/>
        <v>1341.0716770000006</v>
      </c>
      <c r="N578" s="231">
        <f t="shared" si="403"/>
        <v>1475.178844700001</v>
      </c>
      <c r="O578" s="231">
        <f t="shared" si="403"/>
        <v>1622.6967291700012</v>
      </c>
      <c r="P578" s="231">
        <f t="shared" si="403"/>
        <v>1784.9664020870011</v>
      </c>
      <c r="R578" s="434"/>
      <c r="S578" s="231">
        <f>S14</f>
        <v>367.1</v>
      </c>
      <c r="T578" s="231">
        <f>T14</f>
        <v>367.1</v>
      </c>
    </row>
    <row r="579" spans="2:20" ht="13.5" customHeight="1" outlineLevel="1">
      <c r="B579" s="36" t="s">
        <v>588</v>
      </c>
      <c r="G579" s="425">
        <f t="shared" ref="G579:P579" si="404">IFERROR(G$578/G571,0)</f>
        <v>33.39768445147191</v>
      </c>
      <c r="H579" s="425">
        <f t="shared" ca="1" si="404"/>
        <v>83.269999999999982</v>
      </c>
      <c r="I579" s="425">
        <f t="shared" ca="1" si="404"/>
        <v>91.596999999999994</v>
      </c>
      <c r="J579" s="425">
        <f t="shared" ca="1" si="404"/>
        <v>100.7567</v>
      </c>
      <c r="K579" s="425">
        <f t="shared" ca="1" si="404"/>
        <v>110.83237000000004</v>
      </c>
      <c r="L579" s="425">
        <f t="shared" ca="1" si="404"/>
        <v>121.91560699999999</v>
      </c>
      <c r="M579" s="425">
        <f t="shared" ca="1" si="404"/>
        <v>134.10716770000005</v>
      </c>
      <c r="N579" s="425">
        <f t="shared" ca="1" si="404"/>
        <v>147.5178844700001</v>
      </c>
      <c r="O579" s="425">
        <f t="shared" ca="1" si="404"/>
        <v>162.26967291700012</v>
      </c>
      <c r="P579" s="425">
        <f t="shared" ca="1" si="404"/>
        <v>178.49664020870011</v>
      </c>
      <c r="R579" s="434"/>
      <c r="S579" s="425">
        <f t="shared" ref="S579:T582" si="405">IFERROR(S$578/S571,0)</f>
        <v>33.39768445147191</v>
      </c>
      <c r="T579" s="425">
        <f t="shared" si="405"/>
        <v>33.39768445147191</v>
      </c>
    </row>
    <row r="580" spans="2:20" ht="13.5" customHeight="1" outlineLevel="1">
      <c r="B580" s="36" t="s">
        <v>589</v>
      </c>
      <c r="G580" s="425">
        <f t="shared" ref="G580:P582" si="406">IFERROR(G$578/G572,0)</f>
        <v>33.397684451471925</v>
      </c>
      <c r="H580" s="425">
        <f t="shared" ca="1" si="406"/>
        <v>83.269999999999982</v>
      </c>
      <c r="I580" s="425">
        <f t="shared" ca="1" si="406"/>
        <v>40.148449480393253</v>
      </c>
      <c r="J580" s="425">
        <f t="shared" ca="1" si="406"/>
        <v>15.522410152271329</v>
      </c>
      <c r="K580" s="425">
        <f t="shared" ca="1" si="406"/>
        <v>17.07465116749847</v>
      </c>
      <c r="L580" s="425">
        <f t="shared" ca="1" si="406"/>
        <v>18.78211628424831</v>
      </c>
      <c r="M580" s="425">
        <f t="shared" ca="1" si="406"/>
        <v>20.66032791267315</v>
      </c>
      <c r="N580" s="425">
        <f t="shared" ca="1" si="406"/>
        <v>22.726360703940472</v>
      </c>
      <c r="O580" s="425">
        <f t="shared" ca="1" si="406"/>
        <v>24.998996774334518</v>
      </c>
      <c r="P580" s="425">
        <f t="shared" ca="1" si="406"/>
        <v>27.498896451767969</v>
      </c>
      <c r="R580" s="434"/>
      <c r="S580" s="425">
        <f t="shared" si="405"/>
        <v>33.397684451471925</v>
      </c>
      <c r="T580" s="425">
        <f t="shared" si="405"/>
        <v>33.397684451471925</v>
      </c>
    </row>
    <row r="581" spans="2:20" ht="13.5" customHeight="1" outlineLevel="1">
      <c r="B581" s="36" t="s">
        <v>590</v>
      </c>
      <c r="G581" s="425">
        <f t="shared" si="406"/>
        <v>11.341875836892022</v>
      </c>
      <c r="H581" s="425">
        <f t="shared" ca="1" si="406"/>
        <v>14.657308191599371</v>
      </c>
      <c r="I581" s="425">
        <f t="shared" ca="1" si="406"/>
        <v>14.952581440214598</v>
      </c>
      <c r="J581" s="425">
        <f t="shared" ca="1" si="406"/>
        <v>15.522410152271329</v>
      </c>
      <c r="K581" s="425">
        <f t="shared" ca="1" si="406"/>
        <v>17.07465116749847</v>
      </c>
      <c r="L581" s="425">
        <f t="shared" ca="1" si="406"/>
        <v>18.78211628424831</v>
      </c>
      <c r="M581" s="425">
        <f t="shared" ca="1" si="406"/>
        <v>20.66032791267315</v>
      </c>
      <c r="N581" s="425">
        <f t="shared" ca="1" si="406"/>
        <v>22.726360703940472</v>
      </c>
      <c r="O581" s="425">
        <f t="shared" ca="1" si="406"/>
        <v>24.998996774334518</v>
      </c>
      <c r="P581" s="425">
        <f t="shared" ca="1" si="406"/>
        <v>27.498896451767969</v>
      </c>
      <c r="R581" s="434"/>
      <c r="S581" s="425">
        <f t="shared" si="405"/>
        <v>11.341875836892022</v>
      </c>
      <c r="T581" s="425">
        <f t="shared" si="405"/>
        <v>11.341875836892022</v>
      </c>
    </row>
    <row r="582" spans="2:20" ht="13.5" customHeight="1" outlineLevel="1">
      <c r="B582" s="36" t="s">
        <v>591</v>
      </c>
      <c r="G582" s="425">
        <f t="shared" si="406"/>
        <v>11.341875836892022</v>
      </c>
      <c r="H582" s="425">
        <f t="shared" ca="1" si="406"/>
        <v>14.657308191599371</v>
      </c>
      <c r="I582" s="425">
        <f t="shared" ca="1" si="406"/>
        <v>14.952581440214598</v>
      </c>
      <c r="J582" s="425">
        <f t="shared" ca="1" si="406"/>
        <v>15.522410152271329</v>
      </c>
      <c r="K582" s="425">
        <f t="shared" ca="1" si="406"/>
        <v>17.07465116749847</v>
      </c>
      <c r="L582" s="425">
        <f t="shared" ca="1" si="406"/>
        <v>18.78211628424831</v>
      </c>
      <c r="M582" s="425">
        <f t="shared" ca="1" si="406"/>
        <v>20.66032791267315</v>
      </c>
      <c r="N582" s="425">
        <f t="shared" ca="1" si="406"/>
        <v>22.726360703940472</v>
      </c>
      <c r="O582" s="425">
        <f t="shared" ca="1" si="406"/>
        <v>24.998996774334518</v>
      </c>
      <c r="P582" s="425">
        <f t="shared" ca="1" si="406"/>
        <v>27.498896451767969</v>
      </c>
      <c r="R582" s="434"/>
      <c r="S582" s="425">
        <f t="shared" si="405"/>
        <v>11.341875836892022</v>
      </c>
      <c r="T582" s="425">
        <f t="shared" si="405"/>
        <v>11.341875836892022</v>
      </c>
    </row>
    <row r="583" spans="2:20" ht="13.5" customHeight="1" outlineLevel="1">
      <c r="R583" s="434"/>
    </row>
    <row r="584" spans="2:20" ht="13.5" customHeight="1" outlineLevel="1">
      <c r="B584" s="53" t="s">
        <v>593</v>
      </c>
      <c r="G584" s="231">
        <f t="shared" ref="G584:P584" si="407">G578-G46</f>
        <v>530.6</v>
      </c>
      <c r="H584" s="231">
        <f t="shared" si="407"/>
        <v>606.39999999999986</v>
      </c>
      <c r="I584" s="231">
        <f t="shared" si="407"/>
        <v>667.04</v>
      </c>
      <c r="J584" s="231">
        <f t="shared" si="407"/>
        <v>733.7439999999998</v>
      </c>
      <c r="K584" s="231">
        <f t="shared" si="407"/>
        <v>807.11840000000029</v>
      </c>
      <c r="L584" s="231">
        <f t="shared" si="407"/>
        <v>887.83023999999978</v>
      </c>
      <c r="M584" s="231">
        <f t="shared" si="407"/>
        <v>976.61326400000041</v>
      </c>
      <c r="N584" s="231">
        <f t="shared" si="407"/>
        <v>1074.2745904000008</v>
      </c>
      <c r="O584" s="231">
        <f t="shared" si="407"/>
        <v>1181.7020494400008</v>
      </c>
      <c r="P584" s="231">
        <f t="shared" si="407"/>
        <v>1299.8722543840008</v>
      </c>
      <c r="R584" s="434"/>
      <c r="S584" s="231">
        <f>S578-S46</f>
        <v>265.3</v>
      </c>
      <c r="T584" s="231">
        <f>T578-T46</f>
        <v>265.3</v>
      </c>
    </row>
    <row r="585" spans="2:20" ht="13.5" customHeight="1" outlineLevel="1">
      <c r="B585" s="36" t="s">
        <v>592</v>
      </c>
      <c r="G585" s="425">
        <f t="shared" ref="G585:P585" si="408">IFERROR(G$584/G571,0)</f>
        <v>24.136218155749109</v>
      </c>
      <c r="H585" s="425">
        <f t="shared" ca="1" si="408"/>
        <v>60.639999999999986</v>
      </c>
      <c r="I585" s="425">
        <f t="shared" ca="1" si="408"/>
        <v>66.703999999999994</v>
      </c>
      <c r="J585" s="425">
        <f t="shared" ca="1" si="408"/>
        <v>73.37439999999998</v>
      </c>
      <c r="K585" s="425">
        <f t="shared" ca="1" si="408"/>
        <v>80.711840000000024</v>
      </c>
      <c r="L585" s="425">
        <f t="shared" ca="1" si="408"/>
        <v>88.783023999999983</v>
      </c>
      <c r="M585" s="425">
        <f t="shared" ca="1" si="408"/>
        <v>97.661326400000036</v>
      </c>
      <c r="N585" s="425">
        <f t="shared" ca="1" si="408"/>
        <v>107.42745904000007</v>
      </c>
      <c r="O585" s="425">
        <f t="shared" ca="1" si="408"/>
        <v>118.17020494400008</v>
      </c>
      <c r="P585" s="425">
        <f t="shared" ca="1" si="408"/>
        <v>129.98722543840009</v>
      </c>
      <c r="R585" s="434"/>
      <c r="S585" s="425">
        <f t="shared" ref="S585:T588" si="409">IFERROR(S$584/S571,0)</f>
        <v>24.136218155749109</v>
      </c>
      <c r="T585" s="425">
        <f t="shared" si="409"/>
        <v>24.136218155749109</v>
      </c>
    </row>
    <row r="586" spans="2:20" ht="13.5" customHeight="1" outlineLevel="1">
      <c r="B586" s="36" t="s">
        <v>595</v>
      </c>
      <c r="G586" s="425">
        <f t="shared" ref="G586:P588" si="410">IFERROR(G$584/G572,0)</f>
        <v>24.13621815574912</v>
      </c>
      <c r="H586" s="425">
        <f t="shared" ca="1" si="410"/>
        <v>60.639999999999986</v>
      </c>
      <c r="I586" s="425">
        <f t="shared" ca="1" si="410"/>
        <v>29.237444175465921</v>
      </c>
      <c r="J586" s="425">
        <f t="shared" ca="1" si="410"/>
        <v>11.303938412798525</v>
      </c>
      <c r="K586" s="425">
        <f t="shared" ca="1" si="410"/>
        <v>12.434332254078386</v>
      </c>
      <c r="L586" s="425">
        <f t="shared" ca="1" si="410"/>
        <v>13.677765479486217</v>
      </c>
      <c r="M586" s="425">
        <f t="shared" ca="1" si="410"/>
        <v>15.045542027434848</v>
      </c>
      <c r="N586" s="425">
        <f t="shared" ca="1" si="410"/>
        <v>16.550096230178337</v>
      </c>
      <c r="O586" s="425">
        <f t="shared" ca="1" si="410"/>
        <v>18.205105853196169</v>
      </c>
      <c r="P586" s="425">
        <f t="shared" ca="1" si="410"/>
        <v>20.025616438515787</v>
      </c>
      <c r="R586" s="434"/>
      <c r="S586" s="425">
        <f t="shared" si="409"/>
        <v>24.13621815574912</v>
      </c>
      <c r="T586" s="425">
        <f t="shared" si="409"/>
        <v>24.13621815574912</v>
      </c>
    </row>
    <row r="587" spans="2:20" ht="13.5" customHeight="1" outlineLevel="1">
      <c r="B587" s="36" t="s">
        <v>594</v>
      </c>
      <c r="G587" s="425">
        <f t="shared" si="410"/>
        <v>8.1966757273970394</v>
      </c>
      <c r="H587" s="425">
        <f t="shared" ca="1" si="410"/>
        <v>10.673942220950954</v>
      </c>
      <c r="I587" s="425">
        <f t="shared" ca="1" si="410"/>
        <v>10.888970079675913</v>
      </c>
      <c r="J587" s="425">
        <f t="shared" ca="1" si="410"/>
        <v>11.303938412798525</v>
      </c>
      <c r="K587" s="425">
        <f t="shared" ca="1" si="410"/>
        <v>12.434332254078386</v>
      </c>
      <c r="L587" s="425">
        <f t="shared" ca="1" si="410"/>
        <v>13.677765479486217</v>
      </c>
      <c r="M587" s="425">
        <f t="shared" ca="1" si="410"/>
        <v>15.045542027434848</v>
      </c>
      <c r="N587" s="425">
        <f t="shared" ca="1" si="410"/>
        <v>16.550096230178337</v>
      </c>
      <c r="O587" s="425">
        <f t="shared" ca="1" si="410"/>
        <v>18.205105853196169</v>
      </c>
      <c r="P587" s="425">
        <f t="shared" ca="1" si="410"/>
        <v>20.025616438515787</v>
      </c>
      <c r="R587" s="434"/>
      <c r="S587" s="425">
        <f t="shared" si="409"/>
        <v>8.1966757273970394</v>
      </c>
      <c r="T587" s="425">
        <f t="shared" si="409"/>
        <v>8.1966757273970394</v>
      </c>
    </row>
    <row r="588" spans="2:20" ht="13.5" customHeight="1" outlineLevel="1">
      <c r="B588" s="36" t="s">
        <v>596</v>
      </c>
      <c r="G588" s="425">
        <f t="shared" si="410"/>
        <v>8.1966757273970394</v>
      </c>
      <c r="H588" s="425">
        <f t="shared" ca="1" si="410"/>
        <v>10.673942220950954</v>
      </c>
      <c r="I588" s="425">
        <f t="shared" ca="1" si="410"/>
        <v>10.888970079675913</v>
      </c>
      <c r="J588" s="425">
        <f t="shared" ca="1" si="410"/>
        <v>11.303938412798525</v>
      </c>
      <c r="K588" s="425">
        <f t="shared" ca="1" si="410"/>
        <v>12.434332254078386</v>
      </c>
      <c r="L588" s="425">
        <f t="shared" ca="1" si="410"/>
        <v>13.677765479486217</v>
      </c>
      <c r="M588" s="425">
        <f t="shared" ca="1" si="410"/>
        <v>15.045542027434848</v>
      </c>
      <c r="N588" s="425">
        <f t="shared" ca="1" si="410"/>
        <v>16.550096230178337</v>
      </c>
      <c r="O588" s="425">
        <f t="shared" ca="1" si="410"/>
        <v>18.205105853196169</v>
      </c>
      <c r="P588" s="425">
        <f t="shared" ca="1" si="410"/>
        <v>20.025616438515787</v>
      </c>
      <c r="R588" s="434"/>
      <c r="S588" s="425">
        <f t="shared" si="409"/>
        <v>8.1966757273970394</v>
      </c>
      <c r="T588" s="425">
        <f t="shared" si="409"/>
        <v>8.1966757273970394</v>
      </c>
    </row>
    <row r="589" spans="2:20" ht="13.5" customHeight="1" outlineLevel="1">
      <c r="R589" s="434"/>
    </row>
    <row r="590" spans="2:20" ht="13.5" customHeight="1" outlineLevel="1">
      <c r="B590" s="53" t="s">
        <v>604</v>
      </c>
      <c r="G590" s="231">
        <f t="shared" ref="G590:P590" si="411">G584-(G193-F193)</f>
        <v>526.07135034052817</v>
      </c>
      <c r="H590" s="231">
        <f t="shared" si="411"/>
        <v>608.52714391549966</v>
      </c>
      <c r="I590" s="231">
        <f t="shared" si="411"/>
        <v>669.36184942560249</v>
      </c>
      <c r="J590" s="231">
        <f t="shared" si="411"/>
        <v>736.29803436816303</v>
      </c>
      <c r="K590" s="231">
        <f t="shared" si="411"/>
        <v>809.92783780497984</v>
      </c>
      <c r="L590" s="231">
        <f t="shared" si="411"/>
        <v>890.92062158547697</v>
      </c>
      <c r="M590" s="231">
        <f t="shared" si="411"/>
        <v>980.01268374402582</v>
      </c>
      <c r="N590" s="231">
        <f t="shared" si="411"/>
        <v>1078.0139521184276</v>
      </c>
      <c r="O590" s="231">
        <f t="shared" si="411"/>
        <v>1185.8153473302718</v>
      </c>
      <c r="P590" s="231">
        <f t="shared" si="411"/>
        <v>1304.3968820632977</v>
      </c>
      <c r="R590" s="434"/>
      <c r="S590" s="339">
        <f>S584-(S193-F193)</f>
        <v>260.77135034052816</v>
      </c>
      <c r="T590" s="231">
        <f>T584-(T193-S193)</f>
        <v>265.3</v>
      </c>
    </row>
    <row r="591" spans="2:20" ht="13.5" customHeight="1" outlineLevel="1">
      <c r="B591" s="36" t="s">
        <v>605</v>
      </c>
      <c r="G591" s="425">
        <f t="shared" ref="G591:P591" si="412">IFERROR(G$590/G571,0)</f>
        <v>23.930216504539214</v>
      </c>
      <c r="H591" s="425">
        <f t="shared" ca="1" si="412"/>
        <v>60.852714391549966</v>
      </c>
      <c r="I591" s="425">
        <f t="shared" ca="1" si="412"/>
        <v>66.936184942560246</v>
      </c>
      <c r="J591" s="425">
        <f t="shared" ca="1" si="412"/>
        <v>73.629803436816303</v>
      </c>
      <c r="K591" s="425">
        <f t="shared" ca="1" si="412"/>
        <v>80.992783780497987</v>
      </c>
      <c r="L591" s="425">
        <f t="shared" ca="1" si="412"/>
        <v>89.092062158547691</v>
      </c>
      <c r="M591" s="425">
        <f t="shared" ca="1" si="412"/>
        <v>98.001268374402585</v>
      </c>
      <c r="N591" s="425">
        <f t="shared" ca="1" si="412"/>
        <v>107.80139521184276</v>
      </c>
      <c r="O591" s="425">
        <f t="shared" ca="1" si="412"/>
        <v>118.58153473302718</v>
      </c>
      <c r="P591" s="425">
        <f t="shared" ca="1" si="412"/>
        <v>130.43968820632978</v>
      </c>
      <c r="R591" s="434"/>
      <c r="S591" s="425">
        <f t="shared" ref="S591:T594" si="413">IFERROR(S$590/S571,0)</f>
        <v>23.724214853329315</v>
      </c>
      <c r="T591" s="425">
        <f t="shared" si="413"/>
        <v>24.136218155749109</v>
      </c>
    </row>
    <row r="592" spans="2:20" ht="13.5" customHeight="1" outlineLevel="1">
      <c r="B592" s="36" t="s">
        <v>606</v>
      </c>
      <c r="G592" s="425">
        <f t="shared" ref="G592:P594" si="414">IFERROR(G$590/G572,0)</f>
        <v>23.930216504539221</v>
      </c>
      <c r="H592" s="425">
        <f t="shared" ca="1" si="414"/>
        <v>60.852714391549966</v>
      </c>
      <c r="I592" s="425">
        <f t="shared" ca="1" si="414"/>
        <v>29.339214598476371</v>
      </c>
      <c r="J592" s="425">
        <f t="shared" ca="1" si="414"/>
        <v>11.34328544282792</v>
      </c>
      <c r="K592" s="425">
        <f t="shared" ca="1" si="414"/>
        <v>12.47761398711072</v>
      </c>
      <c r="L592" s="425">
        <f t="shared" ca="1" si="414"/>
        <v>13.725375385821778</v>
      </c>
      <c r="M592" s="425">
        <f t="shared" ca="1" si="414"/>
        <v>15.097912924403975</v>
      </c>
      <c r="N592" s="425">
        <f t="shared" ca="1" si="414"/>
        <v>16.607704216844358</v>
      </c>
      <c r="O592" s="425">
        <f t="shared" ca="1" si="414"/>
        <v>18.268474638528819</v>
      </c>
      <c r="P592" s="425">
        <f t="shared" ca="1" si="414"/>
        <v>20.095322102381679</v>
      </c>
      <c r="R592" s="434"/>
      <c r="S592" s="425">
        <f t="shared" si="413"/>
        <v>23.724214853329325</v>
      </c>
      <c r="T592" s="425">
        <f t="shared" si="413"/>
        <v>24.13621815574912</v>
      </c>
    </row>
    <row r="593" spans="2:20" ht="13.5" customHeight="1" outlineLevel="1">
      <c r="B593" s="36" t="s">
        <v>607</v>
      </c>
      <c r="G593" s="425">
        <f t="shared" si="414"/>
        <v>8.1267174297308546</v>
      </c>
      <c r="H593" s="425">
        <f t="shared" ca="1" si="414"/>
        <v>10.711384521824456</v>
      </c>
      <c r="I593" s="425">
        <f t="shared" ca="1" si="414"/>
        <v>10.926872677608419</v>
      </c>
      <c r="J593" s="425">
        <f t="shared" ca="1" si="414"/>
        <v>11.34328544282792</v>
      </c>
      <c r="K593" s="425">
        <f t="shared" ca="1" si="414"/>
        <v>12.47761398711072</v>
      </c>
      <c r="L593" s="425">
        <f t="shared" ca="1" si="414"/>
        <v>13.725375385821778</v>
      </c>
      <c r="M593" s="425">
        <f t="shared" ca="1" si="414"/>
        <v>15.097912924403975</v>
      </c>
      <c r="N593" s="425">
        <f t="shared" ca="1" si="414"/>
        <v>16.607704216844358</v>
      </c>
      <c r="O593" s="425">
        <f t="shared" ca="1" si="414"/>
        <v>18.268474638528819</v>
      </c>
      <c r="P593" s="425">
        <f t="shared" ca="1" si="414"/>
        <v>20.095322102381679</v>
      </c>
      <c r="R593" s="434"/>
      <c r="S593" s="425">
        <f t="shared" si="413"/>
        <v>8.0567591320646699</v>
      </c>
      <c r="T593" s="425">
        <f t="shared" si="413"/>
        <v>8.1966757273970394</v>
      </c>
    </row>
    <row r="594" spans="2:20" ht="13.5" customHeight="1" outlineLevel="1">
      <c r="B594" s="36" t="s">
        <v>608</v>
      </c>
      <c r="G594" s="425">
        <f t="shared" si="414"/>
        <v>8.1267174297308546</v>
      </c>
      <c r="H594" s="425">
        <f t="shared" ca="1" si="414"/>
        <v>10.711384521824456</v>
      </c>
      <c r="I594" s="425">
        <f t="shared" ca="1" si="414"/>
        <v>10.926872677608419</v>
      </c>
      <c r="J594" s="425">
        <f t="shared" ca="1" si="414"/>
        <v>11.34328544282792</v>
      </c>
      <c r="K594" s="425">
        <f t="shared" ca="1" si="414"/>
        <v>12.47761398711072</v>
      </c>
      <c r="L594" s="425">
        <f t="shared" ca="1" si="414"/>
        <v>13.725375385821778</v>
      </c>
      <c r="M594" s="425">
        <f t="shared" ca="1" si="414"/>
        <v>15.097912924403975</v>
      </c>
      <c r="N594" s="425">
        <f t="shared" ca="1" si="414"/>
        <v>16.607704216844358</v>
      </c>
      <c r="O594" s="425">
        <f t="shared" ca="1" si="414"/>
        <v>18.268474638528819</v>
      </c>
      <c r="P594" s="425">
        <f t="shared" ca="1" si="414"/>
        <v>20.095322102381679</v>
      </c>
      <c r="R594" s="434"/>
      <c r="S594" s="425">
        <f t="shared" si="413"/>
        <v>8.0567591320646699</v>
      </c>
      <c r="T594" s="425">
        <f t="shared" si="413"/>
        <v>8.1966757273970394</v>
      </c>
    </row>
    <row r="595" spans="2:20" ht="13.5" customHeight="1" outlineLevel="1">
      <c r="R595" s="434"/>
    </row>
    <row r="596" spans="2:20" ht="13.5" customHeight="1" outlineLevel="1">
      <c r="B596" s="457" t="s">
        <v>597</v>
      </c>
      <c r="C596" s="458"/>
      <c r="D596" s="459"/>
      <c r="E596" s="459"/>
      <c r="F596" s="459"/>
      <c r="G596" s="459"/>
      <c r="H596" s="459"/>
      <c r="I596" s="459"/>
      <c r="J596" s="459"/>
      <c r="K596" s="459"/>
      <c r="L596" s="459"/>
      <c r="M596" s="459"/>
      <c r="N596" s="459"/>
      <c r="O596" s="459"/>
      <c r="P596" s="460"/>
      <c r="R596" s="434"/>
      <c r="S596" s="461"/>
      <c r="T596" s="460"/>
    </row>
    <row r="597" spans="2:20" ht="13.5" customHeight="1" outlineLevel="1">
      <c r="B597" s="321"/>
      <c r="C597" s="321"/>
      <c r="D597" s="321"/>
      <c r="E597" s="385"/>
      <c r="F597" s="385"/>
      <c r="G597" s="385"/>
      <c r="H597" s="385"/>
      <c r="I597" s="385"/>
      <c r="J597" s="385"/>
      <c r="K597" s="385"/>
      <c r="L597" s="57"/>
      <c r="R597" s="434"/>
      <c r="S597" s="385"/>
      <c r="T597" s="385"/>
    </row>
    <row r="598" spans="2:20" ht="13.5" customHeight="1" outlineLevel="1">
      <c r="B598" s="36" t="s">
        <v>598</v>
      </c>
      <c r="F598" s="427"/>
      <c r="G598" s="426">
        <f t="shared" ref="G598:P598" ca="1" si="415">G565/G567</f>
        <v>0</v>
      </c>
      <c r="H598" s="426">
        <f t="shared" ca="1" si="415"/>
        <v>0</v>
      </c>
      <c r="I598" s="426">
        <f t="shared" ca="1" si="415"/>
        <v>0</v>
      </c>
      <c r="J598" s="426">
        <f t="shared" ca="1" si="415"/>
        <v>0</v>
      </c>
      <c r="K598" s="426">
        <f t="shared" ca="1" si="415"/>
        <v>0</v>
      </c>
      <c r="L598" s="426">
        <f t="shared" ca="1" si="415"/>
        <v>0</v>
      </c>
      <c r="M598" s="426">
        <f t="shared" ca="1" si="415"/>
        <v>0</v>
      </c>
      <c r="N598" s="426">
        <f t="shared" ca="1" si="415"/>
        <v>0</v>
      </c>
      <c r="O598" s="426">
        <f t="shared" ca="1" si="415"/>
        <v>0</v>
      </c>
      <c r="P598" s="426">
        <f t="shared" ca="1" si="415"/>
        <v>0</v>
      </c>
      <c r="R598" s="434"/>
      <c r="S598" s="426">
        <f ca="1">S565/S567</f>
        <v>0</v>
      </c>
      <c r="T598" s="426">
        <f ca="1">T565/T567</f>
        <v>0</v>
      </c>
    </row>
    <row r="599" spans="2:20" ht="13.5" customHeight="1" outlineLevel="1">
      <c r="B599" s="36" t="s">
        <v>599</v>
      </c>
      <c r="F599" s="427"/>
      <c r="G599" s="426" t="str">
        <f t="shared" ref="G599:P599" ca="1" si="416">IF(G564/G567&lt;0,"NM",G564/G567)</f>
        <v>NM</v>
      </c>
      <c r="H599" s="426" t="str">
        <f t="shared" ca="1" si="416"/>
        <v>NM</v>
      </c>
      <c r="I599" s="426" t="str">
        <f t="shared" ca="1" si="416"/>
        <v>NM</v>
      </c>
      <c r="J599" s="426" t="str">
        <f t="shared" ca="1" si="416"/>
        <v>NM</v>
      </c>
      <c r="K599" s="426" t="str">
        <f t="shared" ca="1" si="416"/>
        <v>NM</v>
      </c>
      <c r="L599" s="426" t="str">
        <f t="shared" ca="1" si="416"/>
        <v>NM</v>
      </c>
      <c r="M599" s="426" t="str">
        <f t="shared" ca="1" si="416"/>
        <v>NM</v>
      </c>
      <c r="N599" s="426" t="str">
        <f t="shared" ca="1" si="416"/>
        <v>NM</v>
      </c>
      <c r="O599" s="426" t="str">
        <f t="shared" ca="1" si="416"/>
        <v>NM</v>
      </c>
      <c r="P599" s="426" t="str">
        <f t="shared" ca="1" si="416"/>
        <v>NM</v>
      </c>
      <c r="R599" s="434"/>
      <c r="S599" s="426" t="str">
        <f ca="1">IF(S564/S567&lt;0,"NM",S564/S567)</f>
        <v>NM</v>
      </c>
      <c r="T599" s="426" t="str">
        <f ca="1">IF(T564/T567&lt;0,"NM",T564/T567)</f>
        <v>NM</v>
      </c>
    </row>
    <row r="600" spans="2:20" ht="13.5" customHeight="1" outlineLevel="1">
      <c r="F600" s="427"/>
      <c r="G600" s="426"/>
      <c r="H600" s="426"/>
      <c r="I600" s="426"/>
      <c r="J600" s="426"/>
      <c r="K600" s="426"/>
      <c r="L600" s="426"/>
      <c r="M600" s="426"/>
      <c r="N600" s="426"/>
      <c r="O600" s="426"/>
      <c r="P600" s="426"/>
      <c r="R600" s="434"/>
      <c r="S600" s="426"/>
      <c r="T600" s="426"/>
    </row>
    <row r="601" spans="2:20" ht="13.5" customHeight="1" outlineLevel="1">
      <c r="B601" s="36" t="s">
        <v>600</v>
      </c>
      <c r="F601" s="427"/>
      <c r="G601" s="427">
        <f t="shared" ref="G601:P601" ca="1" si="417">IF(G565/G578&lt;0,"NM",G565/G578)</f>
        <v>0</v>
      </c>
      <c r="H601" s="427">
        <f t="shared" ca="1" si="417"/>
        <v>0</v>
      </c>
      <c r="I601" s="427">
        <f t="shared" ca="1" si="417"/>
        <v>0</v>
      </c>
      <c r="J601" s="427">
        <f t="shared" ca="1" si="417"/>
        <v>0</v>
      </c>
      <c r="K601" s="427">
        <f t="shared" ca="1" si="417"/>
        <v>0</v>
      </c>
      <c r="L601" s="427">
        <f t="shared" ca="1" si="417"/>
        <v>0</v>
      </c>
      <c r="M601" s="427">
        <f t="shared" ca="1" si="417"/>
        <v>0</v>
      </c>
      <c r="N601" s="427">
        <f t="shared" ca="1" si="417"/>
        <v>0</v>
      </c>
      <c r="O601" s="427">
        <f t="shared" ca="1" si="417"/>
        <v>0</v>
      </c>
      <c r="P601" s="427">
        <f t="shared" ca="1" si="417"/>
        <v>0</v>
      </c>
      <c r="R601" s="434"/>
      <c r="S601" s="427">
        <f ca="1">IF(S565/S578&lt;0,"NM",S565/S578)</f>
        <v>0</v>
      </c>
      <c r="T601" s="520">
        <f ca="1">IFERROR(IF(T565/T578&lt;0,"NM",T565/T578),"NA")</f>
        <v>0</v>
      </c>
    </row>
    <row r="602" spans="2:20" ht="13.5" customHeight="1" outlineLevel="1">
      <c r="B602" s="36" t="s">
        <v>601</v>
      </c>
      <c r="F602" s="427"/>
      <c r="G602" s="427">
        <f t="shared" ref="G602:P602" ca="1" si="418">IF(G563/G578&lt;0,"NM",G563/G578)</f>
        <v>0.67113865431762454</v>
      </c>
      <c r="H602" s="427">
        <f t="shared" ca="1" si="418"/>
        <v>0.64796595412513525</v>
      </c>
      <c r="I602" s="427">
        <f t="shared" ca="1" si="418"/>
        <v>0.63103048032413722</v>
      </c>
      <c r="J602" s="427">
        <f t="shared" ca="1" si="418"/>
        <v>0.573664073021943</v>
      </c>
      <c r="K602" s="427">
        <f t="shared" ca="1" si="418"/>
        <v>0.52151279365631154</v>
      </c>
      <c r="L602" s="427">
        <f t="shared" ca="1" si="418"/>
        <v>0.47410253968755611</v>
      </c>
      <c r="M602" s="427">
        <f t="shared" ca="1" si="418"/>
        <v>0.43100230880686902</v>
      </c>
      <c r="N602" s="427">
        <f t="shared" ca="1" si="418"/>
        <v>0.39182028073351716</v>
      </c>
      <c r="O602" s="427">
        <f t="shared" ca="1" si="418"/>
        <v>0.35620025521228832</v>
      </c>
      <c r="P602" s="427">
        <f t="shared" ca="1" si="418"/>
        <v>0.32381841382935306</v>
      </c>
      <c r="R602" s="434"/>
      <c r="S602" s="427">
        <f ca="1">IF(S563/S578&lt;0,"NM",S563/S578)</f>
        <v>1.2840506673930809</v>
      </c>
      <c r="T602" s="520">
        <f ca="1">IFERROR(IF(T563/T578&lt;0,"NM",T563/T578),"NA")</f>
        <v>1.3422773086352491</v>
      </c>
    </row>
    <row r="603" spans="2:20" ht="13.5" customHeight="1" outlineLevel="1">
      <c r="B603" s="36" t="s">
        <v>602</v>
      </c>
      <c r="F603" s="427"/>
      <c r="G603" s="427" t="str">
        <f t="shared" ref="G603:P603" ca="1" si="419">IF(G564/G578&lt;0,"NM",G564/G578)</f>
        <v>NM</v>
      </c>
      <c r="H603" s="427" t="str">
        <f t="shared" ca="1" si="419"/>
        <v>NM</v>
      </c>
      <c r="I603" s="427" t="str">
        <f t="shared" ca="1" si="419"/>
        <v>NM</v>
      </c>
      <c r="J603" s="427" t="str">
        <f t="shared" ca="1" si="419"/>
        <v>NM</v>
      </c>
      <c r="K603" s="427" t="str">
        <f t="shared" ca="1" si="419"/>
        <v>NM</v>
      </c>
      <c r="L603" s="427" t="str">
        <f t="shared" ca="1" si="419"/>
        <v>NM</v>
      </c>
      <c r="M603" s="427" t="str">
        <f t="shared" ca="1" si="419"/>
        <v>NM</v>
      </c>
      <c r="N603" s="427" t="str">
        <f t="shared" ca="1" si="419"/>
        <v>NM</v>
      </c>
      <c r="O603" s="427" t="str">
        <f t="shared" ca="1" si="419"/>
        <v>NM</v>
      </c>
      <c r="P603" s="427" t="str">
        <f t="shared" ca="1" si="419"/>
        <v>NM</v>
      </c>
      <c r="R603" s="434"/>
      <c r="S603" s="427" t="str">
        <f ca="1">IF(S564/S578&lt;0,"NM",S564/S578)</f>
        <v>NM</v>
      </c>
      <c r="T603" s="520" t="str">
        <f ca="1">IFERROR(IF(T564/T578&lt;0,"NM",T564/T578),"NA")</f>
        <v>NM</v>
      </c>
    </row>
    <row r="604" spans="2:20" ht="13.5" customHeight="1" outlineLevel="1">
      <c r="B604" s="36" t="s">
        <v>603</v>
      </c>
      <c r="F604" s="427"/>
      <c r="G604" s="427" t="str">
        <f t="shared" ref="G604:P604" ca="1" si="420">IF((G564+G566)/G578&lt;0,"NM",(G564+G566)/G578)</f>
        <v>NM</v>
      </c>
      <c r="H604" s="427" t="str">
        <f t="shared" ca="1" si="420"/>
        <v>NM</v>
      </c>
      <c r="I604" s="427" t="str">
        <f t="shared" ca="1" si="420"/>
        <v>NM</v>
      </c>
      <c r="J604" s="427" t="str">
        <f t="shared" ca="1" si="420"/>
        <v>NM</v>
      </c>
      <c r="K604" s="427" t="str">
        <f t="shared" ca="1" si="420"/>
        <v>NM</v>
      </c>
      <c r="L604" s="427" t="str">
        <f t="shared" ca="1" si="420"/>
        <v>NM</v>
      </c>
      <c r="M604" s="427" t="str">
        <f t="shared" ca="1" si="420"/>
        <v>NM</v>
      </c>
      <c r="N604" s="427" t="str">
        <f t="shared" ca="1" si="420"/>
        <v>NM</v>
      </c>
      <c r="O604" s="427" t="str">
        <f t="shared" ca="1" si="420"/>
        <v>NM</v>
      </c>
      <c r="P604" s="427" t="str">
        <f t="shared" ca="1" si="420"/>
        <v>NM</v>
      </c>
      <c r="R604" s="434"/>
      <c r="S604" s="427" t="str">
        <f ca="1">IF((S564+S566)/S578&lt;0,"NM",(S564+S566)/S578)</f>
        <v>NM</v>
      </c>
      <c r="T604" s="520" t="str">
        <f ca="1">IFERROR(IF((T564+T566)/T578&lt;0,"NM",(T564+T566)/T578),"NA")</f>
        <v>NM</v>
      </c>
    </row>
    <row r="605" spans="2:20" ht="5.0999999999999996" customHeight="1" outlineLevel="1" thickBot="1">
      <c r="B605" s="77"/>
      <c r="C605" s="77"/>
      <c r="D605" s="77"/>
      <c r="E605" s="517"/>
      <c r="F605" s="517"/>
      <c r="G605" s="518"/>
      <c r="H605" s="519"/>
      <c r="I605" s="519"/>
      <c r="J605" s="519"/>
      <c r="K605" s="519"/>
      <c r="L605" s="519"/>
      <c r="M605" s="519"/>
      <c r="N605" s="519"/>
      <c r="O605" s="519"/>
      <c r="P605" s="519"/>
      <c r="Q605" s="519"/>
      <c r="R605" s="519"/>
      <c r="S605" s="519"/>
      <c r="T605" s="519"/>
    </row>
    <row r="606" spans="2:20" ht="13.5" customHeight="1">
      <c r="F606" s="521"/>
    </row>
  </sheetData>
  <dataValidations count="2">
    <dataValidation type="whole" allowBlank="1" showInputMessage="1" showErrorMessage="1" sqref="F361 F232 F395" xr:uid="{00000000-0002-0000-0500-000000000000}">
      <formula1>0</formula1>
      <formula2>1</formula2>
    </dataValidation>
    <dataValidation type="whole" showInputMessage="1" showErrorMessage="1" errorTitle="Validation Error" error="Enter either 0 or 1." sqref="F343:H347" xr:uid="{00000000-0002-0000-0500-000001000000}">
      <formula1>0</formula1>
      <formula2>1</formula2>
    </dataValidation>
  </dataValidations>
  <pageMargins left="0" right="0" top="0" bottom="0" header="0" footer="0"/>
  <pageSetup scale="10" orientation="landscape" r:id="rId1"/>
  <headerFooter alignWithMargins="0">
    <oddHeader>&amp;A</oddHeader>
    <oddFooter>Page &amp;P of &amp;N</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7">
    <tabColor rgb="FF235A8C"/>
    <outlinePr summaryBelow="0"/>
    <pageSetUpPr fitToPage="1"/>
  </sheetPr>
  <dimension ref="A1:AT666"/>
  <sheetViews>
    <sheetView showGridLines="0" zoomScale="85" zoomScaleNormal="85" zoomScaleSheetLayoutView="85" workbookViewId="0"/>
  </sheetViews>
  <sheetFormatPr defaultColWidth="9.1640625" defaultRowHeight="13.5" customHeight="1" outlineLevelRow="1"/>
  <cols>
    <col min="1" max="1" width="2.71875" style="36" customWidth="1"/>
    <col min="2" max="16" width="11.71875" style="36" customWidth="1"/>
    <col min="17" max="18" width="1.71875" style="36" customWidth="1"/>
    <col min="19" max="20" width="11.71875" style="36" customWidth="1"/>
    <col min="21" max="44" width="14.71875" style="36" customWidth="1"/>
    <col min="45" max="45" width="2.71875" style="36" customWidth="1"/>
    <col min="46" max="16384" width="9.1640625" style="36"/>
  </cols>
  <sheetData>
    <row r="1" spans="1:46" s="1" customFormat="1" ht="50.1" customHeight="1">
      <c r="B1" s="10"/>
      <c r="C1" s="10"/>
      <c r="D1" s="10"/>
      <c r="E1" s="10"/>
      <c r="F1" s="10"/>
      <c r="G1" s="10"/>
      <c r="H1" s="10"/>
      <c r="I1" s="10"/>
      <c r="J1" s="10"/>
      <c r="K1" s="10"/>
      <c r="L1" s="10"/>
      <c r="M1" s="10"/>
      <c r="N1" s="10"/>
      <c r="O1" s="10"/>
      <c r="P1" s="10"/>
      <c r="Q1" s="10"/>
      <c r="R1" s="10"/>
      <c r="S1" s="10"/>
      <c r="T1" s="10"/>
    </row>
    <row r="2" spans="1:46" ht="13.5" customHeight="1">
      <c r="B2" s="193"/>
      <c r="D2" s="275"/>
      <c r="E2" s="275"/>
      <c r="F2" s="275"/>
    </row>
    <row r="3" spans="1:46" ht="13.5" customHeight="1" outlineLevel="1">
      <c r="A3" s="276"/>
      <c r="B3" s="59" t="s">
        <v>209</v>
      </c>
      <c r="C3" s="276"/>
      <c r="D3" s="277"/>
      <c r="E3" s="277"/>
      <c r="F3" s="428">
        <v>1</v>
      </c>
      <c r="G3" s="279">
        <f>F3</f>
        <v>1</v>
      </c>
      <c r="H3" s="279">
        <f>G3</f>
        <v>1</v>
      </c>
      <c r="I3" s="279">
        <f t="shared" ref="I3:P3" si="0">H3</f>
        <v>1</v>
      </c>
      <c r="J3" s="279">
        <f t="shared" si="0"/>
        <v>1</v>
      </c>
      <c r="K3" s="279">
        <f t="shared" si="0"/>
        <v>1</v>
      </c>
      <c r="L3" s="279">
        <f t="shared" si="0"/>
        <v>1</v>
      </c>
      <c r="M3" s="279">
        <f t="shared" si="0"/>
        <v>1</v>
      </c>
      <c r="N3" s="279">
        <f t="shared" si="0"/>
        <v>1</v>
      </c>
      <c r="O3" s="279">
        <f t="shared" si="0"/>
        <v>1</v>
      </c>
      <c r="P3" s="279">
        <f t="shared" si="0"/>
        <v>1</v>
      </c>
      <c r="Q3" s="276"/>
      <c r="R3" s="276"/>
      <c r="S3" s="278">
        <f>ROUND((S8-F8)/365,2)</f>
        <v>0.5</v>
      </c>
      <c r="T3" s="278">
        <f>1-S3</f>
        <v>0.5</v>
      </c>
      <c r="U3" s="276"/>
      <c r="V3" s="276"/>
      <c r="W3" s="276"/>
      <c r="X3" s="276"/>
      <c r="Y3" s="276"/>
      <c r="Z3" s="276"/>
      <c r="AA3" s="276"/>
      <c r="AB3" s="276"/>
      <c r="AC3" s="276"/>
      <c r="AD3" s="276"/>
      <c r="AE3" s="276"/>
      <c r="AF3" s="276"/>
      <c r="AG3" s="276"/>
      <c r="AH3" s="276"/>
      <c r="AI3" s="276"/>
      <c r="AJ3" s="276"/>
      <c r="AK3" s="276"/>
      <c r="AL3" s="276"/>
      <c r="AM3" s="276"/>
      <c r="AN3" s="276"/>
      <c r="AO3" s="276"/>
      <c r="AP3" s="276"/>
      <c r="AQ3" s="276"/>
      <c r="AR3" s="276"/>
      <c r="AS3" s="276"/>
      <c r="AT3" s="276"/>
    </row>
    <row r="4" spans="1:46" ht="13.5" customHeight="1" outlineLevel="1" thickBot="1">
      <c r="B4" s="193"/>
      <c r="D4" s="275"/>
      <c r="E4" s="275"/>
      <c r="F4" s="275"/>
    </row>
    <row r="5" spans="1:46" ht="20.7" thickTop="1">
      <c r="A5" s="281" t="s">
        <v>631</v>
      </c>
      <c r="B5" s="522" t="str">
        <f>target&amp;" Income Statement"</f>
        <v>TargetCo Income Statement</v>
      </c>
      <c r="C5" s="523"/>
      <c r="D5" s="524"/>
      <c r="E5" s="524"/>
      <c r="F5" s="524"/>
      <c r="G5" s="524"/>
      <c r="H5" s="524"/>
      <c r="I5" s="524"/>
      <c r="J5" s="524"/>
      <c r="K5" s="524"/>
      <c r="L5" s="524"/>
      <c r="M5" s="524"/>
      <c r="N5" s="524"/>
      <c r="O5" s="524"/>
      <c r="P5" s="524"/>
      <c r="Q5" s="524"/>
      <c r="R5" s="524"/>
      <c r="S5" s="524"/>
      <c r="T5" s="524"/>
    </row>
    <row r="6" spans="1:46" ht="5.0999999999999996" customHeight="1" outlineLevel="1">
      <c r="B6" s="107"/>
      <c r="C6" s="285"/>
      <c r="L6" s="57"/>
    </row>
    <row r="7" spans="1:46" ht="13.5" customHeight="1" outlineLevel="1">
      <c r="B7" s="286"/>
      <c r="C7" s="286"/>
      <c r="D7" s="286"/>
      <c r="E7" s="42"/>
      <c r="F7" s="432" t="s">
        <v>630</v>
      </c>
      <c r="G7" s="433" t="s">
        <v>629</v>
      </c>
      <c r="H7" s="433"/>
      <c r="I7" s="433"/>
      <c r="J7" s="433"/>
      <c r="K7" s="433"/>
      <c r="L7" s="433"/>
      <c r="M7" s="433"/>
      <c r="N7" s="433"/>
      <c r="O7" s="433"/>
      <c r="P7" s="433"/>
      <c r="R7" s="434"/>
      <c r="S7" s="433" t="s">
        <v>628</v>
      </c>
      <c r="T7" s="433"/>
    </row>
    <row r="8" spans="1:46" ht="13.5" customHeight="1" outlineLevel="1" thickBot="1">
      <c r="B8" s="435" t="str">
        <f>"("&amp;curr&amp;" in millions)"</f>
        <v>($ in millions)</v>
      </c>
      <c r="C8" s="436"/>
      <c r="D8" s="436"/>
      <c r="E8" s="437"/>
      <c r="F8" s="438">
        <v>44926</v>
      </c>
      <c r="G8" s="439">
        <f>T8</f>
        <v>45291</v>
      </c>
      <c r="H8" s="439">
        <f t="shared" ref="H8:P8" si="1">EOMONTH(G8,12)</f>
        <v>45657</v>
      </c>
      <c r="I8" s="439">
        <f t="shared" si="1"/>
        <v>46022</v>
      </c>
      <c r="J8" s="439">
        <f t="shared" si="1"/>
        <v>46387</v>
      </c>
      <c r="K8" s="439">
        <f t="shared" si="1"/>
        <v>46752</v>
      </c>
      <c r="L8" s="439">
        <f t="shared" si="1"/>
        <v>47118</v>
      </c>
      <c r="M8" s="439">
        <f t="shared" si="1"/>
        <v>47483</v>
      </c>
      <c r="N8" s="439">
        <f t="shared" si="1"/>
        <v>47848</v>
      </c>
      <c r="O8" s="439">
        <f t="shared" si="1"/>
        <v>48213</v>
      </c>
      <c r="P8" s="439">
        <f t="shared" si="1"/>
        <v>48579</v>
      </c>
      <c r="R8" s="434"/>
      <c r="S8" s="440">
        <f>close</f>
        <v>45107</v>
      </c>
      <c r="T8" s="440">
        <f>EOMONTH(S8,T3*12)</f>
        <v>45291</v>
      </c>
    </row>
    <row r="9" spans="1:46" ht="5.0999999999999996" customHeight="1" outlineLevel="1">
      <c r="B9" s="318"/>
      <c r="C9" s="318"/>
      <c r="D9" s="318"/>
      <c r="E9" s="319"/>
      <c r="F9" s="319"/>
      <c r="G9" s="319"/>
      <c r="H9" s="319"/>
      <c r="I9" s="319"/>
      <c r="J9" s="319"/>
      <c r="K9" s="319"/>
      <c r="L9" s="327"/>
      <c r="R9" s="434"/>
      <c r="S9" s="319"/>
      <c r="T9" s="319"/>
    </row>
    <row r="10" spans="1:46" ht="13.5" customHeight="1" outlineLevel="1">
      <c r="B10" s="441" t="s">
        <v>90</v>
      </c>
      <c r="C10" s="441"/>
      <c r="D10" s="441"/>
      <c r="E10" s="441"/>
      <c r="F10" s="442">
        <v>440.8</v>
      </c>
      <c r="G10" s="442">
        <v>468</v>
      </c>
      <c r="H10" s="442">
        <v>470.5</v>
      </c>
      <c r="I10" s="443">
        <f t="shared" ref="I10:P10" si="2">H10*(1+I51)</f>
        <v>475.20499999999998</v>
      </c>
      <c r="J10" s="443">
        <f t="shared" si="2"/>
        <v>479.95704999999998</v>
      </c>
      <c r="K10" s="443">
        <f t="shared" si="2"/>
        <v>484.7566205</v>
      </c>
      <c r="L10" s="443">
        <f t="shared" si="2"/>
        <v>489.60418670500002</v>
      </c>
      <c r="M10" s="443">
        <f t="shared" si="2"/>
        <v>494.50022857205005</v>
      </c>
      <c r="N10" s="443">
        <f t="shared" si="2"/>
        <v>499.44523085777053</v>
      </c>
      <c r="O10" s="443">
        <f t="shared" si="2"/>
        <v>504.43968316634823</v>
      </c>
      <c r="P10" s="443">
        <f t="shared" si="2"/>
        <v>509.48407999801174</v>
      </c>
      <c r="R10" s="434"/>
      <c r="S10" s="444">
        <f>S$3*$G10</f>
        <v>234</v>
      </c>
      <c r="T10" s="444">
        <f>T$3*$G10</f>
        <v>234</v>
      </c>
    </row>
    <row r="11" spans="1:46" ht="13.5" customHeight="1" outlineLevel="1">
      <c r="B11" s="301" t="s">
        <v>89</v>
      </c>
      <c r="C11" s="301"/>
      <c r="D11" s="301"/>
      <c r="E11" s="301"/>
      <c r="F11" s="330">
        <v>234.4</v>
      </c>
      <c r="G11" s="330">
        <v>249.8</v>
      </c>
      <c r="H11" s="330">
        <v>252.2</v>
      </c>
      <c r="I11" s="118">
        <f t="shared" ref="I11:P11" si="3">I55*I10</f>
        <v>254.72199999999998</v>
      </c>
      <c r="J11" s="118">
        <f t="shared" si="3"/>
        <v>257.26921999999996</v>
      </c>
      <c r="K11" s="118">
        <f t="shared" si="3"/>
        <v>259.84191219999997</v>
      </c>
      <c r="L11" s="118">
        <f t="shared" si="3"/>
        <v>262.44033132199996</v>
      </c>
      <c r="M11" s="118">
        <f t="shared" si="3"/>
        <v>265.06473463522002</v>
      </c>
      <c r="N11" s="118">
        <f t="shared" si="3"/>
        <v>267.71538198157219</v>
      </c>
      <c r="O11" s="118">
        <f t="shared" si="3"/>
        <v>270.39253580138791</v>
      </c>
      <c r="P11" s="118">
        <f t="shared" si="3"/>
        <v>273.09646115940183</v>
      </c>
      <c r="R11" s="434"/>
      <c r="S11" s="184">
        <f>S$3*$G11</f>
        <v>124.9</v>
      </c>
      <c r="T11" s="184">
        <f>T$3*$G11</f>
        <v>124.9</v>
      </c>
    </row>
    <row r="12" spans="1:46" ht="13.5" customHeight="1" outlineLevel="1">
      <c r="B12" s="116" t="s">
        <v>91</v>
      </c>
      <c r="C12" s="116"/>
      <c r="D12" s="116"/>
      <c r="E12" s="116"/>
      <c r="F12" s="144">
        <f t="shared" ref="F12:I12" si="4">F10-F11</f>
        <v>206.4</v>
      </c>
      <c r="G12" s="144">
        <f t="shared" si="4"/>
        <v>218.2</v>
      </c>
      <c r="H12" s="144">
        <f t="shared" si="4"/>
        <v>218.3</v>
      </c>
      <c r="I12" s="144">
        <f t="shared" si="4"/>
        <v>220.483</v>
      </c>
      <c r="J12" s="144">
        <f t="shared" ref="J12:P12" si="5">J10-J11</f>
        <v>222.68783000000002</v>
      </c>
      <c r="K12" s="144">
        <f t="shared" si="5"/>
        <v>224.91470830000003</v>
      </c>
      <c r="L12" s="144">
        <f t="shared" si="5"/>
        <v>227.16385538300005</v>
      </c>
      <c r="M12" s="144">
        <f t="shared" si="5"/>
        <v>229.43549393683003</v>
      </c>
      <c r="N12" s="144">
        <f t="shared" si="5"/>
        <v>231.72984887619833</v>
      </c>
      <c r="O12" s="144">
        <f t="shared" si="5"/>
        <v>234.04714736496032</v>
      </c>
      <c r="P12" s="144">
        <f t="shared" si="5"/>
        <v>236.38761883860991</v>
      </c>
      <c r="R12" s="434"/>
      <c r="S12" s="144">
        <f>S10-S11</f>
        <v>109.1</v>
      </c>
      <c r="T12" s="144">
        <f>T10-T11</f>
        <v>109.1</v>
      </c>
    </row>
    <row r="13" spans="1:46" ht="13.5" customHeight="1" outlineLevel="1">
      <c r="B13" s="301" t="s">
        <v>92</v>
      </c>
      <c r="C13" s="301"/>
      <c r="D13" s="301"/>
      <c r="E13" s="301"/>
      <c r="F13" s="330">
        <v>79.599999999999994</v>
      </c>
      <c r="G13" s="330">
        <v>91.7</v>
      </c>
      <c r="H13" s="330">
        <v>92.4</v>
      </c>
      <c r="I13" s="118">
        <f t="shared" ref="I13:P13" si="6">I56*I10</f>
        <v>93.323999999999998</v>
      </c>
      <c r="J13" s="118">
        <f t="shared" si="6"/>
        <v>94.257239999999996</v>
      </c>
      <c r="K13" s="118">
        <f t="shared" si="6"/>
        <v>95.199812399999999</v>
      </c>
      <c r="L13" s="118">
        <f t="shared" si="6"/>
        <v>96.151810524000012</v>
      </c>
      <c r="M13" s="118">
        <f t="shared" si="6"/>
        <v>97.113328629240016</v>
      </c>
      <c r="N13" s="118">
        <f t="shared" si="6"/>
        <v>98.084461915532415</v>
      </c>
      <c r="O13" s="118">
        <f t="shared" si="6"/>
        <v>99.065306534687736</v>
      </c>
      <c r="P13" s="118">
        <f t="shared" si="6"/>
        <v>100.05595960003461</v>
      </c>
      <c r="R13" s="434"/>
      <c r="S13" s="184">
        <f>S$3*$G13</f>
        <v>45.85</v>
      </c>
      <c r="T13" s="184">
        <f>T$3*$G13</f>
        <v>45.85</v>
      </c>
    </row>
    <row r="14" spans="1:46" ht="13.5" customHeight="1" outlineLevel="1">
      <c r="B14" s="445" t="s">
        <v>93</v>
      </c>
      <c r="C14" s="445"/>
      <c r="D14" s="445"/>
      <c r="E14" s="445"/>
      <c r="F14" s="446">
        <f t="shared" ref="F14:I14" si="7">F12-F13</f>
        <v>126.80000000000001</v>
      </c>
      <c r="G14" s="446">
        <f t="shared" si="7"/>
        <v>126.49999999999999</v>
      </c>
      <c r="H14" s="446">
        <f t="shared" si="7"/>
        <v>125.9</v>
      </c>
      <c r="I14" s="446">
        <f t="shared" si="7"/>
        <v>127.15900000000001</v>
      </c>
      <c r="J14" s="446">
        <f t="shared" ref="J14:P14" si="8">J12-J13</f>
        <v>128.43059000000002</v>
      </c>
      <c r="K14" s="446">
        <f t="shared" si="8"/>
        <v>129.71489590000004</v>
      </c>
      <c r="L14" s="446">
        <f t="shared" si="8"/>
        <v>131.01204485900004</v>
      </c>
      <c r="M14" s="446">
        <f t="shared" si="8"/>
        <v>132.32216530759001</v>
      </c>
      <c r="N14" s="446">
        <f t="shared" si="8"/>
        <v>133.64538696066592</v>
      </c>
      <c r="O14" s="446">
        <f t="shared" si="8"/>
        <v>134.98184083027257</v>
      </c>
      <c r="P14" s="446">
        <f t="shared" si="8"/>
        <v>136.3316592385753</v>
      </c>
      <c r="R14" s="434"/>
      <c r="S14" s="446">
        <f>S12-S13</f>
        <v>63.249999999999993</v>
      </c>
      <c r="T14" s="446">
        <f>T12-T13</f>
        <v>63.249999999999993</v>
      </c>
    </row>
    <row r="15" spans="1:46" ht="13.5" customHeight="1" outlineLevel="1">
      <c r="B15" s="301" t="s">
        <v>94</v>
      </c>
      <c r="C15" s="301"/>
      <c r="D15" s="301"/>
      <c r="E15" s="301"/>
      <c r="F15" s="330">
        <v>14</v>
      </c>
      <c r="G15" s="330">
        <v>14.1</v>
      </c>
      <c r="H15" s="330">
        <v>14.1</v>
      </c>
      <c r="I15" s="118">
        <f t="shared" ref="I15:P15" si="9">I57*I10</f>
        <v>14.241</v>
      </c>
      <c r="J15" s="118">
        <f t="shared" si="9"/>
        <v>14.38341</v>
      </c>
      <c r="K15" s="118">
        <f t="shared" si="9"/>
        <v>14.527244100000001</v>
      </c>
      <c r="L15" s="118">
        <f t="shared" si="9"/>
        <v>14.672516541</v>
      </c>
      <c r="M15" s="118">
        <f t="shared" si="9"/>
        <v>14.819241706410002</v>
      </c>
      <c r="N15" s="118">
        <f t="shared" si="9"/>
        <v>14.967434123474101</v>
      </c>
      <c r="O15" s="118">
        <f t="shared" si="9"/>
        <v>15.117108464708842</v>
      </c>
      <c r="P15" s="118">
        <f t="shared" si="9"/>
        <v>15.268279549355931</v>
      </c>
      <c r="R15" s="434"/>
      <c r="S15" s="184">
        <f t="shared" ref="S15:T17" si="10">S$3*$G15</f>
        <v>7.05</v>
      </c>
      <c r="T15" s="184">
        <f t="shared" si="10"/>
        <v>7.05</v>
      </c>
    </row>
    <row r="16" spans="1:46" ht="13.5" customHeight="1" outlineLevel="1">
      <c r="B16" s="301" t="s">
        <v>95</v>
      </c>
      <c r="C16" s="301"/>
      <c r="D16" s="301"/>
      <c r="E16" s="301"/>
      <c r="F16" s="330">
        <v>11.6</v>
      </c>
      <c r="G16" s="118">
        <f t="shared" ref="G16:P16" si="11">MIN(F16/F$3,F94)</f>
        <v>11.6</v>
      </c>
      <c r="H16" s="118">
        <f t="shared" si="11"/>
        <v>11.6</v>
      </c>
      <c r="I16" s="118">
        <f t="shared" si="11"/>
        <v>11.6</v>
      </c>
      <c r="J16" s="118">
        <f t="shared" si="11"/>
        <v>2.6909999999999989</v>
      </c>
      <c r="K16" s="118">
        <f t="shared" si="11"/>
        <v>0</v>
      </c>
      <c r="L16" s="118">
        <f t="shared" si="11"/>
        <v>0</v>
      </c>
      <c r="M16" s="118">
        <f t="shared" si="11"/>
        <v>0</v>
      </c>
      <c r="N16" s="118">
        <f t="shared" si="11"/>
        <v>0</v>
      </c>
      <c r="O16" s="118">
        <f t="shared" si="11"/>
        <v>0</v>
      </c>
      <c r="P16" s="118">
        <f t="shared" si="11"/>
        <v>0</v>
      </c>
      <c r="R16" s="434"/>
      <c r="S16" s="184">
        <f t="shared" si="10"/>
        <v>5.8</v>
      </c>
      <c r="T16" s="184">
        <f t="shared" si="10"/>
        <v>5.8</v>
      </c>
    </row>
    <row r="17" spans="2:20" ht="13.5" customHeight="1" outlineLevel="1">
      <c r="B17" s="301" t="s">
        <v>96</v>
      </c>
      <c r="C17" s="301"/>
      <c r="D17" s="301"/>
      <c r="E17" s="301"/>
      <c r="F17" s="330">
        <v>10.8</v>
      </c>
      <c r="G17" s="330">
        <v>10.6</v>
      </c>
      <c r="H17" s="330">
        <v>10.7</v>
      </c>
      <c r="I17" s="118">
        <f t="shared" ref="I17:P17" si="12">I59*I10</f>
        <v>10.806999999999999</v>
      </c>
      <c r="J17" s="118">
        <f t="shared" si="12"/>
        <v>10.915069999999998</v>
      </c>
      <c r="K17" s="118">
        <f t="shared" si="12"/>
        <v>11.024220699999999</v>
      </c>
      <c r="L17" s="118">
        <f t="shared" si="12"/>
        <v>11.134462907</v>
      </c>
      <c r="M17" s="118">
        <f t="shared" si="12"/>
        <v>11.24580753607</v>
      </c>
      <c r="N17" s="118">
        <f t="shared" si="12"/>
        <v>11.358265611430699</v>
      </c>
      <c r="O17" s="118">
        <f t="shared" si="12"/>
        <v>11.471848267545006</v>
      </c>
      <c r="P17" s="118">
        <f t="shared" si="12"/>
        <v>11.586566750220458</v>
      </c>
      <c r="R17" s="434"/>
      <c r="S17" s="184">
        <f t="shared" si="10"/>
        <v>5.3</v>
      </c>
      <c r="T17" s="184">
        <f t="shared" si="10"/>
        <v>5.3</v>
      </c>
    </row>
    <row r="18" spans="2:20" ht="13.5" customHeight="1" outlineLevel="1">
      <c r="B18" s="445" t="s">
        <v>97</v>
      </c>
      <c r="C18" s="445"/>
      <c r="D18" s="445"/>
      <c r="E18" s="445"/>
      <c r="F18" s="446">
        <f t="shared" ref="F18" si="13">F14-SUM(F15:F17)</f>
        <v>90.4</v>
      </c>
      <c r="G18" s="446">
        <f t="shared" ref="G18:P18" si="14">G14-SUM(G15:G17)</f>
        <v>90.199999999999989</v>
      </c>
      <c r="H18" s="446">
        <f t="shared" si="14"/>
        <v>89.5</v>
      </c>
      <c r="I18" s="446">
        <f t="shared" si="14"/>
        <v>90.51100000000001</v>
      </c>
      <c r="J18" s="446">
        <f t="shared" si="14"/>
        <v>100.44111000000002</v>
      </c>
      <c r="K18" s="446">
        <f t="shared" si="14"/>
        <v>104.16343110000005</v>
      </c>
      <c r="L18" s="446">
        <f t="shared" si="14"/>
        <v>105.20506541100005</v>
      </c>
      <c r="M18" s="446">
        <f t="shared" si="14"/>
        <v>106.25711606511001</v>
      </c>
      <c r="N18" s="446">
        <f t="shared" si="14"/>
        <v>107.31968722576111</v>
      </c>
      <c r="O18" s="446">
        <f t="shared" si="14"/>
        <v>108.39288409801873</v>
      </c>
      <c r="P18" s="446">
        <f t="shared" si="14"/>
        <v>109.4768129389989</v>
      </c>
      <c r="R18" s="434"/>
      <c r="S18" s="446">
        <f>S14-SUM(S15:S17)</f>
        <v>45.099999999999994</v>
      </c>
      <c r="T18" s="446">
        <f>T14-SUM(T15:T17)</f>
        <v>45.099999999999994</v>
      </c>
    </row>
    <row r="19" spans="2:20" ht="13.5" customHeight="1" outlineLevel="1">
      <c r="B19" s="260" t="s">
        <v>98</v>
      </c>
      <c r="C19" s="260"/>
      <c r="D19" s="260"/>
      <c r="E19" s="260"/>
      <c r="F19" s="448">
        <f>F18+F16+F17</f>
        <v>112.8</v>
      </c>
      <c r="G19" s="448">
        <f t="shared" ref="G19:P19" si="15">G18+G16+G17</f>
        <v>112.39999999999998</v>
      </c>
      <c r="H19" s="448">
        <f t="shared" si="15"/>
        <v>111.8</v>
      </c>
      <c r="I19" s="448">
        <f t="shared" si="15"/>
        <v>112.91800000000001</v>
      </c>
      <c r="J19" s="448">
        <f t="shared" si="15"/>
        <v>114.04718000000003</v>
      </c>
      <c r="K19" s="448">
        <f t="shared" si="15"/>
        <v>115.18765180000005</v>
      </c>
      <c r="L19" s="448">
        <f t="shared" si="15"/>
        <v>116.33952831800005</v>
      </c>
      <c r="M19" s="448">
        <f t="shared" si="15"/>
        <v>117.50292360118002</v>
      </c>
      <c r="N19" s="448">
        <f t="shared" si="15"/>
        <v>118.67795283719181</v>
      </c>
      <c r="O19" s="448">
        <f t="shared" si="15"/>
        <v>119.86473236556373</v>
      </c>
      <c r="P19" s="448">
        <f t="shared" si="15"/>
        <v>121.06337968921936</v>
      </c>
      <c r="R19" s="434"/>
      <c r="S19" s="448">
        <f>S18+S16+S17</f>
        <v>56.199999999999989</v>
      </c>
      <c r="T19" s="448">
        <f>T18+T16+T17</f>
        <v>56.199999999999989</v>
      </c>
    </row>
    <row r="20" spans="2:20" ht="13.5" customHeight="1" outlineLevel="1">
      <c r="B20" s="354" t="s">
        <v>99</v>
      </c>
      <c r="C20" s="260"/>
      <c r="D20" s="260"/>
      <c r="E20" s="260"/>
      <c r="F20" s="448"/>
      <c r="G20" s="448"/>
      <c r="H20" s="448"/>
      <c r="I20" s="448"/>
      <c r="J20" s="448"/>
      <c r="K20" s="448"/>
      <c r="L20" s="448"/>
      <c r="M20" s="448"/>
      <c r="N20" s="448"/>
      <c r="O20" s="448"/>
      <c r="P20" s="448"/>
      <c r="R20" s="434"/>
      <c r="S20" s="448"/>
      <c r="T20" s="448"/>
    </row>
    <row r="21" spans="2:20" ht="13.5" customHeight="1" outlineLevel="1">
      <c r="B21" s="300" t="s">
        <v>30</v>
      </c>
      <c r="C21" s="260"/>
      <c r="D21" s="260"/>
      <c r="E21" s="260"/>
      <c r="F21" s="118"/>
      <c r="G21" s="118">
        <f t="shared" ref="G21:P21" si="16">-G304*IF(avg_int,AVERAGE(F84:G84),F84)*G$3</f>
        <v>-0.39276499999999998</v>
      </c>
      <c r="H21" s="118">
        <f t="shared" ca="1" si="16"/>
        <v>-0.58933689610286477</v>
      </c>
      <c r="I21" s="118">
        <f t="shared" ca="1" si="16"/>
        <v>-0.77015362636647566</v>
      </c>
      <c r="J21" s="118">
        <f t="shared" ca="1" si="16"/>
        <v>-0.9479453876560604</v>
      </c>
      <c r="K21" s="118">
        <f t="shared" ca="1" si="16"/>
        <v>-1.1056567966538839</v>
      </c>
      <c r="L21" s="118">
        <f t="shared" ca="1" si="16"/>
        <v>-1.2489895690990591</v>
      </c>
      <c r="M21" s="118">
        <f t="shared" ca="1" si="16"/>
        <v>-1.3943364679105557</v>
      </c>
      <c r="N21" s="118">
        <f t="shared" ca="1" si="16"/>
        <v>-1.541718505540562</v>
      </c>
      <c r="O21" s="118">
        <f t="shared" ca="1" si="16"/>
        <v>-1.6911569058725562</v>
      </c>
      <c r="P21" s="118">
        <f t="shared" ca="1" si="16"/>
        <v>-1.8426731063375805</v>
      </c>
      <c r="R21" s="434"/>
      <c r="S21" s="184">
        <f>S$3*$G21</f>
        <v>-0.19638249999999999</v>
      </c>
      <c r="T21" s="184">
        <f>T$3*$G21</f>
        <v>-0.19638249999999999</v>
      </c>
    </row>
    <row r="22" spans="2:20" ht="13.5" customHeight="1" outlineLevel="1">
      <c r="B22" s="300" t="s">
        <v>416</v>
      </c>
      <c r="C22" s="260"/>
      <c r="D22" s="260"/>
      <c r="E22" s="260"/>
      <c r="F22" s="118"/>
      <c r="G22" s="118">
        <f t="shared" ref="G22:P22" si="17">G317</f>
        <v>1.1984587500000001</v>
      </c>
      <c r="H22" s="118">
        <f t="shared" ca="1" si="17"/>
        <v>0</v>
      </c>
      <c r="I22" s="118">
        <f t="shared" ca="1" si="17"/>
        <v>0</v>
      </c>
      <c r="J22" s="118">
        <f t="shared" ca="1" si="17"/>
        <v>0</v>
      </c>
      <c r="K22" s="118">
        <f t="shared" ca="1" si="17"/>
        <v>0</v>
      </c>
      <c r="L22" s="118">
        <f t="shared" ca="1" si="17"/>
        <v>0</v>
      </c>
      <c r="M22" s="118">
        <f t="shared" ca="1" si="17"/>
        <v>0</v>
      </c>
      <c r="N22" s="118">
        <f t="shared" ca="1" si="17"/>
        <v>0</v>
      </c>
      <c r="O22" s="118">
        <f t="shared" ca="1" si="17"/>
        <v>0</v>
      </c>
      <c r="P22" s="118">
        <f t="shared" ca="1" si="17"/>
        <v>0</v>
      </c>
      <c r="R22" s="434"/>
      <c r="S22" s="118">
        <f>S317</f>
        <v>0.59922937500000006</v>
      </c>
      <c r="T22" s="118">
        <f>T317</f>
        <v>0.59922937500000006</v>
      </c>
    </row>
    <row r="23" spans="2:20" ht="13.5" customHeight="1" outlineLevel="1">
      <c r="B23" s="300" t="s">
        <v>417</v>
      </c>
      <c r="C23" s="260"/>
      <c r="D23" s="260"/>
      <c r="E23" s="260"/>
      <c r="F23" s="118"/>
      <c r="G23" s="118">
        <f t="shared" ref="G23:P23" si="18">G315</f>
        <v>0.42499999999999999</v>
      </c>
      <c r="H23" s="118">
        <f t="shared" ca="1" si="18"/>
        <v>0.5</v>
      </c>
      <c r="I23" s="118">
        <f t="shared" ca="1" si="18"/>
        <v>0.5</v>
      </c>
      <c r="J23" s="118">
        <f t="shared" ca="1" si="18"/>
        <v>0.5</v>
      </c>
      <c r="K23" s="118">
        <f t="shared" ca="1" si="18"/>
        <v>0.5</v>
      </c>
      <c r="L23" s="118">
        <f t="shared" ca="1" si="18"/>
        <v>0.5</v>
      </c>
      <c r="M23" s="118">
        <f t="shared" ca="1" si="18"/>
        <v>0.5</v>
      </c>
      <c r="N23" s="118">
        <f t="shared" ca="1" si="18"/>
        <v>0.5</v>
      </c>
      <c r="O23" s="118">
        <f t="shared" ca="1" si="18"/>
        <v>0.5</v>
      </c>
      <c r="P23" s="118">
        <f t="shared" ca="1" si="18"/>
        <v>0.5</v>
      </c>
      <c r="R23" s="434"/>
      <c r="S23" s="118">
        <f>S315</f>
        <v>0.21249999999999999</v>
      </c>
      <c r="T23" s="118">
        <f>T315</f>
        <v>0.21249999999999999</v>
      </c>
    </row>
    <row r="24" spans="2:20" ht="13.5" customHeight="1" outlineLevel="1">
      <c r="B24" s="300" t="str">
        <f>B111</f>
        <v>Senior credit facility 2</v>
      </c>
      <c r="C24" s="260"/>
      <c r="D24" s="260"/>
      <c r="E24" s="260"/>
      <c r="F24" s="118"/>
      <c r="G24" s="118">
        <f t="shared" ref="G24:P24" si="19">G318</f>
        <v>0</v>
      </c>
      <c r="H24" s="118">
        <f t="shared" ca="1" si="19"/>
        <v>0</v>
      </c>
      <c r="I24" s="118">
        <f t="shared" ca="1" si="19"/>
        <v>0</v>
      </c>
      <c r="J24" s="118">
        <f t="shared" ca="1" si="19"/>
        <v>0</v>
      </c>
      <c r="K24" s="118">
        <f t="shared" ca="1" si="19"/>
        <v>0</v>
      </c>
      <c r="L24" s="118">
        <f t="shared" ca="1" si="19"/>
        <v>0</v>
      </c>
      <c r="M24" s="118">
        <f t="shared" ca="1" si="19"/>
        <v>0</v>
      </c>
      <c r="N24" s="118">
        <f t="shared" ca="1" si="19"/>
        <v>0</v>
      </c>
      <c r="O24" s="118">
        <f t="shared" ca="1" si="19"/>
        <v>0</v>
      </c>
      <c r="P24" s="118">
        <f t="shared" ca="1" si="19"/>
        <v>0</v>
      </c>
      <c r="R24" s="434"/>
      <c r="S24" s="118">
        <f t="shared" ref="S24:T26" si="20">S318</f>
        <v>0</v>
      </c>
      <c r="T24" s="118">
        <f t="shared" si="20"/>
        <v>0</v>
      </c>
    </row>
    <row r="25" spans="2:20" ht="13.5" customHeight="1" outlineLevel="1">
      <c r="B25" s="300" t="str">
        <f t="shared" ref="B25:B26" si="21">B112</f>
        <v>Subordinated note 2</v>
      </c>
      <c r="C25" s="260"/>
      <c r="D25" s="260"/>
      <c r="E25" s="260"/>
      <c r="F25" s="118"/>
      <c r="G25" s="118">
        <f t="shared" ref="G25:P25" si="22">G319</f>
        <v>3.7537500000000001</v>
      </c>
      <c r="H25" s="118">
        <f t="shared" ca="1" si="22"/>
        <v>3.7537500000000001</v>
      </c>
      <c r="I25" s="118">
        <f t="shared" ca="1" si="22"/>
        <v>3.7537500000000001</v>
      </c>
      <c r="J25" s="118">
        <f t="shared" ca="1" si="22"/>
        <v>3.7537500000000001</v>
      </c>
      <c r="K25" s="118">
        <f t="shared" ca="1" si="22"/>
        <v>3.7537500000000001</v>
      </c>
      <c r="L25" s="118">
        <f t="shared" ca="1" si="22"/>
        <v>3.7537500000000001</v>
      </c>
      <c r="M25" s="118">
        <f t="shared" ca="1" si="22"/>
        <v>3.7537500000000001</v>
      </c>
      <c r="N25" s="118">
        <f t="shared" ca="1" si="22"/>
        <v>3.7537500000000001</v>
      </c>
      <c r="O25" s="118">
        <f t="shared" ca="1" si="22"/>
        <v>3.7537500000000001</v>
      </c>
      <c r="P25" s="118">
        <f t="shared" ca="1" si="22"/>
        <v>3.7537500000000001</v>
      </c>
      <c r="R25" s="434"/>
      <c r="S25" s="118">
        <f t="shared" si="20"/>
        <v>1.8768750000000001</v>
      </c>
      <c r="T25" s="118">
        <f t="shared" si="20"/>
        <v>1.8768750000000001</v>
      </c>
    </row>
    <row r="26" spans="2:20" ht="13.5" customHeight="1" outlineLevel="1">
      <c r="B26" s="300" t="str">
        <f t="shared" si="21"/>
        <v>Convertible bond 2</v>
      </c>
      <c r="C26" s="260"/>
      <c r="D26" s="260"/>
      <c r="E26" s="260"/>
      <c r="F26" s="118"/>
      <c r="G26" s="118">
        <f t="shared" ref="G26:P26" si="23">G320</f>
        <v>18.05</v>
      </c>
      <c r="H26" s="118">
        <f t="shared" si="23"/>
        <v>18.907375000000002</v>
      </c>
      <c r="I26" s="118">
        <f t="shared" si="23"/>
        <v>19.8054753125</v>
      </c>
      <c r="J26" s="118">
        <f t="shared" si="23"/>
        <v>20.746235389843751</v>
      </c>
      <c r="K26" s="118">
        <f t="shared" si="23"/>
        <v>21.23895848035254</v>
      </c>
      <c r="L26" s="118">
        <f t="shared" si="23"/>
        <v>21.23895848035254</v>
      </c>
      <c r="M26" s="118">
        <f t="shared" si="23"/>
        <v>21.23895848035254</v>
      </c>
      <c r="N26" s="118">
        <f t="shared" si="23"/>
        <v>21.23895848035254</v>
      </c>
      <c r="O26" s="118">
        <f t="shared" si="23"/>
        <v>21.23895848035254</v>
      </c>
      <c r="P26" s="118">
        <f t="shared" si="23"/>
        <v>21.23895848035254</v>
      </c>
      <c r="R26" s="434"/>
      <c r="S26" s="118">
        <f t="shared" si="20"/>
        <v>9.0250000000000004</v>
      </c>
      <c r="T26" s="118">
        <f t="shared" si="20"/>
        <v>9.0250000000000004</v>
      </c>
    </row>
    <row r="27" spans="2:20" ht="13.5" customHeight="1" outlineLevel="1">
      <c r="B27" s="248" t="s">
        <v>99</v>
      </c>
      <c r="C27" s="248"/>
      <c r="D27" s="248"/>
      <c r="E27" s="294"/>
      <c r="F27" s="449">
        <v>19</v>
      </c>
      <c r="G27" s="450">
        <f ca="1">SUM(G21:OFFSET(G27,-1,0))</f>
        <v>23.034443750000001</v>
      </c>
      <c r="H27" s="450">
        <f ca="1">SUM(H21:OFFSET(H27,-1,0))</f>
        <v>22.571788103897138</v>
      </c>
      <c r="I27" s="450">
        <f ca="1">SUM(I21:OFFSET(I27,-1,0))</f>
        <v>23.289071686133525</v>
      </c>
      <c r="J27" s="450">
        <f ca="1">SUM(J21:OFFSET(J27,-1,0))</f>
        <v>24.052040002187692</v>
      </c>
      <c r="K27" s="450">
        <f ca="1">SUM(K21:OFFSET(K27,-1,0))</f>
        <v>24.387051683698658</v>
      </c>
      <c r="L27" s="450">
        <f ca="1">SUM(L21:OFFSET(L27,-1,0))</f>
        <v>24.243718911253481</v>
      </c>
      <c r="M27" s="450">
        <f ca="1">SUM(M21:OFFSET(M27,-1,0))</f>
        <v>24.098372012441985</v>
      </c>
      <c r="N27" s="450">
        <f ca="1">SUM(N21:OFFSET(N27,-1,0))</f>
        <v>23.950989974811979</v>
      </c>
      <c r="O27" s="450">
        <f ca="1">SUM(O21:OFFSET(O27,-1,0))</f>
        <v>23.801551574479983</v>
      </c>
      <c r="P27" s="450">
        <f ca="1">SUM(P21:OFFSET(P27,-1,0))</f>
        <v>23.650035374014958</v>
      </c>
      <c r="R27" s="434"/>
      <c r="S27" s="451">
        <f ca="1">SUM(S21:OFFSET(S27,-1,0))</f>
        <v>11.517221875000001</v>
      </c>
      <c r="T27" s="451">
        <f ca="1">SUM(T21:OFFSET(T27,-1,0))</f>
        <v>11.517221875000001</v>
      </c>
    </row>
    <row r="28" spans="2:20" ht="13.5" customHeight="1" outlineLevel="1">
      <c r="B28" s="88" t="s">
        <v>435</v>
      </c>
      <c r="C28" s="88"/>
      <c r="D28" s="88"/>
      <c r="E28" s="88"/>
      <c r="F28" s="118">
        <f t="shared" ref="F28" si="24">F225</f>
        <v>0</v>
      </c>
      <c r="G28" s="118">
        <f t="shared" ref="G28:P28" si="25">G225</f>
        <v>0</v>
      </c>
      <c r="H28" s="118">
        <f t="shared" si="25"/>
        <v>0</v>
      </c>
      <c r="I28" s="118">
        <f t="shared" si="25"/>
        <v>0</v>
      </c>
      <c r="J28" s="118">
        <f t="shared" si="25"/>
        <v>0</v>
      </c>
      <c r="K28" s="118">
        <f t="shared" si="25"/>
        <v>0</v>
      </c>
      <c r="L28" s="118">
        <f t="shared" si="25"/>
        <v>0</v>
      </c>
      <c r="M28" s="118">
        <f t="shared" si="25"/>
        <v>0</v>
      </c>
      <c r="N28" s="118">
        <f t="shared" si="25"/>
        <v>0</v>
      </c>
      <c r="O28" s="118">
        <f t="shared" si="25"/>
        <v>0</v>
      </c>
      <c r="P28" s="118">
        <f t="shared" si="25"/>
        <v>0</v>
      </c>
      <c r="R28" s="434"/>
      <c r="S28" s="118">
        <f>S225</f>
        <v>0</v>
      </c>
      <c r="T28" s="118">
        <f>T225</f>
        <v>0</v>
      </c>
    </row>
    <row r="29" spans="2:20" ht="13.5" customHeight="1" outlineLevel="1">
      <c r="B29" s="301" t="s">
        <v>100</v>
      </c>
      <c r="C29" s="301"/>
      <c r="D29" s="301"/>
      <c r="E29" s="301"/>
      <c r="F29" s="330">
        <v>0</v>
      </c>
      <c r="G29" s="330">
        <v>0</v>
      </c>
      <c r="H29" s="330">
        <v>0</v>
      </c>
      <c r="I29" s="118">
        <f>H29</f>
        <v>0</v>
      </c>
      <c r="J29" s="118">
        <f t="shared" ref="J29:P29" si="26">I29</f>
        <v>0</v>
      </c>
      <c r="K29" s="118">
        <f t="shared" si="26"/>
        <v>0</v>
      </c>
      <c r="L29" s="118">
        <f t="shared" si="26"/>
        <v>0</v>
      </c>
      <c r="M29" s="118">
        <f t="shared" si="26"/>
        <v>0</v>
      </c>
      <c r="N29" s="118">
        <f t="shared" si="26"/>
        <v>0</v>
      </c>
      <c r="O29" s="118">
        <f t="shared" si="26"/>
        <v>0</v>
      </c>
      <c r="P29" s="118">
        <f t="shared" si="26"/>
        <v>0</v>
      </c>
      <c r="R29" s="434"/>
      <c r="S29" s="184">
        <f>S$3*$G29</f>
        <v>0</v>
      </c>
      <c r="T29" s="184">
        <f>T$3*$G29</f>
        <v>0</v>
      </c>
    </row>
    <row r="30" spans="2:20" ht="13.5" customHeight="1" outlineLevel="1">
      <c r="B30" s="116" t="s">
        <v>101</v>
      </c>
      <c r="C30" s="116"/>
      <c r="D30" s="116"/>
      <c r="E30" s="116"/>
      <c r="F30" s="144">
        <f t="shared" ref="F30" si="27">F18-F27+F28-F29</f>
        <v>71.400000000000006</v>
      </c>
      <c r="G30" s="144">
        <f t="shared" ref="G30" ca="1" si="28">G18-G27+G28-G29</f>
        <v>67.16555624999998</v>
      </c>
      <c r="H30" s="144">
        <f t="shared" ref="H30" ca="1" si="29">H18-H27+H28-H29</f>
        <v>66.928211896102866</v>
      </c>
      <c r="I30" s="144">
        <f t="shared" ref="I30" ca="1" si="30">I18-I27+I28-I29</f>
        <v>67.221928313866485</v>
      </c>
      <c r="J30" s="144">
        <f t="shared" ref="J30" ca="1" si="31">J18-J27+J28-J29</f>
        <v>76.389069997812328</v>
      </c>
      <c r="K30" s="144">
        <f t="shared" ref="K30" ca="1" si="32">K18-K27+K28-K29</f>
        <v>79.776379416301396</v>
      </c>
      <c r="L30" s="144">
        <f t="shared" ref="L30" ca="1" si="33">L18-L27+L28-L29</f>
        <v>80.961346499746568</v>
      </c>
      <c r="M30" s="144">
        <f t="shared" ref="M30" ca="1" si="34">M18-M27+M28-M29</f>
        <v>82.158744052668027</v>
      </c>
      <c r="N30" s="144">
        <f t="shared" ref="N30" ca="1" si="35">N18-N27+N28-N29</f>
        <v>83.36869725094914</v>
      </c>
      <c r="O30" s="144">
        <f t="shared" ref="O30" ca="1" si="36">O18-O27+O28-O29</f>
        <v>84.591332523538739</v>
      </c>
      <c r="P30" s="144">
        <f t="shared" ref="P30" ca="1" si="37">P18-P27+P28-P29</f>
        <v>85.826777564983942</v>
      </c>
      <c r="R30" s="434"/>
      <c r="S30" s="144">
        <f ca="1">S18-S27+S28-S29</f>
        <v>33.58277812499999</v>
      </c>
      <c r="T30" s="144">
        <f t="shared" ref="T30" ca="1" si="38">T18-T27+T28-T29</f>
        <v>33.58277812499999</v>
      </c>
    </row>
    <row r="31" spans="2:20" ht="13.5" customHeight="1" outlineLevel="1">
      <c r="B31" s="301" t="s">
        <v>102</v>
      </c>
      <c r="C31" s="301"/>
      <c r="D31" s="301"/>
      <c r="E31" s="301"/>
      <c r="F31" s="330">
        <v>28.4</v>
      </c>
      <c r="G31" s="118">
        <f t="shared" ref="G31:P31" ca="1" si="39">G30*G73-G235</f>
        <v>26.866659076115621</v>
      </c>
      <c r="H31" s="118">
        <f t="shared" ca="1" si="39"/>
        <v>26.771719791818473</v>
      </c>
      <c r="I31" s="118">
        <f t="shared" ca="1" si="39"/>
        <v>26.889208268080637</v>
      </c>
      <c r="J31" s="118">
        <f t="shared" ca="1" si="39"/>
        <v>30.55612452807992</v>
      </c>
      <c r="K31" s="118">
        <f t="shared" ca="1" si="39"/>
        <v>31.911070312986766</v>
      </c>
      <c r="L31" s="118">
        <f t="shared" ca="1" si="39"/>
        <v>32.385064848650877</v>
      </c>
      <c r="M31" s="118">
        <f t="shared" ca="1" si="39"/>
        <v>32.864031652903556</v>
      </c>
      <c r="N31" s="118">
        <f t="shared" ca="1" si="39"/>
        <v>33.34802079691179</v>
      </c>
      <c r="O31" s="118">
        <f t="shared" ca="1" si="39"/>
        <v>33.8370828530769</v>
      </c>
      <c r="P31" s="118">
        <f t="shared" ca="1" si="39"/>
        <v>34.331268900047753</v>
      </c>
      <c r="R31" s="434"/>
      <c r="S31" s="118">
        <f ca="1">S30*S73-S235</f>
        <v>13.43332953805781</v>
      </c>
      <c r="T31" s="118">
        <f ca="1">T30*T73-T235</f>
        <v>13.43332953805781</v>
      </c>
    </row>
    <row r="32" spans="2:20" ht="13.5" customHeight="1" outlineLevel="1">
      <c r="B32" s="452" t="s">
        <v>104</v>
      </c>
      <c r="C32" s="452"/>
      <c r="D32" s="452"/>
      <c r="E32" s="452"/>
      <c r="F32" s="453">
        <f>F30-F31</f>
        <v>43.000000000000007</v>
      </c>
      <c r="G32" s="453">
        <f t="shared" ref="G32:P32" ca="1" si="40">G30-G31</f>
        <v>40.298897173884356</v>
      </c>
      <c r="H32" s="453">
        <f t="shared" ca="1" si="40"/>
        <v>40.156492104284396</v>
      </c>
      <c r="I32" s="453">
        <f t="shared" ca="1" si="40"/>
        <v>40.332720045785848</v>
      </c>
      <c r="J32" s="453">
        <f t="shared" ca="1" si="40"/>
        <v>45.832945469732408</v>
      </c>
      <c r="K32" s="453">
        <f t="shared" ca="1" si="40"/>
        <v>47.86530910331463</v>
      </c>
      <c r="L32" s="453">
        <f t="shared" ca="1" si="40"/>
        <v>48.576281651095691</v>
      </c>
      <c r="M32" s="453">
        <f t="shared" ca="1" si="40"/>
        <v>49.294712399764471</v>
      </c>
      <c r="N32" s="453">
        <f t="shared" ca="1" si="40"/>
        <v>50.02067645403735</v>
      </c>
      <c r="O32" s="453">
        <f t="shared" ca="1" si="40"/>
        <v>50.754249670461839</v>
      </c>
      <c r="P32" s="453">
        <f t="shared" ca="1" si="40"/>
        <v>51.495508664936189</v>
      </c>
      <c r="R32" s="434"/>
      <c r="S32" s="446">
        <f ca="1">S30-S31</f>
        <v>20.149448586942178</v>
      </c>
      <c r="T32" s="446">
        <f ca="1">T30-T31</f>
        <v>20.149448586942178</v>
      </c>
    </row>
    <row r="33" spans="2:20" ht="13.5" customHeight="1" outlineLevel="1">
      <c r="B33" s="88" t="s">
        <v>429</v>
      </c>
      <c r="C33" s="88"/>
      <c r="D33" s="88"/>
      <c r="E33" s="88"/>
      <c r="F33" s="330">
        <v>0</v>
      </c>
      <c r="G33" s="330">
        <v>0</v>
      </c>
      <c r="H33" s="330">
        <v>0</v>
      </c>
      <c r="I33" s="118">
        <f>H33</f>
        <v>0</v>
      </c>
      <c r="J33" s="118">
        <f t="shared" ref="J33:P33" si="41">I33</f>
        <v>0</v>
      </c>
      <c r="K33" s="118">
        <f t="shared" si="41"/>
        <v>0</v>
      </c>
      <c r="L33" s="118">
        <f t="shared" si="41"/>
        <v>0</v>
      </c>
      <c r="M33" s="118">
        <f t="shared" si="41"/>
        <v>0</v>
      </c>
      <c r="N33" s="118">
        <f t="shared" si="41"/>
        <v>0</v>
      </c>
      <c r="O33" s="118">
        <f t="shared" si="41"/>
        <v>0</v>
      </c>
      <c r="P33" s="118">
        <f t="shared" si="41"/>
        <v>0</v>
      </c>
      <c r="R33" s="434"/>
      <c r="S33" s="184">
        <f>S$3*$G33</f>
        <v>0</v>
      </c>
      <c r="T33" s="184">
        <f>T$3*$G33</f>
        <v>0</v>
      </c>
    </row>
    <row r="34" spans="2:20" ht="13.5" customHeight="1" outlineLevel="1">
      <c r="B34" s="88" t="s">
        <v>583</v>
      </c>
      <c r="C34" s="88"/>
      <c r="D34" s="88"/>
      <c r="F34" s="118">
        <f t="shared" ref="F34:P34" si="42">F328</f>
        <v>0</v>
      </c>
      <c r="G34" s="118">
        <f t="shared" si="42"/>
        <v>0</v>
      </c>
      <c r="H34" s="118">
        <f t="shared" ca="1" si="42"/>
        <v>0</v>
      </c>
      <c r="I34" s="118">
        <f t="shared" ca="1" si="42"/>
        <v>0</v>
      </c>
      <c r="J34" s="118">
        <f t="shared" ca="1" si="42"/>
        <v>0</v>
      </c>
      <c r="K34" s="118">
        <f t="shared" ca="1" si="42"/>
        <v>0</v>
      </c>
      <c r="L34" s="118">
        <f t="shared" ca="1" si="42"/>
        <v>0</v>
      </c>
      <c r="M34" s="118">
        <f t="shared" ca="1" si="42"/>
        <v>0</v>
      </c>
      <c r="N34" s="118">
        <f t="shared" ca="1" si="42"/>
        <v>0</v>
      </c>
      <c r="O34" s="118">
        <f t="shared" ca="1" si="42"/>
        <v>0</v>
      </c>
      <c r="P34" s="118">
        <f t="shared" ca="1" si="42"/>
        <v>0</v>
      </c>
      <c r="R34" s="434"/>
      <c r="S34" s="118">
        <f>S328</f>
        <v>0</v>
      </c>
      <c r="T34" s="118">
        <f>T328</f>
        <v>0</v>
      </c>
    </row>
    <row r="35" spans="2:20" ht="13.5" customHeight="1" outlineLevel="1">
      <c r="B35" s="407" t="s">
        <v>141</v>
      </c>
      <c r="C35" s="407"/>
      <c r="D35" s="407"/>
      <c r="E35" s="407"/>
      <c r="F35" s="157">
        <f t="shared" ref="F35:P35" si="43">F32-F33-F34</f>
        <v>43.000000000000007</v>
      </c>
      <c r="G35" s="157">
        <f t="shared" ca="1" si="43"/>
        <v>40.298897173884356</v>
      </c>
      <c r="H35" s="157">
        <f t="shared" ca="1" si="43"/>
        <v>40.156492104284396</v>
      </c>
      <c r="I35" s="157">
        <f t="shared" ca="1" si="43"/>
        <v>40.332720045785848</v>
      </c>
      <c r="J35" s="157">
        <f t="shared" ca="1" si="43"/>
        <v>45.832945469732408</v>
      </c>
      <c r="K35" s="157">
        <f t="shared" ca="1" si="43"/>
        <v>47.86530910331463</v>
      </c>
      <c r="L35" s="157">
        <f t="shared" ca="1" si="43"/>
        <v>48.576281651095691</v>
      </c>
      <c r="M35" s="157">
        <f t="shared" ca="1" si="43"/>
        <v>49.294712399764471</v>
      </c>
      <c r="N35" s="157">
        <f t="shared" ca="1" si="43"/>
        <v>50.02067645403735</v>
      </c>
      <c r="O35" s="157">
        <f t="shared" ca="1" si="43"/>
        <v>50.754249670461839</v>
      </c>
      <c r="P35" s="157">
        <f t="shared" ca="1" si="43"/>
        <v>51.495508664936189</v>
      </c>
      <c r="R35" s="434"/>
      <c r="S35" s="157">
        <f ca="1">S32-S33-S34</f>
        <v>20.149448586942178</v>
      </c>
      <c r="T35" s="157">
        <f ca="1">T32-T33-T34</f>
        <v>20.149448586942178</v>
      </c>
    </row>
    <row r="36" spans="2:20" ht="13.5" customHeight="1" outlineLevel="1">
      <c r="B36" s="88"/>
      <c r="C36" s="88"/>
      <c r="D36" s="88"/>
      <c r="I36" s="170"/>
      <c r="J36" s="170"/>
      <c r="K36" s="170"/>
      <c r="L36" s="170"/>
      <c r="M36" s="170"/>
      <c r="N36" s="170"/>
      <c r="O36" s="170"/>
      <c r="P36" s="170"/>
      <c r="R36" s="434"/>
    </row>
    <row r="37" spans="2:20" ht="13.5" customHeight="1" outlineLevel="1">
      <c r="B37" s="354" t="s">
        <v>142</v>
      </c>
      <c r="C37" s="88"/>
      <c r="D37" s="88"/>
      <c r="I37" s="170"/>
      <c r="J37" s="170"/>
      <c r="K37" s="170"/>
      <c r="L37" s="170"/>
      <c r="M37" s="170"/>
      <c r="N37" s="170"/>
      <c r="O37" s="170"/>
      <c r="P37" s="170"/>
      <c r="R37" s="434"/>
    </row>
    <row r="38" spans="2:20" ht="13.5" customHeight="1" outlineLevel="1">
      <c r="B38" s="88" t="s">
        <v>95</v>
      </c>
      <c r="C38" s="88"/>
      <c r="D38" s="88"/>
      <c r="F38" s="114">
        <f t="shared" ref="F38:P38" si="44">F16*(1-F73)</f>
        <v>6.9859943977591046</v>
      </c>
      <c r="G38" s="114">
        <f t="shared" si="44"/>
        <v>6.959924599999999</v>
      </c>
      <c r="H38" s="114">
        <f t="shared" si="44"/>
        <v>6.959924599999999</v>
      </c>
      <c r="I38" s="114">
        <f t="shared" si="44"/>
        <v>6.959924599999999</v>
      </c>
      <c r="J38" s="114">
        <f t="shared" si="44"/>
        <v>1.6145825084999992</v>
      </c>
      <c r="K38" s="114">
        <f t="shared" si="44"/>
        <v>0</v>
      </c>
      <c r="L38" s="114">
        <f t="shared" si="44"/>
        <v>0</v>
      </c>
      <c r="M38" s="114">
        <f t="shared" si="44"/>
        <v>0</v>
      </c>
      <c r="N38" s="114">
        <f t="shared" si="44"/>
        <v>0</v>
      </c>
      <c r="O38" s="114">
        <f t="shared" si="44"/>
        <v>0</v>
      </c>
      <c r="P38" s="114">
        <f t="shared" si="44"/>
        <v>0</v>
      </c>
      <c r="R38" s="434"/>
      <c r="S38" s="114">
        <f>S16*(1-S73)</f>
        <v>3.4799622999999995</v>
      </c>
      <c r="T38" s="114">
        <f>T16*(1-T73)</f>
        <v>3.4799622999999995</v>
      </c>
    </row>
    <row r="39" spans="2:20" ht="13.5" customHeight="1" outlineLevel="1">
      <c r="B39" s="88" t="s">
        <v>96</v>
      </c>
      <c r="C39" s="88"/>
      <c r="D39" s="88"/>
      <c r="F39" s="118">
        <f t="shared" ref="F39:P39" si="45">F17*(1-F73)</f>
        <v>6.5042016806722698</v>
      </c>
      <c r="G39" s="118">
        <f t="shared" si="45"/>
        <v>6.3599310999999989</v>
      </c>
      <c r="H39" s="118">
        <f t="shared" si="45"/>
        <v>6.419930449999999</v>
      </c>
      <c r="I39" s="118">
        <f t="shared" si="45"/>
        <v>6.4841297544999987</v>
      </c>
      <c r="J39" s="118">
        <f t="shared" si="45"/>
        <v>6.5489710520449984</v>
      </c>
      <c r="K39" s="118">
        <f t="shared" si="45"/>
        <v>6.6144607625654492</v>
      </c>
      <c r="L39" s="118">
        <f t="shared" si="45"/>
        <v>6.6806053701911035</v>
      </c>
      <c r="M39" s="118">
        <f t="shared" si="45"/>
        <v>6.7474114238930154</v>
      </c>
      <c r="N39" s="118">
        <f t="shared" si="45"/>
        <v>6.8148855381319446</v>
      </c>
      <c r="O39" s="118">
        <f t="shared" si="45"/>
        <v>6.8830343935132641</v>
      </c>
      <c r="P39" s="118">
        <f t="shared" si="45"/>
        <v>6.9518647374483979</v>
      </c>
      <c r="R39" s="434"/>
      <c r="S39" s="118">
        <f>S17*(1-S73)</f>
        <v>3.1799655499999995</v>
      </c>
      <c r="T39" s="118">
        <f>T17*(1-T73)</f>
        <v>3.1799655499999995</v>
      </c>
    </row>
    <row r="40" spans="2:20" ht="13.5" customHeight="1" outlineLevel="1">
      <c r="B40" s="88" t="s">
        <v>103</v>
      </c>
      <c r="C40" s="88"/>
      <c r="D40" s="88"/>
      <c r="F40" s="330">
        <v>0</v>
      </c>
      <c r="G40" s="330">
        <v>0</v>
      </c>
      <c r="H40" s="330">
        <v>0</v>
      </c>
      <c r="I40" s="118">
        <f>H40</f>
        <v>0</v>
      </c>
      <c r="J40" s="118">
        <f t="shared" ref="J40:P40" si="46">I40</f>
        <v>0</v>
      </c>
      <c r="K40" s="118">
        <f t="shared" si="46"/>
        <v>0</v>
      </c>
      <c r="L40" s="118">
        <f t="shared" si="46"/>
        <v>0</v>
      </c>
      <c r="M40" s="118">
        <f t="shared" si="46"/>
        <v>0</v>
      </c>
      <c r="N40" s="118">
        <f t="shared" si="46"/>
        <v>0</v>
      </c>
      <c r="O40" s="118">
        <f t="shared" si="46"/>
        <v>0</v>
      </c>
      <c r="P40" s="118">
        <f t="shared" si="46"/>
        <v>0</v>
      </c>
      <c r="R40" s="434"/>
      <c r="S40" s="184">
        <f>S$3*$G40</f>
        <v>0</v>
      </c>
      <c r="T40" s="184">
        <f>T$3*$G40</f>
        <v>0</v>
      </c>
    </row>
    <row r="41" spans="2:20" ht="13.5" customHeight="1" outlineLevel="1">
      <c r="B41" s="407" t="s">
        <v>148</v>
      </c>
      <c r="C41" s="407"/>
      <c r="D41" s="407"/>
      <c r="E41" s="407"/>
      <c r="F41" s="157">
        <f t="shared" ref="F41" si="47">F35+SUM(F38:F40)</f>
        <v>56.490196078431381</v>
      </c>
      <c r="G41" s="157">
        <f t="shared" ref="G41:P41" ca="1" si="48">G35+SUM(G38:G40)</f>
        <v>53.618752873884354</v>
      </c>
      <c r="H41" s="157">
        <f t="shared" ca="1" si="48"/>
        <v>53.536347154284393</v>
      </c>
      <c r="I41" s="157">
        <f t="shared" ca="1" si="48"/>
        <v>53.776774400285845</v>
      </c>
      <c r="J41" s="157">
        <f t="shared" ca="1" si="48"/>
        <v>53.996499030277405</v>
      </c>
      <c r="K41" s="157">
        <f t="shared" ca="1" si="48"/>
        <v>54.47976986588008</v>
      </c>
      <c r="L41" s="157">
        <f t="shared" ca="1" si="48"/>
        <v>55.256887021286794</v>
      </c>
      <c r="M41" s="157">
        <f t="shared" ca="1" si="48"/>
        <v>56.042123823657484</v>
      </c>
      <c r="N41" s="157">
        <f t="shared" ca="1" si="48"/>
        <v>56.835561992169296</v>
      </c>
      <c r="O41" s="157">
        <f t="shared" ca="1" si="48"/>
        <v>57.637284063975102</v>
      </c>
      <c r="P41" s="157">
        <f t="shared" ca="1" si="48"/>
        <v>58.447373402384585</v>
      </c>
      <c r="R41" s="434"/>
      <c r="S41" s="157">
        <f ca="1">S35+SUM(S38:S40)</f>
        <v>26.809376436942177</v>
      </c>
      <c r="T41" s="157">
        <f ca="1">T35+SUM(T38:T40)</f>
        <v>26.809376436942177</v>
      </c>
    </row>
    <row r="42" spans="2:20" ht="13.5" customHeight="1" outlineLevel="1">
      <c r="B42" s="260"/>
      <c r="C42" s="260"/>
      <c r="D42" s="260"/>
      <c r="R42" s="434"/>
    </row>
    <row r="43" spans="2:20" ht="13.5" customHeight="1" outlineLevel="1">
      <c r="B43" s="260" t="s">
        <v>106</v>
      </c>
      <c r="C43" s="260"/>
      <c r="D43" s="260"/>
      <c r="E43" s="260"/>
      <c r="F43" s="454">
        <f t="shared" ref="F43:P43" si="49">F35/F552</f>
        <v>1.2166572949335681</v>
      </c>
      <c r="G43" s="454">
        <f t="shared" ca="1" si="49"/>
        <v>1.1402313307996312</v>
      </c>
      <c r="H43" s="454">
        <f t="shared" ca="1" si="49"/>
        <v>1.1362020711074381</v>
      </c>
      <c r="I43" s="454">
        <f t="shared" ca="1" si="49"/>
        <v>1.1411883271678767</v>
      </c>
      <c r="J43" s="454">
        <f t="shared" ca="1" si="49"/>
        <v>1.2968136617219153</v>
      </c>
      <c r="K43" s="454">
        <f t="shared" ca="1" si="49"/>
        <v>1.3543180812743689</v>
      </c>
      <c r="L43" s="454">
        <f t="shared" ca="1" si="49"/>
        <v>1.3744345914314697</v>
      </c>
      <c r="M43" s="454">
        <f t="shared" ca="1" si="49"/>
        <v>1.3947621265773407</v>
      </c>
      <c r="N43" s="454">
        <f t="shared" ca="1" si="49"/>
        <v>1.4153028117515418</v>
      </c>
      <c r="O43" s="454">
        <f t="shared" ca="1" si="49"/>
        <v>1.4360587932662101</v>
      </c>
      <c r="P43" s="454">
        <f t="shared" ca="1" si="49"/>
        <v>1.4570322389188226</v>
      </c>
      <c r="R43" s="434"/>
      <c r="S43" s="454">
        <f ca="1">S35/S552</f>
        <v>0.57011566539981562</v>
      </c>
      <c r="T43" s="454">
        <f ca="1">T35/T552</f>
        <v>0.57011566539981562</v>
      </c>
    </row>
    <row r="44" spans="2:20" ht="13.5" customHeight="1" outlineLevel="1">
      <c r="B44" s="260" t="s">
        <v>105</v>
      </c>
      <c r="C44" s="260"/>
      <c r="D44" s="260"/>
      <c r="E44" s="260"/>
      <c r="F44" s="454">
        <f t="shared" ref="F44:P44" si="50">F41/F552</f>
        <v>1.5983537011872366</v>
      </c>
      <c r="G44" s="454">
        <f t="shared" ca="1" si="50"/>
        <v>1.517108065796549</v>
      </c>
      <c r="H44" s="454">
        <f t="shared" ca="1" si="50"/>
        <v>1.5147764490547924</v>
      </c>
      <c r="I44" s="454">
        <f t="shared" ca="1" si="50"/>
        <v>1.5215791830721981</v>
      </c>
      <c r="J44" s="454">
        <f t="shared" ca="1" si="50"/>
        <v>1.5277961499083799</v>
      </c>
      <c r="K44" s="454">
        <f t="shared" ca="1" si="50"/>
        <v>1.5414699868284876</v>
      </c>
      <c r="L44" s="454">
        <f t="shared" ca="1" si="50"/>
        <v>1.5634580160411296</v>
      </c>
      <c r="M44" s="454">
        <f t="shared" ca="1" si="50"/>
        <v>1.5856757854330972</v>
      </c>
      <c r="N44" s="454">
        <f t="shared" ca="1" si="50"/>
        <v>1.6081256071958558</v>
      </c>
      <c r="O44" s="454">
        <f t="shared" ca="1" si="50"/>
        <v>1.6308098166649672</v>
      </c>
      <c r="P44" s="454">
        <f t="shared" ca="1" si="50"/>
        <v>1.6537307725515673</v>
      </c>
      <c r="R44" s="434"/>
      <c r="S44" s="454">
        <f ca="1">S41/S552</f>
        <v>0.7585540328982745</v>
      </c>
      <c r="T44" s="454">
        <f ca="1">T41/T552</f>
        <v>0.7585540328982745</v>
      </c>
    </row>
    <row r="45" spans="2:20" ht="13.5" customHeight="1" outlineLevel="1">
      <c r="B45" s="88"/>
      <c r="C45" s="88"/>
      <c r="D45" s="88"/>
      <c r="G45" s="170"/>
      <c r="H45" s="170"/>
      <c r="I45" s="170"/>
      <c r="J45" s="170"/>
      <c r="K45" s="170"/>
      <c r="L45" s="170"/>
      <c r="M45" s="170"/>
      <c r="N45" s="170"/>
      <c r="O45" s="170"/>
      <c r="P45" s="170"/>
      <c r="R45" s="434"/>
      <c r="T45" s="170"/>
    </row>
    <row r="46" spans="2:20" ht="13.5" customHeight="1" outlineLevel="1">
      <c r="B46" s="455" t="s">
        <v>107</v>
      </c>
      <c r="C46" s="455"/>
      <c r="D46" s="455"/>
      <c r="F46" s="456">
        <v>15.2</v>
      </c>
      <c r="G46" s="456">
        <v>14.1</v>
      </c>
      <c r="H46" s="456">
        <v>15</v>
      </c>
      <c r="I46" s="114">
        <f t="shared" ref="I46:P46" si="51">I60*I10</f>
        <v>15.15</v>
      </c>
      <c r="J46" s="114">
        <f t="shared" si="51"/>
        <v>15.301500000000001</v>
      </c>
      <c r="K46" s="114">
        <f t="shared" si="51"/>
        <v>15.454515000000001</v>
      </c>
      <c r="L46" s="114">
        <f t="shared" si="51"/>
        <v>15.609060150000001</v>
      </c>
      <c r="M46" s="114">
        <f t="shared" si="51"/>
        <v>15.765150751500002</v>
      </c>
      <c r="N46" s="114">
        <f t="shared" si="51"/>
        <v>15.922802259015002</v>
      </c>
      <c r="O46" s="114">
        <f t="shared" si="51"/>
        <v>16.082030281605153</v>
      </c>
      <c r="P46" s="114">
        <f t="shared" si="51"/>
        <v>16.242850584421205</v>
      </c>
      <c r="R46" s="434"/>
      <c r="S46" s="351">
        <f>S$3*$G46</f>
        <v>7.05</v>
      </c>
      <c r="T46" s="351">
        <f>T$3*$G46</f>
        <v>7.05</v>
      </c>
    </row>
    <row r="47" spans="2:20" ht="13.5" customHeight="1" outlineLevel="1">
      <c r="B47" s="455" t="s">
        <v>245</v>
      </c>
      <c r="C47" s="455"/>
      <c r="D47" s="455"/>
      <c r="F47" s="374">
        <v>0</v>
      </c>
      <c r="G47" s="190">
        <f>$F47</f>
        <v>0</v>
      </c>
      <c r="H47" s="190">
        <f t="shared" ref="H47:P47" si="52">$F47</f>
        <v>0</v>
      </c>
      <c r="I47" s="190">
        <f t="shared" si="52"/>
        <v>0</v>
      </c>
      <c r="J47" s="190">
        <f t="shared" si="52"/>
        <v>0</v>
      </c>
      <c r="K47" s="190">
        <f t="shared" si="52"/>
        <v>0</v>
      </c>
      <c r="L47" s="190">
        <f t="shared" si="52"/>
        <v>0</v>
      </c>
      <c r="M47" s="190">
        <f t="shared" si="52"/>
        <v>0</v>
      </c>
      <c r="N47" s="190">
        <f t="shared" si="52"/>
        <v>0</v>
      </c>
      <c r="O47" s="190">
        <f t="shared" si="52"/>
        <v>0</v>
      </c>
      <c r="P47" s="190">
        <f t="shared" si="52"/>
        <v>0</v>
      </c>
      <c r="R47" s="434"/>
      <c r="S47" s="305">
        <f>S$3*$G47</f>
        <v>0</v>
      </c>
      <c r="T47" s="305">
        <f>T$3*$G47</f>
        <v>0</v>
      </c>
    </row>
    <row r="48" spans="2:20" ht="13.5" customHeight="1" outlineLevel="1">
      <c r="R48" s="434"/>
    </row>
    <row r="49" spans="2:20" ht="13.5" customHeight="1" outlineLevel="1">
      <c r="B49" s="78" t="s">
        <v>437</v>
      </c>
      <c r="C49" s="79"/>
      <c r="D49" s="80"/>
      <c r="E49" s="80"/>
      <c r="F49" s="80"/>
      <c r="G49" s="80"/>
      <c r="H49" s="80"/>
      <c r="I49" s="80"/>
      <c r="J49" s="80"/>
      <c r="K49" s="80"/>
      <c r="L49" s="80"/>
      <c r="M49" s="80"/>
      <c r="N49" s="80"/>
      <c r="O49" s="80"/>
      <c r="P49" s="81"/>
      <c r="R49" s="434"/>
      <c r="S49" s="525"/>
      <c r="T49" s="81"/>
    </row>
    <row r="50" spans="2:20" s="88" customFormat="1" ht="13.5" customHeight="1" outlineLevel="1">
      <c r="R50" s="434"/>
    </row>
    <row r="51" spans="2:20" s="312" customFormat="1" ht="13.5" customHeight="1" outlineLevel="1">
      <c r="B51" s="88" t="s">
        <v>108</v>
      </c>
      <c r="F51" s="179" t="s">
        <v>15</v>
      </c>
      <c r="G51" s="177">
        <f>(G10/F10-1)/G$3</f>
        <v>6.1705989110707682E-2</v>
      </c>
      <c r="H51" s="177">
        <f>(H10/G10-1)/H$3</f>
        <v>5.3418803418803229E-3</v>
      </c>
      <c r="I51" s="375">
        <v>0.01</v>
      </c>
      <c r="J51" s="177">
        <f>I51</f>
        <v>0.01</v>
      </c>
      <c r="K51" s="177">
        <f t="shared" ref="K51:P51" si="53">J51</f>
        <v>0.01</v>
      </c>
      <c r="L51" s="177">
        <f t="shared" si="53"/>
        <v>0.01</v>
      </c>
      <c r="M51" s="177">
        <f t="shared" si="53"/>
        <v>0.01</v>
      </c>
      <c r="N51" s="177">
        <f t="shared" si="53"/>
        <v>0.01</v>
      </c>
      <c r="O51" s="177">
        <f t="shared" si="53"/>
        <v>0.01</v>
      </c>
      <c r="P51" s="177">
        <f t="shared" si="53"/>
        <v>0.01</v>
      </c>
      <c r="R51" s="434"/>
      <c r="S51" s="179" t="s">
        <v>15</v>
      </c>
      <c r="T51" s="179" t="s">
        <v>15</v>
      </c>
    </row>
    <row r="52" spans="2:20" s="312" customFormat="1" ht="13.5" customHeight="1" outlineLevel="1">
      <c r="B52" s="88" t="s">
        <v>143</v>
      </c>
      <c r="F52" s="179" t="s">
        <v>15</v>
      </c>
      <c r="G52" s="177">
        <f t="shared" ref="G52:P52" ca="1" si="54">(G32/F32-1)/G$3</f>
        <v>-6.2816344793387269E-2</v>
      </c>
      <c r="H52" s="177">
        <f t="shared" ca="1" si="54"/>
        <v>-3.5337212575694554E-3</v>
      </c>
      <c r="I52" s="177">
        <f t="shared" ca="1" si="54"/>
        <v>4.3885292829810574E-3</v>
      </c>
      <c r="J52" s="177">
        <f t="shared" ca="1" si="54"/>
        <v>0.13637129897767086</v>
      </c>
      <c r="K52" s="177">
        <f t="shared" ca="1" si="54"/>
        <v>4.4342854528613529E-2</v>
      </c>
      <c r="L52" s="177">
        <f t="shared" ca="1" si="54"/>
        <v>1.4853608199760338E-2</v>
      </c>
      <c r="M52" s="177">
        <f t="shared" ca="1" si="54"/>
        <v>1.4789743558985879E-2</v>
      </c>
      <c r="N52" s="177">
        <f t="shared" ca="1" si="54"/>
        <v>1.4727016731237663E-2</v>
      </c>
      <c r="O52" s="177">
        <f t="shared" ca="1" si="54"/>
        <v>1.4665399759208553E-2</v>
      </c>
      <c r="P52" s="177">
        <f t="shared" ca="1" si="54"/>
        <v>1.4604865588343952E-2</v>
      </c>
      <c r="R52" s="434"/>
      <c r="S52" s="179" t="s">
        <v>15</v>
      </c>
      <c r="T52" s="179" t="s">
        <v>15</v>
      </c>
    </row>
    <row r="53" spans="2:20" s="312" customFormat="1" ht="13.5" customHeight="1" outlineLevel="1">
      <c r="B53" s="88" t="s">
        <v>144</v>
      </c>
      <c r="F53" s="179" t="s">
        <v>15</v>
      </c>
      <c r="G53" s="177">
        <f t="shared" ref="G53:P53" ca="1" si="55">(G41/F41-1)/G$3</f>
        <v>-5.0830823822248683E-2</v>
      </c>
      <c r="H53" s="177">
        <f t="shared" ca="1" si="55"/>
        <v>-1.5368824372656853E-3</v>
      </c>
      <c r="I53" s="177">
        <f t="shared" ca="1" si="55"/>
        <v>4.4909161491457628E-3</v>
      </c>
      <c r="J53" s="177">
        <f t="shared" ca="1" si="55"/>
        <v>4.0858648076593784E-3</v>
      </c>
      <c r="K53" s="177">
        <f t="shared" ca="1" si="55"/>
        <v>8.95004017448775E-3</v>
      </c>
      <c r="L53" s="177">
        <f t="shared" ca="1" si="55"/>
        <v>1.4264325222368646E-2</v>
      </c>
      <c r="M53" s="177">
        <f t="shared" ca="1" si="55"/>
        <v>1.4210659425461181E-2</v>
      </c>
      <c r="N53" s="177">
        <f t="shared" ca="1" si="55"/>
        <v>1.4157889001645385E-2</v>
      </c>
      <c r="O53" s="177">
        <f t="shared" ca="1" si="55"/>
        <v>1.4105993566426944E-2</v>
      </c>
      <c r="P53" s="177">
        <f t="shared" ca="1" si="55"/>
        <v>1.4054953344267762E-2</v>
      </c>
      <c r="R53" s="463"/>
      <c r="S53" s="179" t="s">
        <v>15</v>
      </c>
      <c r="T53" s="179" t="s">
        <v>15</v>
      </c>
    </row>
    <row r="54" spans="2:20" s="312" customFormat="1" ht="13.5" customHeight="1" outlineLevel="1">
      <c r="B54" s="88"/>
      <c r="G54" s="177"/>
      <c r="H54" s="177"/>
      <c r="I54" s="177"/>
      <c r="J54" s="464"/>
      <c r="K54" s="464"/>
      <c r="L54" s="464"/>
      <c r="M54" s="464"/>
      <c r="N54" s="464"/>
      <c r="O54" s="464"/>
      <c r="P54" s="464"/>
      <c r="R54" s="463"/>
      <c r="T54" s="177"/>
    </row>
    <row r="55" spans="2:20" s="312" customFormat="1" ht="13.5" customHeight="1" outlineLevel="1">
      <c r="B55" s="88" t="s">
        <v>109</v>
      </c>
      <c r="F55" s="177">
        <f t="shared" ref="F55:H55" si="56">F11/F$10</f>
        <v>0.53176043557168784</v>
      </c>
      <c r="G55" s="177">
        <f t="shared" si="56"/>
        <v>0.53376068376068375</v>
      </c>
      <c r="H55" s="177">
        <f t="shared" si="56"/>
        <v>0.53602550478214661</v>
      </c>
      <c r="I55" s="465">
        <f>H55</f>
        <v>0.53602550478214661</v>
      </c>
      <c r="J55" s="177">
        <f>I55</f>
        <v>0.53602550478214661</v>
      </c>
      <c r="K55" s="177">
        <f t="shared" ref="K55:P55" si="57">J55</f>
        <v>0.53602550478214661</v>
      </c>
      <c r="L55" s="177">
        <f t="shared" si="57"/>
        <v>0.53602550478214661</v>
      </c>
      <c r="M55" s="177">
        <f t="shared" si="57"/>
        <v>0.53602550478214661</v>
      </c>
      <c r="N55" s="177">
        <f t="shared" si="57"/>
        <v>0.53602550478214661</v>
      </c>
      <c r="O55" s="177">
        <f t="shared" si="57"/>
        <v>0.53602550478214661</v>
      </c>
      <c r="P55" s="177">
        <f t="shared" si="57"/>
        <v>0.53602550478214661</v>
      </c>
      <c r="R55" s="463"/>
      <c r="S55" s="177">
        <f>IFERROR(S11/S$10,"NA")</f>
        <v>0.53376068376068375</v>
      </c>
      <c r="T55" s="177">
        <f>IFERROR(T11/T$10,"NA")</f>
        <v>0.53376068376068375</v>
      </c>
    </row>
    <row r="56" spans="2:20" s="312" customFormat="1" ht="13.5" customHeight="1" outlineLevel="1">
      <c r="B56" s="88" t="s">
        <v>110</v>
      </c>
      <c r="F56" s="177">
        <f t="shared" ref="F56:H56" si="58">F13/F$10</f>
        <v>0.18058076225045369</v>
      </c>
      <c r="G56" s="177">
        <f t="shared" si="58"/>
        <v>0.19594017094017094</v>
      </c>
      <c r="H56" s="177">
        <f t="shared" si="58"/>
        <v>0.19638682252922424</v>
      </c>
      <c r="I56" s="465">
        <f>H56</f>
        <v>0.19638682252922424</v>
      </c>
      <c r="J56" s="177">
        <f t="shared" ref="J56:P60" si="59">I56</f>
        <v>0.19638682252922424</v>
      </c>
      <c r="K56" s="177">
        <f t="shared" si="59"/>
        <v>0.19638682252922424</v>
      </c>
      <c r="L56" s="177">
        <f t="shared" si="59"/>
        <v>0.19638682252922424</v>
      </c>
      <c r="M56" s="177">
        <f t="shared" si="59"/>
        <v>0.19638682252922424</v>
      </c>
      <c r="N56" s="177">
        <f t="shared" si="59"/>
        <v>0.19638682252922424</v>
      </c>
      <c r="O56" s="177">
        <f t="shared" si="59"/>
        <v>0.19638682252922424</v>
      </c>
      <c r="P56" s="177">
        <f t="shared" si="59"/>
        <v>0.19638682252922424</v>
      </c>
      <c r="R56" s="463"/>
      <c r="S56" s="177">
        <f>IFERROR(S13/S$10,"NA")</f>
        <v>0.19594017094017094</v>
      </c>
      <c r="T56" s="177">
        <f>IFERROR(T13/T$10,"NA")</f>
        <v>0.19594017094017094</v>
      </c>
    </row>
    <row r="57" spans="2:20" s="312" customFormat="1" ht="13.5" customHeight="1" outlineLevel="1">
      <c r="B57" s="88" t="s">
        <v>111</v>
      </c>
      <c r="F57" s="177">
        <f t="shared" ref="F57:H59" si="60">F15/F$10</f>
        <v>3.1760435571687839E-2</v>
      </c>
      <c r="G57" s="177">
        <f t="shared" si="60"/>
        <v>3.0128205128205129E-2</v>
      </c>
      <c r="H57" s="177">
        <f t="shared" si="60"/>
        <v>2.9968119022316685E-2</v>
      </c>
      <c r="I57" s="465">
        <f>H57</f>
        <v>2.9968119022316685E-2</v>
      </c>
      <c r="J57" s="177">
        <f t="shared" si="59"/>
        <v>2.9968119022316685E-2</v>
      </c>
      <c r="K57" s="177">
        <f t="shared" si="59"/>
        <v>2.9968119022316685E-2</v>
      </c>
      <c r="L57" s="177">
        <f t="shared" si="59"/>
        <v>2.9968119022316685E-2</v>
      </c>
      <c r="M57" s="177">
        <f t="shared" si="59"/>
        <v>2.9968119022316685E-2</v>
      </c>
      <c r="N57" s="177">
        <f t="shared" si="59"/>
        <v>2.9968119022316685E-2</v>
      </c>
      <c r="O57" s="177">
        <f t="shared" si="59"/>
        <v>2.9968119022316685E-2</v>
      </c>
      <c r="P57" s="177">
        <f t="shared" si="59"/>
        <v>2.9968119022316685E-2</v>
      </c>
      <c r="R57" s="463"/>
      <c r="S57" s="177">
        <f t="shared" ref="S57:T59" si="61">IFERROR(S15/S$10,"NA")</f>
        <v>3.0128205128205129E-2</v>
      </c>
      <c r="T57" s="177">
        <f t="shared" si="61"/>
        <v>3.0128205128205129E-2</v>
      </c>
    </row>
    <row r="58" spans="2:20" s="312" customFormat="1" ht="13.5" customHeight="1" outlineLevel="1">
      <c r="B58" s="88" t="s">
        <v>112</v>
      </c>
      <c r="F58" s="177">
        <f t="shared" si="60"/>
        <v>2.6315789473684209E-2</v>
      </c>
      <c r="G58" s="177">
        <f t="shared" si="60"/>
        <v>2.4786324786324785E-2</v>
      </c>
      <c r="H58" s="177">
        <f t="shared" si="60"/>
        <v>2.4654622741764078E-2</v>
      </c>
      <c r="I58" s="177">
        <f t="shared" ref="I58:P58" si="62">I16/I$10</f>
        <v>2.4410517566103049E-2</v>
      </c>
      <c r="J58" s="177">
        <f t="shared" si="62"/>
        <v>5.6067516874686993E-3</v>
      </c>
      <c r="K58" s="177">
        <f t="shared" si="62"/>
        <v>0</v>
      </c>
      <c r="L58" s="177">
        <f t="shared" si="62"/>
        <v>0</v>
      </c>
      <c r="M58" s="177">
        <f t="shared" si="62"/>
        <v>0</v>
      </c>
      <c r="N58" s="177">
        <f t="shared" si="62"/>
        <v>0</v>
      </c>
      <c r="O58" s="177">
        <f t="shared" si="62"/>
        <v>0</v>
      </c>
      <c r="P58" s="177">
        <f t="shared" si="62"/>
        <v>0</v>
      </c>
      <c r="R58" s="463"/>
      <c r="S58" s="177">
        <f t="shared" si="61"/>
        <v>2.4786324786324785E-2</v>
      </c>
      <c r="T58" s="177">
        <f t="shared" si="61"/>
        <v>2.4786324786324785E-2</v>
      </c>
    </row>
    <row r="59" spans="2:20" s="88" customFormat="1" ht="13.5" customHeight="1" outlineLevel="1">
      <c r="B59" s="88" t="s">
        <v>113</v>
      </c>
      <c r="F59" s="177">
        <f t="shared" si="60"/>
        <v>2.4500907441016333E-2</v>
      </c>
      <c r="G59" s="177">
        <f t="shared" si="60"/>
        <v>2.2649572649572649E-2</v>
      </c>
      <c r="H59" s="177">
        <f t="shared" si="60"/>
        <v>2.2741764080765142E-2</v>
      </c>
      <c r="I59" s="465">
        <f>H59</f>
        <v>2.2741764080765142E-2</v>
      </c>
      <c r="J59" s="177">
        <f t="shared" si="59"/>
        <v>2.2741764080765142E-2</v>
      </c>
      <c r="K59" s="177">
        <f t="shared" si="59"/>
        <v>2.2741764080765142E-2</v>
      </c>
      <c r="L59" s="177">
        <f t="shared" si="59"/>
        <v>2.2741764080765142E-2</v>
      </c>
      <c r="M59" s="177">
        <f t="shared" si="59"/>
        <v>2.2741764080765142E-2</v>
      </c>
      <c r="N59" s="177">
        <f t="shared" si="59"/>
        <v>2.2741764080765142E-2</v>
      </c>
      <c r="O59" s="177">
        <f t="shared" si="59"/>
        <v>2.2741764080765142E-2</v>
      </c>
      <c r="P59" s="177">
        <f t="shared" si="59"/>
        <v>2.2741764080765142E-2</v>
      </c>
      <c r="R59" s="462"/>
      <c r="S59" s="177">
        <f t="shared" si="61"/>
        <v>2.2649572649572649E-2</v>
      </c>
      <c r="T59" s="177">
        <f t="shared" si="61"/>
        <v>2.2649572649572649E-2</v>
      </c>
    </row>
    <row r="60" spans="2:20" s="312" customFormat="1" ht="13.5" customHeight="1" outlineLevel="1">
      <c r="B60" s="88" t="s">
        <v>114</v>
      </c>
      <c r="F60" s="177">
        <f t="shared" ref="F60:H60" si="63">F46/F$10</f>
        <v>3.4482758620689655E-2</v>
      </c>
      <c r="G60" s="177">
        <f t="shared" si="63"/>
        <v>3.0128205128205129E-2</v>
      </c>
      <c r="H60" s="177">
        <f t="shared" si="63"/>
        <v>3.1880977683315624E-2</v>
      </c>
      <c r="I60" s="465">
        <f>H60</f>
        <v>3.1880977683315624E-2</v>
      </c>
      <c r="J60" s="177">
        <f>I60</f>
        <v>3.1880977683315624E-2</v>
      </c>
      <c r="K60" s="177">
        <f t="shared" si="59"/>
        <v>3.1880977683315624E-2</v>
      </c>
      <c r="L60" s="177">
        <f t="shared" si="59"/>
        <v>3.1880977683315624E-2</v>
      </c>
      <c r="M60" s="177">
        <f t="shared" si="59"/>
        <v>3.1880977683315624E-2</v>
      </c>
      <c r="N60" s="177">
        <f t="shared" si="59"/>
        <v>3.1880977683315624E-2</v>
      </c>
      <c r="O60" s="177">
        <f t="shared" si="59"/>
        <v>3.1880977683315624E-2</v>
      </c>
      <c r="P60" s="177">
        <f t="shared" si="59"/>
        <v>3.1880977683315624E-2</v>
      </c>
      <c r="R60" s="463"/>
      <c r="S60" s="177">
        <f>IFERROR(S46/S$10,"NA")</f>
        <v>3.0128205128205129E-2</v>
      </c>
      <c r="T60" s="177">
        <f>IFERROR(T46/T$10,"NA")</f>
        <v>3.0128205128205129E-2</v>
      </c>
    </row>
    <row r="61" spans="2:20" s="88" customFormat="1" ht="13.5" customHeight="1" outlineLevel="1">
      <c r="G61" s="177"/>
      <c r="H61" s="177"/>
      <c r="I61" s="177"/>
      <c r="J61" s="177"/>
      <c r="K61" s="177"/>
      <c r="L61" s="177"/>
      <c r="M61" s="177"/>
      <c r="N61" s="177"/>
      <c r="O61" s="177"/>
      <c r="P61" s="177"/>
      <c r="R61" s="462"/>
      <c r="T61" s="177"/>
    </row>
    <row r="62" spans="2:20" s="312" customFormat="1" ht="13.5" customHeight="1" outlineLevel="1">
      <c r="B62" s="88" t="s">
        <v>115</v>
      </c>
      <c r="F62" s="177">
        <f t="shared" ref="F62:P62" si="64">F12/F$10</f>
        <v>0.46823956442831216</v>
      </c>
      <c r="G62" s="177">
        <f t="shared" si="64"/>
        <v>0.46623931623931619</v>
      </c>
      <c r="H62" s="177">
        <f t="shared" si="64"/>
        <v>0.46397449521785339</v>
      </c>
      <c r="I62" s="177">
        <f t="shared" si="64"/>
        <v>0.46397449521785339</v>
      </c>
      <c r="J62" s="177">
        <f t="shared" si="64"/>
        <v>0.46397449521785339</v>
      </c>
      <c r="K62" s="177">
        <f t="shared" si="64"/>
        <v>0.46397449521785339</v>
      </c>
      <c r="L62" s="177">
        <f t="shared" si="64"/>
        <v>0.46397449521785344</v>
      </c>
      <c r="M62" s="177">
        <f t="shared" si="64"/>
        <v>0.46397449521785333</v>
      </c>
      <c r="N62" s="177">
        <f t="shared" si="64"/>
        <v>0.46397449521785339</v>
      </c>
      <c r="O62" s="177">
        <f t="shared" si="64"/>
        <v>0.46397449521785339</v>
      </c>
      <c r="P62" s="177">
        <f t="shared" si="64"/>
        <v>0.46397449521785333</v>
      </c>
      <c r="R62" s="463"/>
      <c r="S62" s="177">
        <f>IFERROR(S12/S$10,"NA")</f>
        <v>0.46623931623931619</v>
      </c>
      <c r="T62" s="177">
        <f>IFERROR(T12/T$10,"NA")</f>
        <v>0.46623931623931619</v>
      </c>
    </row>
    <row r="63" spans="2:20" s="312" customFormat="1" ht="13.5" customHeight="1" outlineLevel="1">
      <c r="B63" s="88" t="s">
        <v>116</v>
      </c>
      <c r="F63" s="177">
        <f t="shared" ref="F63:P63" si="65">F14/F$10</f>
        <v>0.28765880217785844</v>
      </c>
      <c r="G63" s="177">
        <f t="shared" si="65"/>
        <v>0.27029914529914528</v>
      </c>
      <c r="H63" s="177">
        <f t="shared" si="65"/>
        <v>0.26758767268862915</v>
      </c>
      <c r="I63" s="177">
        <f t="shared" si="65"/>
        <v>0.26758767268862915</v>
      </c>
      <c r="J63" s="177">
        <f t="shared" si="65"/>
        <v>0.26758767268862915</v>
      </c>
      <c r="K63" s="177">
        <f t="shared" si="65"/>
        <v>0.26758767268862921</v>
      </c>
      <c r="L63" s="177">
        <f t="shared" si="65"/>
        <v>0.26758767268862921</v>
      </c>
      <c r="M63" s="177">
        <f t="shared" si="65"/>
        <v>0.2675876726886291</v>
      </c>
      <c r="N63" s="177">
        <f t="shared" si="65"/>
        <v>0.26758767268862915</v>
      </c>
      <c r="O63" s="177">
        <f t="shared" si="65"/>
        <v>0.26758767268862915</v>
      </c>
      <c r="P63" s="177">
        <f t="shared" si="65"/>
        <v>0.2675876726886291</v>
      </c>
      <c r="R63" s="463"/>
      <c r="S63" s="177">
        <f>IFERROR(S14/S$10,"NA")</f>
        <v>0.27029914529914528</v>
      </c>
      <c r="T63" s="177">
        <f>IFERROR(T14/T$10,"NA")</f>
        <v>0.27029914529914528</v>
      </c>
    </row>
    <row r="64" spans="2:20" s="312" customFormat="1" ht="13.5" customHeight="1" outlineLevel="1">
      <c r="B64" s="88" t="s">
        <v>117</v>
      </c>
      <c r="F64" s="177">
        <f t="shared" ref="F64:P64" si="66">F18/F$10</f>
        <v>0.20508166969147007</v>
      </c>
      <c r="G64" s="177">
        <f t="shared" si="66"/>
        <v>0.19273504273504272</v>
      </c>
      <c r="H64" s="177">
        <f t="shared" si="66"/>
        <v>0.19022316684378321</v>
      </c>
      <c r="I64" s="177">
        <f t="shared" si="66"/>
        <v>0.19046727201944427</v>
      </c>
      <c r="J64" s="177">
        <f t="shared" si="66"/>
        <v>0.20927103789807863</v>
      </c>
      <c r="K64" s="177">
        <f t="shared" si="66"/>
        <v>0.2148777895855474</v>
      </c>
      <c r="L64" s="177">
        <f t="shared" si="66"/>
        <v>0.21487778958554737</v>
      </c>
      <c r="M64" s="177">
        <f t="shared" si="66"/>
        <v>0.21487778958554729</v>
      </c>
      <c r="N64" s="177">
        <f t="shared" si="66"/>
        <v>0.21487778958554732</v>
      </c>
      <c r="O64" s="177">
        <f t="shared" si="66"/>
        <v>0.21487778958554732</v>
      </c>
      <c r="P64" s="177">
        <f t="shared" si="66"/>
        <v>0.21487778958554729</v>
      </c>
      <c r="R64" s="463"/>
      <c r="S64" s="177">
        <f>IFERROR(S18/S$10,"NA")</f>
        <v>0.19273504273504272</v>
      </c>
      <c r="T64" s="177">
        <f>IFERROR(T18/T$10,"NA")</f>
        <v>0.19273504273504272</v>
      </c>
    </row>
    <row r="65" spans="1:20" s="312" customFormat="1" ht="13.5" customHeight="1" outlineLevel="1">
      <c r="B65" s="88" t="s">
        <v>118</v>
      </c>
      <c r="F65" s="177">
        <f t="shared" ref="F65:P65" si="67">F19/F$10</f>
        <v>0.2558983666061706</v>
      </c>
      <c r="G65" s="177">
        <f t="shared" si="67"/>
        <v>0.24017094017094012</v>
      </c>
      <c r="H65" s="177">
        <f t="shared" si="67"/>
        <v>0.23761955366631243</v>
      </c>
      <c r="I65" s="177">
        <f t="shared" si="67"/>
        <v>0.23761955366631246</v>
      </c>
      <c r="J65" s="177">
        <f t="shared" si="67"/>
        <v>0.23761955366631249</v>
      </c>
      <c r="K65" s="177">
        <f t="shared" si="67"/>
        <v>0.23761955366631254</v>
      </c>
      <c r="L65" s="177">
        <f t="shared" si="67"/>
        <v>0.23761955366631252</v>
      </c>
      <c r="M65" s="177">
        <f t="shared" si="67"/>
        <v>0.23761955366631243</v>
      </c>
      <c r="N65" s="177">
        <f t="shared" si="67"/>
        <v>0.23761955366631243</v>
      </c>
      <c r="O65" s="177">
        <f t="shared" si="67"/>
        <v>0.23761955366631243</v>
      </c>
      <c r="P65" s="177">
        <f t="shared" si="67"/>
        <v>0.23761955366631243</v>
      </c>
      <c r="R65" s="463"/>
      <c r="S65" s="177">
        <f>IFERROR(S19/S$10,"NA")</f>
        <v>0.24017094017094012</v>
      </c>
      <c r="T65" s="177">
        <f>IFERROR(T19/T$10,"NA")</f>
        <v>0.24017094017094012</v>
      </c>
    </row>
    <row r="66" spans="1:20" s="312" customFormat="1" ht="13.5" customHeight="1" outlineLevel="1">
      <c r="B66" s="88" t="s">
        <v>120</v>
      </c>
      <c r="F66" s="177">
        <f t="shared" ref="F66:P66" si="68">F32/F$10</f>
        <v>9.7549909255898376E-2</v>
      </c>
      <c r="G66" s="177">
        <f t="shared" ca="1" si="68"/>
        <v>8.6108754645052049E-2</v>
      </c>
      <c r="H66" s="177">
        <f t="shared" ca="1" si="68"/>
        <v>8.5348548574462058E-2</v>
      </c>
      <c r="I66" s="177">
        <f t="shared" ca="1" si="68"/>
        <v>8.487435958330794E-2</v>
      </c>
      <c r="J66" s="177">
        <f t="shared" ca="1" si="68"/>
        <v>9.5493847771862941E-2</v>
      </c>
      <c r="K66" s="177">
        <f t="shared" ca="1" si="68"/>
        <v>9.8740908487117057E-2</v>
      </c>
      <c r="L66" s="177">
        <f t="shared" ca="1" si="68"/>
        <v>9.9215413123834736E-2</v>
      </c>
      <c r="M66" s="177">
        <f t="shared" ca="1" si="68"/>
        <v>9.9685924397064446E-2</v>
      </c>
      <c r="N66" s="177">
        <f t="shared" ca="1" si="68"/>
        <v>0.10015247591438506</v>
      </c>
      <c r="O66" s="177">
        <f t="shared" ca="1" si="68"/>
        <v>0.10061510100053864</v>
      </c>
      <c r="P66" s="177">
        <f t="shared" ca="1" si="68"/>
        <v>0.10107383269981106</v>
      </c>
      <c r="R66" s="463"/>
      <c r="S66" s="177">
        <f ca="1">IFERROR(S32/S$10,"NA")</f>
        <v>8.6108754645052049E-2</v>
      </c>
      <c r="T66" s="177">
        <f ca="1">IFERROR(T32/T$10,"NA")</f>
        <v>8.6108754645052049E-2</v>
      </c>
    </row>
    <row r="67" spans="1:20" s="312" customFormat="1" ht="13.5" customHeight="1" outlineLevel="1">
      <c r="B67" s="88" t="s">
        <v>119</v>
      </c>
      <c r="F67" s="177">
        <f>F41/F$10</f>
        <v>0.12815380235578808</v>
      </c>
      <c r="G67" s="177">
        <f t="shared" ref="G67:P67" ca="1" si="69">G41/G$10</f>
        <v>0.11456998477325717</v>
      </c>
      <c r="H67" s="177">
        <f t="shared" ca="1" si="69"/>
        <v>0.11378607259146524</v>
      </c>
      <c r="I67" s="177">
        <f t="shared" ca="1" si="69"/>
        <v>0.11316542208159815</v>
      </c>
      <c r="J67" s="177">
        <f t="shared" ca="1" si="69"/>
        <v>0.11250277296745075</v>
      </c>
      <c r="K67" s="177">
        <f t="shared" ca="1" si="69"/>
        <v>0.11238581911410961</v>
      </c>
      <c r="L67" s="177">
        <f t="shared" ca="1" si="69"/>
        <v>0.11286032375082729</v>
      </c>
      <c r="M67" s="177">
        <f t="shared" ca="1" si="69"/>
        <v>0.113330835024057</v>
      </c>
      <c r="N67" s="177">
        <f t="shared" ca="1" si="69"/>
        <v>0.11379738654137762</v>
      </c>
      <c r="O67" s="177">
        <f t="shared" ca="1" si="69"/>
        <v>0.1142600116275312</v>
      </c>
      <c r="P67" s="177">
        <f t="shared" ca="1" si="69"/>
        <v>0.11471874332680361</v>
      </c>
      <c r="R67" s="463"/>
      <c r="S67" s="177">
        <f ca="1">IFERROR(S41/S$10,"NA")</f>
        <v>0.11456998477325717</v>
      </c>
      <c r="T67" s="177">
        <f ca="1">IFERROR(T41/T$10,"NA")</f>
        <v>0.11456998477325717</v>
      </c>
    </row>
    <row r="68" spans="1:20" s="88" customFormat="1" ht="13.5" customHeight="1" outlineLevel="1">
      <c r="G68" s="466"/>
      <c r="H68" s="466"/>
      <c r="I68" s="466"/>
      <c r="J68" s="466"/>
      <c r="K68" s="466"/>
      <c r="L68" s="466"/>
      <c r="M68" s="466"/>
      <c r="N68" s="466"/>
      <c r="O68" s="466"/>
      <c r="P68" s="466"/>
      <c r="R68" s="462"/>
      <c r="T68" s="466"/>
    </row>
    <row r="69" spans="1:20" ht="13.5" customHeight="1" outlineLevel="1">
      <c r="B69" s="36" t="s">
        <v>613</v>
      </c>
      <c r="F69" s="313">
        <f t="shared" ref="F69:P69" si="70">(F18+F28-F29-F31)/SUM(F110:F113,F117:F123)/F3</f>
        <v>0.17044532966051146</v>
      </c>
      <c r="G69" s="313">
        <f t="shared" ca="1" si="70"/>
        <v>0.15497166921314179</v>
      </c>
      <c r="H69" s="313">
        <f t="shared" ca="1" si="70"/>
        <v>0.13375268384602432</v>
      </c>
      <c r="I69" s="313">
        <f t="shared" ca="1" si="70"/>
        <v>0.12003442750471013</v>
      </c>
      <c r="J69" s="313">
        <f t="shared" ca="1" si="70"/>
        <v>0.11805611933786768</v>
      </c>
      <c r="K69" s="313">
        <f t="shared" ca="1" si="70"/>
        <v>0.11101168757748754</v>
      </c>
      <c r="L69" s="313">
        <f t="shared" ca="1" si="70"/>
        <v>0.10248191759714785</v>
      </c>
      <c r="M69" s="313">
        <f t="shared" ca="1" si="70"/>
        <v>9.5179117805711144E-2</v>
      </c>
      <c r="N69" s="313">
        <f t="shared" ca="1" si="70"/>
        <v>8.8856578850034534E-2</v>
      </c>
      <c r="O69" s="313">
        <f t="shared" ca="1" si="70"/>
        <v>8.3329577166402102E-2</v>
      </c>
      <c r="P69" s="313">
        <f t="shared" ca="1" si="70"/>
        <v>7.8457058094507079E-2</v>
      </c>
      <c r="R69" s="434"/>
      <c r="S69" s="313">
        <f ca="1">IFERROR((S18+S28-S29-S31)/SUM(S110:S113,S117:S123)/S3,"NA")</f>
        <v>0.16723221821634762</v>
      </c>
      <c r="T69" s="313">
        <f ca="1">IFERROR((T18+T28-T29-T31)/SUM(T110:T113,T117:T123)/T3,"NA")</f>
        <v>0.15497166921314182</v>
      </c>
    </row>
    <row r="70" spans="1:20" ht="13.5" customHeight="1" outlineLevel="1">
      <c r="B70" s="36" t="s">
        <v>614</v>
      </c>
      <c r="F70" s="313">
        <f t="shared" ref="F70:P70" si="71">F$35/SUM(F119:F123)/F3</f>
        <v>0.37968089145541428</v>
      </c>
      <c r="G70" s="313">
        <f t="shared" ca="1" si="71"/>
        <v>0.24549760232862963</v>
      </c>
      <c r="H70" s="313">
        <f t="shared" ca="1" si="71"/>
        <v>0.18676709424733953</v>
      </c>
      <c r="I70" s="313">
        <f t="shared" ca="1" si="71"/>
        <v>0.15154238798928679</v>
      </c>
      <c r="J70" s="313">
        <f t="shared" ca="1" si="71"/>
        <v>0.1419433122618525</v>
      </c>
      <c r="K70" s="313">
        <f t="shared" ca="1" si="71"/>
        <v>0.12537220434287774</v>
      </c>
      <c r="L70" s="313">
        <f t="shared" ca="1" si="71"/>
        <v>0.11002645037209212</v>
      </c>
      <c r="M70" s="313">
        <f t="shared" ca="1" si="71"/>
        <v>9.8189417003485227E-2</v>
      </c>
      <c r="N70" s="313">
        <f t="shared" ca="1" si="71"/>
        <v>8.8781093864434182E-2</v>
      </c>
      <c r="O70" s="313">
        <f t="shared" ca="1" si="71"/>
        <v>8.112347474892305E-2</v>
      </c>
      <c r="P70" s="313">
        <f t="shared" ca="1" si="71"/>
        <v>7.4769437517315421E-2</v>
      </c>
      <c r="R70" s="434"/>
      <c r="S70" s="313">
        <f ca="1">IFERROR(S$35/SUM(S119:S123)/S3,"NA")</f>
        <v>0.2905420746672977</v>
      </c>
      <c r="T70" s="313">
        <f ca="1">IFERROR(T$35/SUM(T119:T123)/T3,"NA")</f>
        <v>0.24549760232862963</v>
      </c>
    </row>
    <row r="71" spans="1:20" ht="13.5" customHeight="1" outlineLevel="1">
      <c r="B71" s="36" t="s">
        <v>615</v>
      </c>
      <c r="F71" s="313">
        <f t="shared" ref="F71:P71" si="72">F$35/F98/F3</f>
        <v>9.3185536737856109E-2</v>
      </c>
      <c r="G71" s="313">
        <f t="shared" ca="1" si="72"/>
        <v>7.490806291695766E-2</v>
      </c>
      <c r="H71" s="313">
        <f t="shared" ca="1" si="72"/>
        <v>6.6870325025328872E-2</v>
      </c>
      <c r="I71" s="313">
        <f t="shared" ca="1" si="72"/>
        <v>6.0872441943571547E-2</v>
      </c>
      <c r="J71" s="313">
        <f t="shared" ca="1" si="72"/>
        <v>6.3170389410129674E-2</v>
      </c>
      <c r="K71" s="313">
        <f t="shared" ca="1" si="72"/>
        <v>6.0937875412169412E-2</v>
      </c>
      <c r="L71" s="313">
        <f t="shared" ca="1" si="72"/>
        <v>5.7402407567960188E-2</v>
      </c>
      <c r="M71" s="313">
        <f t="shared" ca="1" si="72"/>
        <v>5.4298568146811908E-2</v>
      </c>
      <c r="N71" s="313">
        <f t="shared" ca="1" si="72"/>
        <v>5.1551820591981053E-2</v>
      </c>
      <c r="O71" s="313">
        <f t="shared" ca="1" si="72"/>
        <v>4.9103857542596427E-2</v>
      </c>
      <c r="P71" s="313">
        <f t="shared" ca="1" si="72"/>
        <v>4.690841176850636E-2</v>
      </c>
      <c r="R71" s="434"/>
      <c r="S71" s="313">
        <f ca="1">IFERROR(S$35/S98/S3,"NA")</f>
        <v>8.1355759556354962E-2</v>
      </c>
      <c r="T71" s="313">
        <f ca="1">IFERROR(T$35/T98/T3,"NA")</f>
        <v>7.4908062916957674E-2</v>
      </c>
    </row>
    <row r="72" spans="1:20" s="88" customFormat="1" ht="13.5" customHeight="1" outlineLevel="1">
      <c r="G72" s="466"/>
      <c r="H72" s="466"/>
      <c r="I72" s="466"/>
      <c r="J72" s="466"/>
      <c r="K72" s="466"/>
      <c r="L72" s="466"/>
      <c r="M72" s="466"/>
      <c r="N72" s="466"/>
      <c r="O72" s="466"/>
      <c r="P72" s="466"/>
      <c r="R72" s="462"/>
      <c r="T72" s="466"/>
    </row>
    <row r="73" spans="1:20" s="312" customFormat="1" ht="13.5" customHeight="1" outlineLevel="1">
      <c r="B73" s="88" t="s">
        <v>16</v>
      </c>
      <c r="F73" s="399">
        <f>F31/F30</f>
        <v>0.39775910364145656</v>
      </c>
      <c r="G73" s="177">
        <f t="shared" ref="G73:P73" si="73">G412</f>
        <v>0.40000650000000004</v>
      </c>
      <c r="H73" s="177">
        <f t="shared" si="73"/>
        <v>0.40000650000000004</v>
      </c>
      <c r="I73" s="177">
        <f t="shared" si="73"/>
        <v>0.40000650000000004</v>
      </c>
      <c r="J73" s="177">
        <f t="shared" si="73"/>
        <v>0.40000650000000004</v>
      </c>
      <c r="K73" s="177">
        <f t="shared" si="73"/>
        <v>0.40000650000000004</v>
      </c>
      <c r="L73" s="177">
        <f t="shared" si="73"/>
        <v>0.40000650000000004</v>
      </c>
      <c r="M73" s="177">
        <f t="shared" si="73"/>
        <v>0.40000650000000004</v>
      </c>
      <c r="N73" s="177">
        <f t="shared" si="73"/>
        <v>0.40000650000000004</v>
      </c>
      <c r="O73" s="177">
        <f t="shared" si="73"/>
        <v>0.40000650000000004</v>
      </c>
      <c r="P73" s="177">
        <f t="shared" si="73"/>
        <v>0.40000650000000004</v>
      </c>
      <c r="R73" s="463"/>
      <c r="S73" s="177">
        <f>S412</f>
        <v>0.40000650000000004</v>
      </c>
      <c r="T73" s="177">
        <f>T412</f>
        <v>0.40000650000000004</v>
      </c>
    </row>
    <row r="74" spans="1:20" ht="5.0999999999999996" customHeight="1" outlineLevel="1" thickBot="1">
      <c r="B74" s="209"/>
      <c r="C74" s="209"/>
      <c r="D74" s="209"/>
      <c r="E74" s="209"/>
      <c r="F74" s="209"/>
      <c r="G74" s="209"/>
      <c r="H74" s="209"/>
      <c r="I74" s="209"/>
      <c r="J74" s="209"/>
      <c r="K74" s="209"/>
      <c r="L74" s="209"/>
      <c r="M74" s="209"/>
      <c r="N74" s="209"/>
      <c r="O74" s="209"/>
      <c r="P74" s="209"/>
      <c r="Q74" s="209"/>
      <c r="R74" s="209"/>
      <c r="S74" s="209"/>
      <c r="T74" s="209"/>
    </row>
    <row r="75" spans="1:20" ht="13.5" customHeight="1" outlineLevel="1"/>
    <row r="76" spans="1:20" ht="13.5" customHeight="1" outlineLevel="1" thickBot="1"/>
    <row r="77" spans="1:20" ht="20.7" thickTop="1">
      <c r="A77" s="281" t="s">
        <v>631</v>
      </c>
      <c r="B77" s="522" t="str">
        <f>target&amp;" Balance Sheet"</f>
        <v>TargetCo Balance Sheet</v>
      </c>
      <c r="C77" s="523"/>
      <c r="D77" s="524"/>
      <c r="E77" s="524"/>
      <c r="F77" s="524"/>
      <c r="G77" s="524"/>
      <c r="H77" s="524"/>
      <c r="I77" s="524"/>
      <c r="J77" s="524"/>
      <c r="K77" s="524"/>
      <c r="L77" s="524"/>
      <c r="M77" s="524"/>
      <c r="N77" s="524"/>
      <c r="O77" s="524"/>
      <c r="P77" s="524"/>
      <c r="Q77" s="524"/>
      <c r="R77" s="524"/>
      <c r="S77" s="524"/>
      <c r="T77" s="524"/>
    </row>
    <row r="78" spans="1:20" ht="5.0999999999999996" customHeight="1" outlineLevel="1">
      <c r="B78" s="107"/>
      <c r="C78" s="285"/>
      <c r="L78" s="57"/>
    </row>
    <row r="79" spans="1:20" ht="13.5" customHeight="1" outlineLevel="1">
      <c r="B79" s="286"/>
      <c r="C79" s="286"/>
      <c r="D79" s="286"/>
      <c r="E79" s="42"/>
      <c r="F79" s="432" t="s">
        <v>630</v>
      </c>
      <c r="G79" s="433" t="s">
        <v>629</v>
      </c>
      <c r="H79" s="433"/>
      <c r="I79" s="433"/>
      <c r="J79" s="433"/>
      <c r="K79" s="433"/>
      <c r="L79" s="433"/>
      <c r="M79" s="433"/>
      <c r="N79" s="433"/>
      <c r="O79" s="433"/>
      <c r="P79" s="433"/>
      <c r="R79" s="434"/>
      <c r="S79" s="433" t="s">
        <v>628</v>
      </c>
      <c r="T79" s="433"/>
    </row>
    <row r="80" spans="1:20" ht="13.5" customHeight="1" outlineLevel="1" thickBot="1">
      <c r="B80" s="435" t="str">
        <f>"("&amp;curr&amp;" in millions)"</f>
        <v>($ in millions)</v>
      </c>
      <c r="C80" s="436"/>
      <c r="D80" s="436"/>
      <c r="E80" s="437"/>
      <c r="F80" s="439">
        <f t="shared" ref="F80" si="74">F$8</f>
        <v>44926</v>
      </c>
      <c r="G80" s="439">
        <f t="shared" ref="G80:P80" si="75">G$8</f>
        <v>45291</v>
      </c>
      <c r="H80" s="439">
        <f t="shared" si="75"/>
        <v>45657</v>
      </c>
      <c r="I80" s="439">
        <f t="shared" si="75"/>
        <v>46022</v>
      </c>
      <c r="J80" s="439">
        <f t="shared" si="75"/>
        <v>46387</v>
      </c>
      <c r="K80" s="439">
        <f t="shared" si="75"/>
        <v>46752</v>
      </c>
      <c r="L80" s="439">
        <f t="shared" si="75"/>
        <v>47118</v>
      </c>
      <c r="M80" s="439">
        <f t="shared" si="75"/>
        <v>47483</v>
      </c>
      <c r="N80" s="439">
        <f t="shared" si="75"/>
        <v>47848</v>
      </c>
      <c r="O80" s="439">
        <f t="shared" si="75"/>
        <v>48213</v>
      </c>
      <c r="P80" s="439">
        <f t="shared" si="75"/>
        <v>48579</v>
      </c>
      <c r="R80" s="434"/>
      <c r="S80" s="440">
        <f>S$8</f>
        <v>45107</v>
      </c>
      <c r="T80" s="440">
        <f>T$8</f>
        <v>45291</v>
      </c>
    </row>
    <row r="81" spans="2:20" ht="5.0999999999999996" customHeight="1" outlineLevel="1">
      <c r="B81" s="318"/>
      <c r="C81" s="318"/>
      <c r="D81" s="318"/>
      <c r="E81" s="319"/>
      <c r="F81" s="319"/>
      <c r="G81" s="319"/>
      <c r="H81" s="319"/>
      <c r="I81" s="319"/>
      <c r="J81" s="319"/>
      <c r="K81" s="319"/>
      <c r="L81" s="327"/>
      <c r="R81" s="434"/>
      <c r="S81" s="319"/>
      <c r="T81" s="319"/>
    </row>
    <row r="82" spans="2:20" ht="13.5" customHeight="1" outlineLevel="1">
      <c r="B82" s="78" t="s">
        <v>4</v>
      </c>
      <c r="C82" s="79"/>
      <c r="D82" s="80"/>
      <c r="E82" s="80"/>
      <c r="F82" s="80"/>
      <c r="G82" s="80"/>
      <c r="H82" s="80"/>
      <c r="I82" s="80"/>
      <c r="J82" s="80"/>
      <c r="K82" s="80"/>
      <c r="L82" s="80"/>
      <c r="M82" s="80"/>
      <c r="N82" s="80"/>
      <c r="O82" s="80"/>
      <c r="P82" s="81"/>
      <c r="R82" s="434"/>
      <c r="S82" s="525"/>
      <c r="T82" s="81"/>
    </row>
    <row r="83" spans="2:20" ht="13.5" customHeight="1" outlineLevel="1">
      <c r="B83" s="318"/>
      <c r="C83" s="318"/>
      <c r="D83" s="318"/>
      <c r="E83" s="319"/>
      <c r="F83" s="319"/>
      <c r="G83" s="319"/>
      <c r="H83" s="319"/>
      <c r="I83" s="319"/>
      <c r="J83" s="319"/>
      <c r="K83" s="319"/>
      <c r="L83" s="327"/>
      <c r="R83" s="434"/>
      <c r="S83" s="319"/>
      <c r="T83" s="319"/>
    </row>
    <row r="84" spans="2:20" ht="13.5" customHeight="1" outlineLevel="1">
      <c r="B84" s="85" t="s">
        <v>51</v>
      </c>
      <c r="E84" s="418"/>
      <c r="F84" s="467">
        <v>157.10599999999999</v>
      </c>
      <c r="G84" s="388">
        <f t="shared" ref="G84:P84" ca="1" si="76">MAX(0,F84+G170)</f>
        <v>235.73475844114591</v>
      </c>
      <c r="H84" s="388">
        <f t="shared" ca="1" si="76"/>
        <v>308.06145054659027</v>
      </c>
      <c r="I84" s="388">
        <f t="shared" ca="1" si="76"/>
        <v>379.17815506242414</v>
      </c>
      <c r="J84" s="388">
        <f t="shared" ca="1" si="76"/>
        <v>442.26271866155355</v>
      </c>
      <c r="K84" s="388">
        <f t="shared" ca="1" si="76"/>
        <v>499.59582763962362</v>
      </c>
      <c r="L84" s="388">
        <f t="shared" ca="1" si="76"/>
        <v>557.73458716422226</v>
      </c>
      <c r="M84" s="388">
        <f t="shared" ca="1" si="76"/>
        <v>616.68740221622477</v>
      </c>
      <c r="N84" s="388">
        <f t="shared" ca="1" si="76"/>
        <v>676.46276234902246</v>
      </c>
      <c r="O84" s="388">
        <f t="shared" ca="1" si="76"/>
        <v>737.06924253503223</v>
      </c>
      <c r="P84" s="388">
        <f t="shared" ca="1" si="76"/>
        <v>798.51550402067187</v>
      </c>
      <c r="R84" s="434"/>
      <c r="S84" s="388">
        <f ca="1">MAX(0,F84+S170)</f>
        <v>187.29832323239592</v>
      </c>
      <c r="T84" s="388">
        <f ca="1">MAX(0,S84+T170)</f>
        <v>235.73475844114591</v>
      </c>
    </row>
    <row r="85" spans="2:20" ht="13.5" customHeight="1" outlineLevel="1">
      <c r="B85" s="85" t="s">
        <v>52</v>
      </c>
      <c r="E85" s="418"/>
      <c r="F85" s="468">
        <v>136.44300000000001</v>
      </c>
      <c r="G85" s="199">
        <f t="shared" ref="G85:P88" si="77">G181</f>
        <v>144.86235027223231</v>
      </c>
      <c r="H85" s="199">
        <f t="shared" si="77"/>
        <v>145.63618761343014</v>
      </c>
      <c r="I85" s="199">
        <f t="shared" si="77"/>
        <v>147.09254948956445</v>
      </c>
      <c r="J85" s="199">
        <f t="shared" si="77"/>
        <v>148.56347498446007</v>
      </c>
      <c r="K85" s="199">
        <f t="shared" si="77"/>
        <v>150.04910973430469</v>
      </c>
      <c r="L85" s="199">
        <f t="shared" si="77"/>
        <v>151.54960083164775</v>
      </c>
      <c r="M85" s="199">
        <f t="shared" si="77"/>
        <v>153.06509683996421</v>
      </c>
      <c r="N85" s="199">
        <f t="shared" si="77"/>
        <v>154.59574780836385</v>
      </c>
      <c r="O85" s="199">
        <f t="shared" si="77"/>
        <v>156.14170528644749</v>
      </c>
      <c r="P85" s="199">
        <f t="shared" si="77"/>
        <v>157.70312233931199</v>
      </c>
      <c r="R85" s="434"/>
      <c r="S85" s="199">
        <f t="shared" ref="S85:T88" si="78">S181</f>
        <v>144.86235027223231</v>
      </c>
      <c r="T85" s="199">
        <f t="shared" si="78"/>
        <v>144.86235027223231</v>
      </c>
    </row>
    <row r="86" spans="2:20" ht="13.5" customHeight="1" outlineLevel="1">
      <c r="B86" s="85" t="s">
        <v>53</v>
      </c>
      <c r="E86" s="418"/>
      <c r="F86" s="468">
        <v>0</v>
      </c>
      <c r="G86" s="199">
        <f t="shared" si="77"/>
        <v>0</v>
      </c>
      <c r="H86" s="199">
        <f t="shared" si="77"/>
        <v>0</v>
      </c>
      <c r="I86" s="199">
        <f t="shared" si="77"/>
        <v>0</v>
      </c>
      <c r="J86" s="199">
        <f t="shared" si="77"/>
        <v>0</v>
      </c>
      <c r="K86" s="199">
        <f t="shared" si="77"/>
        <v>0</v>
      </c>
      <c r="L86" s="199">
        <f t="shared" si="77"/>
        <v>0</v>
      </c>
      <c r="M86" s="199">
        <f t="shared" si="77"/>
        <v>0</v>
      </c>
      <c r="N86" s="199">
        <f t="shared" si="77"/>
        <v>0</v>
      </c>
      <c r="O86" s="199">
        <f t="shared" si="77"/>
        <v>0</v>
      </c>
      <c r="P86" s="199">
        <f t="shared" si="77"/>
        <v>0</v>
      </c>
      <c r="R86" s="434"/>
      <c r="S86" s="199">
        <f t="shared" si="78"/>
        <v>0</v>
      </c>
      <c r="T86" s="199">
        <f t="shared" si="78"/>
        <v>0</v>
      </c>
    </row>
    <row r="87" spans="2:20" ht="13.5" customHeight="1" outlineLevel="1">
      <c r="B87" s="139" t="s">
        <v>84</v>
      </c>
      <c r="E87" s="418"/>
      <c r="F87" s="468">
        <v>8.8279999999999994</v>
      </c>
      <c r="G87" s="199">
        <f t="shared" si="77"/>
        <v>9.3727404718693279</v>
      </c>
      <c r="H87" s="199">
        <f t="shared" si="77"/>
        <v>9.4228085299455522</v>
      </c>
      <c r="I87" s="199">
        <f t="shared" si="77"/>
        <v>9.5170366152450079</v>
      </c>
      <c r="J87" s="199">
        <f t="shared" si="77"/>
        <v>9.612206981397458</v>
      </c>
      <c r="K87" s="199">
        <f t="shared" si="77"/>
        <v>9.7083290512114324</v>
      </c>
      <c r="L87" s="199">
        <f t="shared" si="77"/>
        <v>9.8054123417235477</v>
      </c>
      <c r="M87" s="199">
        <f t="shared" si="77"/>
        <v>9.9034664651407844</v>
      </c>
      <c r="N87" s="199">
        <f t="shared" si="77"/>
        <v>10.002501129792192</v>
      </c>
      <c r="O87" s="199">
        <f t="shared" si="77"/>
        <v>10.102526141090113</v>
      </c>
      <c r="P87" s="199">
        <f t="shared" si="77"/>
        <v>10.203551402501015</v>
      </c>
      <c r="R87" s="434"/>
      <c r="S87" s="199">
        <f t="shared" si="78"/>
        <v>9.3727404718693279</v>
      </c>
      <c r="T87" s="199">
        <f t="shared" si="78"/>
        <v>9.3727404718693279</v>
      </c>
    </row>
    <row r="88" spans="2:20" ht="13.5" customHeight="1" outlineLevel="1">
      <c r="B88" s="85" t="s">
        <v>54</v>
      </c>
      <c r="E88" s="418"/>
      <c r="F88" s="468">
        <v>8.2230000000000008</v>
      </c>
      <c r="G88" s="199">
        <f t="shared" si="77"/>
        <v>8.7632482935153604</v>
      </c>
      <c r="H88" s="199">
        <f t="shared" si="77"/>
        <v>8.8474428327645054</v>
      </c>
      <c r="I88" s="199">
        <f t="shared" si="77"/>
        <v>8.9359172610921505</v>
      </c>
      <c r="J88" s="199">
        <f t="shared" si="77"/>
        <v>9.0252764337030715</v>
      </c>
      <c r="K88" s="199">
        <f t="shared" si="77"/>
        <v>9.1155291980401021</v>
      </c>
      <c r="L88" s="199">
        <f t="shared" si="77"/>
        <v>9.2066844900205034</v>
      </c>
      <c r="M88" s="199">
        <f t="shared" si="77"/>
        <v>9.2987513349207109</v>
      </c>
      <c r="N88" s="199">
        <f t="shared" si="77"/>
        <v>9.3917388482699167</v>
      </c>
      <c r="O88" s="199">
        <f t="shared" si="77"/>
        <v>9.4856562367526145</v>
      </c>
      <c r="P88" s="199">
        <f t="shared" si="77"/>
        <v>9.5805127991201431</v>
      </c>
      <c r="R88" s="434"/>
      <c r="S88" s="199">
        <f t="shared" si="78"/>
        <v>8.7632482935153604</v>
      </c>
      <c r="T88" s="199">
        <f t="shared" si="78"/>
        <v>8.7632482935153604</v>
      </c>
    </row>
    <row r="89" spans="2:20" ht="13.5" customHeight="1" outlineLevel="1">
      <c r="B89" s="248" t="s">
        <v>50</v>
      </c>
      <c r="C89" s="248"/>
      <c r="D89" s="248"/>
      <c r="E89" s="294"/>
      <c r="F89" s="239">
        <f>SUM(F84:F88)</f>
        <v>310.59999999999997</v>
      </c>
      <c r="G89" s="239">
        <f t="shared" ref="G89:P89" ca="1" si="79">SUM(G84:G88)</f>
        <v>398.73309747876294</v>
      </c>
      <c r="H89" s="239">
        <f t="shared" ca="1" si="79"/>
        <v>471.96788952273045</v>
      </c>
      <c r="I89" s="239">
        <f t="shared" ca="1" si="79"/>
        <v>544.72365842832585</v>
      </c>
      <c r="J89" s="239">
        <f t="shared" ca="1" si="79"/>
        <v>609.46367706111414</v>
      </c>
      <c r="K89" s="239">
        <f t="shared" ca="1" si="79"/>
        <v>668.46879562317986</v>
      </c>
      <c r="L89" s="239">
        <f t="shared" ca="1" si="79"/>
        <v>728.29628482761416</v>
      </c>
      <c r="M89" s="239">
        <f t="shared" ca="1" si="79"/>
        <v>788.95471685625046</v>
      </c>
      <c r="N89" s="239">
        <f t="shared" ca="1" si="79"/>
        <v>850.45275013544847</v>
      </c>
      <c r="O89" s="239">
        <f t="shared" ca="1" si="79"/>
        <v>912.79913019932246</v>
      </c>
      <c r="P89" s="239">
        <f t="shared" ca="1" si="79"/>
        <v>976.00269056160505</v>
      </c>
      <c r="R89" s="434"/>
      <c r="S89" s="469">
        <f ca="1">SUM(S84:S88)</f>
        <v>350.29666227001292</v>
      </c>
      <c r="T89" s="469">
        <f ca="1">SUM(T84:T88)</f>
        <v>398.73309747876294</v>
      </c>
    </row>
    <row r="90" spans="2:20" ht="13.5" customHeight="1" outlineLevel="1">
      <c r="B90" s="85" t="s">
        <v>47</v>
      </c>
      <c r="C90" s="57"/>
      <c r="D90" s="57"/>
      <c r="E90" s="293"/>
      <c r="F90" s="468">
        <v>44</v>
      </c>
      <c r="G90" s="90">
        <f t="shared" ref="G90:P90" si="80">F90+G46</f>
        <v>58.1</v>
      </c>
      <c r="H90" s="90">
        <f t="shared" si="80"/>
        <v>73.099999999999994</v>
      </c>
      <c r="I90" s="90">
        <f t="shared" si="80"/>
        <v>88.25</v>
      </c>
      <c r="J90" s="90">
        <f t="shared" si="80"/>
        <v>103.5515</v>
      </c>
      <c r="K90" s="90">
        <f t="shared" si="80"/>
        <v>119.006015</v>
      </c>
      <c r="L90" s="90">
        <f t="shared" si="80"/>
        <v>134.61507515</v>
      </c>
      <c r="M90" s="90">
        <f t="shared" si="80"/>
        <v>150.38022590150001</v>
      </c>
      <c r="N90" s="90">
        <f t="shared" si="80"/>
        <v>166.30302816051503</v>
      </c>
      <c r="O90" s="90">
        <f t="shared" si="80"/>
        <v>182.38505844212017</v>
      </c>
      <c r="P90" s="90">
        <f t="shared" si="80"/>
        <v>198.62790902654137</v>
      </c>
      <c r="R90" s="434"/>
      <c r="S90" s="90">
        <f>F90+S46</f>
        <v>51.05</v>
      </c>
      <c r="T90" s="90">
        <f>S90+T46</f>
        <v>58.099999999999994</v>
      </c>
    </row>
    <row r="91" spans="2:20" ht="13.5" customHeight="1" outlineLevel="1">
      <c r="B91" s="85" t="s">
        <v>48</v>
      </c>
      <c r="C91" s="57"/>
      <c r="D91" s="57"/>
      <c r="E91" s="293"/>
      <c r="F91" s="90">
        <f>F92-F90</f>
        <v>-6.0300000000000011</v>
      </c>
      <c r="G91" s="199">
        <f t="shared" ref="G91:P91" si="81">F91-G15</f>
        <v>-20.130000000000003</v>
      </c>
      <c r="H91" s="199">
        <f t="shared" si="81"/>
        <v>-34.230000000000004</v>
      </c>
      <c r="I91" s="199">
        <f t="shared" si="81"/>
        <v>-48.471000000000004</v>
      </c>
      <c r="J91" s="199">
        <f t="shared" si="81"/>
        <v>-62.854410000000001</v>
      </c>
      <c r="K91" s="199">
        <f t="shared" si="81"/>
        <v>-77.381654100000006</v>
      </c>
      <c r="L91" s="199">
        <f t="shared" si="81"/>
        <v>-92.054170641000013</v>
      </c>
      <c r="M91" s="199">
        <f t="shared" si="81"/>
        <v>-106.87341234741001</v>
      </c>
      <c r="N91" s="199">
        <f t="shared" si="81"/>
        <v>-121.84084647088412</v>
      </c>
      <c r="O91" s="199">
        <f t="shared" si="81"/>
        <v>-136.95795493559297</v>
      </c>
      <c r="P91" s="199">
        <f t="shared" si="81"/>
        <v>-152.22623448494889</v>
      </c>
      <c r="R91" s="434"/>
      <c r="S91" s="199">
        <f>F91-S15</f>
        <v>-13.080000000000002</v>
      </c>
      <c r="T91" s="199">
        <f>S91-T15</f>
        <v>-20.130000000000003</v>
      </c>
    </row>
    <row r="92" spans="2:20" ht="13.5" customHeight="1" outlineLevel="1">
      <c r="B92" s="248" t="s">
        <v>49</v>
      </c>
      <c r="C92" s="248"/>
      <c r="D92" s="248"/>
      <c r="E92" s="239"/>
      <c r="F92" s="449">
        <v>37.97</v>
      </c>
      <c r="G92" s="239">
        <f t="shared" ref="G92:P92" si="82">SUM(G90:G91)</f>
        <v>37.97</v>
      </c>
      <c r="H92" s="239">
        <f t="shared" si="82"/>
        <v>38.86999999999999</v>
      </c>
      <c r="I92" s="239">
        <f t="shared" si="82"/>
        <v>39.778999999999996</v>
      </c>
      <c r="J92" s="239">
        <f t="shared" si="82"/>
        <v>40.697090000000003</v>
      </c>
      <c r="K92" s="239">
        <f t="shared" si="82"/>
        <v>41.624360899999999</v>
      </c>
      <c r="L92" s="239">
        <f t="shared" si="82"/>
        <v>42.560904508999982</v>
      </c>
      <c r="M92" s="239">
        <f t="shared" si="82"/>
        <v>43.506813554090002</v>
      </c>
      <c r="N92" s="239">
        <f t="shared" si="82"/>
        <v>44.46218168963091</v>
      </c>
      <c r="O92" s="239">
        <f t="shared" si="82"/>
        <v>45.427103506527203</v>
      </c>
      <c r="P92" s="239">
        <f t="shared" si="82"/>
        <v>46.401674541592485</v>
      </c>
      <c r="R92" s="434"/>
      <c r="S92" s="469">
        <f t="shared" ref="S92" si="83">SUM(S90:S91)</f>
        <v>37.97</v>
      </c>
      <c r="T92" s="469">
        <f>SUM(T90:T91)</f>
        <v>37.969999999999992</v>
      </c>
    </row>
    <row r="93" spans="2:20" ht="13.5" customHeight="1" outlineLevel="1">
      <c r="B93" s="57" t="s">
        <v>11</v>
      </c>
      <c r="C93" s="57"/>
      <c r="D93" s="57"/>
      <c r="E93" s="293"/>
      <c r="F93" s="468">
        <v>61.094000000000001</v>
      </c>
      <c r="G93" s="199">
        <f>F93</f>
        <v>61.094000000000001</v>
      </c>
      <c r="H93" s="199">
        <f t="shared" ref="H93:P93" si="84">G93</f>
        <v>61.094000000000001</v>
      </c>
      <c r="I93" s="199">
        <f t="shared" si="84"/>
        <v>61.094000000000001</v>
      </c>
      <c r="J93" s="199">
        <f t="shared" si="84"/>
        <v>61.094000000000001</v>
      </c>
      <c r="K93" s="199">
        <f t="shared" si="84"/>
        <v>61.094000000000001</v>
      </c>
      <c r="L93" s="199">
        <f t="shared" si="84"/>
        <v>61.094000000000001</v>
      </c>
      <c r="M93" s="199">
        <f t="shared" si="84"/>
        <v>61.094000000000001</v>
      </c>
      <c r="N93" s="199">
        <f t="shared" si="84"/>
        <v>61.094000000000001</v>
      </c>
      <c r="O93" s="199">
        <f t="shared" si="84"/>
        <v>61.094000000000001</v>
      </c>
      <c r="P93" s="199">
        <f t="shared" si="84"/>
        <v>61.094000000000001</v>
      </c>
      <c r="R93" s="434"/>
      <c r="S93" s="90">
        <f>$F93</f>
        <v>61.094000000000001</v>
      </c>
      <c r="T93" s="90">
        <f>$F93</f>
        <v>61.094000000000001</v>
      </c>
    </row>
    <row r="94" spans="2:20" ht="13.5" customHeight="1" outlineLevel="1">
      <c r="B94" s="57" t="s">
        <v>56</v>
      </c>
      <c r="C94" s="57"/>
      <c r="D94" s="57"/>
      <c r="E94" s="293"/>
      <c r="F94" s="468">
        <v>37.491</v>
      </c>
      <c r="G94" s="199">
        <f t="shared" ref="G94:P94" si="85">F94-G16</f>
        <v>25.890999999999998</v>
      </c>
      <c r="H94" s="199">
        <f t="shared" si="85"/>
        <v>14.290999999999999</v>
      </c>
      <c r="I94" s="199">
        <f t="shared" si="85"/>
        <v>2.6909999999999989</v>
      </c>
      <c r="J94" s="199">
        <f t="shared" si="85"/>
        <v>0</v>
      </c>
      <c r="K94" s="199">
        <f t="shared" si="85"/>
        <v>0</v>
      </c>
      <c r="L94" s="199">
        <f t="shared" si="85"/>
        <v>0</v>
      </c>
      <c r="M94" s="199">
        <f t="shared" si="85"/>
        <v>0</v>
      </c>
      <c r="N94" s="199">
        <f t="shared" si="85"/>
        <v>0</v>
      </c>
      <c r="O94" s="199">
        <f t="shared" si="85"/>
        <v>0</v>
      </c>
      <c r="P94" s="199">
        <f t="shared" si="85"/>
        <v>0</v>
      </c>
      <c r="R94" s="434"/>
      <c r="S94" s="199">
        <f>MAX(0,F94-S16)</f>
        <v>31.690999999999999</v>
      </c>
      <c r="T94" s="199">
        <f>S94-T16</f>
        <v>25.890999999999998</v>
      </c>
    </row>
    <row r="95" spans="2:20" ht="13.5" customHeight="1" outlineLevel="1">
      <c r="B95" s="57" t="s">
        <v>436</v>
      </c>
      <c r="C95" s="57"/>
      <c r="D95" s="57"/>
      <c r="E95" s="293"/>
      <c r="F95" s="468">
        <v>0</v>
      </c>
      <c r="G95" s="199">
        <f t="shared" ref="G95:P95" si="86">F95+G227</f>
        <v>0</v>
      </c>
      <c r="H95" s="199">
        <f t="shared" si="86"/>
        <v>0</v>
      </c>
      <c r="I95" s="199">
        <f t="shared" si="86"/>
        <v>0</v>
      </c>
      <c r="J95" s="199">
        <f t="shared" si="86"/>
        <v>0</v>
      </c>
      <c r="K95" s="199">
        <f t="shared" si="86"/>
        <v>0</v>
      </c>
      <c r="L95" s="199">
        <f t="shared" si="86"/>
        <v>0</v>
      </c>
      <c r="M95" s="199">
        <f t="shared" si="86"/>
        <v>0</v>
      </c>
      <c r="N95" s="199">
        <f t="shared" si="86"/>
        <v>0</v>
      </c>
      <c r="O95" s="199">
        <f t="shared" si="86"/>
        <v>0</v>
      </c>
      <c r="P95" s="199">
        <f t="shared" si="86"/>
        <v>0</v>
      </c>
      <c r="R95" s="434"/>
      <c r="S95" s="199">
        <f>F95+S227</f>
        <v>0</v>
      </c>
      <c r="T95" s="199">
        <f>S95+T227</f>
        <v>0</v>
      </c>
    </row>
    <row r="96" spans="2:20" ht="13.5" customHeight="1" outlineLevel="1">
      <c r="B96" s="57" t="s">
        <v>55</v>
      </c>
      <c r="C96" s="57"/>
      <c r="D96" s="57"/>
      <c r="E96" s="293"/>
      <c r="F96" s="468">
        <v>0</v>
      </c>
      <c r="G96" s="199">
        <f>F96</f>
        <v>0</v>
      </c>
      <c r="H96" s="199">
        <f t="shared" ref="H96:P96" si="87">G96</f>
        <v>0</v>
      </c>
      <c r="I96" s="199">
        <f t="shared" si="87"/>
        <v>0</v>
      </c>
      <c r="J96" s="199">
        <f t="shared" si="87"/>
        <v>0</v>
      </c>
      <c r="K96" s="199">
        <f t="shared" si="87"/>
        <v>0</v>
      </c>
      <c r="L96" s="199">
        <f t="shared" si="87"/>
        <v>0</v>
      </c>
      <c r="M96" s="199">
        <f t="shared" si="87"/>
        <v>0</v>
      </c>
      <c r="N96" s="199">
        <f t="shared" si="87"/>
        <v>0</v>
      </c>
      <c r="O96" s="199">
        <f t="shared" si="87"/>
        <v>0</v>
      </c>
      <c r="P96" s="199">
        <f t="shared" si="87"/>
        <v>0</v>
      </c>
      <c r="R96" s="434"/>
      <c r="S96" s="199">
        <f>$F96</f>
        <v>0</v>
      </c>
      <c r="T96" s="199">
        <f>$F96</f>
        <v>0</v>
      </c>
    </row>
    <row r="97" spans="2:20" ht="13.5" customHeight="1" outlineLevel="1">
      <c r="B97" s="470" t="s">
        <v>10</v>
      </c>
      <c r="C97" s="470"/>
      <c r="D97" s="470"/>
      <c r="E97" s="471"/>
      <c r="F97" s="468">
        <v>14.29</v>
      </c>
      <c r="G97" s="472">
        <f>F97</f>
        <v>14.29</v>
      </c>
      <c r="H97" s="472">
        <f t="shared" ref="H97:P97" si="88">G97</f>
        <v>14.29</v>
      </c>
      <c r="I97" s="472">
        <f t="shared" si="88"/>
        <v>14.29</v>
      </c>
      <c r="J97" s="472">
        <f t="shared" si="88"/>
        <v>14.29</v>
      </c>
      <c r="K97" s="472">
        <f t="shared" si="88"/>
        <v>14.29</v>
      </c>
      <c r="L97" s="472">
        <f t="shared" si="88"/>
        <v>14.29</v>
      </c>
      <c r="M97" s="472">
        <f t="shared" si="88"/>
        <v>14.29</v>
      </c>
      <c r="N97" s="472">
        <f t="shared" si="88"/>
        <v>14.29</v>
      </c>
      <c r="O97" s="472">
        <f t="shared" si="88"/>
        <v>14.29</v>
      </c>
      <c r="P97" s="472">
        <f t="shared" si="88"/>
        <v>14.29</v>
      </c>
      <c r="R97" s="434"/>
      <c r="S97" s="472">
        <f>$F97</f>
        <v>14.29</v>
      </c>
      <c r="T97" s="472">
        <f>$F97</f>
        <v>14.29</v>
      </c>
    </row>
    <row r="98" spans="2:20" ht="13.5" customHeight="1" outlineLevel="1">
      <c r="B98" s="253" t="s">
        <v>9</v>
      </c>
      <c r="C98" s="253"/>
      <c r="D98" s="253"/>
      <c r="E98" s="256"/>
      <c r="F98" s="256">
        <f t="shared" ref="F98" si="89">SUM(F89,F92:F97)</f>
        <v>461.44499999999994</v>
      </c>
      <c r="G98" s="256">
        <f t="shared" ref="G98:P98" ca="1" si="90">SUM(G89,G92:G97)</f>
        <v>537.97809747876295</v>
      </c>
      <c r="H98" s="256">
        <f t="shared" ca="1" si="90"/>
        <v>600.51288952273046</v>
      </c>
      <c r="I98" s="256">
        <f t="shared" ca="1" si="90"/>
        <v>662.57765842832589</v>
      </c>
      <c r="J98" s="256">
        <f t="shared" ca="1" si="90"/>
        <v>725.54476706111416</v>
      </c>
      <c r="K98" s="256">
        <f t="shared" ca="1" si="90"/>
        <v>785.47715652317993</v>
      </c>
      <c r="L98" s="256">
        <f t="shared" ca="1" si="90"/>
        <v>846.24118933661418</v>
      </c>
      <c r="M98" s="256">
        <f t="shared" ca="1" si="90"/>
        <v>907.84553041034042</v>
      </c>
      <c r="N98" s="256">
        <f t="shared" ca="1" si="90"/>
        <v>970.29893182507942</v>
      </c>
      <c r="O98" s="256">
        <f t="shared" ca="1" si="90"/>
        <v>1033.6102337058496</v>
      </c>
      <c r="P98" s="256">
        <f t="shared" ca="1" si="90"/>
        <v>1097.7883651031975</v>
      </c>
      <c r="R98" s="434"/>
      <c r="S98" s="256">
        <f ca="1">SUM(S89,S92:S97)</f>
        <v>495.34166227001293</v>
      </c>
      <c r="T98" s="256">
        <f ca="1">SUM(T89,T92:T97)</f>
        <v>537.97809747876283</v>
      </c>
    </row>
    <row r="99" spans="2:20" ht="13.5" customHeight="1" outlineLevel="1">
      <c r="R99" s="434"/>
    </row>
    <row r="100" spans="2:20" ht="13.5" customHeight="1" outlineLevel="1">
      <c r="B100" s="78" t="s">
        <v>64</v>
      </c>
      <c r="C100" s="79"/>
      <c r="D100" s="80"/>
      <c r="E100" s="80"/>
      <c r="F100" s="80"/>
      <c r="G100" s="80"/>
      <c r="H100" s="80"/>
      <c r="I100" s="80"/>
      <c r="J100" s="80"/>
      <c r="K100" s="80"/>
      <c r="L100" s="80"/>
      <c r="M100" s="80"/>
      <c r="N100" s="80"/>
      <c r="O100" s="80"/>
      <c r="P100" s="81"/>
      <c r="R100" s="434"/>
      <c r="S100" s="525"/>
      <c r="T100" s="81"/>
    </row>
    <row r="101" spans="2:20" ht="13.5" customHeight="1" outlineLevel="1">
      <c r="B101" s="318"/>
      <c r="C101" s="318"/>
      <c r="D101" s="318"/>
      <c r="E101" s="319"/>
      <c r="F101" s="319"/>
      <c r="G101" s="319"/>
      <c r="H101" s="319"/>
      <c r="I101" s="319"/>
      <c r="J101" s="319"/>
      <c r="K101" s="319"/>
      <c r="L101" s="327"/>
      <c r="R101" s="434"/>
      <c r="S101" s="319"/>
      <c r="T101" s="319"/>
    </row>
    <row r="102" spans="2:20" ht="13.5" customHeight="1" outlineLevel="1">
      <c r="B102" s="85" t="s">
        <v>57</v>
      </c>
      <c r="C102" s="57"/>
      <c r="D102" s="57"/>
      <c r="E102" s="293"/>
      <c r="F102" s="467">
        <v>20.661999999999999</v>
      </c>
      <c r="G102" s="316">
        <f t="shared" ref="G102:P107" si="91">G186</f>
        <v>22.019486348122868</v>
      </c>
      <c r="H102" s="316">
        <f t="shared" si="91"/>
        <v>22.231042662116039</v>
      </c>
      <c r="I102" s="316">
        <f t="shared" si="91"/>
        <v>22.453353088737199</v>
      </c>
      <c r="J102" s="316">
        <f t="shared" si="91"/>
        <v>22.677886619624569</v>
      </c>
      <c r="K102" s="316">
        <f t="shared" si="91"/>
        <v>22.904665485820814</v>
      </c>
      <c r="L102" s="316">
        <f t="shared" si="91"/>
        <v>23.133712140679023</v>
      </c>
      <c r="M102" s="316">
        <f t="shared" si="91"/>
        <v>23.365049262085819</v>
      </c>
      <c r="N102" s="316">
        <f t="shared" si="91"/>
        <v>23.598699754706672</v>
      </c>
      <c r="O102" s="316">
        <f t="shared" si="91"/>
        <v>23.834686752253742</v>
      </c>
      <c r="P102" s="316">
        <f t="shared" si="91"/>
        <v>24.073033619776282</v>
      </c>
      <c r="R102" s="434"/>
      <c r="S102" s="316">
        <f t="shared" ref="S102:T107" si="92">S186</f>
        <v>22.019486348122868</v>
      </c>
      <c r="T102" s="316">
        <f t="shared" si="92"/>
        <v>22.019486348122868</v>
      </c>
    </row>
    <row r="103" spans="2:20" ht="13.5" customHeight="1" outlineLevel="1">
      <c r="B103" s="85" t="s">
        <v>58</v>
      </c>
      <c r="C103" s="57"/>
      <c r="D103" s="57"/>
      <c r="E103" s="293"/>
      <c r="F103" s="468">
        <v>15.38</v>
      </c>
      <c r="G103" s="90">
        <f t="shared" si="91"/>
        <v>16.390460750853244</v>
      </c>
      <c r="H103" s="90">
        <f t="shared" si="91"/>
        <v>16.547935153583616</v>
      </c>
      <c r="I103" s="90">
        <f t="shared" si="91"/>
        <v>16.713414505119452</v>
      </c>
      <c r="J103" s="90">
        <f t="shared" si="91"/>
        <v>16.880548650170645</v>
      </c>
      <c r="K103" s="90">
        <f t="shared" si="91"/>
        <v>17.049354136672353</v>
      </c>
      <c r="L103" s="90">
        <f t="shared" si="91"/>
        <v>17.219847678039073</v>
      </c>
      <c r="M103" s="90">
        <f t="shared" si="91"/>
        <v>17.392046154819468</v>
      </c>
      <c r="N103" s="90">
        <f t="shared" si="91"/>
        <v>17.565966616367664</v>
      </c>
      <c r="O103" s="90">
        <f t="shared" si="91"/>
        <v>17.741626282531339</v>
      </c>
      <c r="P103" s="90">
        <f t="shared" si="91"/>
        <v>17.919042545356653</v>
      </c>
      <c r="R103" s="434"/>
      <c r="S103" s="90">
        <f t="shared" si="92"/>
        <v>16.390460750853244</v>
      </c>
      <c r="T103" s="90">
        <f t="shared" si="92"/>
        <v>16.390460750853244</v>
      </c>
    </row>
    <row r="104" spans="2:20" ht="13.5" customHeight="1" outlineLevel="1">
      <c r="B104" s="85" t="s">
        <v>85</v>
      </c>
      <c r="C104" s="57"/>
      <c r="D104" s="57"/>
      <c r="E104" s="293"/>
      <c r="F104" s="468">
        <v>0</v>
      </c>
      <c r="G104" s="90">
        <f t="shared" si="91"/>
        <v>0</v>
      </c>
      <c r="H104" s="90">
        <f t="shared" si="91"/>
        <v>0</v>
      </c>
      <c r="I104" s="90">
        <f t="shared" si="91"/>
        <v>0</v>
      </c>
      <c r="J104" s="90">
        <f t="shared" si="91"/>
        <v>0</v>
      </c>
      <c r="K104" s="90">
        <f t="shared" si="91"/>
        <v>0</v>
      </c>
      <c r="L104" s="90">
        <f t="shared" si="91"/>
        <v>0</v>
      </c>
      <c r="M104" s="90">
        <f t="shared" si="91"/>
        <v>0</v>
      </c>
      <c r="N104" s="90">
        <f t="shared" si="91"/>
        <v>0</v>
      </c>
      <c r="O104" s="90">
        <f t="shared" si="91"/>
        <v>0</v>
      </c>
      <c r="P104" s="90">
        <f t="shared" si="91"/>
        <v>0</v>
      </c>
      <c r="R104" s="434"/>
      <c r="S104" s="90">
        <f t="shared" si="92"/>
        <v>0</v>
      </c>
      <c r="T104" s="90">
        <f t="shared" si="92"/>
        <v>0</v>
      </c>
    </row>
    <row r="105" spans="2:20" ht="13.5" customHeight="1" outlineLevel="1">
      <c r="B105" s="85" t="s">
        <v>59</v>
      </c>
      <c r="C105" s="57"/>
      <c r="D105" s="57"/>
      <c r="E105" s="293"/>
      <c r="F105" s="468">
        <v>2.9359999999999999</v>
      </c>
      <c r="G105" s="90">
        <f t="shared" si="91"/>
        <v>3.1288941979522185</v>
      </c>
      <c r="H105" s="90">
        <f t="shared" si="91"/>
        <v>3.158955631399317</v>
      </c>
      <c r="I105" s="90">
        <f t="shared" si="91"/>
        <v>3.19054518771331</v>
      </c>
      <c r="J105" s="90">
        <f t="shared" si="91"/>
        <v>3.2224506395904431</v>
      </c>
      <c r="K105" s="90">
        <f t="shared" si="91"/>
        <v>3.2546751459863472</v>
      </c>
      <c r="L105" s="90">
        <f t="shared" si="91"/>
        <v>3.2872218974462108</v>
      </c>
      <c r="M105" s="90">
        <f t="shared" si="91"/>
        <v>3.3200941164206736</v>
      </c>
      <c r="N105" s="90">
        <f t="shared" si="91"/>
        <v>3.3532950575848801</v>
      </c>
      <c r="O105" s="90">
        <f t="shared" si="91"/>
        <v>3.3868280081607289</v>
      </c>
      <c r="P105" s="90">
        <f t="shared" si="91"/>
        <v>3.4206962882423366</v>
      </c>
      <c r="R105" s="434"/>
      <c r="S105" s="90">
        <f t="shared" si="92"/>
        <v>3.1288941979522185</v>
      </c>
      <c r="T105" s="90">
        <f t="shared" si="92"/>
        <v>3.1288941979522185</v>
      </c>
    </row>
    <row r="106" spans="2:20" ht="13.5" customHeight="1" outlineLevel="1">
      <c r="B106" s="85" t="s">
        <v>60</v>
      </c>
      <c r="C106" s="57"/>
      <c r="D106" s="57"/>
      <c r="E106" s="293"/>
      <c r="F106" s="468">
        <v>20.013000000000002</v>
      </c>
      <c r="G106" s="90">
        <f t="shared" si="91"/>
        <v>21.247921960072595</v>
      </c>
      <c r="H106" s="90">
        <f t="shared" si="91"/>
        <v>21.361425816696915</v>
      </c>
      <c r="I106" s="90">
        <f t="shared" si="91"/>
        <v>21.575040074863882</v>
      </c>
      <c r="J106" s="90">
        <f t="shared" si="91"/>
        <v>21.790790475612521</v>
      </c>
      <c r="K106" s="90">
        <f t="shared" si="91"/>
        <v>22.008698380368649</v>
      </c>
      <c r="L106" s="90">
        <f t="shared" si="91"/>
        <v>22.228785364172335</v>
      </c>
      <c r="M106" s="90">
        <f t="shared" si="91"/>
        <v>22.451073217814059</v>
      </c>
      <c r="N106" s="90">
        <f t="shared" si="91"/>
        <v>22.675583949992198</v>
      </c>
      <c r="O106" s="90">
        <f t="shared" si="91"/>
        <v>22.902339789492121</v>
      </c>
      <c r="P106" s="90">
        <f t="shared" si="91"/>
        <v>23.131363187387045</v>
      </c>
      <c r="R106" s="434"/>
      <c r="S106" s="90">
        <f t="shared" si="92"/>
        <v>21.247921960072595</v>
      </c>
      <c r="T106" s="90">
        <f t="shared" si="92"/>
        <v>21.247921960072595</v>
      </c>
    </row>
    <row r="107" spans="2:20" ht="13.5" customHeight="1" outlineLevel="1">
      <c r="B107" s="85" t="s">
        <v>61</v>
      </c>
      <c r="C107" s="57"/>
      <c r="D107" s="57"/>
      <c r="E107" s="293"/>
      <c r="F107" s="468">
        <v>36.183999999999997</v>
      </c>
      <c r="G107" s="90">
        <f t="shared" si="91"/>
        <v>38.56127645051194</v>
      </c>
      <c r="H107" s="90">
        <f t="shared" si="91"/>
        <v>38.931761092150161</v>
      </c>
      <c r="I107" s="90">
        <f t="shared" si="91"/>
        <v>39.321078703071663</v>
      </c>
      <c r="J107" s="90">
        <f t="shared" si="91"/>
        <v>39.714289490102381</v>
      </c>
      <c r="K107" s="90">
        <f t="shared" si="91"/>
        <v>40.111432385003404</v>
      </c>
      <c r="L107" s="90">
        <f t="shared" si="91"/>
        <v>40.512546708853435</v>
      </c>
      <c r="M107" s="90">
        <f t="shared" si="91"/>
        <v>40.917672175941981</v>
      </c>
      <c r="N107" s="90">
        <f t="shared" si="91"/>
        <v>41.326848897701396</v>
      </c>
      <c r="O107" s="90">
        <f t="shared" si="91"/>
        <v>41.740117386678406</v>
      </c>
      <c r="P107" s="90">
        <f t="shared" si="91"/>
        <v>42.157518560545199</v>
      </c>
      <c r="R107" s="434"/>
      <c r="S107" s="90">
        <f t="shared" si="92"/>
        <v>38.56127645051194</v>
      </c>
      <c r="T107" s="90">
        <f t="shared" si="92"/>
        <v>38.56127645051194</v>
      </c>
    </row>
    <row r="108" spans="2:20" ht="13.5" customHeight="1" outlineLevel="1">
      <c r="B108" s="85" t="s">
        <v>62</v>
      </c>
      <c r="C108" s="57"/>
      <c r="D108" s="57"/>
      <c r="E108" s="293"/>
      <c r="F108" s="468">
        <v>0</v>
      </c>
      <c r="G108" s="90">
        <f>F108</f>
        <v>0</v>
      </c>
      <c r="H108" s="90">
        <f t="shared" ref="H108:P108" si="93">G108</f>
        <v>0</v>
      </c>
      <c r="I108" s="90">
        <f t="shared" si="93"/>
        <v>0</v>
      </c>
      <c r="J108" s="90">
        <f t="shared" si="93"/>
        <v>0</v>
      </c>
      <c r="K108" s="90">
        <f t="shared" si="93"/>
        <v>0</v>
      </c>
      <c r="L108" s="90">
        <f t="shared" si="93"/>
        <v>0</v>
      </c>
      <c r="M108" s="90">
        <f t="shared" si="93"/>
        <v>0</v>
      </c>
      <c r="N108" s="90">
        <f t="shared" si="93"/>
        <v>0</v>
      </c>
      <c r="O108" s="90">
        <f t="shared" si="93"/>
        <v>0</v>
      </c>
      <c r="P108" s="90">
        <f t="shared" si="93"/>
        <v>0</v>
      </c>
      <c r="R108" s="434"/>
      <c r="S108" s="90">
        <f>$F108</f>
        <v>0</v>
      </c>
      <c r="T108" s="90">
        <f>$F108</f>
        <v>0</v>
      </c>
    </row>
    <row r="109" spans="2:20" ht="13.5" customHeight="1" outlineLevel="1">
      <c r="B109" s="248" t="s">
        <v>63</v>
      </c>
      <c r="C109" s="248"/>
      <c r="D109" s="248"/>
      <c r="E109" s="294"/>
      <c r="F109" s="239">
        <f>SUM(F102:F108)</f>
        <v>95.174999999999997</v>
      </c>
      <c r="G109" s="239">
        <f t="shared" ref="G109:P109" si="94">SUM(G102:G108)</f>
        <v>101.34803970751287</v>
      </c>
      <c r="H109" s="239">
        <f t="shared" si="94"/>
        <v>102.23112035594605</v>
      </c>
      <c r="I109" s="239">
        <f t="shared" si="94"/>
        <v>103.2534315595055</v>
      </c>
      <c r="J109" s="239">
        <f t="shared" si="94"/>
        <v>104.28596587510054</v>
      </c>
      <c r="K109" s="239">
        <f t="shared" si="94"/>
        <v>105.32882553385156</v>
      </c>
      <c r="L109" s="239">
        <f t="shared" si="94"/>
        <v>106.38211378919007</v>
      </c>
      <c r="M109" s="239">
        <f t="shared" si="94"/>
        <v>107.44593492708199</v>
      </c>
      <c r="N109" s="239">
        <f t="shared" si="94"/>
        <v>108.5203942763528</v>
      </c>
      <c r="O109" s="239">
        <f t="shared" si="94"/>
        <v>109.60559821911633</v>
      </c>
      <c r="P109" s="239">
        <f t="shared" si="94"/>
        <v>110.70165420130752</v>
      </c>
      <c r="R109" s="434"/>
      <c r="S109" s="469">
        <f>SUM(S102:S108)</f>
        <v>101.34803970751287</v>
      </c>
      <c r="T109" s="469">
        <f>SUM(T102:T108)</f>
        <v>101.34803970751287</v>
      </c>
    </row>
    <row r="110" spans="2:20" ht="13.5" customHeight="1" outlineLevel="1">
      <c r="B110" s="170" t="str">
        <f>B343</f>
        <v>Revolver</v>
      </c>
      <c r="C110" s="57"/>
      <c r="D110" s="57"/>
      <c r="E110" s="293"/>
      <c r="F110" s="468">
        <v>15</v>
      </c>
      <c r="G110" s="90">
        <f ca="1">G272</f>
        <v>0</v>
      </c>
      <c r="H110" s="90">
        <f t="shared" ref="H110:P110" ca="1" si="95">H272</f>
        <v>0</v>
      </c>
      <c r="I110" s="90">
        <f t="shared" ca="1" si="95"/>
        <v>0</v>
      </c>
      <c r="J110" s="90">
        <f t="shared" ca="1" si="95"/>
        <v>0</v>
      </c>
      <c r="K110" s="90">
        <f t="shared" ca="1" si="95"/>
        <v>0</v>
      </c>
      <c r="L110" s="90">
        <f t="shared" ca="1" si="95"/>
        <v>0</v>
      </c>
      <c r="M110" s="90">
        <f t="shared" ca="1" si="95"/>
        <v>0</v>
      </c>
      <c r="N110" s="90">
        <f t="shared" ca="1" si="95"/>
        <v>0</v>
      </c>
      <c r="O110" s="90">
        <f t="shared" ca="1" si="95"/>
        <v>0</v>
      </c>
      <c r="P110" s="90">
        <f t="shared" ca="1" si="95"/>
        <v>0</v>
      </c>
      <c r="R110" s="434"/>
      <c r="S110" s="90">
        <f ca="1">S272</f>
        <v>0</v>
      </c>
      <c r="T110" s="90">
        <f ca="1">T272</f>
        <v>0</v>
      </c>
    </row>
    <row r="111" spans="2:20" ht="13.5" customHeight="1" outlineLevel="1">
      <c r="B111" s="170" t="str">
        <f t="shared" ref="B111:B113" si="96">B344</f>
        <v>Senior credit facility 2</v>
      </c>
      <c r="C111" s="57"/>
      <c r="D111" s="57"/>
      <c r="E111" s="293"/>
      <c r="F111" s="468">
        <v>0</v>
      </c>
      <c r="G111" s="199">
        <f ca="1">G281</f>
        <v>0</v>
      </c>
      <c r="H111" s="199">
        <f t="shared" ref="H111:P111" ca="1" si="97">H281</f>
        <v>0</v>
      </c>
      <c r="I111" s="199">
        <f t="shared" ca="1" si="97"/>
        <v>0</v>
      </c>
      <c r="J111" s="199">
        <f t="shared" ca="1" si="97"/>
        <v>0</v>
      </c>
      <c r="K111" s="199">
        <f t="shared" ca="1" si="97"/>
        <v>0</v>
      </c>
      <c r="L111" s="199">
        <f t="shared" ca="1" si="97"/>
        <v>0</v>
      </c>
      <c r="M111" s="199">
        <f t="shared" ca="1" si="97"/>
        <v>0</v>
      </c>
      <c r="N111" s="199">
        <f t="shared" ca="1" si="97"/>
        <v>0</v>
      </c>
      <c r="O111" s="199">
        <f t="shared" ca="1" si="97"/>
        <v>0</v>
      </c>
      <c r="P111" s="199">
        <f t="shared" ca="1" si="97"/>
        <v>0</v>
      </c>
      <c r="R111" s="434"/>
      <c r="S111" s="199">
        <f ca="1">S281</f>
        <v>0</v>
      </c>
      <c r="T111" s="199">
        <f ca="1">T281</f>
        <v>0</v>
      </c>
    </row>
    <row r="112" spans="2:20" ht="13.5" customHeight="1" outlineLevel="1">
      <c r="B112" s="170" t="str">
        <f t="shared" si="96"/>
        <v>Subordinated note 2</v>
      </c>
      <c r="C112" s="57"/>
      <c r="D112" s="57"/>
      <c r="E112" s="293"/>
      <c r="F112" s="468">
        <v>45.5</v>
      </c>
      <c r="G112" s="90">
        <f t="shared" ref="G112:P112" ca="1" si="98">G287</f>
        <v>45.5</v>
      </c>
      <c r="H112" s="90">
        <f t="shared" ca="1" si="98"/>
        <v>45.5</v>
      </c>
      <c r="I112" s="90">
        <f t="shared" ca="1" si="98"/>
        <v>45.5</v>
      </c>
      <c r="J112" s="90">
        <f t="shared" ca="1" si="98"/>
        <v>45.5</v>
      </c>
      <c r="K112" s="90">
        <f t="shared" ca="1" si="98"/>
        <v>45.5</v>
      </c>
      <c r="L112" s="90">
        <f t="shared" ca="1" si="98"/>
        <v>45.5</v>
      </c>
      <c r="M112" s="90">
        <f t="shared" ca="1" si="98"/>
        <v>45.5</v>
      </c>
      <c r="N112" s="90">
        <f t="shared" ca="1" si="98"/>
        <v>45.5</v>
      </c>
      <c r="O112" s="90">
        <f t="shared" ca="1" si="98"/>
        <v>45.5</v>
      </c>
      <c r="P112" s="90">
        <f t="shared" ca="1" si="98"/>
        <v>45.5</v>
      </c>
      <c r="R112" s="434"/>
      <c r="S112" s="90">
        <f ca="1">S287</f>
        <v>45.5</v>
      </c>
      <c r="T112" s="90">
        <f ca="1">T287</f>
        <v>45.5</v>
      </c>
    </row>
    <row r="113" spans="1:46" ht="13.5" customHeight="1" outlineLevel="1">
      <c r="B113" s="170" t="str">
        <f t="shared" si="96"/>
        <v>Convertible bond 2</v>
      </c>
      <c r="C113" s="57"/>
      <c r="D113" s="57"/>
      <c r="E113" s="293"/>
      <c r="F113" s="468">
        <v>190</v>
      </c>
      <c r="G113" s="90">
        <f>G293</f>
        <v>199.02500000000001</v>
      </c>
      <c r="H113" s="90">
        <f t="shared" ref="H113:P113" si="99">H293</f>
        <v>208.47868750000001</v>
      </c>
      <c r="I113" s="90">
        <f t="shared" si="99"/>
        <v>218.38142515625</v>
      </c>
      <c r="J113" s="90">
        <f t="shared" si="99"/>
        <v>223.56798400371093</v>
      </c>
      <c r="K113" s="90">
        <f t="shared" si="99"/>
        <v>223.56798400371093</v>
      </c>
      <c r="L113" s="90">
        <f t="shared" si="99"/>
        <v>223.56798400371093</v>
      </c>
      <c r="M113" s="90">
        <f t="shared" si="99"/>
        <v>223.56798400371093</v>
      </c>
      <c r="N113" s="90">
        <f t="shared" si="99"/>
        <v>223.56798400371093</v>
      </c>
      <c r="O113" s="90">
        <f t="shared" si="99"/>
        <v>223.56798400371093</v>
      </c>
      <c r="P113" s="90">
        <f t="shared" si="99"/>
        <v>223.56798400371093</v>
      </c>
      <c r="R113" s="434"/>
      <c r="S113" s="90">
        <f>S293</f>
        <v>194.51249999999999</v>
      </c>
      <c r="T113" s="90">
        <f>T293</f>
        <v>199.02499999999998</v>
      </c>
    </row>
    <row r="114" spans="1:46" ht="13.5" customHeight="1" outlineLevel="1">
      <c r="B114" s="36" t="s">
        <v>524</v>
      </c>
      <c r="C114" s="57"/>
      <c r="D114" s="57"/>
      <c r="E114" s="293"/>
      <c r="F114" s="468">
        <v>-15.4</v>
      </c>
      <c r="G114" s="90">
        <f t="shared" ref="G114:P114" ca="1" si="100">G438</f>
        <v>10.036160597365621</v>
      </c>
      <c r="H114" s="90">
        <f t="shared" ca="1" si="100"/>
        <v>11.377692388615619</v>
      </c>
      <c r="I114" s="90">
        <f t="shared" ca="1" si="100"/>
        <v>11.377692388615619</v>
      </c>
      <c r="J114" s="90">
        <f t="shared" ca="1" si="100"/>
        <v>11.377692388615619</v>
      </c>
      <c r="K114" s="90">
        <f t="shared" ca="1" si="100"/>
        <v>11.377692388615619</v>
      </c>
      <c r="L114" s="90">
        <f t="shared" ca="1" si="100"/>
        <v>11.377692388615619</v>
      </c>
      <c r="M114" s="90">
        <f t="shared" ca="1" si="100"/>
        <v>11.377692388615619</v>
      </c>
      <c r="N114" s="90">
        <f t="shared" ca="1" si="100"/>
        <v>11.377692388615619</v>
      </c>
      <c r="O114" s="90">
        <f t="shared" ca="1" si="100"/>
        <v>11.377692388615619</v>
      </c>
      <c r="P114" s="90">
        <f t="shared" ca="1" si="100"/>
        <v>11.377692388615619</v>
      </c>
      <c r="R114" s="434"/>
      <c r="S114" s="90">
        <f ca="1">S438</f>
        <v>-2.6383260244421898</v>
      </c>
      <c r="T114" s="90">
        <f ca="1">T438</f>
        <v>10.036160597365621</v>
      </c>
    </row>
    <row r="115" spans="1:46" ht="13.5" customHeight="1" outlineLevel="1">
      <c r="B115" s="36" t="s">
        <v>65</v>
      </c>
      <c r="E115" s="293"/>
      <c r="F115" s="468">
        <v>17.917000000000002</v>
      </c>
      <c r="G115" s="141">
        <f>F115</f>
        <v>17.917000000000002</v>
      </c>
      <c r="H115" s="141">
        <f t="shared" ref="H115:P115" si="101">G115</f>
        <v>17.917000000000002</v>
      </c>
      <c r="I115" s="141">
        <f t="shared" si="101"/>
        <v>17.917000000000002</v>
      </c>
      <c r="J115" s="141">
        <f t="shared" si="101"/>
        <v>17.917000000000002</v>
      </c>
      <c r="K115" s="141">
        <f t="shared" si="101"/>
        <v>17.917000000000002</v>
      </c>
      <c r="L115" s="141">
        <f t="shared" si="101"/>
        <v>17.917000000000002</v>
      </c>
      <c r="M115" s="141">
        <f t="shared" si="101"/>
        <v>17.917000000000002</v>
      </c>
      <c r="N115" s="141">
        <f t="shared" si="101"/>
        <v>17.917000000000002</v>
      </c>
      <c r="O115" s="141">
        <f t="shared" si="101"/>
        <v>17.917000000000002</v>
      </c>
      <c r="P115" s="141">
        <f t="shared" si="101"/>
        <v>17.917000000000002</v>
      </c>
      <c r="R115" s="434"/>
      <c r="S115" s="141">
        <f>$F115</f>
        <v>17.917000000000002</v>
      </c>
      <c r="T115" s="141">
        <f>$F115</f>
        <v>17.917000000000002</v>
      </c>
    </row>
    <row r="116" spans="1:46" ht="13.5" customHeight="1" outlineLevel="1">
      <c r="B116" s="248" t="s">
        <v>7</v>
      </c>
      <c r="C116" s="248"/>
      <c r="D116" s="248"/>
      <c r="E116" s="414"/>
      <c r="F116" s="239">
        <f t="shared" ref="F116" si="102">SUM(F109:F115)</f>
        <v>348.19200000000001</v>
      </c>
      <c r="G116" s="239">
        <f t="shared" ref="G116:P116" ca="1" si="103">SUM(G109:G115)</f>
        <v>373.82620030487851</v>
      </c>
      <c r="H116" s="239">
        <f t="shared" ca="1" si="103"/>
        <v>385.50450024456165</v>
      </c>
      <c r="I116" s="239">
        <f t="shared" ca="1" si="103"/>
        <v>396.42954910437118</v>
      </c>
      <c r="J116" s="239">
        <f t="shared" ca="1" si="103"/>
        <v>402.64864226742714</v>
      </c>
      <c r="K116" s="239">
        <f t="shared" ca="1" si="103"/>
        <v>403.69150192617815</v>
      </c>
      <c r="L116" s="239">
        <f t="shared" ca="1" si="103"/>
        <v>404.74479018151669</v>
      </c>
      <c r="M116" s="239">
        <f t="shared" ca="1" si="103"/>
        <v>405.80861131940856</v>
      </c>
      <c r="N116" s="239">
        <f t="shared" ca="1" si="103"/>
        <v>406.88307066867935</v>
      </c>
      <c r="O116" s="239">
        <f t="shared" ca="1" si="103"/>
        <v>407.96827461144289</v>
      </c>
      <c r="P116" s="239">
        <f t="shared" ca="1" si="103"/>
        <v>409.06433059363405</v>
      </c>
      <c r="R116" s="434"/>
      <c r="S116" s="469">
        <f ca="1">SUM(S109:S115)</f>
        <v>356.63921368307069</v>
      </c>
      <c r="T116" s="469">
        <f ca="1">SUM(T109:T115)</f>
        <v>373.8262003048784</v>
      </c>
    </row>
    <row r="117" spans="1:46" ht="13.5" customHeight="1" outlineLevel="1">
      <c r="B117" s="36" t="s">
        <v>39</v>
      </c>
      <c r="E117" s="293"/>
      <c r="F117" s="468">
        <v>0</v>
      </c>
      <c r="G117" s="90">
        <f>F117</f>
        <v>0</v>
      </c>
      <c r="H117" s="90">
        <f t="shared" ref="H117:P119" si="104">G117</f>
        <v>0</v>
      </c>
      <c r="I117" s="90">
        <f t="shared" si="104"/>
        <v>0</v>
      </c>
      <c r="J117" s="90">
        <f t="shared" si="104"/>
        <v>0</v>
      </c>
      <c r="K117" s="90">
        <f t="shared" si="104"/>
        <v>0</v>
      </c>
      <c r="L117" s="90">
        <f t="shared" si="104"/>
        <v>0</v>
      </c>
      <c r="M117" s="90">
        <f t="shared" si="104"/>
        <v>0</v>
      </c>
      <c r="N117" s="90">
        <f t="shared" si="104"/>
        <v>0</v>
      </c>
      <c r="O117" s="90">
        <f t="shared" si="104"/>
        <v>0</v>
      </c>
      <c r="P117" s="90">
        <f t="shared" si="104"/>
        <v>0</v>
      </c>
      <c r="R117" s="434"/>
      <c r="S117" s="90">
        <f>$F117</f>
        <v>0</v>
      </c>
      <c r="T117" s="90">
        <f>$F117</f>
        <v>0</v>
      </c>
    </row>
    <row r="118" spans="1:46" ht="13.5" customHeight="1" outlineLevel="1">
      <c r="B118" s="170" t="str">
        <f>B347</f>
        <v>Preferred stock 2</v>
      </c>
      <c r="E118" s="418"/>
      <c r="F118" s="468">
        <v>0</v>
      </c>
      <c r="G118" s="199">
        <f>G299</f>
        <v>0</v>
      </c>
      <c r="H118" s="199">
        <f t="shared" ref="H118:P118" si="105">H299</f>
        <v>0</v>
      </c>
      <c r="I118" s="199">
        <f t="shared" si="105"/>
        <v>0</v>
      </c>
      <c r="J118" s="199">
        <f t="shared" si="105"/>
        <v>0</v>
      </c>
      <c r="K118" s="199">
        <f t="shared" si="105"/>
        <v>0</v>
      </c>
      <c r="L118" s="199">
        <f t="shared" si="105"/>
        <v>0</v>
      </c>
      <c r="M118" s="199">
        <f t="shared" si="105"/>
        <v>0</v>
      </c>
      <c r="N118" s="199">
        <f t="shared" si="105"/>
        <v>0</v>
      </c>
      <c r="O118" s="199">
        <f t="shared" si="105"/>
        <v>0</v>
      </c>
      <c r="P118" s="199">
        <f t="shared" si="105"/>
        <v>0</v>
      </c>
      <c r="R118" s="434"/>
      <c r="S118" s="199">
        <f>S299</f>
        <v>0</v>
      </c>
      <c r="T118" s="199">
        <f t="shared" ref="T118" si="106">T299</f>
        <v>0</v>
      </c>
    </row>
    <row r="119" spans="1:46" ht="13.5" customHeight="1" outlineLevel="1">
      <c r="B119" s="57" t="s">
        <v>124</v>
      </c>
      <c r="E119" s="418"/>
      <c r="F119" s="468">
        <v>0.629</v>
      </c>
      <c r="G119" s="90">
        <f>F119</f>
        <v>0.629</v>
      </c>
      <c r="H119" s="90">
        <f t="shared" si="104"/>
        <v>0.629</v>
      </c>
      <c r="I119" s="90">
        <f t="shared" si="104"/>
        <v>0.629</v>
      </c>
      <c r="J119" s="90">
        <f t="shared" si="104"/>
        <v>0.629</v>
      </c>
      <c r="K119" s="90">
        <f t="shared" si="104"/>
        <v>0.629</v>
      </c>
      <c r="L119" s="90">
        <f t="shared" si="104"/>
        <v>0.629</v>
      </c>
      <c r="M119" s="90">
        <f t="shared" si="104"/>
        <v>0.629</v>
      </c>
      <c r="N119" s="90">
        <f t="shared" si="104"/>
        <v>0.629</v>
      </c>
      <c r="O119" s="90">
        <f t="shared" si="104"/>
        <v>0.629</v>
      </c>
      <c r="P119" s="90">
        <f t="shared" si="104"/>
        <v>0.629</v>
      </c>
      <c r="R119" s="434"/>
      <c r="S119" s="90">
        <f>$F119</f>
        <v>0.629</v>
      </c>
      <c r="T119" s="90">
        <f>$F119</f>
        <v>0.629</v>
      </c>
    </row>
    <row r="120" spans="1:46" ht="13.5" customHeight="1" outlineLevel="1">
      <c r="B120" s="57" t="s">
        <v>443</v>
      </c>
      <c r="E120" s="418"/>
      <c r="F120" s="330">
        <v>366.14399999999983</v>
      </c>
      <c r="G120" s="90">
        <f t="shared" ref="G120:P120" si="107">F120+G17</f>
        <v>376.74399999999986</v>
      </c>
      <c r="H120" s="90">
        <f t="shared" si="107"/>
        <v>387.44399999999985</v>
      </c>
      <c r="I120" s="90">
        <f t="shared" si="107"/>
        <v>398.25099999999986</v>
      </c>
      <c r="J120" s="90">
        <f t="shared" si="107"/>
        <v>409.16606999999988</v>
      </c>
      <c r="K120" s="90">
        <f t="shared" si="107"/>
        <v>420.19029069999988</v>
      </c>
      <c r="L120" s="90">
        <f t="shared" si="107"/>
        <v>431.32475360699988</v>
      </c>
      <c r="M120" s="90">
        <f t="shared" si="107"/>
        <v>442.57056114306988</v>
      </c>
      <c r="N120" s="90">
        <f t="shared" si="107"/>
        <v>453.92882675450056</v>
      </c>
      <c r="O120" s="90">
        <f t="shared" si="107"/>
        <v>465.40067502204556</v>
      </c>
      <c r="P120" s="90">
        <f t="shared" si="107"/>
        <v>476.98724177226603</v>
      </c>
      <c r="R120" s="434"/>
      <c r="S120" s="90">
        <f>F120+S17</f>
        <v>371.44399999999985</v>
      </c>
      <c r="T120" s="90">
        <f>S120+T17</f>
        <v>376.74399999999986</v>
      </c>
    </row>
    <row r="121" spans="1:46" ht="13.5" customHeight="1" outlineLevel="1">
      <c r="B121" s="57" t="s">
        <v>125</v>
      </c>
      <c r="E121" s="418"/>
      <c r="F121" s="330">
        <v>-667.85799999999995</v>
      </c>
      <c r="G121" s="90">
        <f>F121</f>
        <v>-667.85799999999995</v>
      </c>
      <c r="H121" s="90">
        <f t="shared" ref="H121:P122" si="108">G121</f>
        <v>-667.85799999999995</v>
      </c>
      <c r="I121" s="90">
        <f t="shared" si="108"/>
        <v>-667.85799999999995</v>
      </c>
      <c r="J121" s="90">
        <f t="shared" si="108"/>
        <v>-667.85799999999995</v>
      </c>
      <c r="K121" s="90">
        <f t="shared" si="108"/>
        <v>-667.85799999999995</v>
      </c>
      <c r="L121" s="90">
        <f t="shared" si="108"/>
        <v>-667.85799999999995</v>
      </c>
      <c r="M121" s="90">
        <f t="shared" si="108"/>
        <v>-667.85799999999995</v>
      </c>
      <c r="N121" s="90">
        <f t="shared" si="108"/>
        <v>-667.85799999999995</v>
      </c>
      <c r="O121" s="90">
        <f t="shared" si="108"/>
        <v>-667.85799999999995</v>
      </c>
      <c r="P121" s="90">
        <f t="shared" si="108"/>
        <v>-667.85799999999995</v>
      </c>
      <c r="R121" s="434"/>
      <c r="S121" s="90">
        <f>$F121</f>
        <v>-667.85799999999995</v>
      </c>
      <c r="T121" s="90">
        <f>$F121</f>
        <v>-667.85799999999995</v>
      </c>
    </row>
    <row r="122" spans="1:46" ht="13.5" customHeight="1" outlineLevel="1">
      <c r="B122" s="57" t="s">
        <v>126</v>
      </c>
      <c r="E122" s="418"/>
      <c r="F122" s="330">
        <v>-0.40899999999999997</v>
      </c>
      <c r="G122" s="90">
        <f>F122</f>
        <v>-0.40899999999999997</v>
      </c>
      <c r="H122" s="90">
        <f t="shared" si="108"/>
        <v>-0.40899999999999997</v>
      </c>
      <c r="I122" s="90">
        <f t="shared" si="108"/>
        <v>-0.40899999999999997</v>
      </c>
      <c r="J122" s="90">
        <f t="shared" si="108"/>
        <v>-0.40899999999999997</v>
      </c>
      <c r="K122" s="90">
        <f t="shared" si="108"/>
        <v>-0.40899999999999997</v>
      </c>
      <c r="L122" s="90">
        <f t="shared" si="108"/>
        <v>-0.40899999999999997</v>
      </c>
      <c r="M122" s="90">
        <f t="shared" si="108"/>
        <v>-0.40899999999999997</v>
      </c>
      <c r="N122" s="90">
        <f t="shared" si="108"/>
        <v>-0.40899999999999997</v>
      </c>
      <c r="O122" s="90">
        <f t="shared" si="108"/>
        <v>-0.40899999999999997</v>
      </c>
      <c r="P122" s="90">
        <f t="shared" si="108"/>
        <v>-0.40899999999999997</v>
      </c>
      <c r="R122" s="434"/>
      <c r="S122" s="90">
        <f>$F122</f>
        <v>-0.40899999999999997</v>
      </c>
      <c r="T122" s="90">
        <f>$F122</f>
        <v>-0.40899999999999997</v>
      </c>
    </row>
    <row r="123" spans="1:46" ht="13.5" customHeight="1" outlineLevel="1">
      <c r="B123" s="57" t="s">
        <v>127</v>
      </c>
      <c r="E123" s="293"/>
      <c r="F123" s="468">
        <v>414.74700000000001</v>
      </c>
      <c r="G123" s="199">
        <f t="shared" ref="G123:P123" ca="1" si="109">F123+G35-G47*G548</f>
        <v>455.04589717388438</v>
      </c>
      <c r="H123" s="199">
        <f t="shared" ca="1" si="109"/>
        <v>495.20238927816877</v>
      </c>
      <c r="I123" s="199">
        <f t="shared" ca="1" si="109"/>
        <v>535.53510932395466</v>
      </c>
      <c r="J123" s="199">
        <f t="shared" ca="1" si="109"/>
        <v>581.36805479368707</v>
      </c>
      <c r="K123" s="199">
        <f t="shared" ca="1" si="109"/>
        <v>629.23336389700171</v>
      </c>
      <c r="L123" s="199">
        <f t="shared" ca="1" si="109"/>
        <v>677.80964554809736</v>
      </c>
      <c r="M123" s="199">
        <f t="shared" ca="1" si="109"/>
        <v>727.10435794786179</v>
      </c>
      <c r="N123" s="199">
        <f t="shared" ca="1" si="109"/>
        <v>777.12503440189914</v>
      </c>
      <c r="O123" s="199">
        <f t="shared" ca="1" si="109"/>
        <v>827.87928407236097</v>
      </c>
      <c r="P123" s="199">
        <f t="shared" ca="1" si="109"/>
        <v>879.37479273729718</v>
      </c>
      <c r="R123" s="434"/>
      <c r="S123" s="199">
        <f ca="1">F123+S35-S47*S548</f>
        <v>434.8964485869422</v>
      </c>
      <c r="T123" s="199">
        <f ca="1">S123+T35-T47*T548</f>
        <v>455.04589717388438</v>
      </c>
    </row>
    <row r="124" spans="1:46" ht="13.5" customHeight="1" outlineLevel="1">
      <c r="B124" s="253" t="s">
        <v>21</v>
      </c>
      <c r="C124" s="253"/>
      <c r="D124" s="253"/>
      <c r="E124" s="256"/>
      <c r="F124" s="256">
        <f>SUM(F116:F123)</f>
        <v>461.44499999999999</v>
      </c>
      <c r="G124" s="256">
        <f t="shared" ref="G124:P124" ca="1" si="110">SUM(G116:G123)</f>
        <v>537.97809747876272</v>
      </c>
      <c r="H124" s="256">
        <f t="shared" ca="1" si="110"/>
        <v>600.51288952273035</v>
      </c>
      <c r="I124" s="256">
        <f t="shared" ca="1" si="110"/>
        <v>662.57765842832578</v>
      </c>
      <c r="J124" s="256">
        <f t="shared" ca="1" si="110"/>
        <v>725.54476706111416</v>
      </c>
      <c r="K124" s="256">
        <f t="shared" ca="1" si="110"/>
        <v>785.47715652317981</v>
      </c>
      <c r="L124" s="256">
        <f t="shared" ca="1" si="110"/>
        <v>846.24118933661407</v>
      </c>
      <c r="M124" s="256">
        <f t="shared" ca="1" si="110"/>
        <v>907.8455304103403</v>
      </c>
      <c r="N124" s="256">
        <f t="shared" ca="1" si="110"/>
        <v>970.29893182507908</v>
      </c>
      <c r="O124" s="256">
        <f t="shared" ca="1" si="110"/>
        <v>1033.6102337058496</v>
      </c>
      <c r="P124" s="256">
        <f t="shared" ca="1" si="110"/>
        <v>1097.7883651031975</v>
      </c>
      <c r="R124" s="434"/>
      <c r="S124" s="256">
        <f ca="1">SUM(S116:S123)</f>
        <v>495.34166227001282</v>
      </c>
      <c r="T124" s="256">
        <f ca="1">SUM(T116:T123)</f>
        <v>537.97809747876272</v>
      </c>
    </row>
    <row r="125" spans="1:46" s="59" customFormat="1" ht="13.5" customHeight="1" outlineLevel="1">
      <c r="B125" s="526"/>
      <c r="C125" s="527"/>
      <c r="D125" s="527"/>
      <c r="E125" s="528"/>
      <c r="F125" s="528"/>
      <c r="G125" s="528"/>
      <c r="H125" s="528"/>
      <c r="I125" s="528"/>
      <c r="J125" s="528"/>
      <c r="K125" s="528"/>
      <c r="L125" s="528"/>
      <c r="M125" s="528"/>
      <c r="N125" s="528"/>
      <c r="O125" s="528"/>
      <c r="P125" s="528"/>
      <c r="R125" s="529"/>
    </row>
    <row r="126" spans="1:46" s="273" customFormat="1" ht="13.5" customHeight="1" outlineLevel="1">
      <c r="A126" s="324"/>
      <c r="B126" s="323" t="s">
        <v>5</v>
      </c>
      <c r="C126" s="323"/>
      <c r="D126" s="323"/>
      <c r="E126" s="175"/>
      <c r="F126" s="274">
        <f>F98-F124</f>
        <v>0</v>
      </c>
      <c r="G126" s="274">
        <f t="shared" ref="G126:P126" ca="1" si="111">G98-G124</f>
        <v>0</v>
      </c>
      <c r="H126" s="274">
        <f t="shared" ca="1" si="111"/>
        <v>0</v>
      </c>
      <c r="I126" s="274">
        <f t="shared" ca="1" si="111"/>
        <v>0</v>
      </c>
      <c r="J126" s="274">
        <f t="shared" ca="1" si="111"/>
        <v>0</v>
      </c>
      <c r="K126" s="274">
        <f t="shared" ca="1" si="111"/>
        <v>0</v>
      </c>
      <c r="L126" s="274">
        <f t="shared" ca="1" si="111"/>
        <v>0</v>
      </c>
      <c r="M126" s="274">
        <f t="shared" ca="1" si="111"/>
        <v>0</v>
      </c>
      <c r="N126" s="274">
        <f t="shared" ca="1" si="111"/>
        <v>0</v>
      </c>
      <c r="O126" s="274">
        <f t="shared" ca="1" si="111"/>
        <v>0</v>
      </c>
      <c r="P126" s="274">
        <f t="shared" ca="1" si="111"/>
        <v>0</v>
      </c>
      <c r="Q126" s="324"/>
      <c r="R126" s="474"/>
      <c r="S126" s="274">
        <f>AG98-AG124</f>
        <v>0</v>
      </c>
      <c r="T126" s="274">
        <f>AH98-AH124</f>
        <v>0</v>
      </c>
      <c r="U126" s="324"/>
      <c r="V126" s="324"/>
      <c r="W126" s="324"/>
      <c r="X126" s="324"/>
      <c r="Y126" s="324"/>
      <c r="Z126" s="324"/>
      <c r="AA126" s="324"/>
      <c r="AB126" s="324"/>
      <c r="AC126" s="324"/>
      <c r="AD126" s="324"/>
      <c r="AE126" s="324"/>
      <c r="AF126" s="324"/>
      <c r="AG126" s="324"/>
      <c r="AH126" s="324"/>
      <c r="AI126" s="324"/>
      <c r="AJ126" s="324"/>
      <c r="AK126" s="324"/>
      <c r="AL126" s="324"/>
      <c r="AM126" s="324"/>
      <c r="AN126" s="324"/>
      <c r="AO126" s="324"/>
      <c r="AP126" s="324"/>
      <c r="AQ126" s="324"/>
      <c r="AR126" s="324"/>
      <c r="AS126" s="324"/>
      <c r="AT126" s="324"/>
    </row>
    <row r="127" spans="1:46" ht="5.0999999999999996" customHeight="1" outlineLevel="1" thickBot="1">
      <c r="B127" s="348"/>
      <c r="C127" s="348"/>
      <c r="D127" s="348"/>
      <c r="E127" s="349"/>
      <c r="F127" s="349"/>
      <c r="G127" s="349"/>
      <c r="H127" s="349"/>
      <c r="I127" s="349"/>
      <c r="J127" s="349"/>
      <c r="K127" s="349"/>
      <c r="L127" s="349"/>
      <c r="M127" s="349"/>
      <c r="N127" s="349"/>
      <c r="O127" s="349"/>
      <c r="P127" s="349"/>
      <c r="Q127" s="349"/>
      <c r="R127" s="349"/>
      <c r="S127" s="349"/>
      <c r="T127" s="349"/>
    </row>
    <row r="128" spans="1:46" ht="13.5" customHeight="1" outlineLevel="1">
      <c r="B128" s="50"/>
      <c r="C128" s="50"/>
      <c r="D128" s="50"/>
      <c r="L128" s="57"/>
    </row>
    <row r="129" spans="1:20" ht="13.5" customHeight="1" outlineLevel="1" thickBot="1">
      <c r="B129" s="50"/>
      <c r="C129" s="50"/>
      <c r="D129" s="50"/>
      <c r="L129" s="57"/>
    </row>
    <row r="130" spans="1:20" ht="20.7" thickTop="1">
      <c r="A130" s="281" t="s">
        <v>631</v>
      </c>
      <c r="B130" s="522" t="str">
        <f>target&amp;" Cash Flow Statement"</f>
        <v>TargetCo Cash Flow Statement</v>
      </c>
      <c r="C130" s="523"/>
      <c r="D130" s="524"/>
      <c r="E130" s="524"/>
      <c r="F130" s="524"/>
      <c r="G130" s="524"/>
      <c r="H130" s="524"/>
      <c r="I130" s="524"/>
      <c r="J130" s="524"/>
      <c r="K130" s="524"/>
      <c r="L130" s="524"/>
      <c r="M130" s="524"/>
      <c r="N130" s="524"/>
      <c r="O130" s="524"/>
      <c r="P130" s="524"/>
      <c r="Q130" s="524"/>
      <c r="R130" s="524"/>
      <c r="S130" s="524"/>
      <c r="T130" s="524"/>
    </row>
    <row r="131" spans="1:20" ht="5.0999999999999996" customHeight="1" outlineLevel="1">
      <c r="B131" s="107"/>
      <c r="C131" s="285"/>
      <c r="L131" s="57"/>
    </row>
    <row r="132" spans="1:20" ht="13.5" customHeight="1" outlineLevel="1">
      <c r="B132" s="286"/>
      <c r="C132" s="286"/>
      <c r="D132" s="286"/>
      <c r="E132" s="42"/>
      <c r="F132" s="432" t="s">
        <v>630</v>
      </c>
      <c r="G132" s="433" t="s">
        <v>629</v>
      </c>
      <c r="H132" s="433"/>
      <c r="I132" s="433"/>
      <c r="J132" s="433"/>
      <c r="K132" s="433"/>
      <c r="L132" s="433"/>
      <c r="M132" s="433"/>
      <c r="N132" s="433"/>
      <c r="O132" s="433"/>
      <c r="P132" s="433"/>
      <c r="R132" s="434"/>
      <c r="S132" s="433" t="s">
        <v>628</v>
      </c>
      <c r="T132" s="433"/>
    </row>
    <row r="133" spans="1:20" ht="13.5" customHeight="1" outlineLevel="1" thickBot="1">
      <c r="B133" s="435" t="str">
        <f>"("&amp;curr&amp;" in millions)"</f>
        <v>($ in millions)</v>
      </c>
      <c r="C133" s="436"/>
      <c r="D133" s="436"/>
      <c r="E133" s="437"/>
      <c r="F133" s="439">
        <f t="shared" ref="F133" si="112">F$8</f>
        <v>44926</v>
      </c>
      <c r="G133" s="439">
        <f t="shared" ref="G133:P133" si="113">G$8</f>
        <v>45291</v>
      </c>
      <c r="H133" s="439">
        <f t="shared" si="113"/>
        <v>45657</v>
      </c>
      <c r="I133" s="439">
        <f t="shared" si="113"/>
        <v>46022</v>
      </c>
      <c r="J133" s="439">
        <f t="shared" si="113"/>
        <v>46387</v>
      </c>
      <c r="K133" s="439">
        <f t="shared" si="113"/>
        <v>46752</v>
      </c>
      <c r="L133" s="439">
        <f t="shared" si="113"/>
        <v>47118</v>
      </c>
      <c r="M133" s="439">
        <f t="shared" si="113"/>
        <v>47483</v>
      </c>
      <c r="N133" s="439">
        <f t="shared" si="113"/>
        <v>47848</v>
      </c>
      <c r="O133" s="439">
        <f t="shared" si="113"/>
        <v>48213</v>
      </c>
      <c r="P133" s="439">
        <f t="shared" si="113"/>
        <v>48579</v>
      </c>
      <c r="R133" s="434"/>
      <c r="S133" s="440">
        <f>S$8</f>
        <v>45107</v>
      </c>
      <c r="T133" s="440">
        <f>T$8</f>
        <v>45291</v>
      </c>
    </row>
    <row r="134" spans="1:20" ht="5.0999999999999996" customHeight="1" outlineLevel="1">
      <c r="B134" s="318"/>
      <c r="C134" s="318"/>
      <c r="D134" s="318"/>
      <c r="E134" s="319"/>
      <c r="F134" s="319"/>
      <c r="G134" s="319"/>
      <c r="H134" s="319"/>
      <c r="I134" s="319"/>
      <c r="J134" s="319"/>
      <c r="K134" s="319"/>
      <c r="L134" s="327"/>
      <c r="R134" s="434"/>
      <c r="S134" s="319"/>
      <c r="T134" s="319"/>
    </row>
    <row r="135" spans="1:20" ht="13.5" customHeight="1" outlineLevel="1">
      <c r="B135" s="78" t="s">
        <v>128</v>
      </c>
      <c r="C135" s="79"/>
      <c r="D135" s="80"/>
      <c r="E135" s="80"/>
      <c r="F135" s="80"/>
      <c r="G135" s="80"/>
      <c r="H135" s="80"/>
      <c r="I135" s="80"/>
      <c r="J135" s="80"/>
      <c r="K135" s="80"/>
      <c r="L135" s="80"/>
      <c r="M135" s="80"/>
      <c r="N135" s="80"/>
      <c r="O135" s="80"/>
      <c r="P135" s="81"/>
      <c r="R135" s="434"/>
      <c r="S135" s="525"/>
      <c r="T135" s="81"/>
    </row>
    <row r="136" spans="1:20" ht="13.5" customHeight="1" outlineLevel="1">
      <c r="B136" s="50"/>
      <c r="C136" s="50"/>
      <c r="D136" s="50"/>
      <c r="L136" s="57"/>
      <c r="R136" s="434"/>
    </row>
    <row r="137" spans="1:20" ht="13.5" customHeight="1" outlineLevel="1">
      <c r="B137" s="88" t="s">
        <v>37</v>
      </c>
      <c r="C137" s="88"/>
      <c r="D137" s="88"/>
      <c r="E137" s="88"/>
      <c r="F137" s="328"/>
      <c r="G137" s="328">
        <f t="shared" ref="G137:P137" ca="1" si="114">G35</f>
        <v>40.298897173884356</v>
      </c>
      <c r="H137" s="328">
        <f t="shared" ca="1" si="114"/>
        <v>40.156492104284396</v>
      </c>
      <c r="I137" s="328">
        <f t="shared" ca="1" si="114"/>
        <v>40.332720045785848</v>
      </c>
      <c r="J137" s="328">
        <f t="shared" ca="1" si="114"/>
        <v>45.832945469732408</v>
      </c>
      <c r="K137" s="328">
        <f t="shared" ca="1" si="114"/>
        <v>47.86530910331463</v>
      </c>
      <c r="L137" s="328">
        <f t="shared" ca="1" si="114"/>
        <v>48.576281651095691</v>
      </c>
      <c r="M137" s="328">
        <f t="shared" ca="1" si="114"/>
        <v>49.294712399764471</v>
      </c>
      <c r="N137" s="328">
        <f t="shared" ca="1" si="114"/>
        <v>50.02067645403735</v>
      </c>
      <c r="O137" s="328">
        <f t="shared" ca="1" si="114"/>
        <v>50.754249670461839</v>
      </c>
      <c r="P137" s="328">
        <f t="shared" ca="1" si="114"/>
        <v>51.495508664936189</v>
      </c>
      <c r="R137" s="434"/>
      <c r="S137" s="328">
        <f ca="1">S35</f>
        <v>20.149448586942178</v>
      </c>
      <c r="T137" s="328">
        <f ca="1">T35</f>
        <v>20.149448586942178</v>
      </c>
    </row>
    <row r="138" spans="1:20" ht="13.5" customHeight="1" outlineLevel="1">
      <c r="B138" s="139" t="s">
        <v>94</v>
      </c>
      <c r="C138" s="88"/>
      <c r="D138" s="88"/>
      <c r="E138" s="88"/>
      <c r="F138" s="141"/>
      <c r="G138" s="141">
        <f t="shared" ref="G138:P138" si="115">G15</f>
        <v>14.1</v>
      </c>
      <c r="H138" s="141">
        <f t="shared" si="115"/>
        <v>14.1</v>
      </c>
      <c r="I138" s="141">
        <f t="shared" si="115"/>
        <v>14.241</v>
      </c>
      <c r="J138" s="141">
        <f t="shared" si="115"/>
        <v>14.38341</v>
      </c>
      <c r="K138" s="141">
        <f t="shared" si="115"/>
        <v>14.527244100000001</v>
      </c>
      <c r="L138" s="141">
        <f t="shared" si="115"/>
        <v>14.672516541</v>
      </c>
      <c r="M138" s="141">
        <f t="shared" si="115"/>
        <v>14.819241706410002</v>
      </c>
      <c r="N138" s="141">
        <f t="shared" si="115"/>
        <v>14.967434123474101</v>
      </c>
      <c r="O138" s="141">
        <f t="shared" si="115"/>
        <v>15.117108464708842</v>
      </c>
      <c r="P138" s="141">
        <f t="shared" si="115"/>
        <v>15.268279549355931</v>
      </c>
      <c r="R138" s="434"/>
      <c r="S138" s="141">
        <f>S15</f>
        <v>7.05</v>
      </c>
      <c r="T138" s="141">
        <f>T15</f>
        <v>7.05</v>
      </c>
    </row>
    <row r="139" spans="1:20" ht="13.5" customHeight="1" outlineLevel="1">
      <c r="B139" s="139" t="s">
        <v>46</v>
      </c>
      <c r="C139" s="88"/>
      <c r="D139" s="88"/>
      <c r="E139" s="88"/>
      <c r="F139" s="141"/>
      <c r="G139" s="141">
        <f t="shared" ref="G139:P139" si="116">G16</f>
        <v>11.6</v>
      </c>
      <c r="H139" s="141">
        <f t="shared" si="116"/>
        <v>11.6</v>
      </c>
      <c r="I139" s="141">
        <f t="shared" si="116"/>
        <v>11.6</v>
      </c>
      <c r="J139" s="141">
        <f t="shared" si="116"/>
        <v>2.6909999999999989</v>
      </c>
      <c r="K139" s="141">
        <f t="shared" si="116"/>
        <v>0</v>
      </c>
      <c r="L139" s="141">
        <f t="shared" si="116"/>
        <v>0</v>
      </c>
      <c r="M139" s="141">
        <f t="shared" si="116"/>
        <v>0</v>
      </c>
      <c r="N139" s="141">
        <f t="shared" si="116"/>
        <v>0</v>
      </c>
      <c r="O139" s="141">
        <f t="shared" si="116"/>
        <v>0</v>
      </c>
      <c r="P139" s="141">
        <f t="shared" si="116"/>
        <v>0</v>
      </c>
      <c r="R139" s="434"/>
      <c r="S139" s="141">
        <f>S16</f>
        <v>5.8</v>
      </c>
      <c r="T139" s="141">
        <f>T16</f>
        <v>5.8</v>
      </c>
    </row>
    <row r="140" spans="1:20" ht="13.5" customHeight="1" outlineLevel="1">
      <c r="B140" s="139" t="s">
        <v>129</v>
      </c>
      <c r="C140" s="88"/>
      <c r="D140" s="88"/>
      <c r="E140" s="88"/>
      <c r="G140" s="330">
        <v>0</v>
      </c>
      <c r="H140" s="163">
        <f t="shared" ref="H140:P140" si="117">G140</f>
        <v>0</v>
      </c>
      <c r="I140" s="163">
        <f t="shared" si="117"/>
        <v>0</v>
      </c>
      <c r="J140" s="163">
        <f t="shared" si="117"/>
        <v>0</v>
      </c>
      <c r="K140" s="163">
        <f t="shared" si="117"/>
        <v>0</v>
      </c>
      <c r="L140" s="163">
        <f t="shared" si="117"/>
        <v>0</v>
      </c>
      <c r="M140" s="163">
        <f t="shared" si="117"/>
        <v>0</v>
      </c>
      <c r="N140" s="163">
        <f t="shared" si="117"/>
        <v>0</v>
      </c>
      <c r="O140" s="163">
        <f t="shared" si="117"/>
        <v>0</v>
      </c>
      <c r="P140" s="163">
        <f t="shared" si="117"/>
        <v>0</v>
      </c>
      <c r="R140" s="434"/>
      <c r="S140" s="184">
        <f>S$3*$G140</f>
        <v>0</v>
      </c>
      <c r="T140" s="184">
        <f>T$3*$G140</f>
        <v>0</v>
      </c>
    </row>
    <row r="141" spans="1:20" ht="13.5" customHeight="1" outlineLevel="1">
      <c r="B141" s="139" t="s">
        <v>130</v>
      </c>
      <c r="C141" s="88"/>
      <c r="D141" s="88"/>
      <c r="E141" s="88"/>
      <c r="F141" s="141"/>
      <c r="G141" s="141">
        <f t="shared" ref="G141:P141" si="118">G17</f>
        <v>10.6</v>
      </c>
      <c r="H141" s="141">
        <f t="shared" si="118"/>
        <v>10.7</v>
      </c>
      <c r="I141" s="141">
        <f t="shared" si="118"/>
        <v>10.806999999999999</v>
      </c>
      <c r="J141" s="141">
        <f t="shared" si="118"/>
        <v>10.915069999999998</v>
      </c>
      <c r="K141" s="141">
        <f t="shared" si="118"/>
        <v>11.024220699999999</v>
      </c>
      <c r="L141" s="141">
        <f t="shared" si="118"/>
        <v>11.134462907</v>
      </c>
      <c r="M141" s="141">
        <f t="shared" si="118"/>
        <v>11.24580753607</v>
      </c>
      <c r="N141" s="141">
        <f t="shared" si="118"/>
        <v>11.358265611430699</v>
      </c>
      <c r="O141" s="141">
        <f t="shared" si="118"/>
        <v>11.471848267545006</v>
      </c>
      <c r="P141" s="141">
        <f t="shared" si="118"/>
        <v>11.586566750220458</v>
      </c>
      <c r="R141" s="434"/>
      <c r="S141" s="141">
        <f>S17</f>
        <v>5.3</v>
      </c>
      <c r="T141" s="141">
        <f>T17</f>
        <v>5.3</v>
      </c>
    </row>
    <row r="142" spans="1:20" ht="13.5" customHeight="1" outlineLevel="1">
      <c r="B142" s="139" t="s">
        <v>435</v>
      </c>
      <c r="C142" s="88"/>
      <c r="D142" s="88"/>
      <c r="E142" s="88"/>
      <c r="F142" s="141"/>
      <c r="G142" s="141">
        <f t="shared" ref="G142:P142" si="119">-G225</f>
        <v>0</v>
      </c>
      <c r="H142" s="141">
        <f t="shared" si="119"/>
        <v>0</v>
      </c>
      <c r="I142" s="141">
        <f t="shared" si="119"/>
        <v>0</v>
      </c>
      <c r="J142" s="141">
        <f t="shared" si="119"/>
        <v>0</v>
      </c>
      <c r="K142" s="141">
        <f t="shared" si="119"/>
        <v>0</v>
      </c>
      <c r="L142" s="141">
        <f t="shared" si="119"/>
        <v>0</v>
      </c>
      <c r="M142" s="141">
        <f t="shared" si="119"/>
        <v>0</v>
      </c>
      <c r="N142" s="141">
        <f t="shared" si="119"/>
        <v>0</v>
      </c>
      <c r="O142" s="141">
        <f t="shared" si="119"/>
        <v>0</v>
      </c>
      <c r="P142" s="141">
        <f t="shared" si="119"/>
        <v>0</v>
      </c>
      <c r="R142" s="434"/>
      <c r="S142" s="141">
        <f>-S225</f>
        <v>0</v>
      </c>
      <c r="T142" s="141">
        <f>-T225</f>
        <v>0</v>
      </c>
    </row>
    <row r="143" spans="1:20" ht="13.5" customHeight="1" outlineLevel="1">
      <c r="B143" s="139" t="s">
        <v>642</v>
      </c>
      <c r="C143" s="88"/>
      <c r="D143" s="88"/>
      <c r="E143" s="88"/>
      <c r="F143" s="118"/>
      <c r="G143" s="118">
        <f t="shared" ref="G143:P143" si="120">-G226</f>
        <v>0</v>
      </c>
      <c r="H143" s="118">
        <f t="shared" si="120"/>
        <v>0</v>
      </c>
      <c r="I143" s="118">
        <f t="shared" si="120"/>
        <v>0</v>
      </c>
      <c r="J143" s="118">
        <f t="shared" si="120"/>
        <v>0</v>
      </c>
      <c r="K143" s="118">
        <f t="shared" si="120"/>
        <v>0</v>
      </c>
      <c r="L143" s="118">
        <f t="shared" si="120"/>
        <v>0</v>
      </c>
      <c r="M143" s="118">
        <f t="shared" si="120"/>
        <v>0</v>
      </c>
      <c r="N143" s="118">
        <f t="shared" si="120"/>
        <v>0</v>
      </c>
      <c r="O143" s="118">
        <f t="shared" si="120"/>
        <v>0</v>
      </c>
      <c r="P143" s="118">
        <f t="shared" si="120"/>
        <v>0</v>
      </c>
      <c r="R143" s="434"/>
      <c r="S143" s="118">
        <f>-S226</f>
        <v>0</v>
      </c>
      <c r="T143" s="118">
        <f>-T226</f>
        <v>0</v>
      </c>
    </row>
    <row r="144" spans="1:20" ht="13.5" customHeight="1" outlineLevel="1">
      <c r="B144" s="139" t="str">
        <f>"PIK accrual – "&amp;B165</f>
        <v>PIK accrual – Convertible bond 2</v>
      </c>
      <c r="C144" s="88"/>
      <c r="D144" s="88"/>
      <c r="E144" s="88"/>
      <c r="F144" s="118"/>
      <c r="G144" s="118">
        <f t="shared" ref="G144:P144" si="121">G291</f>
        <v>9.0250000000000004</v>
      </c>
      <c r="H144" s="118">
        <f t="shared" si="121"/>
        <v>9.4536875000000009</v>
      </c>
      <c r="I144" s="118">
        <f t="shared" si="121"/>
        <v>9.9027376562500002</v>
      </c>
      <c r="J144" s="118">
        <f t="shared" si="121"/>
        <v>5.1865588474609376</v>
      </c>
      <c r="K144" s="118">
        <f t="shared" si="121"/>
        <v>0</v>
      </c>
      <c r="L144" s="118">
        <f t="shared" si="121"/>
        <v>0</v>
      </c>
      <c r="M144" s="118">
        <f t="shared" si="121"/>
        <v>0</v>
      </c>
      <c r="N144" s="118">
        <f t="shared" si="121"/>
        <v>0</v>
      </c>
      <c r="O144" s="118">
        <f t="shared" si="121"/>
        <v>0</v>
      </c>
      <c r="P144" s="118">
        <f t="shared" si="121"/>
        <v>0</v>
      </c>
      <c r="R144" s="434"/>
      <c r="S144" s="118">
        <f>S291</f>
        <v>4.5125000000000002</v>
      </c>
      <c r="T144" s="118">
        <f>T291</f>
        <v>4.5125000000000002</v>
      </c>
    </row>
    <row r="145" spans="2:20" ht="13.5" customHeight="1" outlineLevel="1">
      <c r="B145" s="139" t="str">
        <f>"PIK accrual – "&amp;B166</f>
        <v>PIK accrual – Preferred stock 2</v>
      </c>
      <c r="C145" s="88"/>
      <c r="D145" s="88"/>
      <c r="E145" s="88"/>
      <c r="F145" s="118"/>
      <c r="G145" s="118">
        <f t="shared" ref="G145:P145" si="122">G297</f>
        <v>0</v>
      </c>
      <c r="H145" s="118">
        <f t="shared" si="122"/>
        <v>0</v>
      </c>
      <c r="I145" s="118">
        <f t="shared" si="122"/>
        <v>0</v>
      </c>
      <c r="J145" s="118">
        <f t="shared" si="122"/>
        <v>0</v>
      </c>
      <c r="K145" s="118">
        <f t="shared" si="122"/>
        <v>0</v>
      </c>
      <c r="L145" s="118">
        <f t="shared" si="122"/>
        <v>0</v>
      </c>
      <c r="M145" s="118">
        <f t="shared" si="122"/>
        <v>0</v>
      </c>
      <c r="N145" s="118">
        <f t="shared" si="122"/>
        <v>0</v>
      </c>
      <c r="O145" s="118">
        <f t="shared" si="122"/>
        <v>0</v>
      </c>
      <c r="P145" s="118">
        <f t="shared" si="122"/>
        <v>0</v>
      </c>
      <c r="R145" s="434"/>
      <c r="S145" s="118">
        <f>S297</f>
        <v>0</v>
      </c>
      <c r="T145" s="118">
        <f>T297</f>
        <v>0</v>
      </c>
    </row>
    <row r="146" spans="2:20" ht="13.5" customHeight="1" outlineLevel="1">
      <c r="B146" s="119" t="s">
        <v>131</v>
      </c>
      <c r="C146" s="119"/>
      <c r="D146" s="119"/>
      <c r="E146" s="119"/>
      <c r="F146" s="331"/>
      <c r="G146" s="331">
        <f ca="1">SUM(G138:OFFSET(G146,-1,0))</f>
        <v>45.324999999999996</v>
      </c>
      <c r="H146" s="331">
        <f ca="1">SUM(H138:OFFSET(H146,-1,0))</f>
        <v>45.853687499999999</v>
      </c>
      <c r="I146" s="331">
        <f ca="1">SUM(I138:OFFSET(I146,-1,0))</f>
        <v>46.550737656249993</v>
      </c>
      <c r="J146" s="331">
        <f ca="1">SUM(J138:OFFSET(J146,-1,0))</f>
        <v>33.176038847460937</v>
      </c>
      <c r="K146" s="331">
        <f ca="1">SUM(K138:OFFSET(K146,-1,0))</f>
        <v>25.551464799999998</v>
      </c>
      <c r="L146" s="331">
        <f ca="1">SUM(L138:OFFSET(L146,-1,0))</f>
        <v>25.806979448</v>
      </c>
      <c r="M146" s="331">
        <f ca="1">SUM(M138:OFFSET(M146,-1,0))</f>
        <v>26.065049242480001</v>
      </c>
      <c r="N146" s="331">
        <f ca="1">SUM(N138:OFFSET(N146,-1,0))</f>
        <v>26.325699734904802</v>
      </c>
      <c r="O146" s="331">
        <f ca="1">SUM(O138:OFFSET(O146,-1,0))</f>
        <v>26.588956732253848</v>
      </c>
      <c r="P146" s="331">
        <f ca="1">SUM(P138:OFFSET(P146,-1,0))</f>
        <v>26.854846299576387</v>
      </c>
      <c r="R146" s="434"/>
      <c r="S146" s="340">
        <f ca="1">SUM(S138:OFFSET(S146,-1,0))</f>
        <v>22.662499999999998</v>
      </c>
      <c r="T146" s="340">
        <f ca="1">SUM(T138:OFFSET(T146,-1,0))</f>
        <v>22.662499999999998</v>
      </c>
    </row>
    <row r="147" spans="2:20" ht="13.5" customHeight="1" outlineLevel="1">
      <c r="B147" s="139" t="s">
        <v>132</v>
      </c>
      <c r="C147" s="88"/>
      <c r="D147" s="88"/>
      <c r="E147" s="88"/>
      <c r="F147" s="141"/>
      <c r="G147" s="141">
        <f t="shared" ref="G147:P147" si="123">F193-G193</f>
        <v>-3.3312993301040734</v>
      </c>
      <c r="H147" s="141">
        <f t="shared" si="123"/>
        <v>-2.501929009002879E-2</v>
      </c>
      <c r="I147" s="141">
        <f t="shared" si="123"/>
        <v>-0.61675318620198993</v>
      </c>
      <c r="J147" s="141">
        <f t="shared" si="123"/>
        <v>-0.62292071806395199</v>
      </c>
      <c r="K147" s="141">
        <f t="shared" si="123"/>
        <v>-0.62914992524457602</v>
      </c>
      <c r="L147" s="141">
        <f t="shared" si="123"/>
        <v>-0.63544142449708829</v>
      </c>
      <c r="M147" s="141">
        <f t="shared" si="123"/>
        <v>-0.64179583874198443</v>
      </c>
      <c r="N147" s="141">
        <f t="shared" si="123"/>
        <v>-0.64821379712942928</v>
      </c>
      <c r="O147" s="141">
        <f t="shared" si="123"/>
        <v>-0.65469593510074731</v>
      </c>
      <c r="P147" s="141">
        <f t="shared" si="123"/>
        <v>-0.66124289445170348</v>
      </c>
      <c r="R147" s="434"/>
      <c r="S147" s="184">
        <f>F193-S193</f>
        <v>-3.3312993301040734</v>
      </c>
      <c r="T147" s="141">
        <f>S193-T193</f>
        <v>0</v>
      </c>
    </row>
    <row r="148" spans="2:20" ht="13.5" customHeight="1" outlineLevel="1">
      <c r="B148" s="139" t="s">
        <v>525</v>
      </c>
      <c r="C148" s="88"/>
      <c r="D148" s="88"/>
      <c r="E148" s="88"/>
      <c r="F148" s="118"/>
      <c r="G148" s="118">
        <f t="shared" ref="G148:P148" ca="1" si="124">G114-F114</f>
        <v>25.436160597365621</v>
      </c>
      <c r="H148" s="118">
        <f t="shared" ca="1" si="124"/>
        <v>1.3415317912499987</v>
      </c>
      <c r="I148" s="118">
        <f t="shared" ca="1" si="124"/>
        <v>0</v>
      </c>
      <c r="J148" s="118">
        <f t="shared" ca="1" si="124"/>
        <v>0</v>
      </c>
      <c r="K148" s="118">
        <f t="shared" ca="1" si="124"/>
        <v>0</v>
      </c>
      <c r="L148" s="118">
        <f t="shared" ca="1" si="124"/>
        <v>0</v>
      </c>
      <c r="M148" s="118">
        <f t="shared" ca="1" si="124"/>
        <v>0</v>
      </c>
      <c r="N148" s="118">
        <f t="shared" ca="1" si="124"/>
        <v>0</v>
      </c>
      <c r="O148" s="118">
        <f t="shared" ca="1" si="124"/>
        <v>0</v>
      </c>
      <c r="P148" s="118">
        <f t="shared" ca="1" si="124"/>
        <v>0</v>
      </c>
      <c r="R148" s="434"/>
      <c r="S148" s="184">
        <f ca="1">S114-F114</f>
        <v>12.761673975557811</v>
      </c>
      <c r="T148" s="118">
        <f ca="1">T114-S114</f>
        <v>12.67448662180781</v>
      </c>
    </row>
    <row r="149" spans="2:20" ht="13.5" customHeight="1" outlineLevel="1">
      <c r="B149" s="139" t="s">
        <v>648</v>
      </c>
      <c r="C149" s="88"/>
      <c r="D149" s="88"/>
      <c r="E149" s="88"/>
      <c r="F149" s="118"/>
      <c r="G149" s="118">
        <f t="shared" ref="G149:P149" si="125">F97-G97</f>
        <v>0</v>
      </c>
      <c r="H149" s="118">
        <f t="shared" si="125"/>
        <v>0</v>
      </c>
      <c r="I149" s="118">
        <f t="shared" si="125"/>
        <v>0</v>
      </c>
      <c r="J149" s="118">
        <f t="shared" si="125"/>
        <v>0</v>
      </c>
      <c r="K149" s="118">
        <f t="shared" si="125"/>
        <v>0</v>
      </c>
      <c r="L149" s="118">
        <f t="shared" si="125"/>
        <v>0</v>
      </c>
      <c r="M149" s="118">
        <f t="shared" si="125"/>
        <v>0</v>
      </c>
      <c r="N149" s="118">
        <f t="shared" si="125"/>
        <v>0</v>
      </c>
      <c r="O149" s="118">
        <f t="shared" si="125"/>
        <v>0</v>
      </c>
      <c r="P149" s="118">
        <f t="shared" si="125"/>
        <v>0</v>
      </c>
      <c r="R149" s="434"/>
      <c r="S149" s="184">
        <f>F97-S97</f>
        <v>0</v>
      </c>
      <c r="T149" s="118">
        <f>S97-T97</f>
        <v>0</v>
      </c>
    </row>
    <row r="150" spans="2:20" ht="13.5" customHeight="1" outlineLevel="1">
      <c r="B150" s="139" t="s">
        <v>649</v>
      </c>
      <c r="C150" s="88"/>
      <c r="D150" s="88"/>
      <c r="E150" s="88"/>
      <c r="F150" s="141"/>
      <c r="G150" s="141">
        <f t="shared" ref="G150:P150" si="126">G115-F115</f>
        <v>0</v>
      </c>
      <c r="H150" s="141">
        <f t="shared" si="126"/>
        <v>0</v>
      </c>
      <c r="I150" s="141">
        <f t="shared" si="126"/>
        <v>0</v>
      </c>
      <c r="J150" s="141">
        <f t="shared" si="126"/>
        <v>0</v>
      </c>
      <c r="K150" s="141">
        <f t="shared" si="126"/>
        <v>0</v>
      </c>
      <c r="L150" s="141">
        <f t="shared" si="126"/>
        <v>0</v>
      </c>
      <c r="M150" s="141">
        <f t="shared" si="126"/>
        <v>0</v>
      </c>
      <c r="N150" s="141">
        <f t="shared" si="126"/>
        <v>0</v>
      </c>
      <c r="O150" s="141">
        <f t="shared" si="126"/>
        <v>0</v>
      </c>
      <c r="P150" s="141">
        <f t="shared" si="126"/>
        <v>0</v>
      </c>
      <c r="R150" s="434"/>
      <c r="S150" s="184">
        <f>S115-F115</f>
        <v>0</v>
      </c>
      <c r="T150" s="141">
        <f>T115-S115</f>
        <v>0</v>
      </c>
    </row>
    <row r="151" spans="2:20" ht="13.5" customHeight="1" outlineLevel="1">
      <c r="B151" s="332" t="s">
        <v>133</v>
      </c>
      <c r="C151" s="332"/>
      <c r="D151" s="332"/>
      <c r="E151" s="332"/>
      <c r="F151" s="333"/>
      <c r="G151" s="333">
        <f ca="1">SUM(G147:OFFSET(G151,-1,0))</f>
        <v>22.104861267261548</v>
      </c>
      <c r="H151" s="333">
        <f ca="1">SUM(H147:OFFSET(H151,-1,0))</f>
        <v>1.3165125011599699</v>
      </c>
      <c r="I151" s="333">
        <f ca="1">SUM(I147:OFFSET(I151,-1,0))</f>
        <v>-0.61675318620198993</v>
      </c>
      <c r="J151" s="333">
        <f ca="1">SUM(J147:OFFSET(J151,-1,0))</f>
        <v>-0.62292071806395199</v>
      </c>
      <c r="K151" s="333">
        <f ca="1">SUM(K147:OFFSET(K151,-1,0))</f>
        <v>-0.62914992524457602</v>
      </c>
      <c r="L151" s="333">
        <f ca="1">SUM(L147:OFFSET(L151,-1,0))</f>
        <v>-0.63544142449708829</v>
      </c>
      <c r="M151" s="333">
        <f ca="1">SUM(M147:OFFSET(M151,-1,0))</f>
        <v>-0.64179583874198443</v>
      </c>
      <c r="N151" s="333">
        <f ca="1">SUM(N147:OFFSET(N151,-1,0))</f>
        <v>-0.64821379712942928</v>
      </c>
      <c r="O151" s="333">
        <f ca="1">SUM(O147:OFFSET(O151,-1,0))</f>
        <v>-0.65469593510074731</v>
      </c>
      <c r="P151" s="333">
        <f ca="1">SUM(P147:OFFSET(P151,-1,0))</f>
        <v>-0.66124289445170348</v>
      </c>
      <c r="R151" s="434"/>
      <c r="S151" s="333">
        <f ca="1">SUM(S147:OFFSET(S151,-1,0))</f>
        <v>9.4303746454537372</v>
      </c>
      <c r="T151" s="333">
        <f ca="1">SUM(T147:OFFSET(T151,-1,0))</f>
        <v>12.67448662180781</v>
      </c>
    </row>
    <row r="152" spans="2:20" ht="13.5" customHeight="1" outlineLevel="1">
      <c r="B152" s="164" t="s">
        <v>134</v>
      </c>
      <c r="C152" s="164"/>
      <c r="D152" s="164"/>
      <c r="E152" s="164"/>
      <c r="F152" s="166"/>
      <c r="G152" s="166">
        <f t="shared" ref="G152:P152" ca="1" si="127">G137+G146+G151</f>
        <v>107.72875844114591</v>
      </c>
      <c r="H152" s="166">
        <f t="shared" ca="1" si="127"/>
        <v>87.326692105444351</v>
      </c>
      <c r="I152" s="166">
        <f t="shared" ca="1" si="127"/>
        <v>86.266704515833851</v>
      </c>
      <c r="J152" s="166">
        <f t="shared" ca="1" si="127"/>
        <v>78.3860635991294</v>
      </c>
      <c r="K152" s="166">
        <f t="shared" ca="1" si="127"/>
        <v>72.787623978070059</v>
      </c>
      <c r="L152" s="166">
        <f t="shared" ca="1" si="127"/>
        <v>73.747819674598603</v>
      </c>
      <c r="M152" s="166">
        <f t="shared" ca="1" si="127"/>
        <v>74.717965803502494</v>
      </c>
      <c r="N152" s="166">
        <f t="shared" ca="1" si="127"/>
        <v>75.698162391812716</v>
      </c>
      <c r="O152" s="166">
        <f t="shared" ca="1" si="127"/>
        <v>76.688510467614933</v>
      </c>
      <c r="P152" s="166">
        <f t="shared" ca="1" si="127"/>
        <v>77.689112070060872</v>
      </c>
      <c r="R152" s="434"/>
      <c r="S152" s="166">
        <f ca="1">S137+S146+S151</f>
        <v>52.242323232395918</v>
      </c>
      <c r="T152" s="166">
        <f ca="1">T137+T146+T151</f>
        <v>55.486435208749988</v>
      </c>
    </row>
    <row r="153" spans="2:20" ht="13.5" customHeight="1" outlineLevel="1">
      <c r="B153" s="50"/>
      <c r="C153" s="50"/>
      <c r="D153" s="50"/>
      <c r="R153" s="434"/>
    </row>
    <row r="154" spans="2:20" ht="13.5" customHeight="1" outlineLevel="1">
      <c r="B154" s="78" t="s">
        <v>135</v>
      </c>
      <c r="C154" s="79"/>
      <c r="D154" s="80"/>
      <c r="E154" s="80"/>
      <c r="F154" s="80"/>
      <c r="G154" s="80"/>
      <c r="H154" s="80"/>
      <c r="I154" s="80"/>
      <c r="J154" s="80"/>
      <c r="K154" s="80"/>
      <c r="L154" s="80"/>
      <c r="M154" s="80"/>
      <c r="N154" s="80"/>
      <c r="O154" s="80"/>
      <c r="P154" s="81"/>
      <c r="R154" s="434"/>
      <c r="S154" s="525"/>
      <c r="T154" s="81"/>
    </row>
    <row r="155" spans="2:20" ht="13.5" customHeight="1" outlineLevel="1">
      <c r="B155" s="50"/>
      <c r="C155" s="50"/>
      <c r="D155" s="50"/>
      <c r="R155" s="434"/>
    </row>
    <row r="156" spans="2:20" ht="13.5" customHeight="1" outlineLevel="1">
      <c r="B156" s="88" t="s">
        <v>107</v>
      </c>
      <c r="C156" s="88"/>
      <c r="D156" s="88"/>
      <c r="E156" s="88"/>
      <c r="F156" s="335"/>
      <c r="G156" s="341">
        <f t="shared" ref="G156:P156" si="128">-G46</f>
        <v>-14.1</v>
      </c>
      <c r="H156" s="341">
        <f t="shared" si="128"/>
        <v>-15</v>
      </c>
      <c r="I156" s="341">
        <f t="shared" si="128"/>
        <v>-15.15</v>
      </c>
      <c r="J156" s="341">
        <f t="shared" si="128"/>
        <v>-15.301500000000001</v>
      </c>
      <c r="K156" s="341">
        <f t="shared" si="128"/>
        <v>-15.454515000000001</v>
      </c>
      <c r="L156" s="341">
        <f t="shared" si="128"/>
        <v>-15.609060150000001</v>
      </c>
      <c r="M156" s="341">
        <f t="shared" si="128"/>
        <v>-15.765150751500002</v>
      </c>
      <c r="N156" s="341">
        <f t="shared" si="128"/>
        <v>-15.922802259015002</v>
      </c>
      <c r="O156" s="341">
        <f t="shared" si="128"/>
        <v>-16.082030281605153</v>
      </c>
      <c r="P156" s="341">
        <f t="shared" si="128"/>
        <v>-16.242850584421205</v>
      </c>
      <c r="R156" s="434"/>
      <c r="S156" s="341">
        <f>-S46</f>
        <v>-7.05</v>
      </c>
      <c r="T156" s="341">
        <f>-T46</f>
        <v>-7.05</v>
      </c>
    </row>
    <row r="157" spans="2:20" ht="13.5" customHeight="1" outlineLevel="1">
      <c r="B157" s="88" t="s">
        <v>136</v>
      </c>
      <c r="C157" s="88"/>
      <c r="D157" s="88"/>
      <c r="E157" s="88"/>
      <c r="G157" s="330">
        <v>0</v>
      </c>
      <c r="H157" s="330">
        <v>0</v>
      </c>
      <c r="I157" s="330">
        <v>0</v>
      </c>
      <c r="J157" s="330">
        <v>0</v>
      </c>
      <c r="K157" s="330">
        <v>0</v>
      </c>
      <c r="L157" s="330">
        <v>0</v>
      </c>
      <c r="M157" s="330">
        <v>0</v>
      </c>
      <c r="N157" s="330">
        <v>0</v>
      </c>
      <c r="O157" s="330">
        <v>0</v>
      </c>
      <c r="P157" s="330">
        <v>0</v>
      </c>
      <c r="R157" s="434"/>
      <c r="S157" s="184">
        <f>S$3*$G157</f>
        <v>0</v>
      </c>
      <c r="T157" s="184">
        <f>T$3*$G157</f>
        <v>0</v>
      </c>
    </row>
    <row r="158" spans="2:20" ht="13.5" customHeight="1" outlineLevel="1">
      <c r="B158" s="164" t="s">
        <v>137</v>
      </c>
      <c r="C158" s="164"/>
      <c r="D158" s="164"/>
      <c r="E158" s="164"/>
      <c r="F158" s="166"/>
      <c r="G158" s="166">
        <f ca="1">SUM(G156:OFFSET(G158,-1,0))</f>
        <v>-14.1</v>
      </c>
      <c r="H158" s="166">
        <f ca="1">SUM(H156:OFFSET(H158,-1,0))</f>
        <v>-15</v>
      </c>
      <c r="I158" s="166">
        <f ca="1">SUM(I156:OFFSET(I158,-1,0))</f>
        <v>-15.15</v>
      </c>
      <c r="J158" s="166">
        <f ca="1">SUM(J156:OFFSET(J158,-1,0))</f>
        <v>-15.301500000000001</v>
      </c>
      <c r="K158" s="166">
        <f ca="1">SUM(K156:OFFSET(K158,-1,0))</f>
        <v>-15.454515000000001</v>
      </c>
      <c r="L158" s="166">
        <f ca="1">SUM(L156:OFFSET(L158,-1,0))</f>
        <v>-15.609060150000001</v>
      </c>
      <c r="M158" s="166">
        <f ca="1">SUM(M156:OFFSET(M158,-1,0))</f>
        <v>-15.765150751500002</v>
      </c>
      <c r="N158" s="166">
        <f ca="1">SUM(N156:OFFSET(N158,-1,0))</f>
        <v>-15.922802259015002</v>
      </c>
      <c r="O158" s="166">
        <f ca="1">SUM(O156:OFFSET(O158,-1,0))</f>
        <v>-16.082030281605153</v>
      </c>
      <c r="P158" s="166">
        <f ca="1">SUM(P156:OFFSET(P158,-1,0))</f>
        <v>-16.242850584421205</v>
      </c>
      <c r="R158" s="434"/>
      <c r="S158" s="166">
        <f ca="1">SUM(S156:OFFSET(S158,-1,0))</f>
        <v>-7.05</v>
      </c>
      <c r="T158" s="166">
        <f ca="1">SUM(T156:OFFSET(T158,-1,0))</f>
        <v>-7.05</v>
      </c>
    </row>
    <row r="159" spans="2:20" ht="13.5" customHeight="1" outlineLevel="1">
      <c r="B159" s="50"/>
      <c r="C159" s="50"/>
      <c r="D159" s="50"/>
      <c r="R159" s="434"/>
    </row>
    <row r="160" spans="2:20" ht="13.5" customHeight="1" outlineLevel="1">
      <c r="B160" s="78" t="s">
        <v>138</v>
      </c>
      <c r="C160" s="79"/>
      <c r="D160" s="80"/>
      <c r="E160" s="80"/>
      <c r="F160" s="80"/>
      <c r="G160" s="80"/>
      <c r="H160" s="80"/>
      <c r="I160" s="80"/>
      <c r="J160" s="80"/>
      <c r="K160" s="80"/>
      <c r="L160" s="80"/>
      <c r="M160" s="80"/>
      <c r="N160" s="80"/>
      <c r="O160" s="80"/>
      <c r="P160" s="81"/>
      <c r="R160" s="434"/>
      <c r="S160" s="525"/>
      <c r="T160" s="81"/>
    </row>
    <row r="161" spans="1:20" ht="13.5" customHeight="1" outlineLevel="1">
      <c r="B161" s="50"/>
      <c r="C161" s="50"/>
      <c r="D161" s="50"/>
      <c r="R161" s="434"/>
    </row>
    <row r="162" spans="1:20" ht="13.5" customHeight="1" outlineLevel="1">
      <c r="B162" s="88" t="s">
        <v>66</v>
      </c>
      <c r="C162" s="50"/>
      <c r="D162" s="50"/>
      <c r="F162" s="114"/>
      <c r="G162" s="114">
        <f t="shared" ref="G162:P162" ca="1" si="129">G110-F110</f>
        <v>-15</v>
      </c>
      <c r="H162" s="114">
        <f t="shared" ca="1" si="129"/>
        <v>0</v>
      </c>
      <c r="I162" s="114">
        <f t="shared" ca="1" si="129"/>
        <v>0</v>
      </c>
      <c r="J162" s="114">
        <f t="shared" ca="1" si="129"/>
        <v>0</v>
      </c>
      <c r="K162" s="114">
        <f t="shared" ca="1" si="129"/>
        <v>0</v>
      </c>
      <c r="L162" s="114">
        <f t="shared" ca="1" si="129"/>
        <v>0</v>
      </c>
      <c r="M162" s="114">
        <f t="shared" ca="1" si="129"/>
        <v>0</v>
      </c>
      <c r="N162" s="114">
        <f t="shared" ca="1" si="129"/>
        <v>0</v>
      </c>
      <c r="O162" s="114">
        <f t="shared" ca="1" si="129"/>
        <v>0</v>
      </c>
      <c r="P162" s="114">
        <f t="shared" ca="1" si="129"/>
        <v>0</v>
      </c>
      <c r="R162" s="434"/>
      <c r="S162" s="351">
        <f ca="1">S110-F110</f>
        <v>-15</v>
      </c>
      <c r="T162" s="114">
        <f ca="1">T110-S110</f>
        <v>0</v>
      </c>
    </row>
    <row r="163" spans="1:20" ht="13.5" customHeight="1" outlineLevel="1">
      <c r="B163" s="88" t="str">
        <f>B111</f>
        <v>Senior credit facility 2</v>
      </c>
      <c r="C163" s="50"/>
      <c r="D163" s="50"/>
      <c r="F163" s="118"/>
      <c r="G163" s="118">
        <f t="shared" ref="G163:P164" ca="1" si="130">G249+G257</f>
        <v>0</v>
      </c>
      <c r="H163" s="118">
        <f t="shared" ca="1" si="130"/>
        <v>0</v>
      </c>
      <c r="I163" s="118">
        <f t="shared" ca="1" si="130"/>
        <v>0</v>
      </c>
      <c r="J163" s="118">
        <f t="shared" ca="1" si="130"/>
        <v>0</v>
      </c>
      <c r="K163" s="118">
        <f t="shared" ca="1" si="130"/>
        <v>0</v>
      </c>
      <c r="L163" s="118">
        <f t="shared" ca="1" si="130"/>
        <v>0</v>
      </c>
      <c r="M163" s="118">
        <f t="shared" ca="1" si="130"/>
        <v>0</v>
      </c>
      <c r="N163" s="118">
        <f t="shared" ca="1" si="130"/>
        <v>0</v>
      </c>
      <c r="O163" s="118">
        <f t="shared" ca="1" si="130"/>
        <v>0</v>
      </c>
      <c r="P163" s="118">
        <f t="shared" ca="1" si="130"/>
        <v>0</v>
      </c>
      <c r="R163" s="434"/>
      <c r="S163" s="118">
        <f ca="1">S249+S257</f>
        <v>0</v>
      </c>
      <c r="T163" s="118">
        <f ca="1">T249+T257</f>
        <v>0</v>
      </c>
    </row>
    <row r="164" spans="1:20" ht="13.5" customHeight="1" outlineLevel="1">
      <c r="B164" s="88" t="str">
        <f>B112</f>
        <v>Subordinated note 2</v>
      </c>
      <c r="C164" s="50"/>
      <c r="D164" s="50"/>
      <c r="F164" s="118"/>
      <c r="G164" s="118">
        <f t="shared" ca="1" si="130"/>
        <v>0</v>
      </c>
      <c r="H164" s="118">
        <f t="shared" ca="1" si="130"/>
        <v>0</v>
      </c>
      <c r="I164" s="118">
        <f t="shared" ca="1" si="130"/>
        <v>0</v>
      </c>
      <c r="J164" s="118">
        <f t="shared" ca="1" si="130"/>
        <v>0</v>
      </c>
      <c r="K164" s="118">
        <f t="shared" ca="1" si="130"/>
        <v>0</v>
      </c>
      <c r="L164" s="118">
        <f t="shared" ca="1" si="130"/>
        <v>0</v>
      </c>
      <c r="M164" s="118">
        <f t="shared" ca="1" si="130"/>
        <v>0</v>
      </c>
      <c r="N164" s="118">
        <f t="shared" ca="1" si="130"/>
        <v>0</v>
      </c>
      <c r="O164" s="118">
        <f t="shared" ca="1" si="130"/>
        <v>0</v>
      </c>
      <c r="P164" s="118">
        <f t="shared" ca="1" si="130"/>
        <v>0</v>
      </c>
      <c r="R164" s="434"/>
      <c r="S164" s="118">
        <f ca="1">S250+S258</f>
        <v>0</v>
      </c>
      <c r="T164" s="118">
        <f ca="1">T250+T258</f>
        <v>0</v>
      </c>
    </row>
    <row r="165" spans="1:20" ht="13.5" customHeight="1" outlineLevel="1">
      <c r="B165" s="88" t="str">
        <f>B113</f>
        <v>Convertible bond 2</v>
      </c>
      <c r="C165" s="50"/>
      <c r="D165" s="50"/>
      <c r="F165" s="118"/>
      <c r="G165" s="118">
        <f t="shared" ref="G165:P165" si="131">G251</f>
        <v>0</v>
      </c>
      <c r="H165" s="118">
        <f t="shared" si="131"/>
        <v>0</v>
      </c>
      <c r="I165" s="118">
        <f t="shared" si="131"/>
        <v>0</v>
      </c>
      <c r="J165" s="118">
        <f t="shared" si="131"/>
        <v>0</v>
      </c>
      <c r="K165" s="118">
        <f t="shared" si="131"/>
        <v>0</v>
      </c>
      <c r="L165" s="118">
        <f t="shared" si="131"/>
        <v>0</v>
      </c>
      <c r="M165" s="118">
        <f t="shared" si="131"/>
        <v>0</v>
      </c>
      <c r="N165" s="118">
        <f t="shared" si="131"/>
        <v>0</v>
      </c>
      <c r="O165" s="118">
        <f t="shared" si="131"/>
        <v>0</v>
      </c>
      <c r="P165" s="118">
        <f t="shared" si="131"/>
        <v>0</v>
      </c>
      <c r="R165" s="434"/>
      <c r="S165" s="118">
        <f>S251</f>
        <v>0</v>
      </c>
      <c r="T165" s="118">
        <f>T251</f>
        <v>0</v>
      </c>
    </row>
    <row r="166" spans="1:20" ht="13.5" customHeight="1" outlineLevel="1">
      <c r="B166" s="88" t="str">
        <f>B118</f>
        <v>Preferred stock 2</v>
      </c>
      <c r="C166" s="50"/>
      <c r="D166" s="50"/>
      <c r="F166" s="118"/>
      <c r="G166" s="118">
        <f t="shared" ref="G166:P166" si="132">G298</f>
        <v>0</v>
      </c>
      <c r="H166" s="118">
        <f t="shared" si="132"/>
        <v>0</v>
      </c>
      <c r="I166" s="118">
        <f t="shared" si="132"/>
        <v>0</v>
      </c>
      <c r="J166" s="118">
        <f t="shared" si="132"/>
        <v>0</v>
      </c>
      <c r="K166" s="118">
        <f t="shared" si="132"/>
        <v>0</v>
      </c>
      <c r="L166" s="118">
        <f t="shared" si="132"/>
        <v>0</v>
      </c>
      <c r="M166" s="118">
        <f t="shared" si="132"/>
        <v>0</v>
      </c>
      <c r="N166" s="118">
        <f t="shared" si="132"/>
        <v>0</v>
      </c>
      <c r="O166" s="118">
        <f t="shared" si="132"/>
        <v>0</v>
      </c>
      <c r="P166" s="118">
        <f t="shared" si="132"/>
        <v>0</v>
      </c>
      <c r="R166" s="434"/>
      <c r="S166" s="118">
        <f>S298</f>
        <v>0</v>
      </c>
      <c r="T166" s="118">
        <f>T298</f>
        <v>0</v>
      </c>
    </row>
    <row r="167" spans="1:20" ht="13.5" customHeight="1" outlineLevel="1">
      <c r="B167" s="88" t="s">
        <v>246</v>
      </c>
      <c r="C167" s="50"/>
      <c r="D167" s="50"/>
      <c r="F167" s="118"/>
      <c r="G167" s="118">
        <f t="shared" ref="G167:P167" si="133">-G47*G548</f>
        <v>0</v>
      </c>
      <c r="H167" s="118">
        <f t="shared" si="133"/>
        <v>0</v>
      </c>
      <c r="I167" s="118">
        <f t="shared" si="133"/>
        <v>0</v>
      </c>
      <c r="J167" s="118">
        <f t="shared" si="133"/>
        <v>0</v>
      </c>
      <c r="K167" s="118">
        <f t="shared" si="133"/>
        <v>0</v>
      </c>
      <c r="L167" s="118">
        <f t="shared" si="133"/>
        <v>0</v>
      </c>
      <c r="M167" s="118">
        <f t="shared" si="133"/>
        <v>0</v>
      </c>
      <c r="N167" s="118">
        <f t="shared" si="133"/>
        <v>0</v>
      </c>
      <c r="O167" s="118">
        <f t="shared" si="133"/>
        <v>0</v>
      </c>
      <c r="P167" s="118">
        <f t="shared" si="133"/>
        <v>0</v>
      </c>
      <c r="R167" s="434"/>
      <c r="S167" s="118">
        <f>-S47*S548</f>
        <v>0</v>
      </c>
      <c r="T167" s="118">
        <f>-T47*T548</f>
        <v>0</v>
      </c>
    </row>
    <row r="168" spans="1:20" ht="13.5" customHeight="1" outlineLevel="1">
      <c r="B168" s="164" t="s">
        <v>139</v>
      </c>
      <c r="C168" s="164"/>
      <c r="D168" s="164"/>
      <c r="E168" s="164"/>
      <c r="F168" s="166"/>
      <c r="G168" s="166">
        <f ca="1">SUM(G162:OFFSET(G168,-1,0))</f>
        <v>-15</v>
      </c>
      <c r="H168" s="166">
        <f ca="1">SUM(H162:OFFSET(H168,-1,0))</f>
        <v>0</v>
      </c>
      <c r="I168" s="166">
        <f ca="1">SUM(I162:OFFSET(I168,-1,0))</f>
        <v>0</v>
      </c>
      <c r="J168" s="166">
        <f ca="1">SUM(J162:OFFSET(J168,-1,0))</f>
        <v>0</v>
      </c>
      <c r="K168" s="166">
        <f ca="1">SUM(K162:OFFSET(K168,-1,0))</f>
        <v>0</v>
      </c>
      <c r="L168" s="166">
        <f ca="1">SUM(L162:OFFSET(L168,-1,0))</f>
        <v>0</v>
      </c>
      <c r="M168" s="166">
        <f ca="1">SUM(M162:OFFSET(M168,-1,0))</f>
        <v>0</v>
      </c>
      <c r="N168" s="166">
        <f ca="1">SUM(N162:OFFSET(N168,-1,0))</f>
        <v>0</v>
      </c>
      <c r="O168" s="166">
        <f ca="1">SUM(O162:OFFSET(O168,-1,0))</f>
        <v>0</v>
      </c>
      <c r="P168" s="166">
        <f ca="1">SUM(P162:OFFSET(P168,-1,0))</f>
        <v>0</v>
      </c>
      <c r="R168" s="434"/>
      <c r="S168" s="166">
        <f ca="1">SUM(S162:OFFSET(S168,-1,0))</f>
        <v>-15</v>
      </c>
      <c r="T168" s="166">
        <f ca="1">SUM(T162:OFFSET(T168,-1,0))</f>
        <v>0</v>
      </c>
    </row>
    <row r="169" spans="1:20" ht="13.5" customHeight="1" outlineLevel="1">
      <c r="B169" s="50"/>
      <c r="C169" s="50"/>
      <c r="D169" s="50"/>
      <c r="L169" s="57"/>
      <c r="R169" s="434"/>
    </row>
    <row r="170" spans="1:20" ht="13.5" customHeight="1" outlineLevel="1">
      <c r="B170" s="88" t="s">
        <v>140</v>
      </c>
      <c r="C170" s="50"/>
      <c r="D170" s="50"/>
      <c r="F170" s="114"/>
      <c r="G170" s="114">
        <f t="shared" ref="G170:P170" ca="1" si="134">G152+G158+G168</f>
        <v>78.628758441145919</v>
      </c>
      <c r="H170" s="114">
        <f t="shared" ca="1" si="134"/>
        <v>72.326692105444351</v>
      </c>
      <c r="I170" s="114">
        <f t="shared" ca="1" si="134"/>
        <v>71.116704515833845</v>
      </c>
      <c r="J170" s="114">
        <f t="shared" ca="1" si="134"/>
        <v>63.084563599129396</v>
      </c>
      <c r="K170" s="114">
        <f t="shared" ca="1" si="134"/>
        <v>57.333108978070058</v>
      </c>
      <c r="L170" s="114">
        <f t="shared" ca="1" si="134"/>
        <v>58.138759524598598</v>
      </c>
      <c r="M170" s="114">
        <f t="shared" ca="1" si="134"/>
        <v>58.952815052002492</v>
      </c>
      <c r="N170" s="114">
        <f t="shared" ca="1" si="134"/>
        <v>59.775360132797715</v>
      </c>
      <c r="O170" s="114">
        <f t="shared" ca="1" si="134"/>
        <v>60.606480186009776</v>
      </c>
      <c r="P170" s="114">
        <f t="shared" ca="1" si="134"/>
        <v>61.446261485639667</v>
      </c>
      <c r="R170" s="434"/>
      <c r="S170" s="114">
        <f ca="1">S152+S158+S168</f>
        <v>30.192323232395921</v>
      </c>
      <c r="T170" s="114">
        <f ca="1">T152+T158+T168</f>
        <v>48.436435208749991</v>
      </c>
    </row>
    <row r="171" spans="1:20" ht="5.0999999999999996" customHeight="1" outlineLevel="1" thickBot="1">
      <c r="B171" s="336"/>
      <c r="C171" s="336"/>
      <c r="D171" s="336"/>
      <c r="E171" s="209"/>
      <c r="F171" s="209"/>
      <c r="G171" s="209"/>
      <c r="H171" s="209"/>
      <c r="I171" s="209"/>
      <c r="J171" s="209"/>
      <c r="K171" s="209"/>
      <c r="L171" s="337"/>
      <c r="M171" s="209"/>
      <c r="N171" s="209"/>
      <c r="O171" s="209"/>
      <c r="P171" s="209"/>
      <c r="Q171" s="209"/>
      <c r="R171" s="209"/>
      <c r="S171" s="209"/>
      <c r="T171" s="209"/>
    </row>
    <row r="172" spans="1:20" ht="13.5" customHeight="1" outlineLevel="1">
      <c r="B172" s="50"/>
      <c r="C172" s="50"/>
      <c r="D172" s="50"/>
      <c r="L172" s="57"/>
    </row>
    <row r="173" spans="1:20" ht="13.5" customHeight="1" outlineLevel="1" thickBot="1">
      <c r="B173" s="50"/>
      <c r="C173" s="50"/>
      <c r="D173" s="50"/>
      <c r="L173" s="57"/>
    </row>
    <row r="174" spans="1:20" ht="20.7" thickTop="1">
      <c r="A174" s="281" t="s">
        <v>631</v>
      </c>
      <c r="B174" s="522" t="str">
        <f>target&amp;" Working Capital"</f>
        <v>TargetCo Working Capital</v>
      </c>
      <c r="C174" s="523"/>
      <c r="D174" s="524"/>
      <c r="E174" s="524"/>
      <c r="F174" s="524"/>
      <c r="G174" s="524"/>
      <c r="H174" s="524"/>
      <c r="I174" s="524"/>
      <c r="J174" s="524"/>
      <c r="K174" s="524"/>
      <c r="L174" s="524"/>
      <c r="M174" s="524"/>
      <c r="N174" s="524"/>
      <c r="O174" s="524"/>
      <c r="P174" s="524"/>
      <c r="Q174" s="524"/>
      <c r="R174" s="524"/>
      <c r="S174" s="524"/>
      <c r="T174" s="524"/>
    </row>
    <row r="175" spans="1:20" ht="5.0999999999999996" customHeight="1" outlineLevel="1">
      <c r="B175" s="107"/>
      <c r="C175" s="285"/>
      <c r="L175" s="57"/>
    </row>
    <row r="176" spans="1:20" ht="13.5" customHeight="1" outlineLevel="1">
      <c r="B176" s="286"/>
      <c r="C176" s="286"/>
      <c r="D176" s="286"/>
      <c r="E176" s="42"/>
      <c r="F176" s="432" t="s">
        <v>630</v>
      </c>
      <c r="G176" s="433" t="s">
        <v>629</v>
      </c>
      <c r="H176" s="433"/>
      <c r="I176" s="433"/>
      <c r="J176" s="433"/>
      <c r="K176" s="433"/>
      <c r="L176" s="433"/>
      <c r="M176" s="433"/>
      <c r="N176" s="433"/>
      <c r="O176" s="433"/>
      <c r="P176" s="433"/>
      <c r="R176" s="434"/>
      <c r="S176" s="433" t="s">
        <v>628</v>
      </c>
      <c r="T176" s="433"/>
    </row>
    <row r="177" spans="2:20" ht="13.5" customHeight="1" outlineLevel="1" thickBot="1">
      <c r="B177" s="435" t="str">
        <f>"("&amp;curr&amp;" in millions)"</f>
        <v>($ in millions)</v>
      </c>
      <c r="C177" s="436"/>
      <c r="D177" s="436"/>
      <c r="E177" s="437"/>
      <c r="F177" s="439">
        <f t="shared" ref="F177" si="135">F$8</f>
        <v>44926</v>
      </c>
      <c r="G177" s="439">
        <f t="shared" ref="G177:P177" si="136">G$8</f>
        <v>45291</v>
      </c>
      <c r="H177" s="439">
        <f t="shared" si="136"/>
        <v>45657</v>
      </c>
      <c r="I177" s="439">
        <f t="shared" si="136"/>
        <v>46022</v>
      </c>
      <c r="J177" s="439">
        <f t="shared" si="136"/>
        <v>46387</v>
      </c>
      <c r="K177" s="439">
        <f t="shared" si="136"/>
        <v>46752</v>
      </c>
      <c r="L177" s="439">
        <f t="shared" si="136"/>
        <v>47118</v>
      </c>
      <c r="M177" s="439">
        <f t="shared" si="136"/>
        <v>47483</v>
      </c>
      <c r="N177" s="439">
        <f t="shared" si="136"/>
        <v>47848</v>
      </c>
      <c r="O177" s="439">
        <f t="shared" si="136"/>
        <v>48213</v>
      </c>
      <c r="P177" s="439">
        <f t="shared" si="136"/>
        <v>48579</v>
      </c>
      <c r="R177" s="434"/>
      <c r="S177" s="440">
        <f>S$8</f>
        <v>45107</v>
      </c>
      <c r="T177" s="440">
        <f>T$8</f>
        <v>45291</v>
      </c>
    </row>
    <row r="178" spans="2:20" ht="5.0999999999999996" customHeight="1" outlineLevel="1">
      <c r="B178" s="318"/>
      <c r="C178" s="318"/>
      <c r="D178" s="318"/>
      <c r="E178" s="319"/>
      <c r="F178" s="319"/>
      <c r="G178" s="319"/>
      <c r="H178" s="319"/>
      <c r="I178" s="319"/>
      <c r="J178" s="319"/>
      <c r="K178" s="319"/>
      <c r="L178" s="327"/>
      <c r="R178" s="434"/>
      <c r="S178" s="319"/>
      <c r="T178" s="319"/>
    </row>
    <row r="179" spans="2:20" ht="13.5" customHeight="1" outlineLevel="1">
      <c r="B179" s="78" t="s">
        <v>86</v>
      </c>
      <c r="C179" s="79"/>
      <c r="D179" s="80"/>
      <c r="E179" s="80"/>
      <c r="F179" s="80"/>
      <c r="G179" s="80"/>
      <c r="H179" s="80"/>
      <c r="I179" s="80"/>
      <c r="J179" s="80"/>
      <c r="K179" s="80"/>
      <c r="L179" s="80"/>
      <c r="M179" s="80"/>
      <c r="N179" s="80"/>
      <c r="O179" s="80"/>
      <c r="P179" s="81"/>
      <c r="R179" s="434"/>
      <c r="S179" s="525"/>
      <c r="T179" s="81"/>
    </row>
    <row r="180" spans="2:20" ht="13.5" customHeight="1" outlineLevel="1">
      <c r="B180" s="50"/>
      <c r="C180" s="50"/>
      <c r="D180" s="50"/>
      <c r="L180" s="57"/>
      <c r="R180" s="434"/>
    </row>
    <row r="181" spans="2:20" ht="13.5" customHeight="1" outlineLevel="1">
      <c r="B181" s="139" t="str">
        <f>B85</f>
        <v>Accounts receivable</v>
      </c>
      <c r="C181" s="88"/>
      <c r="D181" s="88"/>
      <c r="E181" s="328"/>
      <c r="F181" s="339">
        <f>F85</f>
        <v>136.44300000000001</v>
      </c>
      <c r="G181" s="231">
        <f t="shared" ref="G181:P181" si="137">CHOOSE($E201,G$197,G$198)*G201/G$3</f>
        <v>144.86235027223231</v>
      </c>
      <c r="H181" s="231">
        <f t="shared" si="137"/>
        <v>145.63618761343014</v>
      </c>
      <c r="I181" s="231">
        <f t="shared" si="137"/>
        <v>147.09254948956445</v>
      </c>
      <c r="J181" s="231">
        <f t="shared" si="137"/>
        <v>148.56347498446007</v>
      </c>
      <c r="K181" s="231">
        <f t="shared" si="137"/>
        <v>150.04910973430469</v>
      </c>
      <c r="L181" s="231">
        <f t="shared" si="137"/>
        <v>151.54960083164775</v>
      </c>
      <c r="M181" s="231">
        <f t="shared" si="137"/>
        <v>153.06509683996421</v>
      </c>
      <c r="N181" s="231">
        <f t="shared" si="137"/>
        <v>154.59574780836385</v>
      </c>
      <c r="O181" s="231">
        <f t="shared" si="137"/>
        <v>156.14170528644749</v>
      </c>
      <c r="P181" s="231">
        <f t="shared" si="137"/>
        <v>157.70312233931199</v>
      </c>
      <c r="R181" s="434"/>
      <c r="S181" s="231">
        <f>CHOOSE($E201,S$197,S$198)*S201/S$3</f>
        <v>144.86235027223231</v>
      </c>
      <c r="T181" s="419">
        <f>IF(T$3=0,S181,IFERROR(CHOOSE($E201,T$197,T$198)*T201/T$3,"NA"))</f>
        <v>144.86235027223231</v>
      </c>
    </row>
    <row r="182" spans="2:20" ht="13.5" customHeight="1" outlineLevel="1">
      <c r="B182" s="139" t="str">
        <f>B86</f>
        <v>Inventory</v>
      </c>
      <c r="C182" s="88"/>
      <c r="D182" s="88"/>
      <c r="E182" s="141"/>
      <c r="F182" s="184">
        <f>F86</f>
        <v>0</v>
      </c>
      <c r="G182" s="163">
        <f t="shared" ref="G182:P182" si="138">CHOOSE($E202,G$197,G$198)*G202/G$3</f>
        <v>0</v>
      </c>
      <c r="H182" s="163">
        <f t="shared" si="138"/>
        <v>0</v>
      </c>
      <c r="I182" s="163">
        <f t="shared" si="138"/>
        <v>0</v>
      </c>
      <c r="J182" s="163">
        <f t="shared" si="138"/>
        <v>0</v>
      </c>
      <c r="K182" s="163">
        <f t="shared" si="138"/>
        <v>0</v>
      </c>
      <c r="L182" s="163">
        <f t="shared" si="138"/>
        <v>0</v>
      </c>
      <c r="M182" s="163">
        <f t="shared" si="138"/>
        <v>0</v>
      </c>
      <c r="N182" s="163">
        <f t="shared" si="138"/>
        <v>0</v>
      </c>
      <c r="O182" s="163">
        <f t="shared" si="138"/>
        <v>0</v>
      </c>
      <c r="P182" s="163">
        <f t="shared" si="138"/>
        <v>0</v>
      </c>
      <c r="R182" s="434"/>
      <c r="S182" s="163">
        <f>CHOOSE($E202,S$197,S$198)*S202/S$3</f>
        <v>0</v>
      </c>
      <c r="T182" s="297">
        <f>IF(T$3=0,S182,IFERROR(CHOOSE($E202,T$197,T$198)*T202/T$3,"NA"))</f>
        <v>0</v>
      </c>
    </row>
    <row r="183" spans="2:20" ht="13.5" customHeight="1" outlineLevel="1">
      <c r="B183" s="139" t="str">
        <f>B87</f>
        <v>Deferred tax asset, current</v>
      </c>
      <c r="C183" s="88"/>
      <c r="D183" s="88"/>
      <c r="E183" s="141"/>
      <c r="F183" s="184">
        <f>F87</f>
        <v>8.8279999999999994</v>
      </c>
      <c r="G183" s="163">
        <f t="shared" ref="G183:P183" si="139">CHOOSE($E203,G$197,G$198)*G203/G$3</f>
        <v>9.3727404718693279</v>
      </c>
      <c r="H183" s="163">
        <f t="shared" si="139"/>
        <v>9.4228085299455522</v>
      </c>
      <c r="I183" s="163">
        <f t="shared" si="139"/>
        <v>9.5170366152450079</v>
      </c>
      <c r="J183" s="163">
        <f t="shared" si="139"/>
        <v>9.612206981397458</v>
      </c>
      <c r="K183" s="163">
        <f t="shared" si="139"/>
        <v>9.7083290512114324</v>
      </c>
      <c r="L183" s="163">
        <f t="shared" si="139"/>
        <v>9.8054123417235477</v>
      </c>
      <c r="M183" s="163">
        <f t="shared" si="139"/>
        <v>9.9034664651407844</v>
      </c>
      <c r="N183" s="163">
        <f t="shared" si="139"/>
        <v>10.002501129792192</v>
      </c>
      <c r="O183" s="163">
        <f t="shared" si="139"/>
        <v>10.102526141090113</v>
      </c>
      <c r="P183" s="163">
        <f t="shared" si="139"/>
        <v>10.203551402501015</v>
      </c>
      <c r="R183" s="434"/>
      <c r="S183" s="163">
        <f>CHOOSE($E203,S$197,S$198)*S203/S$3</f>
        <v>9.3727404718693279</v>
      </c>
      <c r="T183" s="297">
        <f>IF(T$3=0,S183,IFERROR(CHOOSE($E203,T$197,T$198)*T203/T$3,"NA"))</f>
        <v>9.3727404718693279</v>
      </c>
    </row>
    <row r="184" spans="2:20" ht="13.5" customHeight="1" outlineLevel="1">
      <c r="B184" s="139" t="str">
        <f>B88</f>
        <v>Other current assets</v>
      </c>
      <c r="C184" s="88"/>
      <c r="D184" s="88"/>
      <c r="E184" s="141"/>
      <c r="F184" s="184">
        <f>F88</f>
        <v>8.2230000000000008</v>
      </c>
      <c r="G184" s="163">
        <f t="shared" ref="G184:P184" si="140">CHOOSE($E204,G$197,G$198)*G204/G$3</f>
        <v>8.7632482935153604</v>
      </c>
      <c r="H184" s="163">
        <f t="shared" si="140"/>
        <v>8.8474428327645054</v>
      </c>
      <c r="I184" s="163">
        <f t="shared" si="140"/>
        <v>8.9359172610921505</v>
      </c>
      <c r="J184" s="163">
        <f t="shared" si="140"/>
        <v>9.0252764337030715</v>
      </c>
      <c r="K184" s="163">
        <f t="shared" si="140"/>
        <v>9.1155291980401021</v>
      </c>
      <c r="L184" s="163">
        <f t="shared" si="140"/>
        <v>9.2066844900205034</v>
      </c>
      <c r="M184" s="163">
        <f t="shared" si="140"/>
        <v>9.2987513349207109</v>
      </c>
      <c r="N184" s="163">
        <f t="shared" si="140"/>
        <v>9.3917388482699167</v>
      </c>
      <c r="O184" s="163">
        <f t="shared" si="140"/>
        <v>9.4856562367526145</v>
      </c>
      <c r="P184" s="163">
        <f t="shared" si="140"/>
        <v>9.5805127991201431</v>
      </c>
      <c r="R184" s="434"/>
      <c r="S184" s="163">
        <f>CHOOSE($E204,S$197,S$198)*S204/S$3</f>
        <v>8.7632482935153604</v>
      </c>
      <c r="T184" s="297">
        <f>IF(T$3=0,S184,IFERROR(CHOOSE($E204,T$197,T$198)*T204/T$3,"NA"))</f>
        <v>8.7632482935153604</v>
      </c>
    </row>
    <row r="185" spans="2:20" ht="13.5" customHeight="1" outlineLevel="1">
      <c r="B185" s="116" t="s">
        <v>81</v>
      </c>
      <c r="C185" s="116"/>
      <c r="D185" s="116"/>
      <c r="E185" s="116"/>
      <c r="F185" s="340">
        <f>SUM(F181:F184)</f>
        <v>153.49400000000003</v>
      </c>
      <c r="G185" s="340">
        <f t="shared" ref="G185:P185" si="141">SUM(G181:G184)</f>
        <v>162.99833903761697</v>
      </c>
      <c r="H185" s="340">
        <f t="shared" si="141"/>
        <v>163.90643897614018</v>
      </c>
      <c r="I185" s="340">
        <f t="shared" si="141"/>
        <v>165.54550336590162</v>
      </c>
      <c r="J185" s="340">
        <f t="shared" si="141"/>
        <v>167.20095839956062</v>
      </c>
      <c r="K185" s="340">
        <f t="shared" si="141"/>
        <v>168.87296798355621</v>
      </c>
      <c r="L185" s="340">
        <f t="shared" si="141"/>
        <v>170.56169766339181</v>
      </c>
      <c r="M185" s="340">
        <f t="shared" si="141"/>
        <v>172.26731464002572</v>
      </c>
      <c r="N185" s="340">
        <f t="shared" si="141"/>
        <v>173.98998778642596</v>
      </c>
      <c r="O185" s="340">
        <f t="shared" si="141"/>
        <v>175.72988766429023</v>
      </c>
      <c r="P185" s="340">
        <f t="shared" si="141"/>
        <v>177.48718654093312</v>
      </c>
      <c r="R185" s="434"/>
      <c r="S185" s="340">
        <f t="shared" ref="S185" si="142">SUM(S181:S184)</f>
        <v>162.99833903761697</v>
      </c>
      <c r="T185" s="340">
        <f>SUM(T181:T184)</f>
        <v>162.99833903761697</v>
      </c>
    </row>
    <row r="186" spans="2:20" ht="13.5" customHeight="1" outlineLevel="1">
      <c r="B186" s="139" t="str">
        <f t="shared" ref="B186:B191" si="143">B102</f>
        <v>Accounts payable</v>
      </c>
      <c r="C186" s="88"/>
      <c r="D186" s="88"/>
      <c r="E186" s="328"/>
      <c r="F186" s="184">
        <f t="shared" ref="F186:F191" si="144">F102</f>
        <v>20.661999999999999</v>
      </c>
      <c r="G186" s="163">
        <f t="shared" ref="G186:P186" si="145">CHOOSE($E206,G$197,G$198)*G206/G$3</f>
        <v>22.019486348122868</v>
      </c>
      <c r="H186" s="163">
        <f t="shared" si="145"/>
        <v>22.231042662116039</v>
      </c>
      <c r="I186" s="163">
        <f t="shared" si="145"/>
        <v>22.453353088737199</v>
      </c>
      <c r="J186" s="163">
        <f t="shared" si="145"/>
        <v>22.677886619624569</v>
      </c>
      <c r="K186" s="163">
        <f t="shared" si="145"/>
        <v>22.904665485820814</v>
      </c>
      <c r="L186" s="163">
        <f t="shared" si="145"/>
        <v>23.133712140679023</v>
      </c>
      <c r="M186" s="163">
        <f t="shared" si="145"/>
        <v>23.365049262085819</v>
      </c>
      <c r="N186" s="163">
        <f t="shared" si="145"/>
        <v>23.598699754706672</v>
      </c>
      <c r="O186" s="163">
        <f t="shared" si="145"/>
        <v>23.834686752253742</v>
      </c>
      <c r="P186" s="163">
        <f t="shared" si="145"/>
        <v>24.073033619776282</v>
      </c>
      <c r="R186" s="434"/>
      <c r="S186" s="163">
        <f t="shared" ref="S186:S191" si="146">CHOOSE($E206,S$197,S$198)*S206/S$3</f>
        <v>22.019486348122868</v>
      </c>
      <c r="T186" s="297">
        <f t="shared" ref="T186:T191" si="147">IF(T$3=0,S186,IFERROR(CHOOSE($E206,T$197,T$198)*T206/T$3,"NA"))</f>
        <v>22.019486348122868</v>
      </c>
    </row>
    <row r="187" spans="2:20" ht="13.5" customHeight="1" outlineLevel="1">
      <c r="B187" s="139" t="str">
        <f t="shared" si="143"/>
        <v>Accrued expenses</v>
      </c>
      <c r="C187" s="88"/>
      <c r="D187" s="88"/>
      <c r="E187" s="141"/>
      <c r="F187" s="184">
        <f t="shared" si="144"/>
        <v>15.38</v>
      </c>
      <c r="G187" s="163">
        <f t="shared" ref="G187:P187" si="148">CHOOSE($E207,G$197,G$198)*G207/G$3</f>
        <v>16.390460750853244</v>
      </c>
      <c r="H187" s="163">
        <f t="shared" si="148"/>
        <v>16.547935153583616</v>
      </c>
      <c r="I187" s="163">
        <f t="shared" si="148"/>
        <v>16.713414505119452</v>
      </c>
      <c r="J187" s="163">
        <f t="shared" si="148"/>
        <v>16.880548650170645</v>
      </c>
      <c r="K187" s="163">
        <f t="shared" si="148"/>
        <v>17.049354136672353</v>
      </c>
      <c r="L187" s="163">
        <f t="shared" si="148"/>
        <v>17.219847678039073</v>
      </c>
      <c r="M187" s="163">
        <f t="shared" si="148"/>
        <v>17.392046154819468</v>
      </c>
      <c r="N187" s="163">
        <f t="shared" si="148"/>
        <v>17.565966616367664</v>
      </c>
      <c r="O187" s="163">
        <f t="shared" si="148"/>
        <v>17.741626282531339</v>
      </c>
      <c r="P187" s="163">
        <f t="shared" si="148"/>
        <v>17.919042545356653</v>
      </c>
      <c r="R187" s="434"/>
      <c r="S187" s="163">
        <f t="shared" si="146"/>
        <v>16.390460750853244</v>
      </c>
      <c r="T187" s="297">
        <f t="shared" si="147"/>
        <v>16.390460750853244</v>
      </c>
    </row>
    <row r="188" spans="2:20" ht="13.5" customHeight="1" outlineLevel="1">
      <c r="B188" s="139" t="str">
        <f t="shared" si="143"/>
        <v>Client deposits</v>
      </c>
      <c r="C188" s="88"/>
      <c r="D188" s="88"/>
      <c r="E188" s="141"/>
      <c r="F188" s="184">
        <f t="shared" si="144"/>
        <v>0</v>
      </c>
      <c r="G188" s="163">
        <f t="shared" ref="G188:P188" si="149">CHOOSE($E208,G$197,G$198)*G208/G$3</f>
        <v>0</v>
      </c>
      <c r="H188" s="163">
        <f t="shared" si="149"/>
        <v>0</v>
      </c>
      <c r="I188" s="163">
        <f t="shared" si="149"/>
        <v>0</v>
      </c>
      <c r="J188" s="163">
        <f t="shared" si="149"/>
        <v>0</v>
      </c>
      <c r="K188" s="163">
        <f t="shared" si="149"/>
        <v>0</v>
      </c>
      <c r="L188" s="163">
        <f t="shared" si="149"/>
        <v>0</v>
      </c>
      <c r="M188" s="163">
        <f t="shared" si="149"/>
        <v>0</v>
      </c>
      <c r="N188" s="163">
        <f t="shared" si="149"/>
        <v>0</v>
      </c>
      <c r="O188" s="163">
        <f t="shared" si="149"/>
        <v>0</v>
      </c>
      <c r="P188" s="163">
        <f t="shared" si="149"/>
        <v>0</v>
      </c>
      <c r="R188" s="434"/>
      <c r="S188" s="163">
        <f t="shared" si="146"/>
        <v>0</v>
      </c>
      <c r="T188" s="297">
        <f t="shared" si="147"/>
        <v>0</v>
      </c>
    </row>
    <row r="189" spans="2:20" ht="13.5" customHeight="1" outlineLevel="1">
      <c r="B189" s="139" t="str">
        <f t="shared" si="143"/>
        <v>Income taxes payable</v>
      </c>
      <c r="C189" s="88"/>
      <c r="D189" s="88"/>
      <c r="E189" s="141"/>
      <c r="F189" s="184">
        <f t="shared" si="144"/>
        <v>2.9359999999999999</v>
      </c>
      <c r="G189" s="163">
        <f t="shared" ref="G189:P189" si="150">CHOOSE($E209,G$197,G$198)*G209/G$3</f>
        <v>3.1288941979522185</v>
      </c>
      <c r="H189" s="163">
        <f t="shared" si="150"/>
        <v>3.158955631399317</v>
      </c>
      <c r="I189" s="163">
        <f t="shared" si="150"/>
        <v>3.19054518771331</v>
      </c>
      <c r="J189" s="163">
        <f t="shared" si="150"/>
        <v>3.2224506395904431</v>
      </c>
      <c r="K189" s="163">
        <f t="shared" si="150"/>
        <v>3.2546751459863472</v>
      </c>
      <c r="L189" s="163">
        <f t="shared" si="150"/>
        <v>3.2872218974462108</v>
      </c>
      <c r="M189" s="163">
        <f t="shared" si="150"/>
        <v>3.3200941164206736</v>
      </c>
      <c r="N189" s="163">
        <f t="shared" si="150"/>
        <v>3.3532950575848801</v>
      </c>
      <c r="O189" s="163">
        <f t="shared" si="150"/>
        <v>3.3868280081607289</v>
      </c>
      <c r="P189" s="163">
        <f t="shared" si="150"/>
        <v>3.4206962882423366</v>
      </c>
      <c r="R189" s="434"/>
      <c r="S189" s="163">
        <f t="shared" si="146"/>
        <v>3.1288941979522185</v>
      </c>
      <c r="T189" s="297">
        <f t="shared" si="147"/>
        <v>3.1288941979522185</v>
      </c>
    </row>
    <row r="190" spans="2:20" ht="13.5" customHeight="1" outlineLevel="1">
      <c r="B190" s="139" t="str">
        <f t="shared" si="143"/>
        <v>Deferred revenue</v>
      </c>
      <c r="C190" s="88"/>
      <c r="D190" s="88"/>
      <c r="E190" s="141"/>
      <c r="F190" s="184">
        <f t="shared" si="144"/>
        <v>20.013000000000002</v>
      </c>
      <c r="G190" s="163">
        <f t="shared" ref="G190:P190" si="151">CHOOSE($E210,G$197,G$198)*G210/G$3</f>
        <v>21.247921960072595</v>
      </c>
      <c r="H190" s="163">
        <f t="shared" si="151"/>
        <v>21.361425816696915</v>
      </c>
      <c r="I190" s="163">
        <f t="shared" si="151"/>
        <v>21.575040074863882</v>
      </c>
      <c r="J190" s="163">
        <f t="shared" si="151"/>
        <v>21.790790475612521</v>
      </c>
      <c r="K190" s="163">
        <f t="shared" si="151"/>
        <v>22.008698380368649</v>
      </c>
      <c r="L190" s="163">
        <f t="shared" si="151"/>
        <v>22.228785364172335</v>
      </c>
      <c r="M190" s="163">
        <f t="shared" si="151"/>
        <v>22.451073217814059</v>
      </c>
      <c r="N190" s="163">
        <f t="shared" si="151"/>
        <v>22.675583949992198</v>
      </c>
      <c r="O190" s="163">
        <f t="shared" si="151"/>
        <v>22.902339789492121</v>
      </c>
      <c r="P190" s="163">
        <f t="shared" si="151"/>
        <v>23.131363187387045</v>
      </c>
      <c r="R190" s="434"/>
      <c r="S190" s="163">
        <f t="shared" si="146"/>
        <v>21.247921960072595</v>
      </c>
      <c r="T190" s="297">
        <f t="shared" si="147"/>
        <v>21.247921960072595</v>
      </c>
    </row>
    <row r="191" spans="2:20" ht="13.5" customHeight="1" outlineLevel="1">
      <c r="B191" s="139" t="str">
        <f t="shared" si="143"/>
        <v>Other current liabilities</v>
      </c>
      <c r="C191" s="88"/>
      <c r="D191" s="88"/>
      <c r="E191" s="141"/>
      <c r="F191" s="184">
        <f t="shared" si="144"/>
        <v>36.183999999999997</v>
      </c>
      <c r="G191" s="163">
        <f t="shared" ref="G191:P191" si="152">CHOOSE($E211,G$197,G$198)*G211/G$3</f>
        <v>38.56127645051194</v>
      </c>
      <c r="H191" s="163">
        <f t="shared" si="152"/>
        <v>38.931761092150161</v>
      </c>
      <c r="I191" s="163">
        <f t="shared" si="152"/>
        <v>39.321078703071663</v>
      </c>
      <c r="J191" s="163">
        <f t="shared" si="152"/>
        <v>39.714289490102381</v>
      </c>
      <c r="K191" s="163">
        <f t="shared" si="152"/>
        <v>40.111432385003404</v>
      </c>
      <c r="L191" s="163">
        <f t="shared" si="152"/>
        <v>40.512546708853435</v>
      </c>
      <c r="M191" s="163">
        <f t="shared" si="152"/>
        <v>40.917672175941981</v>
      </c>
      <c r="N191" s="163">
        <f t="shared" si="152"/>
        <v>41.326848897701396</v>
      </c>
      <c r="O191" s="163">
        <f t="shared" si="152"/>
        <v>41.740117386678406</v>
      </c>
      <c r="P191" s="163">
        <f t="shared" si="152"/>
        <v>42.157518560545199</v>
      </c>
      <c r="R191" s="434"/>
      <c r="S191" s="163">
        <f t="shared" si="146"/>
        <v>38.56127645051194</v>
      </c>
      <c r="T191" s="297">
        <f t="shared" si="147"/>
        <v>38.56127645051194</v>
      </c>
    </row>
    <row r="192" spans="2:20" ht="13.5" customHeight="1" outlineLevel="1">
      <c r="B192" s="116" t="s">
        <v>82</v>
      </c>
      <c r="C192" s="116"/>
      <c r="D192" s="116"/>
      <c r="E192" s="116"/>
      <c r="F192" s="340">
        <f>SUM(F186:F191)</f>
        <v>95.174999999999997</v>
      </c>
      <c r="G192" s="340">
        <f t="shared" ref="G192:P192" si="153">SUM(G186:G191)</f>
        <v>101.34803970751287</v>
      </c>
      <c r="H192" s="340">
        <f t="shared" si="153"/>
        <v>102.23112035594605</v>
      </c>
      <c r="I192" s="340">
        <f t="shared" si="153"/>
        <v>103.2534315595055</v>
      </c>
      <c r="J192" s="340">
        <f t="shared" si="153"/>
        <v>104.28596587510054</v>
      </c>
      <c r="K192" s="340">
        <f t="shared" si="153"/>
        <v>105.32882553385156</v>
      </c>
      <c r="L192" s="340">
        <f t="shared" si="153"/>
        <v>106.38211378919007</v>
      </c>
      <c r="M192" s="340">
        <f t="shared" si="153"/>
        <v>107.44593492708199</v>
      </c>
      <c r="N192" s="340">
        <f t="shared" si="153"/>
        <v>108.5203942763528</v>
      </c>
      <c r="O192" s="340">
        <f t="shared" si="153"/>
        <v>109.60559821911633</v>
      </c>
      <c r="P192" s="340">
        <f t="shared" si="153"/>
        <v>110.70165420130752</v>
      </c>
      <c r="R192" s="434"/>
      <c r="S192" s="340">
        <f t="shared" ref="S192" si="154">SUM(S186:S191)</f>
        <v>101.34803970751287</v>
      </c>
      <c r="T192" s="340">
        <f>SUM(T186:T191)</f>
        <v>101.34803970751287</v>
      </c>
    </row>
    <row r="193" spans="2:20" ht="13.5" customHeight="1" outlineLevel="1">
      <c r="B193" s="164" t="s">
        <v>83</v>
      </c>
      <c r="C193" s="164"/>
      <c r="D193" s="164"/>
      <c r="E193" s="334"/>
      <c r="F193" s="166">
        <f>F185-F192</f>
        <v>58.319000000000031</v>
      </c>
      <c r="G193" s="166">
        <f t="shared" ref="G193:P193" si="155">G185-G192</f>
        <v>61.650299330104104</v>
      </c>
      <c r="H193" s="166">
        <f t="shared" si="155"/>
        <v>61.675318620194133</v>
      </c>
      <c r="I193" s="166">
        <f t="shared" si="155"/>
        <v>62.292071806396123</v>
      </c>
      <c r="J193" s="166">
        <f t="shared" si="155"/>
        <v>62.914992524460075</v>
      </c>
      <c r="K193" s="166">
        <f t="shared" si="155"/>
        <v>63.544142449704651</v>
      </c>
      <c r="L193" s="166">
        <f t="shared" si="155"/>
        <v>64.179583874201739</v>
      </c>
      <c r="M193" s="166">
        <f t="shared" si="155"/>
        <v>64.821379712943724</v>
      </c>
      <c r="N193" s="166">
        <f t="shared" si="155"/>
        <v>65.469593510073153</v>
      </c>
      <c r="O193" s="166">
        <f t="shared" si="155"/>
        <v>66.124289445173901</v>
      </c>
      <c r="P193" s="166">
        <f t="shared" si="155"/>
        <v>66.785532339625604</v>
      </c>
      <c r="R193" s="434"/>
      <c r="S193" s="166">
        <f t="shared" ref="S193" si="156">S185-S192</f>
        <v>61.650299330104104</v>
      </c>
      <c r="T193" s="166">
        <f>T185-T192</f>
        <v>61.650299330104104</v>
      </c>
    </row>
    <row r="194" spans="2:20" ht="13.5" customHeight="1" outlineLevel="1">
      <c r="B194" s="50"/>
      <c r="C194" s="50"/>
      <c r="D194" s="50"/>
      <c r="L194" s="57"/>
      <c r="R194" s="434"/>
    </row>
    <row r="195" spans="2:20" ht="13.5" customHeight="1" outlineLevel="1">
      <c r="B195" s="78" t="s">
        <v>87</v>
      </c>
      <c r="C195" s="79"/>
      <c r="D195" s="80"/>
      <c r="E195" s="80"/>
      <c r="F195" s="80"/>
      <c r="G195" s="80"/>
      <c r="H195" s="80"/>
      <c r="I195" s="80"/>
      <c r="J195" s="80"/>
      <c r="K195" s="80"/>
      <c r="L195" s="80"/>
      <c r="M195" s="80"/>
      <c r="N195" s="80"/>
      <c r="O195" s="80"/>
      <c r="P195" s="81"/>
      <c r="R195" s="434"/>
      <c r="S195" s="525"/>
      <c r="T195" s="81"/>
    </row>
    <row r="196" spans="2:20" ht="13.5" customHeight="1" outlineLevel="1">
      <c r="B196" s="88"/>
      <c r="C196" s="88"/>
      <c r="D196" s="88"/>
      <c r="E196" s="88"/>
      <c r="L196" s="57"/>
      <c r="R196" s="434"/>
    </row>
    <row r="197" spans="2:20" ht="13.5" customHeight="1" outlineLevel="1">
      <c r="B197" s="88" t="s">
        <v>88</v>
      </c>
      <c r="C197" s="88"/>
      <c r="D197" s="88"/>
      <c r="E197" s="328"/>
      <c r="F197" s="341">
        <f t="shared" ref="F197:P197" si="157">F10</f>
        <v>440.8</v>
      </c>
      <c r="G197" s="341">
        <f t="shared" si="157"/>
        <v>468</v>
      </c>
      <c r="H197" s="341">
        <f t="shared" si="157"/>
        <v>470.5</v>
      </c>
      <c r="I197" s="341">
        <f t="shared" si="157"/>
        <v>475.20499999999998</v>
      </c>
      <c r="J197" s="341">
        <f t="shared" si="157"/>
        <v>479.95704999999998</v>
      </c>
      <c r="K197" s="341">
        <f t="shared" si="157"/>
        <v>484.7566205</v>
      </c>
      <c r="L197" s="341">
        <f t="shared" si="157"/>
        <v>489.60418670500002</v>
      </c>
      <c r="M197" s="341">
        <f t="shared" si="157"/>
        <v>494.50022857205005</v>
      </c>
      <c r="N197" s="341">
        <f t="shared" si="157"/>
        <v>499.44523085777053</v>
      </c>
      <c r="O197" s="341">
        <f t="shared" si="157"/>
        <v>504.43968316634823</v>
      </c>
      <c r="P197" s="341">
        <f t="shared" si="157"/>
        <v>509.48407999801174</v>
      </c>
      <c r="R197" s="434"/>
      <c r="S197" s="341">
        <f>S10</f>
        <v>234</v>
      </c>
      <c r="T197" s="341">
        <f>T10</f>
        <v>234</v>
      </c>
    </row>
    <row r="198" spans="2:20" ht="13.5" customHeight="1" outlineLevel="1">
      <c r="B198" s="88" t="s">
        <v>89</v>
      </c>
      <c r="C198" s="88"/>
      <c r="D198" s="88"/>
      <c r="E198" s="141"/>
      <c r="F198" s="163">
        <f t="shared" ref="F198:P198" si="158">F11</f>
        <v>234.4</v>
      </c>
      <c r="G198" s="163">
        <f t="shared" si="158"/>
        <v>249.8</v>
      </c>
      <c r="H198" s="163">
        <f t="shared" si="158"/>
        <v>252.2</v>
      </c>
      <c r="I198" s="163">
        <f t="shared" si="158"/>
        <v>254.72199999999998</v>
      </c>
      <c r="J198" s="163">
        <f t="shared" si="158"/>
        <v>257.26921999999996</v>
      </c>
      <c r="K198" s="163">
        <f t="shared" si="158"/>
        <v>259.84191219999997</v>
      </c>
      <c r="L198" s="163">
        <f t="shared" si="158"/>
        <v>262.44033132199996</v>
      </c>
      <c r="M198" s="163">
        <f t="shared" si="158"/>
        <v>265.06473463522002</v>
      </c>
      <c r="N198" s="163">
        <f t="shared" si="158"/>
        <v>267.71538198157219</v>
      </c>
      <c r="O198" s="163">
        <f t="shared" si="158"/>
        <v>270.39253580138791</v>
      </c>
      <c r="P198" s="163">
        <f t="shared" si="158"/>
        <v>273.09646115940183</v>
      </c>
      <c r="R198" s="434"/>
      <c r="S198" s="163">
        <f>S11</f>
        <v>124.9</v>
      </c>
      <c r="T198" s="163">
        <f>T11</f>
        <v>124.9</v>
      </c>
    </row>
    <row r="199" spans="2:20" ht="13.5" customHeight="1" outlineLevel="1">
      <c r="B199" s="147" t="s">
        <v>392</v>
      </c>
      <c r="C199" s="88"/>
      <c r="E199" s="342"/>
      <c r="F199" s="163"/>
      <c r="G199" s="163">
        <f t="shared" ref="G199:P199" si="159">G182-F182+G198</f>
        <v>249.8</v>
      </c>
      <c r="H199" s="163">
        <f t="shared" si="159"/>
        <v>252.2</v>
      </c>
      <c r="I199" s="163">
        <f t="shared" si="159"/>
        <v>254.72199999999998</v>
      </c>
      <c r="J199" s="163">
        <f t="shared" si="159"/>
        <v>257.26921999999996</v>
      </c>
      <c r="K199" s="163">
        <f t="shared" si="159"/>
        <v>259.84191219999997</v>
      </c>
      <c r="L199" s="163">
        <f t="shared" si="159"/>
        <v>262.44033132199996</v>
      </c>
      <c r="M199" s="163">
        <f t="shared" si="159"/>
        <v>265.06473463522002</v>
      </c>
      <c r="N199" s="163">
        <f t="shared" si="159"/>
        <v>267.71538198157219</v>
      </c>
      <c r="O199" s="163">
        <f t="shared" si="159"/>
        <v>270.39253580138791</v>
      </c>
      <c r="P199" s="163">
        <f t="shared" si="159"/>
        <v>273.09646115940183</v>
      </c>
      <c r="R199" s="434"/>
      <c r="S199" s="184">
        <f>S182-$F182+S198</f>
        <v>124.9</v>
      </c>
      <c r="T199" s="297">
        <f>IFERROR(T182-$S182+T198,0)</f>
        <v>124.9</v>
      </c>
    </row>
    <row r="200" spans="2:20" ht="13.5" customHeight="1" outlineLevel="1">
      <c r="B200" s="88"/>
      <c r="C200" s="88"/>
      <c r="E200" s="344" t="s">
        <v>121</v>
      </c>
      <c r="L200" s="57"/>
      <c r="R200" s="434"/>
    </row>
    <row r="201" spans="2:20" ht="13.5" customHeight="1" outlineLevel="1">
      <c r="B201" s="147" t="str">
        <f>B181&amp;" / "&amp;CHOOSE(E201,"sales","COGS")</f>
        <v>Accounts receivable / sales</v>
      </c>
      <c r="C201" s="88"/>
      <c r="E201" s="476">
        <v>1</v>
      </c>
      <c r="F201" s="343">
        <f>F181/(CHOOSE($E201,F$197,F$198)/F$3)</f>
        <v>0.30953493647912889</v>
      </c>
      <c r="G201" s="347">
        <f>F201</f>
        <v>0.30953493647912889</v>
      </c>
      <c r="H201" s="347">
        <f t="shared" ref="H201:P204" si="160">G201</f>
        <v>0.30953493647912889</v>
      </c>
      <c r="I201" s="347">
        <f t="shared" si="160"/>
        <v>0.30953493647912889</v>
      </c>
      <c r="J201" s="347">
        <f t="shared" si="160"/>
        <v>0.30953493647912889</v>
      </c>
      <c r="K201" s="347">
        <f t="shared" si="160"/>
        <v>0.30953493647912889</v>
      </c>
      <c r="L201" s="347">
        <f t="shared" si="160"/>
        <v>0.30953493647912889</v>
      </c>
      <c r="M201" s="347">
        <f t="shared" si="160"/>
        <v>0.30953493647912889</v>
      </c>
      <c r="N201" s="347">
        <f t="shared" si="160"/>
        <v>0.30953493647912889</v>
      </c>
      <c r="O201" s="347">
        <f t="shared" si="160"/>
        <v>0.30953493647912889</v>
      </c>
      <c r="P201" s="347">
        <f t="shared" si="160"/>
        <v>0.30953493647912889</v>
      </c>
      <c r="R201" s="434"/>
      <c r="S201" s="347">
        <f>$G201</f>
        <v>0.30953493647912889</v>
      </c>
      <c r="T201" s="347">
        <f>$G201</f>
        <v>0.30953493647912889</v>
      </c>
    </row>
    <row r="202" spans="2:20" ht="13.5" customHeight="1" outlineLevel="1">
      <c r="B202" s="147" t="str">
        <f>B182&amp;" / "&amp;CHOOSE(E202,"sales","COGS")</f>
        <v>Inventory / COGS</v>
      </c>
      <c r="C202" s="88"/>
      <c r="E202" s="476">
        <v>2</v>
      </c>
      <c r="F202" s="343">
        <f>F182/(CHOOSE($E202,F$197,F$198)/F$3)</f>
        <v>0</v>
      </c>
      <c r="G202" s="347">
        <f t="shared" ref="G202:G204" si="161">F202</f>
        <v>0</v>
      </c>
      <c r="H202" s="347">
        <f t="shared" si="160"/>
        <v>0</v>
      </c>
      <c r="I202" s="347">
        <f t="shared" si="160"/>
        <v>0</v>
      </c>
      <c r="J202" s="347">
        <f t="shared" si="160"/>
        <v>0</v>
      </c>
      <c r="K202" s="347">
        <f t="shared" si="160"/>
        <v>0</v>
      </c>
      <c r="L202" s="347">
        <f t="shared" si="160"/>
        <v>0</v>
      </c>
      <c r="M202" s="347">
        <f t="shared" si="160"/>
        <v>0</v>
      </c>
      <c r="N202" s="347">
        <f t="shared" si="160"/>
        <v>0</v>
      </c>
      <c r="O202" s="347">
        <f t="shared" si="160"/>
        <v>0</v>
      </c>
      <c r="P202" s="347">
        <f t="shared" si="160"/>
        <v>0</v>
      </c>
      <c r="R202" s="434"/>
      <c r="S202" s="347">
        <f t="shared" ref="S202:T204" si="162">$G202</f>
        <v>0</v>
      </c>
      <c r="T202" s="347">
        <f t="shared" si="162"/>
        <v>0</v>
      </c>
    </row>
    <row r="203" spans="2:20" ht="13.5" customHeight="1" outlineLevel="1">
      <c r="B203" s="147" t="str">
        <f>B183&amp;" / "&amp;CHOOSE(E203,"sales","COGS")</f>
        <v>Deferred tax asset, current / sales</v>
      </c>
      <c r="C203" s="88"/>
      <c r="E203" s="476">
        <v>1</v>
      </c>
      <c r="F203" s="343">
        <f>F183/(CHOOSE($E203,F$197,F$198)/F$3)</f>
        <v>2.0027223230490016E-2</v>
      </c>
      <c r="G203" s="347">
        <f t="shared" si="161"/>
        <v>2.0027223230490016E-2</v>
      </c>
      <c r="H203" s="347">
        <f t="shared" si="160"/>
        <v>2.0027223230490016E-2</v>
      </c>
      <c r="I203" s="347">
        <f t="shared" si="160"/>
        <v>2.0027223230490016E-2</v>
      </c>
      <c r="J203" s="347">
        <f t="shared" si="160"/>
        <v>2.0027223230490016E-2</v>
      </c>
      <c r="K203" s="347">
        <f t="shared" si="160"/>
        <v>2.0027223230490016E-2</v>
      </c>
      <c r="L203" s="347">
        <f t="shared" si="160"/>
        <v>2.0027223230490016E-2</v>
      </c>
      <c r="M203" s="347">
        <f t="shared" si="160"/>
        <v>2.0027223230490016E-2</v>
      </c>
      <c r="N203" s="347">
        <f t="shared" si="160"/>
        <v>2.0027223230490016E-2</v>
      </c>
      <c r="O203" s="347">
        <f t="shared" si="160"/>
        <v>2.0027223230490016E-2</v>
      </c>
      <c r="P203" s="347">
        <f t="shared" si="160"/>
        <v>2.0027223230490016E-2</v>
      </c>
      <c r="R203" s="434"/>
      <c r="S203" s="347">
        <f t="shared" si="162"/>
        <v>2.0027223230490016E-2</v>
      </c>
      <c r="T203" s="347">
        <f t="shared" si="162"/>
        <v>2.0027223230490016E-2</v>
      </c>
    </row>
    <row r="204" spans="2:20" ht="13.5" customHeight="1" outlineLevel="1">
      <c r="B204" s="147" t="str">
        <f>B184&amp;" / "&amp;CHOOSE(E204,"sales","COGS")</f>
        <v>Other current assets / COGS</v>
      </c>
      <c r="C204" s="88"/>
      <c r="E204" s="476">
        <v>2</v>
      </c>
      <c r="F204" s="343">
        <f>F184/(CHOOSE($E204,F$197,F$198)/F$3)</f>
        <v>3.5081058020477819E-2</v>
      </c>
      <c r="G204" s="347">
        <f t="shared" si="161"/>
        <v>3.5081058020477819E-2</v>
      </c>
      <c r="H204" s="347">
        <f t="shared" si="160"/>
        <v>3.5081058020477819E-2</v>
      </c>
      <c r="I204" s="347">
        <f t="shared" si="160"/>
        <v>3.5081058020477819E-2</v>
      </c>
      <c r="J204" s="347">
        <f t="shared" si="160"/>
        <v>3.5081058020477819E-2</v>
      </c>
      <c r="K204" s="347">
        <f t="shared" si="160"/>
        <v>3.5081058020477819E-2</v>
      </c>
      <c r="L204" s="347">
        <f t="shared" si="160"/>
        <v>3.5081058020477819E-2</v>
      </c>
      <c r="M204" s="347">
        <f t="shared" si="160"/>
        <v>3.5081058020477819E-2</v>
      </c>
      <c r="N204" s="347">
        <f t="shared" si="160"/>
        <v>3.5081058020477819E-2</v>
      </c>
      <c r="O204" s="347">
        <f t="shared" si="160"/>
        <v>3.5081058020477819E-2</v>
      </c>
      <c r="P204" s="347">
        <f t="shared" si="160"/>
        <v>3.5081058020477819E-2</v>
      </c>
      <c r="R204" s="434"/>
      <c r="S204" s="347">
        <f t="shared" si="162"/>
        <v>3.5081058020477819E-2</v>
      </c>
      <c r="T204" s="347">
        <f t="shared" si="162"/>
        <v>3.5081058020477819E-2</v>
      </c>
    </row>
    <row r="205" spans="2:20" ht="13.5" customHeight="1" outlineLevel="1">
      <c r="B205" s="88"/>
      <c r="C205" s="88"/>
      <c r="E205" s="88"/>
      <c r="F205" s="59"/>
      <c r="G205" s="59"/>
      <c r="H205" s="59"/>
      <c r="I205" s="59"/>
      <c r="J205" s="59"/>
      <c r="K205" s="59"/>
      <c r="L205" s="59"/>
      <c r="M205" s="59"/>
      <c r="N205" s="59"/>
      <c r="O205" s="59"/>
      <c r="P205" s="59"/>
      <c r="R205" s="434"/>
      <c r="S205" s="59"/>
      <c r="T205" s="59"/>
    </row>
    <row r="206" spans="2:20" ht="13.5" customHeight="1" outlineLevel="1">
      <c r="B206" s="147" t="str">
        <f t="shared" ref="B206:B211" si="163">B186&amp;" / "&amp;CHOOSE(E206,"sales","COGS")</f>
        <v>Accounts payable / COGS</v>
      </c>
      <c r="C206" s="88"/>
      <c r="E206" s="476">
        <v>2</v>
      </c>
      <c r="F206" s="343">
        <f t="shared" ref="F206:F211" si="164">F186/(CHOOSE($E206,F$197,F$198)/F$3)</f>
        <v>8.8148464163822521E-2</v>
      </c>
      <c r="G206" s="347">
        <f>F206</f>
        <v>8.8148464163822521E-2</v>
      </c>
      <c r="H206" s="347">
        <f t="shared" ref="H206:P211" si="165">G206</f>
        <v>8.8148464163822521E-2</v>
      </c>
      <c r="I206" s="347">
        <f t="shared" si="165"/>
        <v>8.8148464163822521E-2</v>
      </c>
      <c r="J206" s="347">
        <f t="shared" si="165"/>
        <v>8.8148464163822521E-2</v>
      </c>
      <c r="K206" s="347">
        <f t="shared" si="165"/>
        <v>8.8148464163822521E-2</v>
      </c>
      <c r="L206" s="347">
        <f t="shared" si="165"/>
        <v>8.8148464163822521E-2</v>
      </c>
      <c r="M206" s="347">
        <f t="shared" si="165"/>
        <v>8.8148464163822521E-2</v>
      </c>
      <c r="N206" s="347">
        <f t="shared" si="165"/>
        <v>8.8148464163822521E-2</v>
      </c>
      <c r="O206" s="347">
        <f t="shared" si="165"/>
        <v>8.8148464163822521E-2</v>
      </c>
      <c r="P206" s="347">
        <f t="shared" si="165"/>
        <v>8.8148464163822521E-2</v>
      </c>
      <c r="R206" s="434"/>
      <c r="S206" s="347">
        <f>$G206</f>
        <v>8.8148464163822521E-2</v>
      </c>
      <c r="T206" s="347">
        <f>$G206</f>
        <v>8.8148464163822521E-2</v>
      </c>
    </row>
    <row r="207" spans="2:20" ht="13.5" customHeight="1" outlineLevel="1">
      <c r="B207" s="147" t="str">
        <f t="shared" si="163"/>
        <v>Accrued expenses / COGS</v>
      </c>
      <c r="C207" s="88"/>
      <c r="E207" s="476">
        <v>2</v>
      </c>
      <c r="F207" s="343">
        <f t="shared" si="164"/>
        <v>6.5614334470989757E-2</v>
      </c>
      <c r="G207" s="347">
        <f t="shared" ref="G207:G211" si="166">F207</f>
        <v>6.5614334470989757E-2</v>
      </c>
      <c r="H207" s="347">
        <f t="shared" si="165"/>
        <v>6.5614334470989757E-2</v>
      </c>
      <c r="I207" s="347">
        <f t="shared" si="165"/>
        <v>6.5614334470989757E-2</v>
      </c>
      <c r="J207" s="347">
        <f t="shared" si="165"/>
        <v>6.5614334470989757E-2</v>
      </c>
      <c r="K207" s="347">
        <f t="shared" si="165"/>
        <v>6.5614334470989757E-2</v>
      </c>
      <c r="L207" s="347">
        <f t="shared" si="165"/>
        <v>6.5614334470989757E-2</v>
      </c>
      <c r="M207" s="347">
        <f t="shared" si="165"/>
        <v>6.5614334470989757E-2</v>
      </c>
      <c r="N207" s="347">
        <f t="shared" si="165"/>
        <v>6.5614334470989757E-2</v>
      </c>
      <c r="O207" s="347">
        <f t="shared" si="165"/>
        <v>6.5614334470989757E-2</v>
      </c>
      <c r="P207" s="347">
        <f t="shared" si="165"/>
        <v>6.5614334470989757E-2</v>
      </c>
      <c r="R207" s="434"/>
      <c r="S207" s="347">
        <f t="shared" ref="S207:T211" si="167">$G207</f>
        <v>6.5614334470989757E-2</v>
      </c>
      <c r="T207" s="347">
        <f t="shared" si="167"/>
        <v>6.5614334470989757E-2</v>
      </c>
    </row>
    <row r="208" spans="2:20" ht="13.5" customHeight="1" outlineLevel="1">
      <c r="B208" s="147" t="str">
        <f t="shared" si="163"/>
        <v>Client deposits / sales</v>
      </c>
      <c r="C208" s="88"/>
      <c r="E208" s="476">
        <v>1</v>
      </c>
      <c r="F208" s="343">
        <f t="shared" si="164"/>
        <v>0</v>
      </c>
      <c r="G208" s="347">
        <f t="shared" si="166"/>
        <v>0</v>
      </c>
      <c r="H208" s="347">
        <f t="shared" si="165"/>
        <v>0</v>
      </c>
      <c r="I208" s="347">
        <f t="shared" si="165"/>
        <v>0</v>
      </c>
      <c r="J208" s="347">
        <f t="shared" si="165"/>
        <v>0</v>
      </c>
      <c r="K208" s="347">
        <f t="shared" si="165"/>
        <v>0</v>
      </c>
      <c r="L208" s="347">
        <f t="shared" si="165"/>
        <v>0</v>
      </c>
      <c r="M208" s="347">
        <f t="shared" si="165"/>
        <v>0</v>
      </c>
      <c r="N208" s="347">
        <f t="shared" si="165"/>
        <v>0</v>
      </c>
      <c r="O208" s="347">
        <f t="shared" si="165"/>
        <v>0</v>
      </c>
      <c r="P208" s="347">
        <f t="shared" si="165"/>
        <v>0</v>
      </c>
      <c r="R208" s="434"/>
      <c r="S208" s="347">
        <f t="shared" si="167"/>
        <v>0</v>
      </c>
      <c r="T208" s="347">
        <f t="shared" si="167"/>
        <v>0</v>
      </c>
    </row>
    <row r="209" spans="1:20" ht="13.5" customHeight="1" outlineLevel="1">
      <c r="B209" s="147" t="str">
        <f t="shared" si="163"/>
        <v>Income taxes payable / COGS</v>
      </c>
      <c r="C209" s="88"/>
      <c r="E209" s="476">
        <v>2</v>
      </c>
      <c r="F209" s="343">
        <f t="shared" si="164"/>
        <v>1.2525597269624572E-2</v>
      </c>
      <c r="G209" s="347">
        <f t="shared" si="166"/>
        <v>1.2525597269624572E-2</v>
      </c>
      <c r="H209" s="347">
        <f t="shared" si="165"/>
        <v>1.2525597269624572E-2</v>
      </c>
      <c r="I209" s="347">
        <f t="shared" si="165"/>
        <v>1.2525597269624572E-2</v>
      </c>
      <c r="J209" s="347">
        <f t="shared" si="165"/>
        <v>1.2525597269624572E-2</v>
      </c>
      <c r="K209" s="347">
        <f t="shared" si="165"/>
        <v>1.2525597269624572E-2</v>
      </c>
      <c r="L209" s="347">
        <f t="shared" si="165"/>
        <v>1.2525597269624572E-2</v>
      </c>
      <c r="M209" s="347">
        <f t="shared" si="165"/>
        <v>1.2525597269624572E-2</v>
      </c>
      <c r="N209" s="347">
        <f t="shared" si="165"/>
        <v>1.2525597269624572E-2</v>
      </c>
      <c r="O209" s="347">
        <f t="shared" si="165"/>
        <v>1.2525597269624572E-2</v>
      </c>
      <c r="P209" s="347">
        <f t="shared" si="165"/>
        <v>1.2525597269624572E-2</v>
      </c>
      <c r="R209" s="434"/>
      <c r="S209" s="347">
        <f t="shared" si="167"/>
        <v>1.2525597269624572E-2</v>
      </c>
      <c r="T209" s="347">
        <f t="shared" si="167"/>
        <v>1.2525597269624572E-2</v>
      </c>
    </row>
    <row r="210" spans="1:20" ht="13.5" customHeight="1" outlineLevel="1">
      <c r="B210" s="147" t="str">
        <f t="shared" si="163"/>
        <v>Deferred revenue / sales</v>
      </c>
      <c r="C210" s="88"/>
      <c r="E210" s="476">
        <v>1</v>
      </c>
      <c r="F210" s="343">
        <f t="shared" si="164"/>
        <v>4.5401542649727768E-2</v>
      </c>
      <c r="G210" s="347">
        <f t="shared" si="166"/>
        <v>4.5401542649727768E-2</v>
      </c>
      <c r="H210" s="347">
        <f t="shared" si="165"/>
        <v>4.5401542649727768E-2</v>
      </c>
      <c r="I210" s="347">
        <f t="shared" si="165"/>
        <v>4.5401542649727768E-2</v>
      </c>
      <c r="J210" s="347">
        <f t="shared" si="165"/>
        <v>4.5401542649727768E-2</v>
      </c>
      <c r="K210" s="347">
        <f t="shared" si="165"/>
        <v>4.5401542649727768E-2</v>
      </c>
      <c r="L210" s="347">
        <f t="shared" si="165"/>
        <v>4.5401542649727768E-2</v>
      </c>
      <c r="M210" s="347">
        <f t="shared" si="165"/>
        <v>4.5401542649727768E-2</v>
      </c>
      <c r="N210" s="347">
        <f t="shared" si="165"/>
        <v>4.5401542649727768E-2</v>
      </c>
      <c r="O210" s="347">
        <f t="shared" si="165"/>
        <v>4.5401542649727768E-2</v>
      </c>
      <c r="P210" s="347">
        <f t="shared" si="165"/>
        <v>4.5401542649727768E-2</v>
      </c>
      <c r="R210" s="434"/>
      <c r="S210" s="347">
        <f t="shared" si="167"/>
        <v>4.5401542649727768E-2</v>
      </c>
      <c r="T210" s="347">
        <f t="shared" si="167"/>
        <v>4.5401542649727768E-2</v>
      </c>
    </row>
    <row r="211" spans="1:20" ht="13.5" customHeight="1" outlineLevel="1">
      <c r="B211" s="147" t="str">
        <f t="shared" si="163"/>
        <v>Other current liabilities / COGS</v>
      </c>
      <c r="C211" s="88"/>
      <c r="E211" s="476">
        <v>2</v>
      </c>
      <c r="F211" s="343">
        <f t="shared" si="164"/>
        <v>0.15436860068259384</v>
      </c>
      <c r="G211" s="347">
        <f t="shared" si="166"/>
        <v>0.15436860068259384</v>
      </c>
      <c r="H211" s="347">
        <f t="shared" si="165"/>
        <v>0.15436860068259384</v>
      </c>
      <c r="I211" s="347">
        <f t="shared" si="165"/>
        <v>0.15436860068259384</v>
      </c>
      <c r="J211" s="347">
        <f t="shared" si="165"/>
        <v>0.15436860068259384</v>
      </c>
      <c r="K211" s="347">
        <f t="shared" si="165"/>
        <v>0.15436860068259384</v>
      </c>
      <c r="L211" s="347">
        <f t="shared" si="165"/>
        <v>0.15436860068259384</v>
      </c>
      <c r="M211" s="347">
        <f t="shared" si="165"/>
        <v>0.15436860068259384</v>
      </c>
      <c r="N211" s="347">
        <f t="shared" si="165"/>
        <v>0.15436860068259384</v>
      </c>
      <c r="O211" s="347">
        <f t="shared" si="165"/>
        <v>0.15436860068259384</v>
      </c>
      <c r="P211" s="347">
        <f t="shared" si="165"/>
        <v>0.15436860068259384</v>
      </c>
      <c r="R211" s="434"/>
      <c r="S211" s="347">
        <f t="shared" si="167"/>
        <v>0.15436860068259384</v>
      </c>
      <c r="T211" s="347">
        <f t="shared" si="167"/>
        <v>0.15436860068259384</v>
      </c>
    </row>
    <row r="212" spans="1:20" ht="13.5" customHeight="1" outlineLevel="1">
      <c r="B212" s="147"/>
      <c r="C212" s="88"/>
      <c r="E212" s="477"/>
      <c r="F212" s="347"/>
      <c r="G212" s="347"/>
      <c r="H212" s="347"/>
      <c r="I212" s="347"/>
      <c r="J212" s="347"/>
      <c r="K212" s="347"/>
      <c r="L212" s="347"/>
      <c r="M212" s="347"/>
      <c r="N212" s="347"/>
      <c r="O212" s="347"/>
      <c r="P212" s="347"/>
      <c r="R212" s="434"/>
      <c r="S212" s="347"/>
      <c r="T212" s="347"/>
    </row>
    <row r="213" spans="1:20" ht="13.5" customHeight="1" outlineLevel="1">
      <c r="B213" s="147" t="s">
        <v>390</v>
      </c>
      <c r="C213" s="88"/>
      <c r="E213" s="342"/>
      <c r="F213" s="199"/>
      <c r="G213" s="199">
        <f t="shared" ref="G213:N213" si="168">AVERAGE(F181:G181)*365/(G197/G$3)</f>
        <v>109.69706501000512</v>
      </c>
      <c r="H213" s="199">
        <f t="shared" si="168"/>
        <v>112.68009174098492</v>
      </c>
      <c r="I213" s="199">
        <f t="shared" si="168"/>
        <v>112.42094363758066</v>
      </c>
      <c r="J213" s="199">
        <f t="shared" si="168"/>
        <v>112.42094363758065</v>
      </c>
      <c r="K213" s="199">
        <f t="shared" si="168"/>
        <v>112.42094363758063</v>
      </c>
      <c r="L213" s="199">
        <f t="shared" si="168"/>
        <v>112.42094363758065</v>
      </c>
      <c r="M213" s="199">
        <f t="shared" si="168"/>
        <v>112.42094363758063</v>
      </c>
      <c r="N213" s="199">
        <f t="shared" si="168"/>
        <v>112.42094363758063</v>
      </c>
      <c r="O213" s="199">
        <f t="shared" ref="O213" si="169">AVERAGE(N181:O181)*365/(O197/O$3)</f>
        <v>112.42094363758065</v>
      </c>
      <c r="P213" s="199">
        <f t="shared" ref="P213" si="170">AVERAGE(O181:P181)*365/(P197/P$3)</f>
        <v>112.42094363758065</v>
      </c>
      <c r="R213" s="434"/>
      <c r="S213" s="297">
        <f>AVERAGE($F181,S181)*365/(S197/S$3)</f>
        <v>109.69706501000512</v>
      </c>
      <c r="T213" s="297">
        <f>IFERROR(AVERAGE($F181,T181)*365/(T197/T$3),"NA")</f>
        <v>109.69706501000512</v>
      </c>
    </row>
    <row r="214" spans="1:20" ht="13.5" customHeight="1" outlineLevel="1">
      <c r="B214" s="147" t="s">
        <v>389</v>
      </c>
      <c r="C214" s="88"/>
      <c r="E214" s="342"/>
      <c r="F214" s="199"/>
      <c r="G214" s="199">
        <f t="shared" ref="G214:P214" si="171">AVERAGE(F186:G186)*365/(G199/G$3)</f>
        <v>31.182430978912819</v>
      </c>
      <c r="H214" s="199">
        <f t="shared" si="171"/>
        <v>32.021100493134817</v>
      </c>
      <c r="I214" s="199">
        <f t="shared" si="171"/>
        <v>32.014911254350693</v>
      </c>
      <c r="J214" s="199">
        <f t="shared" si="171"/>
        <v>32.014911254350693</v>
      </c>
      <c r="K214" s="199">
        <f t="shared" si="171"/>
        <v>32.014911254350693</v>
      </c>
      <c r="L214" s="199">
        <f t="shared" si="171"/>
        <v>32.014911254350686</v>
      </c>
      <c r="M214" s="199">
        <f t="shared" si="171"/>
        <v>32.014911254350686</v>
      </c>
      <c r="N214" s="199">
        <f t="shared" si="171"/>
        <v>32.014911254350693</v>
      </c>
      <c r="O214" s="199">
        <f t="shared" si="171"/>
        <v>32.014911254350693</v>
      </c>
      <c r="P214" s="199">
        <f t="shared" si="171"/>
        <v>32.014911254350693</v>
      </c>
      <c r="R214" s="434"/>
      <c r="S214" s="297">
        <f>AVERAGE($F186,S186)*365/(S199/S$3)</f>
        <v>31.182430978912819</v>
      </c>
      <c r="T214" s="297">
        <f>IFERROR(AVERAGE($F186,T186)*365/(T199/T$3),"NA")</f>
        <v>31.182430978912819</v>
      </c>
    </row>
    <row r="215" spans="1:20" ht="13.5" customHeight="1" outlineLevel="1">
      <c r="B215" s="147" t="s">
        <v>388</v>
      </c>
      <c r="C215" s="88"/>
      <c r="E215" s="342"/>
      <c r="F215" s="199"/>
      <c r="G215" s="199">
        <f t="shared" ref="G215:N215" si="172">AVERAGE(F182:G182)*365/(G198/G$3)</f>
        <v>0</v>
      </c>
      <c r="H215" s="199">
        <f t="shared" si="172"/>
        <v>0</v>
      </c>
      <c r="I215" s="199">
        <f t="shared" si="172"/>
        <v>0</v>
      </c>
      <c r="J215" s="199">
        <f t="shared" si="172"/>
        <v>0</v>
      </c>
      <c r="K215" s="199">
        <f t="shared" si="172"/>
        <v>0</v>
      </c>
      <c r="L215" s="199">
        <f t="shared" si="172"/>
        <v>0</v>
      </c>
      <c r="M215" s="199">
        <f t="shared" si="172"/>
        <v>0</v>
      </c>
      <c r="N215" s="199">
        <f t="shared" si="172"/>
        <v>0</v>
      </c>
      <c r="O215" s="199">
        <f t="shared" ref="O215" si="173">AVERAGE(N182:O182)*365/(O198/O$3)</f>
        <v>0</v>
      </c>
      <c r="P215" s="199">
        <f t="shared" ref="P215" si="174">AVERAGE(O182:P182)*365/(P198/P$3)</f>
        <v>0</v>
      </c>
      <c r="R215" s="434"/>
      <c r="S215" s="297">
        <f>AVERAGE($F182,S182)*365/(S198/S$3)</f>
        <v>0</v>
      </c>
      <c r="T215" s="297">
        <f>IFERROR(AVERAGE($F182,T182)*365/(T198/T$3),"NA")</f>
        <v>0</v>
      </c>
    </row>
    <row r="216" spans="1:20" ht="13.5" customHeight="1" outlineLevel="1">
      <c r="B216" s="147" t="s">
        <v>391</v>
      </c>
      <c r="C216" s="88"/>
      <c r="E216" s="342"/>
      <c r="F216" s="199"/>
      <c r="G216" s="199" t="str">
        <f t="shared" ref="G216:N216" si="175">IFERROR((G198/G$3)/AVERAGE(F182:G182),"NA")</f>
        <v>NA</v>
      </c>
      <c r="H216" s="199" t="str">
        <f t="shared" si="175"/>
        <v>NA</v>
      </c>
      <c r="I216" s="199" t="str">
        <f t="shared" si="175"/>
        <v>NA</v>
      </c>
      <c r="J216" s="199" t="str">
        <f t="shared" si="175"/>
        <v>NA</v>
      </c>
      <c r="K216" s="199" t="str">
        <f t="shared" si="175"/>
        <v>NA</v>
      </c>
      <c r="L216" s="199" t="str">
        <f t="shared" si="175"/>
        <v>NA</v>
      </c>
      <c r="M216" s="199" t="str">
        <f t="shared" si="175"/>
        <v>NA</v>
      </c>
      <c r="N216" s="199" t="str">
        <f t="shared" si="175"/>
        <v>NA</v>
      </c>
      <c r="O216" s="199" t="str">
        <f t="shared" ref="O216:P216" si="176">IFERROR((O198/O$3)/AVERAGE(N182:O182),"NA")</f>
        <v>NA</v>
      </c>
      <c r="P216" s="199" t="str">
        <f t="shared" si="176"/>
        <v>NA</v>
      </c>
      <c r="R216" s="434"/>
      <c r="S216" s="297" t="str">
        <f>IFERROR((S198/S$3)/AVERAGE($F182,S182),"NA")</f>
        <v>NA</v>
      </c>
      <c r="T216" s="297" t="str">
        <f>IFERROR((T198/T$3)/AVERAGE($F182,T182),"NA")</f>
        <v>NA</v>
      </c>
    </row>
    <row r="217" spans="1:20" ht="5.0999999999999996" customHeight="1" outlineLevel="1" thickBot="1">
      <c r="B217" s="348"/>
      <c r="C217" s="348"/>
      <c r="D217" s="348"/>
      <c r="E217" s="349"/>
      <c r="F217" s="349"/>
      <c r="G217" s="349"/>
      <c r="H217" s="349"/>
      <c r="I217" s="349"/>
      <c r="J217" s="349"/>
      <c r="K217" s="349"/>
      <c r="L217" s="349"/>
      <c r="M217" s="349"/>
      <c r="N217" s="349"/>
      <c r="O217" s="349"/>
      <c r="P217" s="349"/>
      <c r="Q217" s="349"/>
      <c r="R217" s="349"/>
      <c r="S217" s="349"/>
      <c r="T217" s="349"/>
    </row>
    <row r="218" spans="1:20" ht="13.5" customHeight="1" outlineLevel="1">
      <c r="B218" s="50"/>
      <c r="C218" s="50"/>
      <c r="D218" s="50"/>
      <c r="L218" s="57"/>
    </row>
    <row r="219" spans="1:20" ht="13.5" customHeight="1" outlineLevel="1" thickBot="1">
      <c r="B219" s="50"/>
      <c r="C219" s="50"/>
      <c r="D219" s="50"/>
      <c r="L219" s="57"/>
    </row>
    <row r="220" spans="1:20" ht="20.7" thickTop="1">
      <c r="A220" s="281" t="s">
        <v>631</v>
      </c>
      <c r="B220" s="522" t="str">
        <f>target&amp;" Equity Investments"</f>
        <v>TargetCo Equity Investments</v>
      </c>
      <c r="C220" s="523"/>
      <c r="D220" s="524"/>
      <c r="E220" s="524"/>
      <c r="F220" s="524"/>
      <c r="G220" s="524"/>
      <c r="H220" s="524"/>
      <c r="I220" s="524"/>
      <c r="J220" s="524"/>
      <c r="K220" s="524"/>
      <c r="L220" s="524"/>
      <c r="M220" s="524"/>
      <c r="N220" s="524"/>
      <c r="O220" s="524"/>
      <c r="P220" s="524"/>
      <c r="Q220" s="524"/>
      <c r="R220" s="524"/>
      <c r="S220" s="524"/>
      <c r="T220" s="524"/>
    </row>
    <row r="221" spans="1:20" ht="5.0999999999999996" customHeight="1" outlineLevel="1">
      <c r="B221" s="107"/>
      <c r="C221" s="285"/>
      <c r="L221" s="57"/>
    </row>
    <row r="222" spans="1:20" ht="13.5" customHeight="1" outlineLevel="1">
      <c r="B222" s="286"/>
      <c r="C222" s="286"/>
      <c r="D222" s="286"/>
      <c r="E222" s="42"/>
      <c r="F222" s="432" t="s">
        <v>630</v>
      </c>
      <c r="G222" s="433" t="s">
        <v>629</v>
      </c>
      <c r="H222" s="433"/>
      <c r="I222" s="433"/>
      <c r="J222" s="433"/>
      <c r="K222" s="433"/>
      <c r="L222" s="433"/>
      <c r="M222" s="433"/>
      <c r="N222" s="433"/>
      <c r="O222" s="433"/>
      <c r="P222" s="433"/>
      <c r="R222" s="434"/>
      <c r="S222" s="433" t="s">
        <v>628</v>
      </c>
      <c r="T222" s="433"/>
    </row>
    <row r="223" spans="1:20" ht="13.5" customHeight="1" outlineLevel="1" thickBot="1">
      <c r="B223" s="435" t="str">
        <f>"("&amp;curr&amp;" in millions)"</f>
        <v>($ in millions)</v>
      </c>
      <c r="C223" s="436"/>
      <c r="D223" s="436"/>
      <c r="E223" s="437"/>
      <c r="F223" s="439">
        <f t="shared" ref="F223" si="177">F$8</f>
        <v>44926</v>
      </c>
      <c r="G223" s="439">
        <f t="shared" ref="G223:P223" si="178">G$8</f>
        <v>45291</v>
      </c>
      <c r="H223" s="439">
        <f t="shared" si="178"/>
        <v>45657</v>
      </c>
      <c r="I223" s="439">
        <f t="shared" si="178"/>
        <v>46022</v>
      </c>
      <c r="J223" s="439">
        <f t="shared" si="178"/>
        <v>46387</v>
      </c>
      <c r="K223" s="439">
        <f t="shared" si="178"/>
        <v>46752</v>
      </c>
      <c r="L223" s="439">
        <f t="shared" si="178"/>
        <v>47118</v>
      </c>
      <c r="M223" s="439">
        <f t="shared" si="178"/>
        <v>47483</v>
      </c>
      <c r="N223" s="439">
        <f t="shared" si="178"/>
        <v>47848</v>
      </c>
      <c r="O223" s="439">
        <f t="shared" si="178"/>
        <v>48213</v>
      </c>
      <c r="P223" s="439">
        <f t="shared" si="178"/>
        <v>48579</v>
      </c>
      <c r="R223" s="434"/>
      <c r="S223" s="440">
        <f>S$8</f>
        <v>45107</v>
      </c>
      <c r="T223" s="440">
        <f>T$8</f>
        <v>45291</v>
      </c>
    </row>
    <row r="224" spans="1:20" ht="5.0999999999999996" customHeight="1" outlineLevel="1">
      <c r="B224" s="318"/>
      <c r="C224" s="318"/>
      <c r="D224" s="318"/>
      <c r="E224" s="319"/>
      <c r="F224" s="319"/>
      <c r="G224" s="319"/>
      <c r="H224" s="319"/>
      <c r="I224" s="319"/>
      <c r="J224" s="319"/>
      <c r="K224" s="319"/>
      <c r="L224" s="327"/>
      <c r="R224" s="434"/>
      <c r="S224" s="319"/>
      <c r="T224" s="319"/>
    </row>
    <row r="225" spans="1:20" ht="13.5" customHeight="1" outlineLevel="1">
      <c r="B225" s="147" t="s">
        <v>435</v>
      </c>
      <c r="C225" s="50"/>
      <c r="D225" s="50"/>
      <c r="G225" s="456">
        <v>0</v>
      </c>
      <c r="H225" s="456">
        <v>0</v>
      </c>
      <c r="I225" s="456">
        <v>0</v>
      </c>
      <c r="J225" s="456">
        <v>0</v>
      </c>
      <c r="K225" s="456">
        <v>0</v>
      </c>
      <c r="L225" s="456">
        <v>0</v>
      </c>
      <c r="M225" s="456">
        <v>0</v>
      </c>
      <c r="N225" s="456">
        <v>0</v>
      </c>
      <c r="O225" s="456">
        <v>0</v>
      </c>
      <c r="P225" s="456">
        <v>0</v>
      </c>
      <c r="R225" s="434"/>
      <c r="S225" s="351">
        <f>S$3*$G225</f>
        <v>0</v>
      </c>
      <c r="T225" s="351">
        <f>T$3*$G225</f>
        <v>0</v>
      </c>
    </row>
    <row r="226" spans="1:20" ht="13.5" customHeight="1" outlineLevel="1">
      <c r="B226" s="147" t="s">
        <v>438</v>
      </c>
      <c r="C226" s="50"/>
      <c r="D226" s="50"/>
      <c r="G226" s="330">
        <v>0</v>
      </c>
      <c r="H226" s="330">
        <v>0</v>
      </c>
      <c r="I226" s="330">
        <v>0</v>
      </c>
      <c r="J226" s="330">
        <v>0</v>
      </c>
      <c r="K226" s="330">
        <v>0</v>
      </c>
      <c r="L226" s="330">
        <v>0</v>
      </c>
      <c r="M226" s="330">
        <v>0</v>
      </c>
      <c r="N226" s="330">
        <v>0</v>
      </c>
      <c r="O226" s="330">
        <v>0</v>
      </c>
      <c r="P226" s="330">
        <v>0</v>
      </c>
      <c r="R226" s="434"/>
      <c r="S226" s="184">
        <f>S$3*$G226</f>
        <v>0</v>
      </c>
      <c r="T226" s="184">
        <f>T$3*$G226</f>
        <v>0</v>
      </c>
    </row>
    <row r="227" spans="1:20" ht="13.5" customHeight="1" outlineLevel="1">
      <c r="B227" s="116" t="s">
        <v>439</v>
      </c>
      <c r="C227" s="116"/>
      <c r="D227" s="116"/>
      <c r="E227" s="116"/>
      <c r="F227" s="352"/>
      <c r="G227" s="352">
        <f t="shared" ref="G227:P227" si="179">SUM(G225:G226)</f>
        <v>0</v>
      </c>
      <c r="H227" s="352">
        <f t="shared" si="179"/>
        <v>0</v>
      </c>
      <c r="I227" s="352">
        <f t="shared" si="179"/>
        <v>0</v>
      </c>
      <c r="J227" s="352">
        <f t="shared" si="179"/>
        <v>0</v>
      </c>
      <c r="K227" s="352">
        <f t="shared" si="179"/>
        <v>0</v>
      </c>
      <c r="L227" s="352">
        <f t="shared" si="179"/>
        <v>0</v>
      </c>
      <c r="M227" s="352">
        <f t="shared" si="179"/>
        <v>0</v>
      </c>
      <c r="N227" s="352">
        <f t="shared" si="179"/>
        <v>0</v>
      </c>
      <c r="O227" s="352">
        <f t="shared" si="179"/>
        <v>0</v>
      </c>
      <c r="P227" s="352">
        <f t="shared" si="179"/>
        <v>0</v>
      </c>
      <c r="R227" s="434"/>
      <c r="S227" s="352">
        <f t="shared" ref="S227" si="180">SUM(S225:S226)</f>
        <v>0</v>
      </c>
      <c r="T227" s="352">
        <f>SUM(T225:T226)</f>
        <v>0</v>
      </c>
    </row>
    <row r="228" spans="1:20" ht="13.5" customHeight="1" outlineLevel="1">
      <c r="B228" s="147"/>
      <c r="C228" s="50"/>
      <c r="D228" s="50"/>
      <c r="G228" s="350"/>
      <c r="H228" s="350"/>
      <c r="L228" s="57"/>
      <c r="R228" s="434"/>
      <c r="T228" s="350"/>
    </row>
    <row r="229" spans="1:20" ht="13.5" customHeight="1" outlineLevel="1">
      <c r="B229" s="147" t="s">
        <v>440</v>
      </c>
      <c r="C229" s="50"/>
      <c r="D229" s="50"/>
      <c r="F229" s="375">
        <v>0.8</v>
      </c>
      <c r="G229" s="350"/>
      <c r="H229" s="350"/>
      <c r="L229" s="57"/>
      <c r="R229" s="434"/>
      <c r="T229" s="350"/>
    </row>
    <row r="230" spans="1:20" ht="13.5" customHeight="1" outlineLevel="1">
      <c r="B230" s="147"/>
      <c r="C230" s="50"/>
      <c r="D230" s="50"/>
      <c r="G230" s="350"/>
      <c r="H230" s="350"/>
      <c r="L230" s="57"/>
      <c r="R230" s="434"/>
      <c r="T230" s="350"/>
    </row>
    <row r="231" spans="1:20" ht="13.5" customHeight="1" outlineLevel="1">
      <c r="B231" s="147" t="s">
        <v>442</v>
      </c>
      <c r="C231" s="50"/>
      <c r="D231" s="50"/>
      <c r="F231" s="114"/>
      <c r="G231" s="114">
        <f t="shared" ref="G231:P231" si="181">-G226*(1-$F229)*G73</f>
        <v>0</v>
      </c>
      <c r="H231" s="114">
        <f t="shared" si="181"/>
        <v>0</v>
      </c>
      <c r="I231" s="114">
        <f t="shared" si="181"/>
        <v>0</v>
      </c>
      <c r="J231" s="114">
        <f t="shared" si="181"/>
        <v>0</v>
      </c>
      <c r="K231" s="114">
        <f t="shared" si="181"/>
        <v>0</v>
      </c>
      <c r="L231" s="114">
        <f t="shared" si="181"/>
        <v>0</v>
      </c>
      <c r="M231" s="114">
        <f t="shared" si="181"/>
        <v>0</v>
      </c>
      <c r="N231" s="114">
        <f t="shared" si="181"/>
        <v>0</v>
      </c>
      <c r="O231" s="114">
        <f t="shared" si="181"/>
        <v>0</v>
      </c>
      <c r="P231" s="114">
        <f t="shared" si="181"/>
        <v>0</v>
      </c>
      <c r="R231" s="434"/>
      <c r="S231" s="114">
        <f>-S226*(1-$F229)*S73</f>
        <v>0</v>
      </c>
      <c r="T231" s="114">
        <f>-T226*(1-$F229)*T73</f>
        <v>0</v>
      </c>
    </row>
    <row r="232" spans="1:20" ht="13.5" customHeight="1" outlineLevel="1">
      <c r="B232" s="147" t="s">
        <v>458</v>
      </c>
      <c r="C232" s="50"/>
      <c r="D232" s="50"/>
      <c r="F232" s="478">
        <v>0</v>
      </c>
      <c r="G232" s="118">
        <f t="shared" ref="G232:P232" si="182">G227*(1-$F229*$F232)*G73</f>
        <v>0</v>
      </c>
      <c r="H232" s="118">
        <f t="shared" si="182"/>
        <v>0</v>
      </c>
      <c r="I232" s="118">
        <f t="shared" si="182"/>
        <v>0</v>
      </c>
      <c r="J232" s="118">
        <f t="shared" si="182"/>
        <v>0</v>
      </c>
      <c r="K232" s="118">
        <f t="shared" si="182"/>
        <v>0</v>
      </c>
      <c r="L232" s="118">
        <f t="shared" si="182"/>
        <v>0</v>
      </c>
      <c r="M232" s="118">
        <f t="shared" si="182"/>
        <v>0</v>
      </c>
      <c r="N232" s="118">
        <f t="shared" si="182"/>
        <v>0</v>
      </c>
      <c r="O232" s="118">
        <f t="shared" si="182"/>
        <v>0</v>
      </c>
      <c r="P232" s="118">
        <f t="shared" si="182"/>
        <v>0</v>
      </c>
      <c r="R232" s="434"/>
      <c r="S232" s="118">
        <f>S227*(1-$F229*$F232)*S73</f>
        <v>0</v>
      </c>
      <c r="T232" s="118">
        <f>T227*(1-$F229*$F232)*T73</f>
        <v>0</v>
      </c>
    </row>
    <row r="233" spans="1:20" ht="13.5" customHeight="1" outlineLevel="1">
      <c r="B233" s="116" t="s">
        <v>441</v>
      </c>
      <c r="C233" s="116"/>
      <c r="D233" s="116"/>
      <c r="E233" s="116"/>
      <c r="F233" s="352"/>
      <c r="G233" s="352">
        <f t="shared" ref="G233:P233" si="183">SUM(G231:G232)</f>
        <v>0</v>
      </c>
      <c r="H233" s="352">
        <f t="shared" si="183"/>
        <v>0</v>
      </c>
      <c r="I233" s="352">
        <f t="shared" si="183"/>
        <v>0</v>
      </c>
      <c r="J233" s="352">
        <f t="shared" si="183"/>
        <v>0</v>
      </c>
      <c r="K233" s="352">
        <f t="shared" si="183"/>
        <v>0</v>
      </c>
      <c r="L233" s="352">
        <f t="shared" si="183"/>
        <v>0</v>
      </c>
      <c r="M233" s="352">
        <f t="shared" si="183"/>
        <v>0</v>
      </c>
      <c r="N233" s="352">
        <f t="shared" si="183"/>
        <v>0</v>
      </c>
      <c r="O233" s="352">
        <f t="shared" si="183"/>
        <v>0</v>
      </c>
      <c r="P233" s="352">
        <f t="shared" si="183"/>
        <v>0</v>
      </c>
      <c r="R233" s="434"/>
      <c r="S233" s="352">
        <f t="shared" ref="S233" si="184">SUM(S231:S232)</f>
        <v>0</v>
      </c>
      <c r="T233" s="352">
        <f>SUM(T231:T232)</f>
        <v>0</v>
      </c>
    </row>
    <row r="234" spans="1:20" ht="13.5" customHeight="1" outlineLevel="1">
      <c r="B234" s="88"/>
      <c r="C234" s="88"/>
      <c r="D234" s="88"/>
      <c r="E234" s="88"/>
      <c r="F234" s="328"/>
      <c r="G234" s="328"/>
      <c r="H234" s="328"/>
      <c r="I234" s="328"/>
      <c r="J234" s="328"/>
      <c r="K234" s="328"/>
      <c r="L234" s="328"/>
      <c r="M234" s="328"/>
      <c r="N234" s="328"/>
      <c r="O234" s="328"/>
      <c r="P234" s="328"/>
      <c r="R234" s="434"/>
      <c r="S234" s="328"/>
      <c r="T234" s="328"/>
    </row>
    <row r="235" spans="1:20" ht="13.5" customHeight="1" outlineLevel="1">
      <c r="B235" s="88" t="s">
        <v>469</v>
      </c>
      <c r="C235" s="88"/>
      <c r="D235" s="88"/>
      <c r="E235" s="88"/>
      <c r="F235" s="114"/>
      <c r="G235" s="114">
        <f t="shared" ref="G235:P235" si="185">G225*G73-G233</f>
        <v>0</v>
      </c>
      <c r="H235" s="114">
        <f t="shared" si="185"/>
        <v>0</v>
      </c>
      <c r="I235" s="114">
        <f t="shared" si="185"/>
        <v>0</v>
      </c>
      <c r="J235" s="114">
        <f t="shared" si="185"/>
        <v>0</v>
      </c>
      <c r="K235" s="114">
        <f t="shared" si="185"/>
        <v>0</v>
      </c>
      <c r="L235" s="114">
        <f t="shared" si="185"/>
        <v>0</v>
      </c>
      <c r="M235" s="114">
        <f t="shared" si="185"/>
        <v>0</v>
      </c>
      <c r="N235" s="114">
        <f t="shared" si="185"/>
        <v>0</v>
      </c>
      <c r="O235" s="114">
        <f t="shared" si="185"/>
        <v>0</v>
      </c>
      <c r="P235" s="114">
        <f t="shared" si="185"/>
        <v>0</v>
      </c>
      <c r="R235" s="434"/>
      <c r="S235" s="114">
        <f>S225*S73-S233</f>
        <v>0</v>
      </c>
      <c r="T235" s="114">
        <f>T225*T73-T233</f>
        <v>0</v>
      </c>
    </row>
    <row r="236" spans="1:20" ht="5.0999999999999996" customHeight="1" outlineLevel="1" thickBot="1">
      <c r="B236" s="348"/>
      <c r="C236" s="348"/>
      <c r="D236" s="348"/>
      <c r="E236" s="349"/>
      <c r="F236" s="349"/>
      <c r="G236" s="349"/>
      <c r="H236" s="349"/>
      <c r="I236" s="349"/>
      <c r="J236" s="349"/>
      <c r="K236" s="349"/>
      <c r="L236" s="349"/>
      <c r="M236" s="349"/>
      <c r="N236" s="349"/>
      <c r="O236" s="349"/>
      <c r="P236" s="349"/>
      <c r="Q236" s="349"/>
      <c r="R236" s="349"/>
      <c r="S236" s="349"/>
      <c r="T236" s="349"/>
    </row>
    <row r="237" spans="1:20" ht="13.5" customHeight="1" outlineLevel="1">
      <c r="B237" s="50"/>
      <c r="C237" s="50"/>
      <c r="D237" s="50"/>
      <c r="L237" s="57"/>
    </row>
    <row r="238" spans="1:20" ht="13.5" customHeight="1" outlineLevel="1" thickBot="1">
      <c r="B238" s="50"/>
      <c r="C238" s="50"/>
      <c r="D238" s="50"/>
      <c r="L238" s="57"/>
    </row>
    <row r="239" spans="1:20" ht="20.7" thickTop="1">
      <c r="A239" s="281" t="s">
        <v>631</v>
      </c>
      <c r="B239" s="522" t="str">
        <f>target&amp;" Debt Schedule"</f>
        <v>TargetCo Debt Schedule</v>
      </c>
      <c r="C239" s="523"/>
      <c r="D239" s="524"/>
      <c r="E239" s="524"/>
      <c r="F239" s="524"/>
      <c r="G239" s="524"/>
      <c r="H239" s="524"/>
      <c r="I239" s="524"/>
      <c r="J239" s="524"/>
      <c r="K239" s="524"/>
      <c r="L239" s="524"/>
      <c r="M239" s="524"/>
      <c r="N239" s="524"/>
      <c r="O239" s="524"/>
      <c r="P239" s="524"/>
      <c r="Q239" s="524"/>
      <c r="R239" s="524"/>
      <c r="S239" s="524"/>
      <c r="T239" s="524"/>
    </row>
    <row r="240" spans="1:20" ht="5.0999999999999996" customHeight="1" outlineLevel="1">
      <c r="B240" s="107"/>
      <c r="C240" s="285"/>
      <c r="L240" s="57"/>
    </row>
    <row r="241" spans="2:20" ht="13.5" customHeight="1" outlineLevel="1">
      <c r="B241" s="286"/>
      <c r="C241" s="286"/>
      <c r="D241" s="286"/>
      <c r="E241" s="42"/>
      <c r="F241" s="432" t="s">
        <v>630</v>
      </c>
      <c r="G241" s="433" t="s">
        <v>629</v>
      </c>
      <c r="H241" s="433"/>
      <c r="I241" s="433"/>
      <c r="J241" s="433"/>
      <c r="K241" s="433"/>
      <c r="L241" s="433"/>
      <c r="M241" s="433"/>
      <c r="N241" s="433"/>
      <c r="O241" s="433"/>
      <c r="P241" s="433"/>
      <c r="R241" s="434"/>
      <c r="S241" s="433" t="s">
        <v>628</v>
      </c>
      <c r="T241" s="433"/>
    </row>
    <row r="242" spans="2:20" ht="13.5" customHeight="1" outlineLevel="1" thickBot="1">
      <c r="B242" s="435" t="str">
        <f>"("&amp;curr&amp;" in millions)"</f>
        <v>($ in millions)</v>
      </c>
      <c r="C242" s="436"/>
      <c r="D242" s="436"/>
      <c r="E242" s="437"/>
      <c r="F242" s="439">
        <f t="shared" ref="F242" si="186">F$8</f>
        <v>44926</v>
      </c>
      <c r="G242" s="439">
        <f t="shared" ref="G242:P242" si="187">G$8</f>
        <v>45291</v>
      </c>
      <c r="H242" s="439">
        <f t="shared" si="187"/>
        <v>45657</v>
      </c>
      <c r="I242" s="439">
        <f t="shared" si="187"/>
        <v>46022</v>
      </c>
      <c r="J242" s="439">
        <f t="shared" si="187"/>
        <v>46387</v>
      </c>
      <c r="K242" s="439">
        <f t="shared" si="187"/>
        <v>46752</v>
      </c>
      <c r="L242" s="439">
        <f t="shared" si="187"/>
        <v>47118</v>
      </c>
      <c r="M242" s="439">
        <f t="shared" si="187"/>
        <v>47483</v>
      </c>
      <c r="N242" s="439">
        <f t="shared" si="187"/>
        <v>47848</v>
      </c>
      <c r="O242" s="439">
        <f t="shared" si="187"/>
        <v>48213</v>
      </c>
      <c r="P242" s="439">
        <f t="shared" si="187"/>
        <v>48579</v>
      </c>
      <c r="R242" s="434"/>
      <c r="S242" s="440">
        <f>S$8</f>
        <v>45107</v>
      </c>
      <c r="T242" s="440">
        <f>T$8</f>
        <v>45291</v>
      </c>
    </row>
    <row r="243" spans="2:20" ht="5.0999999999999996" customHeight="1" outlineLevel="1">
      <c r="B243" s="318"/>
      <c r="C243" s="318"/>
      <c r="D243" s="318"/>
      <c r="E243" s="319"/>
      <c r="F243" s="319"/>
      <c r="G243" s="319"/>
      <c r="H243" s="319"/>
      <c r="I243" s="319"/>
      <c r="J243" s="319"/>
      <c r="K243" s="319"/>
      <c r="L243" s="327"/>
      <c r="R243" s="434"/>
      <c r="S243" s="319"/>
      <c r="T243" s="319"/>
    </row>
    <row r="244" spans="2:20" ht="13.5" customHeight="1" outlineLevel="1">
      <c r="B244" s="88" t="s">
        <v>405</v>
      </c>
      <c r="C244" s="88"/>
      <c r="D244" s="88"/>
      <c r="E244" s="88"/>
      <c r="F244" s="114"/>
      <c r="G244" s="114">
        <f t="shared" ref="G244:P244" si="188">F84</f>
        <v>157.10599999999999</v>
      </c>
      <c r="H244" s="114">
        <f t="shared" ca="1" si="188"/>
        <v>235.73475844114591</v>
      </c>
      <c r="I244" s="114">
        <f t="shared" ca="1" si="188"/>
        <v>308.06145054659027</v>
      </c>
      <c r="J244" s="114">
        <f t="shared" ca="1" si="188"/>
        <v>379.17815506242414</v>
      </c>
      <c r="K244" s="114">
        <f t="shared" ca="1" si="188"/>
        <v>442.26271866155355</v>
      </c>
      <c r="L244" s="114">
        <f t="shared" ca="1" si="188"/>
        <v>499.59582763962362</v>
      </c>
      <c r="M244" s="114">
        <f t="shared" ca="1" si="188"/>
        <v>557.73458716422226</v>
      </c>
      <c r="N244" s="114">
        <f t="shared" ca="1" si="188"/>
        <v>616.68740221622477</v>
      </c>
      <c r="O244" s="114">
        <f t="shared" ca="1" si="188"/>
        <v>676.46276234902246</v>
      </c>
      <c r="P244" s="114">
        <f t="shared" ca="1" si="188"/>
        <v>737.06924253503223</v>
      </c>
      <c r="R244" s="434"/>
      <c r="S244" s="351">
        <f>F84</f>
        <v>157.10599999999999</v>
      </c>
      <c r="T244" s="114">
        <f ca="1">S84</f>
        <v>187.29832323239592</v>
      </c>
    </row>
    <row r="245" spans="2:20" ht="13.5" customHeight="1" outlineLevel="1">
      <c r="B245" s="88" t="s">
        <v>404</v>
      </c>
      <c r="C245" s="88"/>
      <c r="D245" s="88"/>
      <c r="E245" s="88"/>
      <c r="F245" s="163"/>
      <c r="G245" s="330">
        <v>-100</v>
      </c>
      <c r="H245" s="163">
        <f t="shared" ref="H245:P245" si="189">G245</f>
        <v>-100</v>
      </c>
      <c r="I245" s="163">
        <f t="shared" si="189"/>
        <v>-100</v>
      </c>
      <c r="J245" s="163">
        <f t="shared" si="189"/>
        <v>-100</v>
      </c>
      <c r="K245" s="163">
        <f t="shared" si="189"/>
        <v>-100</v>
      </c>
      <c r="L245" s="163">
        <f t="shared" si="189"/>
        <v>-100</v>
      </c>
      <c r="M245" s="163">
        <f t="shared" si="189"/>
        <v>-100</v>
      </c>
      <c r="N245" s="163">
        <f t="shared" si="189"/>
        <v>-100</v>
      </c>
      <c r="O245" s="163">
        <f t="shared" si="189"/>
        <v>-100</v>
      </c>
      <c r="P245" s="163">
        <f t="shared" si="189"/>
        <v>-100</v>
      </c>
      <c r="R245" s="434"/>
      <c r="S245" s="184">
        <f>$G245</f>
        <v>-100</v>
      </c>
      <c r="T245" s="184">
        <f>$G245</f>
        <v>-100</v>
      </c>
    </row>
    <row r="246" spans="2:20" ht="13.5" customHeight="1" outlineLevel="1">
      <c r="B246" s="116" t="s">
        <v>406</v>
      </c>
      <c r="C246" s="116"/>
      <c r="D246" s="116"/>
      <c r="E246" s="116"/>
      <c r="F246" s="340"/>
      <c r="G246" s="340">
        <f t="shared" ref="G246:P246" si="190">SUM(G244:G245)</f>
        <v>57.105999999999995</v>
      </c>
      <c r="H246" s="340">
        <f t="shared" ca="1" si="190"/>
        <v>135.73475844114591</v>
      </c>
      <c r="I246" s="340">
        <f t="shared" ca="1" si="190"/>
        <v>208.06145054659027</v>
      </c>
      <c r="J246" s="340">
        <f t="shared" ca="1" si="190"/>
        <v>279.17815506242414</v>
      </c>
      <c r="K246" s="340">
        <f t="shared" ca="1" si="190"/>
        <v>342.26271866155355</v>
      </c>
      <c r="L246" s="340">
        <f t="shared" ca="1" si="190"/>
        <v>399.59582763962362</v>
      </c>
      <c r="M246" s="340">
        <f t="shared" ca="1" si="190"/>
        <v>457.73458716422226</v>
      </c>
      <c r="N246" s="340">
        <f t="shared" ca="1" si="190"/>
        <v>516.68740221622477</v>
      </c>
      <c r="O246" s="340">
        <f t="shared" ca="1" si="190"/>
        <v>576.46276234902246</v>
      </c>
      <c r="P246" s="340">
        <f t="shared" ca="1" si="190"/>
        <v>637.06924253503223</v>
      </c>
      <c r="R246" s="434"/>
      <c r="S246" s="340">
        <f t="shared" ref="S246" si="191">SUM(S244:S245)</f>
        <v>57.105999999999995</v>
      </c>
      <c r="T246" s="340">
        <f ca="1">SUM(T244:T245)</f>
        <v>87.298323232395916</v>
      </c>
    </row>
    <row r="247" spans="2:20" ht="13.5" customHeight="1" outlineLevel="1">
      <c r="B247" s="88" t="s">
        <v>407</v>
      </c>
      <c r="C247" s="88"/>
      <c r="D247" s="88"/>
      <c r="E247" s="88"/>
      <c r="F247" s="163"/>
      <c r="G247" s="163">
        <f t="shared" ref="G247:P247" ca="1" si="192">G152+G158+SUM(G166:G167)</f>
        <v>93.628758441145919</v>
      </c>
      <c r="H247" s="163">
        <f t="shared" ca="1" si="192"/>
        <v>72.326692105444351</v>
      </c>
      <c r="I247" s="163">
        <f t="shared" ca="1" si="192"/>
        <v>71.116704515833845</v>
      </c>
      <c r="J247" s="163">
        <f t="shared" ca="1" si="192"/>
        <v>63.084563599129396</v>
      </c>
      <c r="K247" s="163">
        <f t="shared" ca="1" si="192"/>
        <v>57.333108978070058</v>
      </c>
      <c r="L247" s="163">
        <f t="shared" ca="1" si="192"/>
        <v>58.138759524598598</v>
      </c>
      <c r="M247" s="163">
        <f t="shared" ca="1" si="192"/>
        <v>58.952815052002492</v>
      </c>
      <c r="N247" s="163">
        <f t="shared" ca="1" si="192"/>
        <v>59.775360132797715</v>
      </c>
      <c r="O247" s="163">
        <f t="shared" ca="1" si="192"/>
        <v>60.606480186009776</v>
      </c>
      <c r="P247" s="163">
        <f t="shared" ca="1" si="192"/>
        <v>61.446261485639667</v>
      </c>
      <c r="R247" s="434"/>
      <c r="S247" s="163">
        <f ca="1">S152+S158+SUM(S166:S167)</f>
        <v>45.192323232395921</v>
      </c>
      <c r="T247" s="163">
        <f ca="1">T152+T158+SUM(T166:T167)</f>
        <v>48.436435208749991</v>
      </c>
    </row>
    <row r="248" spans="2:20" ht="13.5" customHeight="1" outlineLevel="1">
      <c r="B248" s="116" t="s">
        <v>410</v>
      </c>
      <c r="C248" s="116"/>
      <c r="D248" s="116"/>
      <c r="E248" s="116"/>
      <c r="F248" s="340"/>
      <c r="G248" s="340">
        <f t="shared" ref="G248:P248" ca="1" si="193">SUM(G246:G247)</f>
        <v>150.73475844114591</v>
      </c>
      <c r="H248" s="340">
        <f t="shared" ca="1" si="193"/>
        <v>208.06145054659027</v>
      </c>
      <c r="I248" s="340">
        <f t="shared" ca="1" si="193"/>
        <v>279.17815506242414</v>
      </c>
      <c r="J248" s="340">
        <f t="shared" ca="1" si="193"/>
        <v>342.26271866155355</v>
      </c>
      <c r="K248" s="340">
        <f t="shared" ca="1" si="193"/>
        <v>399.59582763962362</v>
      </c>
      <c r="L248" s="340">
        <f t="shared" ca="1" si="193"/>
        <v>457.73458716422221</v>
      </c>
      <c r="M248" s="340">
        <f t="shared" ca="1" si="193"/>
        <v>516.68740221622477</v>
      </c>
      <c r="N248" s="340">
        <f t="shared" ca="1" si="193"/>
        <v>576.46276234902246</v>
      </c>
      <c r="O248" s="340">
        <f t="shared" ca="1" si="193"/>
        <v>637.06924253503223</v>
      </c>
      <c r="P248" s="340">
        <f t="shared" ca="1" si="193"/>
        <v>698.51550402067187</v>
      </c>
      <c r="R248" s="434"/>
      <c r="S248" s="340">
        <f t="shared" ref="S248" ca="1" si="194">SUM(S246:S247)</f>
        <v>102.29832323239592</v>
      </c>
      <c r="T248" s="340">
        <f ca="1">SUM(T246:T247)</f>
        <v>135.73475844114591</v>
      </c>
    </row>
    <row r="249" spans="2:20" ht="13.5" customHeight="1" outlineLevel="1">
      <c r="B249" s="139" t="str">
        <f>B344</f>
        <v>Senior credit facility 2</v>
      </c>
      <c r="C249" s="50"/>
      <c r="D249" s="50"/>
      <c r="F249" s="163"/>
      <c r="G249" s="163">
        <f t="shared" ref="G249:P249" si="195">G279</f>
        <v>0</v>
      </c>
      <c r="H249" s="163">
        <f t="shared" ca="1" si="195"/>
        <v>0</v>
      </c>
      <c r="I249" s="163">
        <f t="shared" ca="1" si="195"/>
        <v>0</v>
      </c>
      <c r="J249" s="163">
        <f t="shared" ca="1" si="195"/>
        <v>0</v>
      </c>
      <c r="K249" s="163">
        <f t="shared" ca="1" si="195"/>
        <v>0</v>
      </c>
      <c r="L249" s="163">
        <f t="shared" ca="1" si="195"/>
        <v>0</v>
      </c>
      <c r="M249" s="163">
        <f t="shared" ca="1" si="195"/>
        <v>0</v>
      </c>
      <c r="N249" s="163">
        <f t="shared" ca="1" si="195"/>
        <v>0</v>
      </c>
      <c r="O249" s="163">
        <f t="shared" ca="1" si="195"/>
        <v>0</v>
      </c>
      <c r="P249" s="163">
        <f t="shared" ca="1" si="195"/>
        <v>0</v>
      </c>
      <c r="R249" s="434"/>
      <c r="S249" s="163">
        <f>S279</f>
        <v>0</v>
      </c>
      <c r="T249" s="163">
        <f ca="1">T279</f>
        <v>0</v>
      </c>
    </row>
    <row r="250" spans="2:20" ht="13.5" customHeight="1" outlineLevel="1">
      <c r="B250" s="139" t="str">
        <f t="shared" ref="B250:B251" si="196">B345</f>
        <v>Subordinated note 2</v>
      </c>
      <c r="C250" s="50"/>
      <c r="D250" s="50"/>
      <c r="F250" s="163"/>
      <c r="G250" s="163">
        <f t="shared" ref="G250:P250" si="197">G285</f>
        <v>0</v>
      </c>
      <c r="H250" s="163">
        <f t="shared" ca="1" si="197"/>
        <v>0</v>
      </c>
      <c r="I250" s="163">
        <f t="shared" ca="1" si="197"/>
        <v>0</v>
      </c>
      <c r="J250" s="163">
        <f t="shared" ca="1" si="197"/>
        <v>0</v>
      </c>
      <c r="K250" s="163">
        <f t="shared" ca="1" si="197"/>
        <v>0</v>
      </c>
      <c r="L250" s="163">
        <f t="shared" ca="1" si="197"/>
        <v>0</v>
      </c>
      <c r="M250" s="163">
        <f t="shared" ca="1" si="197"/>
        <v>0</v>
      </c>
      <c r="N250" s="163">
        <f t="shared" ca="1" si="197"/>
        <v>0</v>
      </c>
      <c r="O250" s="163">
        <f t="shared" ca="1" si="197"/>
        <v>0</v>
      </c>
      <c r="P250" s="163">
        <f t="shared" ca="1" si="197"/>
        <v>0</v>
      </c>
      <c r="R250" s="434"/>
      <c r="S250" s="163">
        <f>S285</f>
        <v>0</v>
      </c>
      <c r="T250" s="163">
        <f ca="1">T285</f>
        <v>0</v>
      </c>
    </row>
    <row r="251" spans="2:20" ht="13.5" customHeight="1" outlineLevel="1">
      <c r="B251" s="139" t="str">
        <f t="shared" si="196"/>
        <v>Convertible bond 2</v>
      </c>
      <c r="C251" s="50"/>
      <c r="D251" s="50"/>
      <c r="F251" s="163"/>
      <c r="G251" s="163">
        <f t="shared" ref="G251:P251" si="198">G292</f>
        <v>0</v>
      </c>
      <c r="H251" s="163">
        <f t="shared" si="198"/>
        <v>0</v>
      </c>
      <c r="I251" s="163">
        <f t="shared" si="198"/>
        <v>0</v>
      </c>
      <c r="J251" s="163">
        <f t="shared" si="198"/>
        <v>0</v>
      </c>
      <c r="K251" s="163">
        <f t="shared" si="198"/>
        <v>0</v>
      </c>
      <c r="L251" s="163">
        <f t="shared" si="198"/>
        <v>0</v>
      </c>
      <c r="M251" s="163">
        <f t="shared" si="198"/>
        <v>0</v>
      </c>
      <c r="N251" s="163">
        <f t="shared" si="198"/>
        <v>0</v>
      </c>
      <c r="O251" s="163">
        <f t="shared" si="198"/>
        <v>0</v>
      </c>
      <c r="P251" s="163">
        <f t="shared" si="198"/>
        <v>0</v>
      </c>
      <c r="R251" s="434"/>
      <c r="S251" s="163">
        <f>S292</f>
        <v>0</v>
      </c>
      <c r="T251" s="163">
        <f>T292</f>
        <v>0</v>
      </c>
    </row>
    <row r="252" spans="2:20" ht="13.5" customHeight="1" outlineLevel="1">
      <c r="B252" s="116" t="s">
        <v>408</v>
      </c>
      <c r="C252" s="116"/>
      <c r="D252" s="116"/>
      <c r="E252" s="116"/>
      <c r="F252" s="340"/>
      <c r="G252" s="340">
        <f ca="1">SUM(G249:OFFSET(G252,-1,0))</f>
        <v>0</v>
      </c>
      <c r="H252" s="340">
        <f ca="1">SUM(H249:OFFSET(H252,-1,0))</f>
        <v>0</v>
      </c>
      <c r="I252" s="340">
        <f ca="1">SUM(I249:OFFSET(I252,-1,0))</f>
        <v>0</v>
      </c>
      <c r="J252" s="340">
        <f ca="1">SUM(J249:OFFSET(J252,-1,0))</f>
        <v>0</v>
      </c>
      <c r="K252" s="340">
        <f ca="1">SUM(K249:OFFSET(K252,-1,0))</f>
        <v>0</v>
      </c>
      <c r="L252" s="340">
        <f ca="1">SUM(L249:OFFSET(L252,-1,0))</f>
        <v>0</v>
      </c>
      <c r="M252" s="340">
        <f ca="1">SUM(M249:OFFSET(M252,-1,0))</f>
        <v>0</v>
      </c>
      <c r="N252" s="340">
        <f ca="1">SUM(N249:OFFSET(N252,-1,0))</f>
        <v>0</v>
      </c>
      <c r="O252" s="340">
        <f ca="1">SUM(O249:OFFSET(O252,-1,0))</f>
        <v>0</v>
      </c>
      <c r="P252" s="340">
        <f ca="1">SUM(P249:OFFSET(P252,-1,0))</f>
        <v>0</v>
      </c>
      <c r="R252" s="434"/>
      <c r="S252" s="340">
        <f ca="1">SUM(S249:OFFSET(S252,-1,0))</f>
        <v>0</v>
      </c>
      <c r="T252" s="340">
        <f ca="1">SUM(T249:OFFSET(T252,-1,0))</f>
        <v>0</v>
      </c>
    </row>
    <row r="253" spans="2:20" ht="13.5" customHeight="1" outlineLevel="1">
      <c r="B253" s="164" t="s">
        <v>409</v>
      </c>
      <c r="C253" s="164"/>
      <c r="D253" s="164"/>
      <c r="E253" s="164"/>
      <c r="F253" s="166"/>
      <c r="G253" s="166">
        <f t="shared" ref="G253:P253" ca="1" si="199">G248+G252</f>
        <v>150.73475844114591</v>
      </c>
      <c r="H253" s="166">
        <f t="shared" ca="1" si="199"/>
        <v>208.06145054659027</v>
      </c>
      <c r="I253" s="166">
        <f t="shared" ca="1" si="199"/>
        <v>279.17815506242414</v>
      </c>
      <c r="J253" s="166">
        <f t="shared" ca="1" si="199"/>
        <v>342.26271866155355</v>
      </c>
      <c r="K253" s="166">
        <f t="shared" ca="1" si="199"/>
        <v>399.59582763962362</v>
      </c>
      <c r="L253" s="166">
        <f t="shared" ca="1" si="199"/>
        <v>457.73458716422221</v>
      </c>
      <c r="M253" s="166">
        <f t="shared" ca="1" si="199"/>
        <v>516.68740221622477</v>
      </c>
      <c r="N253" s="166">
        <f t="shared" ca="1" si="199"/>
        <v>576.46276234902246</v>
      </c>
      <c r="O253" s="166">
        <f t="shared" ca="1" si="199"/>
        <v>637.06924253503223</v>
      </c>
      <c r="P253" s="166">
        <f t="shared" ca="1" si="199"/>
        <v>698.51550402067187</v>
      </c>
      <c r="R253" s="434"/>
      <c r="S253" s="166">
        <f t="shared" ref="S253" ca="1" si="200">S248+S252</f>
        <v>102.29832323239592</v>
      </c>
      <c r="T253" s="166">
        <f ca="1">T248+T252</f>
        <v>135.73475844114591</v>
      </c>
    </row>
    <row r="254" spans="2:20" ht="13.5" customHeight="1" outlineLevel="1">
      <c r="B254" s="50"/>
      <c r="C254" s="50"/>
      <c r="D254" s="50"/>
      <c r="L254" s="57"/>
      <c r="R254" s="434"/>
    </row>
    <row r="255" spans="2:20" ht="13.5" customHeight="1" outlineLevel="1">
      <c r="B255" s="354" t="s">
        <v>414</v>
      </c>
      <c r="C255" s="88"/>
      <c r="D255" s="88"/>
      <c r="E255" s="88"/>
      <c r="F255" s="328"/>
      <c r="G255" s="141"/>
      <c r="H255" s="141"/>
      <c r="I255" s="141"/>
      <c r="J255" s="141"/>
      <c r="K255" s="141"/>
      <c r="L255" s="141"/>
      <c r="M255" s="141"/>
      <c r="N255" s="141"/>
      <c r="O255" s="141"/>
      <c r="P255" s="141"/>
      <c r="R255" s="434"/>
      <c r="S255" s="328"/>
      <c r="T255" s="141"/>
    </row>
    <row r="256" spans="2:20" ht="13.5" customHeight="1" outlineLevel="1">
      <c r="B256" s="88" t="str">
        <f>B343</f>
        <v>Revolver</v>
      </c>
      <c r="C256" s="88"/>
      <c r="D256" s="88"/>
      <c r="E256" s="88"/>
      <c r="F256" s="114"/>
      <c r="G256" s="114">
        <f ca="1">-MAX(0,MIN(G269,SUM(G$253:G255),$F272*$J343))</f>
        <v>-15</v>
      </c>
      <c r="H256" s="114">
        <f ca="1">-MAX(0,MIN(H269,SUM(H$253:H255),$F272*$J343))</f>
        <v>0</v>
      </c>
      <c r="I256" s="114">
        <f ca="1">-MAX(0,MIN(I269,SUM(I$253:I255),$F272*$J343))</f>
        <v>0</v>
      </c>
      <c r="J256" s="114">
        <f ca="1">-MAX(0,MIN(J269,SUM(J$253:J255),$F272*$J343))</f>
        <v>0</v>
      </c>
      <c r="K256" s="114">
        <f ca="1">-MAX(0,MIN(K269,SUM(K$253:K255),$F272*$J343))</f>
        <v>0</v>
      </c>
      <c r="L256" s="114">
        <f ca="1">-MAX(0,MIN(L269,SUM(L$253:L255),$F272*$J343))</f>
        <v>0</v>
      </c>
      <c r="M256" s="114">
        <f ca="1">-MAX(0,MIN(M269,SUM(M$253:M255),$F272*$J343))</f>
        <v>0</v>
      </c>
      <c r="N256" s="114">
        <f ca="1">-MAX(0,MIN(N269,SUM(N$253:N255),$F272*$J343))</f>
        <v>0</v>
      </c>
      <c r="O256" s="114">
        <f ca="1">-MAX(0,MIN(O269,SUM(O$253:O255),$F272*$J343))</f>
        <v>0</v>
      </c>
      <c r="P256" s="114">
        <f ca="1">-MAX(0,MIN(P269,SUM(P$253:P255),$F272*$J343))</f>
        <v>0</v>
      </c>
      <c r="R256" s="434"/>
      <c r="S256" s="114">
        <f ca="1">-MAX(0,MIN(S269,SUM(S$253:S255),$F272*$J343))</f>
        <v>-15</v>
      </c>
      <c r="T256" s="114">
        <f ca="1">-MAX(0,MIN(T269,SUM(T$253:T255),$F272*$J343))</f>
        <v>0</v>
      </c>
    </row>
    <row r="257" spans="2:20" ht="13.5" customHeight="1" outlineLevel="1">
      <c r="B257" s="88" t="str">
        <f t="shared" ref="B257:B258" si="201">B344</f>
        <v>Senior credit facility 2</v>
      </c>
      <c r="C257" s="88"/>
      <c r="D257" s="88"/>
      <c r="E257" s="88"/>
      <c r="F257" s="141"/>
      <c r="G257" s="141">
        <f ca="1">-MAX(0,MIN(G278+G279,SUM(G$253:G256),$F281*$J344))</f>
        <v>0</v>
      </c>
      <c r="H257" s="141">
        <f ca="1">-MAX(0,MIN(H278+H279,SUM(H$253:H256),$F281*$J344))</f>
        <v>0</v>
      </c>
      <c r="I257" s="141">
        <f ca="1">-MAX(0,MIN(I278+I279,SUM(I$253:I256),$F281*$J344))</f>
        <v>0</v>
      </c>
      <c r="J257" s="141">
        <f ca="1">-MAX(0,MIN(J278+J279,SUM(J$253:J256),$F281*$J344))</f>
        <v>0</v>
      </c>
      <c r="K257" s="141">
        <f ca="1">-MAX(0,MIN(K278+K279,SUM(K$253:K256),$F281*$J344))</f>
        <v>0</v>
      </c>
      <c r="L257" s="141">
        <f ca="1">-MAX(0,MIN(L278+L279,SUM(L$253:L256),$F281*$J344))</f>
        <v>0</v>
      </c>
      <c r="M257" s="141">
        <f ca="1">-MAX(0,MIN(M278+M279,SUM(M$253:M256),$F281*$J344))</f>
        <v>0</v>
      </c>
      <c r="N257" s="141">
        <f ca="1">-MAX(0,MIN(N278+N279,SUM(N$253:N256),$F281*$J344))</f>
        <v>0</v>
      </c>
      <c r="O257" s="141">
        <f ca="1">-MAX(0,MIN(O278+O279,SUM(O$253:O256),$F281*$J344))</f>
        <v>0</v>
      </c>
      <c r="P257" s="141">
        <f ca="1">-MAX(0,MIN(P278+P279,SUM(P$253:P256),$F281*$J344))</f>
        <v>0</v>
      </c>
      <c r="R257" s="434"/>
      <c r="S257" s="141">
        <f ca="1">-MAX(0,MIN(S278+S279,SUM(S$253:S256),$F281*$J344))</f>
        <v>0</v>
      </c>
      <c r="T257" s="141">
        <f ca="1">-MAX(0,MIN(T278+T279,SUM(T$253:T256),$F281*$J344))</f>
        <v>0</v>
      </c>
    </row>
    <row r="258" spans="2:20" ht="13.5" customHeight="1" outlineLevel="1">
      <c r="B258" s="88" t="str">
        <f t="shared" si="201"/>
        <v>Subordinated note 2</v>
      </c>
      <c r="C258" s="88"/>
      <c r="D258" s="88"/>
      <c r="E258" s="88"/>
      <c r="F258" s="141"/>
      <c r="G258" s="141">
        <f ca="1">-MAX(0,MIN(G284+G285,SUM(G$253:G257),$F287*$J345))</f>
        <v>0</v>
      </c>
      <c r="H258" s="141">
        <f ca="1">-MAX(0,MIN(H284+H285,SUM(H$253:H257),$F287*$J345))</f>
        <v>0</v>
      </c>
      <c r="I258" s="141">
        <f ca="1">-MAX(0,MIN(I284+I285,SUM(I$253:I257),$F287*$J345))</f>
        <v>0</v>
      </c>
      <c r="J258" s="141">
        <f ca="1">-MAX(0,MIN(J284+J285,SUM(J$253:J257),$F287*$J345))</f>
        <v>0</v>
      </c>
      <c r="K258" s="141">
        <f ca="1">-MAX(0,MIN(K284+K285,SUM(K$253:K257),$F287*$J345))</f>
        <v>0</v>
      </c>
      <c r="L258" s="141">
        <f ca="1">-MAX(0,MIN(L284+L285,SUM(L$253:L257),$F287*$J345))</f>
        <v>0</v>
      </c>
      <c r="M258" s="141">
        <f ca="1">-MAX(0,MIN(M284+M285,SUM(M$253:M257),$F287*$J345))</f>
        <v>0</v>
      </c>
      <c r="N258" s="141">
        <f ca="1">-MAX(0,MIN(N284+N285,SUM(N$253:N257),$F287*$J345))</f>
        <v>0</v>
      </c>
      <c r="O258" s="141">
        <f ca="1">-MAX(0,MIN(O284+O285,SUM(O$253:O257),$F287*$J345))</f>
        <v>0</v>
      </c>
      <c r="P258" s="141">
        <f ca="1">-MAX(0,MIN(P284+P285,SUM(P$253:P257),$F287*$J345))</f>
        <v>0</v>
      </c>
      <c r="R258" s="434"/>
      <c r="S258" s="141">
        <f ca="1">-MAX(0,MIN(S284+S285,SUM(S$253:S257),$F287*$J345))</f>
        <v>0</v>
      </c>
      <c r="T258" s="141">
        <f ca="1">-MAX(0,MIN(T284+T285,SUM(T$253:T257),$F287*$J345))</f>
        <v>0</v>
      </c>
    </row>
    <row r="259" spans="2:20" ht="13.5" customHeight="1" outlineLevel="1">
      <c r="B259" s="116" t="s">
        <v>412</v>
      </c>
      <c r="C259" s="116"/>
      <c r="D259" s="116"/>
      <c r="E259" s="116"/>
      <c r="F259" s="352"/>
      <c r="G259" s="352">
        <f ca="1">SUM(G256:OFFSET(G259,-1,0))</f>
        <v>-15</v>
      </c>
      <c r="H259" s="352">
        <f ca="1">SUM(H256:OFFSET(H259,-1,0))</f>
        <v>0</v>
      </c>
      <c r="I259" s="352">
        <f ca="1">SUM(I256:OFFSET(I259,-1,0))</f>
        <v>0</v>
      </c>
      <c r="J259" s="352">
        <f ca="1">SUM(J256:OFFSET(J259,-1,0))</f>
        <v>0</v>
      </c>
      <c r="K259" s="352">
        <f ca="1">SUM(K256:OFFSET(K259,-1,0))</f>
        <v>0</v>
      </c>
      <c r="L259" s="352">
        <f ca="1">SUM(L256:OFFSET(L259,-1,0))</f>
        <v>0</v>
      </c>
      <c r="M259" s="352">
        <f ca="1">SUM(M256:OFFSET(M259,-1,0))</f>
        <v>0</v>
      </c>
      <c r="N259" s="352">
        <f ca="1">SUM(N256:OFFSET(N259,-1,0))</f>
        <v>0</v>
      </c>
      <c r="O259" s="352">
        <f ca="1">SUM(O256:OFFSET(O259,-1,0))</f>
        <v>0</v>
      </c>
      <c r="P259" s="352">
        <f ca="1">SUM(P256:OFFSET(P259,-1,0))</f>
        <v>0</v>
      </c>
      <c r="R259" s="434"/>
      <c r="S259" s="352">
        <f ca="1">SUM(S256:OFFSET(S259,-1,0))</f>
        <v>-15</v>
      </c>
      <c r="T259" s="352">
        <f ca="1">SUM(T256:OFFSET(T259,-1,0))</f>
        <v>0</v>
      </c>
    </row>
    <row r="260" spans="2:20" ht="13.5" customHeight="1" outlineLevel="1">
      <c r="R260" s="434"/>
    </row>
    <row r="261" spans="2:20" ht="13.5" customHeight="1" outlineLevel="1">
      <c r="B261" s="78" t="s">
        <v>580</v>
      </c>
      <c r="C261" s="79"/>
      <c r="D261" s="80"/>
      <c r="E261" s="80"/>
      <c r="F261" s="80"/>
      <c r="G261" s="80"/>
      <c r="H261" s="80"/>
      <c r="I261" s="80"/>
      <c r="J261" s="80"/>
      <c r="K261" s="80"/>
      <c r="L261" s="80"/>
      <c r="M261" s="80"/>
      <c r="N261" s="80"/>
      <c r="O261" s="80"/>
      <c r="P261" s="81"/>
      <c r="R261" s="434"/>
      <c r="S261" s="525"/>
      <c r="T261" s="81"/>
    </row>
    <row r="262" spans="2:20" ht="13.5" customHeight="1" outlineLevel="1">
      <c r="B262" s="50"/>
      <c r="C262" s="50"/>
      <c r="D262" s="50"/>
      <c r="G262" s="350"/>
      <c r="H262" s="350"/>
      <c r="L262" s="57"/>
      <c r="R262" s="434"/>
      <c r="T262" s="350"/>
    </row>
    <row r="263" spans="2:20" ht="13.5" customHeight="1" outlineLevel="1">
      <c r="B263" s="147" t="str">
        <f>B344</f>
        <v>Senior credit facility 2</v>
      </c>
      <c r="G263" s="358">
        <v>0</v>
      </c>
      <c r="H263" s="358">
        <v>0</v>
      </c>
      <c r="I263" s="358">
        <v>0</v>
      </c>
      <c r="J263" s="358">
        <v>0</v>
      </c>
      <c r="K263" s="358">
        <v>0</v>
      </c>
      <c r="L263" s="358">
        <v>0</v>
      </c>
      <c r="M263" s="358">
        <v>0</v>
      </c>
      <c r="N263" s="358">
        <v>0</v>
      </c>
      <c r="O263" s="358">
        <v>0</v>
      </c>
      <c r="P263" s="358">
        <v>0</v>
      </c>
      <c r="R263" s="434"/>
      <c r="S263" s="314">
        <f>S$3*$G263</f>
        <v>0</v>
      </c>
      <c r="T263" s="314">
        <f>T$3*$G263</f>
        <v>0</v>
      </c>
    </row>
    <row r="264" spans="2:20" ht="13.5" customHeight="1" outlineLevel="1">
      <c r="B264" s="147" t="str">
        <f>B345</f>
        <v>Subordinated note 2</v>
      </c>
      <c r="G264" s="358">
        <v>0</v>
      </c>
      <c r="H264" s="358">
        <v>0</v>
      </c>
      <c r="I264" s="358">
        <v>0</v>
      </c>
      <c r="J264" s="358">
        <v>0</v>
      </c>
      <c r="K264" s="358">
        <v>0</v>
      </c>
      <c r="L264" s="358">
        <v>0</v>
      </c>
      <c r="M264" s="358">
        <v>0</v>
      </c>
      <c r="N264" s="358">
        <v>0</v>
      </c>
      <c r="O264" s="358">
        <v>0</v>
      </c>
      <c r="P264" s="358">
        <v>0</v>
      </c>
      <c r="R264" s="434"/>
      <c r="S264" s="314">
        <f>S$3*$G264</f>
        <v>0</v>
      </c>
      <c r="T264" s="314">
        <f>T$3*$G264</f>
        <v>0</v>
      </c>
    </row>
    <row r="265" spans="2:20" ht="13.5" customHeight="1" outlineLevel="1">
      <c r="R265" s="434"/>
    </row>
    <row r="266" spans="2:20" ht="13.5" customHeight="1" outlineLevel="1">
      <c r="B266" s="78" t="s">
        <v>413</v>
      </c>
      <c r="C266" s="79"/>
      <c r="D266" s="80"/>
      <c r="E266" s="80"/>
      <c r="F266" s="80"/>
      <c r="G266" s="80"/>
      <c r="H266" s="80"/>
      <c r="I266" s="80"/>
      <c r="J266" s="80"/>
      <c r="K266" s="80"/>
      <c r="L266" s="80"/>
      <c r="M266" s="80"/>
      <c r="N266" s="80"/>
      <c r="O266" s="80"/>
      <c r="P266" s="81"/>
      <c r="R266" s="434"/>
      <c r="S266" s="525"/>
      <c r="T266" s="81"/>
    </row>
    <row r="267" spans="2:20" ht="13.5" customHeight="1" outlineLevel="1">
      <c r="B267" s="50"/>
      <c r="C267" s="50"/>
      <c r="D267" s="50"/>
      <c r="G267" s="350"/>
      <c r="H267" s="350"/>
      <c r="L267" s="57"/>
      <c r="R267" s="434"/>
    </row>
    <row r="268" spans="2:20" ht="13.5" customHeight="1" outlineLevel="1">
      <c r="B268" s="359" t="str">
        <f>B343</f>
        <v>Revolver</v>
      </c>
      <c r="C268" s="360"/>
      <c r="D268" s="360"/>
      <c r="E268" s="361"/>
      <c r="F268" s="361"/>
      <c r="G268" s="363"/>
      <c r="H268" s="363"/>
      <c r="I268" s="361"/>
      <c r="J268" s="361"/>
      <c r="K268" s="361"/>
      <c r="L268" s="364"/>
      <c r="M268" s="361"/>
      <c r="N268" s="361"/>
      <c r="O268" s="361"/>
      <c r="P268" s="361"/>
      <c r="R268" s="434"/>
      <c r="S268" s="361"/>
      <c r="T268" s="363"/>
    </row>
    <row r="269" spans="2:20" ht="13.5" customHeight="1" outlineLevel="1">
      <c r="B269" s="147" t="s">
        <v>394</v>
      </c>
      <c r="C269" s="50"/>
      <c r="D269" s="50"/>
      <c r="F269" s="231"/>
      <c r="G269" s="231">
        <f t="shared" ref="G269:P269" si="202">F272</f>
        <v>15</v>
      </c>
      <c r="H269" s="231">
        <f t="shared" ca="1" si="202"/>
        <v>0</v>
      </c>
      <c r="I269" s="231">
        <f t="shared" ca="1" si="202"/>
        <v>0</v>
      </c>
      <c r="J269" s="231">
        <f t="shared" ca="1" si="202"/>
        <v>0</v>
      </c>
      <c r="K269" s="231">
        <f t="shared" ca="1" si="202"/>
        <v>0</v>
      </c>
      <c r="L269" s="231">
        <f t="shared" ca="1" si="202"/>
        <v>0</v>
      </c>
      <c r="M269" s="231">
        <f t="shared" ca="1" si="202"/>
        <v>0</v>
      </c>
      <c r="N269" s="231">
        <f t="shared" ca="1" si="202"/>
        <v>0</v>
      </c>
      <c r="O269" s="231">
        <f t="shared" ca="1" si="202"/>
        <v>0</v>
      </c>
      <c r="P269" s="231">
        <f t="shared" ca="1" si="202"/>
        <v>0</v>
      </c>
      <c r="R269" s="434"/>
      <c r="S269" s="339">
        <f>F272</f>
        <v>15</v>
      </c>
      <c r="T269" s="231">
        <f ca="1">S272</f>
        <v>0</v>
      </c>
    </row>
    <row r="270" spans="2:20" ht="13.5" customHeight="1" outlineLevel="1">
      <c r="B270" s="147" t="s">
        <v>395</v>
      </c>
      <c r="C270" s="50"/>
      <c r="D270" s="50"/>
      <c r="F270" s="163"/>
      <c r="G270" s="163">
        <f ca="1">MIN(MAX(0,-G253),G274-G269)</f>
        <v>0</v>
      </c>
      <c r="H270" s="163">
        <f t="shared" ref="H270:P270" ca="1" si="203">MIN(MAX(0,-H253),H274-H269)</f>
        <v>0</v>
      </c>
      <c r="I270" s="163">
        <f t="shared" ca="1" si="203"/>
        <v>0</v>
      </c>
      <c r="J270" s="163">
        <f t="shared" ca="1" si="203"/>
        <v>0</v>
      </c>
      <c r="K270" s="163">
        <f t="shared" ca="1" si="203"/>
        <v>0</v>
      </c>
      <c r="L270" s="163">
        <f t="shared" ca="1" si="203"/>
        <v>0</v>
      </c>
      <c r="M270" s="163">
        <f t="shared" ca="1" si="203"/>
        <v>0</v>
      </c>
      <c r="N270" s="163">
        <f t="shared" ca="1" si="203"/>
        <v>0</v>
      </c>
      <c r="O270" s="163">
        <f t="shared" ca="1" si="203"/>
        <v>0</v>
      </c>
      <c r="P270" s="163">
        <f t="shared" ca="1" si="203"/>
        <v>0</v>
      </c>
      <c r="R270" s="434"/>
      <c r="S270" s="163">
        <f ca="1">MIN(MAX(0,-S253),S274-S269)</f>
        <v>0</v>
      </c>
      <c r="T270" s="163">
        <f ca="1">MIN(MAX(0,-T253),T274-T269)</f>
        <v>0</v>
      </c>
    </row>
    <row r="271" spans="2:20" ht="13.5" customHeight="1" outlineLevel="1">
      <c r="B271" s="147" t="s">
        <v>396</v>
      </c>
      <c r="C271" s="50"/>
      <c r="D271" s="50"/>
      <c r="F271" s="163"/>
      <c r="G271" s="163">
        <f t="shared" ref="G271:P271" ca="1" si="204">G256</f>
        <v>-15</v>
      </c>
      <c r="H271" s="163">
        <f t="shared" ca="1" si="204"/>
        <v>0</v>
      </c>
      <c r="I271" s="163">
        <f t="shared" ca="1" si="204"/>
        <v>0</v>
      </c>
      <c r="J271" s="163">
        <f t="shared" ca="1" si="204"/>
        <v>0</v>
      </c>
      <c r="K271" s="163">
        <f t="shared" ca="1" si="204"/>
        <v>0</v>
      </c>
      <c r="L271" s="163">
        <f t="shared" ca="1" si="204"/>
        <v>0</v>
      </c>
      <c r="M271" s="163">
        <f t="shared" ca="1" si="204"/>
        <v>0</v>
      </c>
      <c r="N271" s="163">
        <f t="shared" ca="1" si="204"/>
        <v>0</v>
      </c>
      <c r="O271" s="163">
        <f t="shared" ca="1" si="204"/>
        <v>0</v>
      </c>
      <c r="P271" s="163">
        <f t="shared" ca="1" si="204"/>
        <v>0</v>
      </c>
      <c r="R271" s="434"/>
      <c r="S271" s="163">
        <f ca="1">S256</f>
        <v>-15</v>
      </c>
      <c r="T271" s="163">
        <f ca="1">T256</f>
        <v>0</v>
      </c>
    </row>
    <row r="272" spans="2:20" ht="13.5" customHeight="1" outlineLevel="1">
      <c r="B272" s="116" t="s">
        <v>397</v>
      </c>
      <c r="C272" s="116"/>
      <c r="D272" s="116"/>
      <c r="E272" s="116"/>
      <c r="F272" s="479">
        <f>F110</f>
        <v>15</v>
      </c>
      <c r="G272" s="352">
        <f t="shared" ref="G272:P272" ca="1" si="205">SUM(G269:G271)</f>
        <v>0</v>
      </c>
      <c r="H272" s="352">
        <f t="shared" ca="1" si="205"/>
        <v>0</v>
      </c>
      <c r="I272" s="352">
        <f t="shared" ca="1" si="205"/>
        <v>0</v>
      </c>
      <c r="J272" s="352">
        <f t="shared" ca="1" si="205"/>
        <v>0</v>
      </c>
      <c r="K272" s="352">
        <f t="shared" ca="1" si="205"/>
        <v>0</v>
      </c>
      <c r="L272" s="352">
        <f t="shared" ca="1" si="205"/>
        <v>0</v>
      </c>
      <c r="M272" s="352">
        <f t="shared" ca="1" si="205"/>
        <v>0</v>
      </c>
      <c r="N272" s="352">
        <f t="shared" ca="1" si="205"/>
        <v>0</v>
      </c>
      <c r="O272" s="352">
        <f t="shared" ca="1" si="205"/>
        <v>0</v>
      </c>
      <c r="P272" s="352">
        <f t="shared" ca="1" si="205"/>
        <v>0</v>
      </c>
      <c r="R272" s="434"/>
      <c r="S272" s="352">
        <f t="shared" ref="S272" ca="1" si="206">SUM(S269:S271)</f>
        <v>0</v>
      </c>
      <c r="T272" s="352">
        <f ca="1">SUM(T269:T271)</f>
        <v>0</v>
      </c>
    </row>
    <row r="273" spans="2:20" ht="13.5" customHeight="1" outlineLevel="1">
      <c r="B273" s="88"/>
      <c r="C273" s="88"/>
      <c r="D273" s="88"/>
      <c r="E273" s="88"/>
      <c r="F273" s="328"/>
      <c r="G273" s="141"/>
      <c r="H273" s="141"/>
      <c r="I273" s="141"/>
      <c r="J273" s="141"/>
      <c r="K273" s="141"/>
      <c r="L273" s="141"/>
      <c r="M273" s="141"/>
      <c r="N273" s="141"/>
      <c r="O273" s="141"/>
      <c r="P273" s="141"/>
      <c r="R273" s="434"/>
      <c r="S273" s="328"/>
      <c r="T273" s="141"/>
    </row>
    <row r="274" spans="2:20" ht="13.5" customHeight="1" outlineLevel="1">
      <c r="B274" s="88" t="s">
        <v>641</v>
      </c>
      <c r="C274" s="88"/>
      <c r="D274" s="88"/>
      <c r="E274" s="88"/>
      <c r="F274" s="456">
        <v>100</v>
      </c>
      <c r="G274" s="114">
        <f>F274</f>
        <v>100</v>
      </c>
      <c r="H274" s="114">
        <f t="shared" ref="H274:P274" si="207">G274</f>
        <v>100</v>
      </c>
      <c r="I274" s="114">
        <f t="shared" si="207"/>
        <v>100</v>
      </c>
      <c r="J274" s="114">
        <f t="shared" si="207"/>
        <v>100</v>
      </c>
      <c r="K274" s="114">
        <f t="shared" si="207"/>
        <v>100</v>
      </c>
      <c r="L274" s="114">
        <f t="shared" si="207"/>
        <v>100</v>
      </c>
      <c r="M274" s="114">
        <f t="shared" si="207"/>
        <v>100</v>
      </c>
      <c r="N274" s="114">
        <f t="shared" si="207"/>
        <v>100</v>
      </c>
      <c r="O274" s="114">
        <f t="shared" si="207"/>
        <v>100</v>
      </c>
      <c r="P274" s="114">
        <f t="shared" si="207"/>
        <v>100</v>
      </c>
      <c r="R274" s="434"/>
      <c r="S274" s="328">
        <f>$F274</f>
        <v>100</v>
      </c>
      <c r="T274" s="328">
        <f>$F274</f>
        <v>100</v>
      </c>
    </row>
    <row r="275" spans="2:20" s="170" customFormat="1" ht="13.5" customHeight="1" outlineLevel="1">
      <c r="B275" s="57" t="s">
        <v>419</v>
      </c>
      <c r="C275" s="76"/>
      <c r="D275" s="76"/>
      <c r="E275" s="76"/>
      <c r="F275" s="113">
        <f>F274-F272</f>
        <v>85</v>
      </c>
      <c r="G275" s="113">
        <f t="shared" ref="G275:P275" ca="1" si="208">G274-G272</f>
        <v>100</v>
      </c>
      <c r="H275" s="113">
        <f t="shared" ca="1" si="208"/>
        <v>100</v>
      </c>
      <c r="I275" s="113">
        <f t="shared" ca="1" si="208"/>
        <v>100</v>
      </c>
      <c r="J275" s="113">
        <f t="shared" ca="1" si="208"/>
        <v>100</v>
      </c>
      <c r="K275" s="113">
        <f t="shared" ca="1" si="208"/>
        <v>100</v>
      </c>
      <c r="L275" s="113">
        <f t="shared" ca="1" si="208"/>
        <v>100</v>
      </c>
      <c r="M275" s="113">
        <f t="shared" ca="1" si="208"/>
        <v>100</v>
      </c>
      <c r="N275" s="113">
        <f t="shared" ca="1" si="208"/>
        <v>100</v>
      </c>
      <c r="O275" s="113">
        <f t="shared" ca="1" si="208"/>
        <v>100</v>
      </c>
      <c r="P275" s="113">
        <f t="shared" ca="1" si="208"/>
        <v>100</v>
      </c>
      <c r="R275" s="480"/>
      <c r="S275" s="113">
        <f t="shared" ref="S275:T275" ca="1" si="209">S274-S272</f>
        <v>100</v>
      </c>
      <c r="T275" s="113">
        <f t="shared" ca="1" si="209"/>
        <v>100</v>
      </c>
    </row>
    <row r="276" spans="2:20" ht="13.5" customHeight="1" outlineLevel="1">
      <c r="B276" s="88"/>
      <c r="C276" s="88"/>
      <c r="D276" s="88"/>
      <c r="E276" s="88"/>
      <c r="F276" s="328"/>
      <c r="G276" s="141"/>
      <c r="H276" s="141"/>
      <c r="I276" s="141"/>
      <c r="J276" s="141"/>
      <c r="K276" s="141"/>
      <c r="L276" s="141"/>
      <c r="M276" s="141"/>
      <c r="N276" s="141"/>
      <c r="O276" s="141"/>
      <c r="P276" s="141"/>
      <c r="R276" s="434"/>
      <c r="S276" s="328"/>
      <c r="T276" s="141"/>
    </row>
    <row r="277" spans="2:20" ht="13.5" customHeight="1" outlineLevel="1">
      <c r="B277" s="359" t="str">
        <f>B344</f>
        <v>Senior credit facility 2</v>
      </c>
      <c r="C277" s="360"/>
      <c r="D277" s="360"/>
      <c r="E277" s="361"/>
      <c r="F277" s="361"/>
      <c r="G277" s="363"/>
      <c r="H277" s="363"/>
      <c r="I277" s="361"/>
      <c r="J277" s="361"/>
      <c r="K277" s="361"/>
      <c r="L277" s="364"/>
      <c r="M277" s="361"/>
      <c r="N277" s="361"/>
      <c r="O277" s="361"/>
      <c r="P277" s="361"/>
      <c r="R277" s="434"/>
      <c r="S277" s="361"/>
      <c r="T277" s="363"/>
    </row>
    <row r="278" spans="2:20" ht="13.5" customHeight="1" outlineLevel="1">
      <c r="B278" s="147" t="s">
        <v>394</v>
      </c>
      <c r="C278" s="50"/>
      <c r="D278" s="50"/>
      <c r="F278" s="231"/>
      <c r="G278" s="231">
        <f t="shared" ref="G278:P278" si="210">F281</f>
        <v>0</v>
      </c>
      <c r="H278" s="231">
        <f t="shared" ca="1" si="210"/>
        <v>0</v>
      </c>
      <c r="I278" s="231">
        <f t="shared" ca="1" si="210"/>
        <v>0</v>
      </c>
      <c r="J278" s="231">
        <f t="shared" ca="1" si="210"/>
        <v>0</v>
      </c>
      <c r="K278" s="231">
        <f t="shared" ca="1" si="210"/>
        <v>0</v>
      </c>
      <c r="L278" s="231">
        <f t="shared" ca="1" si="210"/>
        <v>0</v>
      </c>
      <c r="M278" s="231">
        <f t="shared" ca="1" si="210"/>
        <v>0</v>
      </c>
      <c r="N278" s="231">
        <f t="shared" ca="1" si="210"/>
        <v>0</v>
      </c>
      <c r="O278" s="231">
        <f t="shared" ca="1" si="210"/>
        <v>0</v>
      </c>
      <c r="P278" s="231">
        <f t="shared" ca="1" si="210"/>
        <v>0</v>
      </c>
      <c r="R278" s="434"/>
      <c r="S278" s="339">
        <f>F281</f>
        <v>0</v>
      </c>
      <c r="T278" s="231">
        <f ca="1">S281</f>
        <v>0</v>
      </c>
    </row>
    <row r="279" spans="2:20" ht="13.5" customHeight="1" outlineLevel="1">
      <c r="B279" s="147" t="s">
        <v>399</v>
      </c>
      <c r="C279" s="50"/>
      <c r="D279" s="50"/>
      <c r="F279" s="118"/>
      <c r="G279" s="118">
        <f t="shared" ref="G279:P279" si="211">-MIN($F281*G263,G278)</f>
        <v>0</v>
      </c>
      <c r="H279" s="118">
        <f t="shared" ca="1" si="211"/>
        <v>0</v>
      </c>
      <c r="I279" s="118">
        <f t="shared" ca="1" si="211"/>
        <v>0</v>
      </c>
      <c r="J279" s="118">
        <f t="shared" ca="1" si="211"/>
        <v>0</v>
      </c>
      <c r="K279" s="118">
        <f t="shared" ca="1" si="211"/>
        <v>0</v>
      </c>
      <c r="L279" s="118">
        <f t="shared" ca="1" si="211"/>
        <v>0</v>
      </c>
      <c r="M279" s="118">
        <f t="shared" ca="1" si="211"/>
        <v>0</v>
      </c>
      <c r="N279" s="118">
        <f t="shared" ca="1" si="211"/>
        <v>0</v>
      </c>
      <c r="O279" s="118">
        <f t="shared" ca="1" si="211"/>
        <v>0</v>
      </c>
      <c r="P279" s="118">
        <f t="shared" ca="1" si="211"/>
        <v>0</v>
      </c>
      <c r="R279" s="434"/>
      <c r="S279" s="118">
        <f>-MIN($F281*S263,S278)</f>
        <v>0</v>
      </c>
      <c r="T279" s="118">
        <f ca="1">-MIN($F281*T263,T278)</f>
        <v>0</v>
      </c>
    </row>
    <row r="280" spans="2:20" ht="13.5" customHeight="1" outlineLevel="1">
      <c r="B280" s="147" t="s">
        <v>400</v>
      </c>
      <c r="C280" s="50"/>
      <c r="D280" s="50"/>
      <c r="F280" s="163"/>
      <c r="G280" s="163">
        <f t="shared" ref="G280:P280" ca="1" si="212">G257</f>
        <v>0</v>
      </c>
      <c r="H280" s="163">
        <f t="shared" ca="1" si="212"/>
        <v>0</v>
      </c>
      <c r="I280" s="163">
        <f t="shared" ca="1" si="212"/>
        <v>0</v>
      </c>
      <c r="J280" s="163">
        <f t="shared" ca="1" si="212"/>
        <v>0</v>
      </c>
      <c r="K280" s="163">
        <f t="shared" ca="1" si="212"/>
        <v>0</v>
      </c>
      <c r="L280" s="163">
        <f t="shared" ca="1" si="212"/>
        <v>0</v>
      </c>
      <c r="M280" s="163">
        <f t="shared" ca="1" si="212"/>
        <v>0</v>
      </c>
      <c r="N280" s="163">
        <f t="shared" ca="1" si="212"/>
        <v>0</v>
      </c>
      <c r="O280" s="163">
        <f t="shared" ca="1" si="212"/>
        <v>0</v>
      </c>
      <c r="P280" s="163">
        <f t="shared" ca="1" si="212"/>
        <v>0</v>
      </c>
      <c r="R280" s="434"/>
      <c r="S280" s="163">
        <f ca="1">S257</f>
        <v>0</v>
      </c>
      <c r="T280" s="163">
        <f ca="1">T257</f>
        <v>0</v>
      </c>
    </row>
    <row r="281" spans="2:20" ht="13.5" customHeight="1" outlineLevel="1">
      <c r="B281" s="116" t="s">
        <v>397</v>
      </c>
      <c r="C281" s="116"/>
      <c r="D281" s="116"/>
      <c r="E281" s="116"/>
      <c r="F281" s="479">
        <f>F111</f>
        <v>0</v>
      </c>
      <c r="G281" s="352">
        <f t="shared" ref="G281:P281" ca="1" si="213">SUM(G278:G280)</f>
        <v>0</v>
      </c>
      <c r="H281" s="352">
        <f t="shared" ca="1" si="213"/>
        <v>0</v>
      </c>
      <c r="I281" s="352">
        <f t="shared" ca="1" si="213"/>
        <v>0</v>
      </c>
      <c r="J281" s="352">
        <f t="shared" ca="1" si="213"/>
        <v>0</v>
      </c>
      <c r="K281" s="352">
        <f t="shared" ca="1" si="213"/>
        <v>0</v>
      </c>
      <c r="L281" s="352">
        <f t="shared" ca="1" si="213"/>
        <v>0</v>
      </c>
      <c r="M281" s="352">
        <f t="shared" ca="1" si="213"/>
        <v>0</v>
      </c>
      <c r="N281" s="352">
        <f t="shared" ca="1" si="213"/>
        <v>0</v>
      </c>
      <c r="O281" s="352">
        <f t="shared" ca="1" si="213"/>
        <v>0</v>
      </c>
      <c r="P281" s="352">
        <f t="shared" ca="1" si="213"/>
        <v>0</v>
      </c>
      <c r="R281" s="434"/>
      <c r="S281" s="352">
        <f t="shared" ref="S281" ca="1" si="214">SUM(S278:S280)</f>
        <v>0</v>
      </c>
      <c r="T281" s="352">
        <f ca="1">SUM(T278:T280)</f>
        <v>0</v>
      </c>
    </row>
    <row r="282" spans="2:20" ht="13.5" customHeight="1" outlineLevel="1">
      <c r="B282" s="88"/>
      <c r="C282" s="88"/>
      <c r="D282" s="88"/>
      <c r="E282" s="88"/>
      <c r="F282" s="328"/>
      <c r="G282" s="141"/>
      <c r="H282" s="141"/>
      <c r="I282" s="141"/>
      <c r="J282" s="141"/>
      <c r="K282" s="141"/>
      <c r="L282" s="141"/>
      <c r="M282" s="141"/>
      <c r="N282" s="141"/>
      <c r="O282" s="141"/>
      <c r="P282" s="141"/>
      <c r="R282" s="434"/>
      <c r="S282" s="328"/>
      <c r="T282" s="141"/>
    </row>
    <row r="283" spans="2:20" ht="13.5" customHeight="1" outlineLevel="1">
      <c r="B283" s="359" t="str">
        <f>B345</f>
        <v>Subordinated note 2</v>
      </c>
      <c r="C283" s="360"/>
      <c r="D283" s="360"/>
      <c r="E283" s="361"/>
      <c r="F283" s="361"/>
      <c r="G283" s="363"/>
      <c r="H283" s="363"/>
      <c r="I283" s="361"/>
      <c r="J283" s="361"/>
      <c r="K283" s="361"/>
      <c r="L283" s="364"/>
      <c r="M283" s="361"/>
      <c r="N283" s="361"/>
      <c r="O283" s="361"/>
      <c r="P283" s="361"/>
      <c r="R283" s="434"/>
      <c r="S283" s="361"/>
      <c r="T283" s="363"/>
    </row>
    <row r="284" spans="2:20" ht="13.5" customHeight="1" outlineLevel="1">
      <c r="B284" s="147" t="s">
        <v>394</v>
      </c>
      <c r="C284" s="50"/>
      <c r="D284" s="50"/>
      <c r="F284" s="231"/>
      <c r="G284" s="231">
        <f t="shared" ref="G284:P284" si="215">F287</f>
        <v>45.5</v>
      </c>
      <c r="H284" s="231">
        <f t="shared" ca="1" si="215"/>
        <v>45.5</v>
      </c>
      <c r="I284" s="231">
        <f t="shared" ca="1" si="215"/>
        <v>45.5</v>
      </c>
      <c r="J284" s="231">
        <f t="shared" ca="1" si="215"/>
        <v>45.5</v>
      </c>
      <c r="K284" s="231">
        <f t="shared" ca="1" si="215"/>
        <v>45.5</v>
      </c>
      <c r="L284" s="231">
        <f t="shared" ca="1" si="215"/>
        <v>45.5</v>
      </c>
      <c r="M284" s="231">
        <f t="shared" ca="1" si="215"/>
        <v>45.5</v>
      </c>
      <c r="N284" s="231">
        <f t="shared" ca="1" si="215"/>
        <v>45.5</v>
      </c>
      <c r="O284" s="231">
        <f t="shared" ca="1" si="215"/>
        <v>45.5</v>
      </c>
      <c r="P284" s="231">
        <f t="shared" ca="1" si="215"/>
        <v>45.5</v>
      </c>
      <c r="R284" s="434"/>
      <c r="S284" s="339">
        <f>F287</f>
        <v>45.5</v>
      </c>
      <c r="T284" s="231">
        <f ca="1">S287</f>
        <v>45.5</v>
      </c>
    </row>
    <row r="285" spans="2:20" ht="13.5" customHeight="1" outlineLevel="1">
      <c r="B285" s="147" t="s">
        <v>401</v>
      </c>
      <c r="C285" s="50"/>
      <c r="D285" s="50"/>
      <c r="F285" s="118"/>
      <c r="G285" s="118">
        <f t="shared" ref="G285:P285" si="216">-MIN($F287*G264,G284)</f>
        <v>0</v>
      </c>
      <c r="H285" s="118">
        <f t="shared" ca="1" si="216"/>
        <v>0</v>
      </c>
      <c r="I285" s="118">
        <f t="shared" ca="1" si="216"/>
        <v>0</v>
      </c>
      <c r="J285" s="118">
        <f t="shared" ca="1" si="216"/>
        <v>0</v>
      </c>
      <c r="K285" s="118">
        <f t="shared" ca="1" si="216"/>
        <v>0</v>
      </c>
      <c r="L285" s="118">
        <f t="shared" ca="1" si="216"/>
        <v>0</v>
      </c>
      <c r="M285" s="118">
        <f t="shared" ca="1" si="216"/>
        <v>0</v>
      </c>
      <c r="N285" s="118">
        <f t="shared" ca="1" si="216"/>
        <v>0</v>
      </c>
      <c r="O285" s="118">
        <f t="shared" ca="1" si="216"/>
        <v>0</v>
      </c>
      <c r="P285" s="118">
        <f t="shared" ca="1" si="216"/>
        <v>0</v>
      </c>
      <c r="R285" s="434"/>
      <c r="S285" s="118">
        <f>-MIN($F287*S264,S284)</f>
        <v>0</v>
      </c>
      <c r="T285" s="118">
        <f ca="1">-MIN($F287*T264,T284)</f>
        <v>0</v>
      </c>
    </row>
    <row r="286" spans="2:20" ht="13.5" customHeight="1" outlineLevel="1">
      <c r="B286" s="147" t="s">
        <v>400</v>
      </c>
      <c r="C286" s="50"/>
      <c r="D286" s="50"/>
      <c r="F286" s="163"/>
      <c r="G286" s="163">
        <f t="shared" ref="G286:P286" ca="1" si="217">G258</f>
        <v>0</v>
      </c>
      <c r="H286" s="163">
        <f t="shared" ca="1" si="217"/>
        <v>0</v>
      </c>
      <c r="I286" s="163">
        <f t="shared" ca="1" si="217"/>
        <v>0</v>
      </c>
      <c r="J286" s="163">
        <f t="shared" ca="1" si="217"/>
        <v>0</v>
      </c>
      <c r="K286" s="163">
        <f t="shared" ca="1" si="217"/>
        <v>0</v>
      </c>
      <c r="L286" s="163">
        <f t="shared" ca="1" si="217"/>
        <v>0</v>
      </c>
      <c r="M286" s="163">
        <f t="shared" ca="1" si="217"/>
        <v>0</v>
      </c>
      <c r="N286" s="163">
        <f t="shared" ca="1" si="217"/>
        <v>0</v>
      </c>
      <c r="O286" s="163">
        <f t="shared" ca="1" si="217"/>
        <v>0</v>
      </c>
      <c r="P286" s="163">
        <f t="shared" ca="1" si="217"/>
        <v>0</v>
      </c>
      <c r="R286" s="434"/>
      <c r="S286" s="163">
        <f ca="1">S258</f>
        <v>0</v>
      </c>
      <c r="T286" s="163">
        <f ca="1">T258</f>
        <v>0</v>
      </c>
    </row>
    <row r="287" spans="2:20" ht="13.5" customHeight="1" outlineLevel="1">
      <c r="B287" s="116" t="s">
        <v>397</v>
      </c>
      <c r="C287" s="116"/>
      <c r="D287" s="116"/>
      <c r="E287" s="116"/>
      <c r="F287" s="479">
        <f>F112</f>
        <v>45.5</v>
      </c>
      <c r="G287" s="352">
        <f t="shared" ref="G287:P287" ca="1" si="218">SUM(G284:G286)</f>
        <v>45.5</v>
      </c>
      <c r="H287" s="352">
        <f t="shared" ca="1" si="218"/>
        <v>45.5</v>
      </c>
      <c r="I287" s="352">
        <f t="shared" ca="1" si="218"/>
        <v>45.5</v>
      </c>
      <c r="J287" s="352">
        <f t="shared" ca="1" si="218"/>
        <v>45.5</v>
      </c>
      <c r="K287" s="352">
        <f t="shared" ca="1" si="218"/>
        <v>45.5</v>
      </c>
      <c r="L287" s="352">
        <f t="shared" ca="1" si="218"/>
        <v>45.5</v>
      </c>
      <c r="M287" s="352">
        <f t="shared" ca="1" si="218"/>
        <v>45.5</v>
      </c>
      <c r="N287" s="352">
        <f t="shared" ca="1" si="218"/>
        <v>45.5</v>
      </c>
      <c r="O287" s="352">
        <f t="shared" ca="1" si="218"/>
        <v>45.5</v>
      </c>
      <c r="P287" s="352">
        <f t="shared" ca="1" si="218"/>
        <v>45.5</v>
      </c>
      <c r="R287" s="434"/>
      <c r="S287" s="352">
        <f t="shared" ref="S287" ca="1" si="219">SUM(S284:S286)</f>
        <v>45.5</v>
      </c>
      <c r="T287" s="352">
        <f ca="1">SUM(T284:T286)</f>
        <v>45.5</v>
      </c>
    </row>
    <row r="288" spans="2:20" ht="13.5" customHeight="1" outlineLevel="1">
      <c r="B288" s="88"/>
      <c r="C288" s="88"/>
      <c r="D288" s="88"/>
      <c r="E288" s="88"/>
      <c r="F288" s="328"/>
      <c r="G288" s="141"/>
      <c r="H288" s="141"/>
      <c r="I288" s="141"/>
      <c r="J288" s="141"/>
      <c r="K288" s="141"/>
      <c r="L288" s="141"/>
      <c r="M288" s="141"/>
      <c r="N288" s="141"/>
      <c r="O288" s="141"/>
      <c r="P288" s="141"/>
      <c r="R288" s="434"/>
      <c r="S288" s="328"/>
      <c r="T288" s="141"/>
    </row>
    <row r="289" spans="2:20" ht="13.5" customHeight="1" outlineLevel="1">
      <c r="B289" s="359" t="str">
        <f>B346</f>
        <v>Convertible bond 2</v>
      </c>
      <c r="C289" s="360"/>
      <c r="D289" s="360"/>
      <c r="E289" s="361"/>
      <c r="F289" s="361"/>
      <c r="G289" s="363"/>
      <c r="H289" s="363"/>
      <c r="I289" s="361"/>
      <c r="J289" s="361"/>
      <c r="K289" s="361"/>
      <c r="L289" s="364"/>
      <c r="M289" s="361"/>
      <c r="N289" s="361"/>
      <c r="O289" s="361"/>
      <c r="P289" s="361"/>
      <c r="R289" s="434"/>
      <c r="S289" s="361"/>
      <c r="T289" s="363"/>
    </row>
    <row r="290" spans="2:20" ht="13.5" customHeight="1" outlineLevel="1">
      <c r="B290" s="147" t="s">
        <v>394</v>
      </c>
      <c r="C290" s="50"/>
      <c r="D290" s="50"/>
      <c r="F290" s="231"/>
      <c r="G290" s="231">
        <f t="shared" ref="G290:P290" si="220">F293</f>
        <v>190</v>
      </c>
      <c r="H290" s="231">
        <f t="shared" si="220"/>
        <v>199.02500000000001</v>
      </c>
      <c r="I290" s="231">
        <f t="shared" si="220"/>
        <v>208.47868750000001</v>
      </c>
      <c r="J290" s="231">
        <f t="shared" si="220"/>
        <v>218.38142515625</v>
      </c>
      <c r="K290" s="231">
        <f t="shared" si="220"/>
        <v>223.56798400371093</v>
      </c>
      <c r="L290" s="231">
        <f t="shared" si="220"/>
        <v>223.56798400371093</v>
      </c>
      <c r="M290" s="231">
        <f t="shared" si="220"/>
        <v>223.56798400371093</v>
      </c>
      <c r="N290" s="231">
        <f t="shared" si="220"/>
        <v>223.56798400371093</v>
      </c>
      <c r="O290" s="231">
        <f t="shared" si="220"/>
        <v>223.56798400371093</v>
      </c>
      <c r="P290" s="231">
        <f t="shared" si="220"/>
        <v>223.56798400371093</v>
      </c>
      <c r="R290" s="434"/>
      <c r="S290" s="339">
        <f>F293</f>
        <v>190</v>
      </c>
      <c r="T290" s="231">
        <f>S293</f>
        <v>194.51249999999999</v>
      </c>
    </row>
    <row r="291" spans="2:20" ht="13.5" customHeight="1" outlineLevel="1">
      <c r="B291" s="147" t="s">
        <v>402</v>
      </c>
      <c r="C291" s="50"/>
      <c r="D291" s="50"/>
      <c r="F291" s="163"/>
      <c r="G291" s="163">
        <f t="shared" ref="G291:P291" si="221">G320*G335</f>
        <v>9.0250000000000004</v>
      </c>
      <c r="H291" s="163">
        <f t="shared" si="221"/>
        <v>9.4536875000000009</v>
      </c>
      <c r="I291" s="163">
        <f t="shared" si="221"/>
        <v>9.9027376562500002</v>
      </c>
      <c r="J291" s="163">
        <f t="shared" si="221"/>
        <v>5.1865588474609376</v>
      </c>
      <c r="K291" s="163">
        <f t="shared" si="221"/>
        <v>0</v>
      </c>
      <c r="L291" s="163">
        <f t="shared" si="221"/>
        <v>0</v>
      </c>
      <c r="M291" s="163">
        <f t="shared" si="221"/>
        <v>0</v>
      </c>
      <c r="N291" s="163">
        <f t="shared" si="221"/>
        <v>0</v>
      </c>
      <c r="O291" s="163">
        <f t="shared" si="221"/>
        <v>0</v>
      </c>
      <c r="P291" s="163">
        <f t="shared" si="221"/>
        <v>0</v>
      </c>
      <c r="R291" s="434"/>
      <c r="S291" s="163">
        <f>S320*S335</f>
        <v>4.5125000000000002</v>
      </c>
      <c r="T291" s="163">
        <f>T320*T335</f>
        <v>4.5125000000000002</v>
      </c>
    </row>
    <row r="292" spans="2:20" ht="13.5" customHeight="1" outlineLevel="1">
      <c r="B292" s="147" t="s">
        <v>401</v>
      </c>
      <c r="C292" s="50"/>
      <c r="D292" s="50"/>
      <c r="F292" s="329"/>
      <c r="G292" s="330">
        <v>0</v>
      </c>
      <c r="H292" s="330">
        <v>0</v>
      </c>
      <c r="I292" s="330">
        <v>0</v>
      </c>
      <c r="J292" s="330">
        <v>0</v>
      </c>
      <c r="K292" s="330">
        <v>0</v>
      </c>
      <c r="L292" s="330">
        <v>0</v>
      </c>
      <c r="M292" s="330">
        <v>0</v>
      </c>
      <c r="N292" s="330">
        <v>0</v>
      </c>
      <c r="O292" s="330">
        <v>0</v>
      </c>
      <c r="P292" s="330">
        <v>0</v>
      </c>
      <c r="R292" s="434"/>
      <c r="S292" s="184">
        <f>S$3*$G292</f>
        <v>0</v>
      </c>
      <c r="T292" s="184">
        <f>T$3*$G292</f>
        <v>0</v>
      </c>
    </row>
    <row r="293" spans="2:20" ht="13.5" customHeight="1" outlineLevel="1">
      <c r="B293" s="116" t="s">
        <v>397</v>
      </c>
      <c r="C293" s="116"/>
      <c r="D293" s="116"/>
      <c r="E293" s="116"/>
      <c r="F293" s="479">
        <f>F113</f>
        <v>190</v>
      </c>
      <c r="G293" s="352">
        <f t="shared" ref="G293:P293" si="222">SUM(G290:G292)</f>
        <v>199.02500000000001</v>
      </c>
      <c r="H293" s="352">
        <f t="shared" si="222"/>
        <v>208.47868750000001</v>
      </c>
      <c r="I293" s="352">
        <f t="shared" si="222"/>
        <v>218.38142515625</v>
      </c>
      <c r="J293" s="352">
        <f t="shared" si="222"/>
        <v>223.56798400371093</v>
      </c>
      <c r="K293" s="352">
        <f t="shared" si="222"/>
        <v>223.56798400371093</v>
      </c>
      <c r="L293" s="352">
        <f t="shared" si="222"/>
        <v>223.56798400371093</v>
      </c>
      <c r="M293" s="352">
        <f t="shared" si="222"/>
        <v>223.56798400371093</v>
      </c>
      <c r="N293" s="352">
        <f t="shared" si="222"/>
        <v>223.56798400371093</v>
      </c>
      <c r="O293" s="352">
        <f t="shared" si="222"/>
        <v>223.56798400371093</v>
      </c>
      <c r="P293" s="352">
        <f t="shared" si="222"/>
        <v>223.56798400371093</v>
      </c>
      <c r="R293" s="434"/>
      <c r="S293" s="352">
        <f>SUM(S290:S292)</f>
        <v>194.51249999999999</v>
      </c>
      <c r="T293" s="352">
        <f>SUM(T290:T292)</f>
        <v>199.02499999999998</v>
      </c>
    </row>
    <row r="294" spans="2:20" ht="13.5" customHeight="1" outlineLevel="1">
      <c r="B294" s="88"/>
      <c r="C294" s="88"/>
      <c r="D294" s="88"/>
      <c r="E294" s="88"/>
      <c r="F294" s="118"/>
      <c r="G294" s="118"/>
      <c r="H294" s="118"/>
      <c r="I294" s="118"/>
      <c r="J294" s="118"/>
      <c r="K294" s="141"/>
      <c r="L294" s="141"/>
      <c r="M294" s="141"/>
      <c r="N294" s="141"/>
      <c r="O294" s="141"/>
      <c r="P294" s="141"/>
      <c r="R294" s="434"/>
      <c r="S294" s="118"/>
      <c r="T294" s="118"/>
    </row>
    <row r="295" spans="2:20" ht="13.5" customHeight="1" outlineLevel="1">
      <c r="B295" s="359" t="str">
        <f>B347</f>
        <v>Preferred stock 2</v>
      </c>
      <c r="C295" s="360"/>
      <c r="D295" s="360"/>
      <c r="E295" s="361"/>
      <c r="F295" s="361"/>
      <c r="G295" s="363"/>
      <c r="H295" s="363"/>
      <c r="I295" s="361"/>
      <c r="J295" s="361"/>
      <c r="K295" s="361"/>
      <c r="L295" s="364"/>
      <c r="M295" s="361"/>
      <c r="N295" s="361"/>
      <c r="O295" s="361"/>
      <c r="P295" s="361"/>
      <c r="R295" s="434"/>
      <c r="S295" s="361"/>
      <c r="T295" s="363"/>
    </row>
    <row r="296" spans="2:20" ht="13.5" customHeight="1" outlineLevel="1">
      <c r="B296" s="147" t="s">
        <v>394</v>
      </c>
      <c r="C296" s="50"/>
      <c r="D296" s="50"/>
      <c r="F296" s="231"/>
      <c r="G296" s="231">
        <f t="shared" ref="G296:P296" si="223">F299</f>
        <v>0</v>
      </c>
      <c r="H296" s="231">
        <f t="shared" si="223"/>
        <v>0</v>
      </c>
      <c r="I296" s="231">
        <f t="shared" si="223"/>
        <v>0</v>
      </c>
      <c r="J296" s="231">
        <f t="shared" si="223"/>
        <v>0</v>
      </c>
      <c r="K296" s="231">
        <f t="shared" si="223"/>
        <v>0</v>
      </c>
      <c r="L296" s="231">
        <f t="shared" si="223"/>
        <v>0</v>
      </c>
      <c r="M296" s="231">
        <f t="shared" si="223"/>
        <v>0</v>
      </c>
      <c r="N296" s="231">
        <f t="shared" si="223"/>
        <v>0</v>
      </c>
      <c r="O296" s="231">
        <f t="shared" si="223"/>
        <v>0</v>
      </c>
      <c r="P296" s="231">
        <f t="shared" si="223"/>
        <v>0</v>
      </c>
      <c r="R296" s="434"/>
      <c r="S296" s="339">
        <f>F299</f>
        <v>0</v>
      </c>
      <c r="T296" s="231">
        <f>S299</f>
        <v>0</v>
      </c>
    </row>
    <row r="297" spans="2:20" ht="13.5" customHeight="1" outlineLevel="1">
      <c r="B297" s="147" t="s">
        <v>402</v>
      </c>
      <c r="C297" s="50"/>
      <c r="D297" s="50"/>
      <c r="F297" s="163"/>
      <c r="G297" s="163">
        <f t="shared" ref="G297:P297" si="224">G321*G336</f>
        <v>0</v>
      </c>
      <c r="H297" s="163">
        <f t="shared" si="224"/>
        <v>0</v>
      </c>
      <c r="I297" s="163">
        <f t="shared" si="224"/>
        <v>0</v>
      </c>
      <c r="J297" s="163">
        <f t="shared" si="224"/>
        <v>0</v>
      </c>
      <c r="K297" s="163">
        <f t="shared" si="224"/>
        <v>0</v>
      </c>
      <c r="L297" s="163">
        <f t="shared" si="224"/>
        <v>0</v>
      </c>
      <c r="M297" s="163">
        <f t="shared" si="224"/>
        <v>0</v>
      </c>
      <c r="N297" s="163">
        <f t="shared" si="224"/>
        <v>0</v>
      </c>
      <c r="O297" s="163">
        <f t="shared" si="224"/>
        <v>0</v>
      </c>
      <c r="P297" s="163">
        <f t="shared" si="224"/>
        <v>0</v>
      </c>
      <c r="R297" s="434"/>
      <c r="S297" s="163">
        <f>S321*S336</f>
        <v>0</v>
      </c>
      <c r="T297" s="163">
        <f>T321*T336</f>
        <v>0</v>
      </c>
    </row>
    <row r="298" spans="2:20" ht="13.5" customHeight="1" outlineLevel="1">
      <c r="B298" s="147" t="s">
        <v>403</v>
      </c>
      <c r="C298" s="50"/>
      <c r="D298" s="50"/>
      <c r="F298" s="329"/>
      <c r="G298" s="330">
        <v>0</v>
      </c>
      <c r="H298" s="330">
        <v>0</v>
      </c>
      <c r="I298" s="330">
        <v>0</v>
      </c>
      <c r="J298" s="330">
        <v>0</v>
      </c>
      <c r="K298" s="330">
        <v>0</v>
      </c>
      <c r="L298" s="330">
        <v>0</v>
      </c>
      <c r="M298" s="330">
        <v>0</v>
      </c>
      <c r="N298" s="330">
        <v>0</v>
      </c>
      <c r="O298" s="330">
        <v>0</v>
      </c>
      <c r="P298" s="330">
        <v>0</v>
      </c>
      <c r="R298" s="434"/>
      <c r="S298" s="184">
        <f>S$3*$G298</f>
        <v>0</v>
      </c>
      <c r="T298" s="184">
        <f>T$3*$G298</f>
        <v>0</v>
      </c>
    </row>
    <row r="299" spans="2:20" ht="13.5" customHeight="1" outlineLevel="1">
      <c r="B299" s="116" t="s">
        <v>397</v>
      </c>
      <c r="C299" s="116"/>
      <c r="D299" s="116"/>
      <c r="E299" s="116"/>
      <c r="F299" s="479">
        <f>F118</f>
        <v>0</v>
      </c>
      <c r="G299" s="352">
        <f t="shared" ref="G299:P299" si="225">SUM(G296:G298)</f>
        <v>0</v>
      </c>
      <c r="H299" s="352">
        <f t="shared" si="225"/>
        <v>0</v>
      </c>
      <c r="I299" s="352">
        <f t="shared" si="225"/>
        <v>0</v>
      </c>
      <c r="J299" s="352">
        <f t="shared" si="225"/>
        <v>0</v>
      </c>
      <c r="K299" s="352">
        <f t="shared" si="225"/>
        <v>0</v>
      </c>
      <c r="L299" s="352">
        <f t="shared" si="225"/>
        <v>0</v>
      </c>
      <c r="M299" s="352">
        <f t="shared" si="225"/>
        <v>0</v>
      </c>
      <c r="N299" s="352">
        <f t="shared" si="225"/>
        <v>0</v>
      </c>
      <c r="O299" s="352">
        <f t="shared" si="225"/>
        <v>0</v>
      </c>
      <c r="P299" s="352">
        <f t="shared" si="225"/>
        <v>0</v>
      </c>
      <c r="R299" s="434"/>
      <c r="S299" s="352">
        <f>SUM(S296:S298)</f>
        <v>0</v>
      </c>
      <c r="T299" s="352">
        <f>SUM(T296:T298)</f>
        <v>0</v>
      </c>
    </row>
    <row r="300" spans="2:20" ht="13.5" customHeight="1" outlineLevel="1">
      <c r="B300" s="88"/>
      <c r="C300" s="88"/>
      <c r="D300" s="88"/>
      <c r="E300" s="88"/>
      <c r="F300" s="118"/>
      <c r="G300" s="118"/>
      <c r="H300" s="118"/>
      <c r="I300" s="118"/>
      <c r="J300" s="118"/>
      <c r="K300" s="118"/>
      <c r="L300" s="118"/>
      <c r="M300" s="118"/>
      <c r="N300" s="118"/>
      <c r="O300" s="118"/>
      <c r="P300" s="118"/>
      <c r="R300" s="434"/>
    </row>
    <row r="301" spans="2:20" ht="13.5" customHeight="1" outlineLevel="1">
      <c r="B301" s="78" t="s">
        <v>415</v>
      </c>
      <c r="C301" s="79"/>
      <c r="D301" s="80"/>
      <c r="E301" s="80"/>
      <c r="F301" s="80"/>
      <c r="G301" s="80"/>
      <c r="H301" s="80"/>
      <c r="I301" s="80"/>
      <c r="J301" s="80"/>
      <c r="K301" s="80"/>
      <c r="L301" s="80"/>
      <c r="M301" s="80"/>
      <c r="N301" s="80"/>
      <c r="O301" s="80"/>
      <c r="P301" s="81"/>
      <c r="R301" s="434"/>
      <c r="S301" s="525"/>
      <c r="T301" s="81"/>
    </row>
    <row r="302" spans="2:20" ht="13.5" customHeight="1" outlineLevel="1">
      <c r="B302" s="50"/>
      <c r="C302" s="50"/>
      <c r="D302" s="50"/>
      <c r="G302" s="350"/>
      <c r="H302" s="350"/>
      <c r="L302" s="57"/>
      <c r="R302" s="434"/>
      <c r="T302" s="350"/>
    </row>
    <row r="303" spans="2:20" ht="13.5" customHeight="1" outlineLevel="1">
      <c r="B303" s="147" t="s">
        <v>418</v>
      </c>
      <c r="C303" s="50"/>
      <c r="D303" s="50"/>
      <c r="F303" s="366"/>
      <c r="G303" s="481">
        <v>3.739725E-2</v>
      </c>
      <c r="H303" s="481">
        <v>4.1604000000000002E-2</v>
      </c>
      <c r="I303" s="481">
        <v>4.5736750000000007E-2</v>
      </c>
      <c r="J303" s="481">
        <v>4.8315000000000004E-2</v>
      </c>
      <c r="K303" s="481">
        <v>4.9805500000000003E-2</v>
      </c>
      <c r="L303" s="481">
        <v>5.1123500000000002E-2</v>
      </c>
      <c r="M303" s="481">
        <v>5.2225250000000001E-2</v>
      </c>
      <c r="N303" s="481">
        <v>5.3100000000000001E-2</v>
      </c>
      <c r="O303" s="481">
        <v>5.3999999999999999E-2</v>
      </c>
      <c r="P303" s="481">
        <v>5.4899999999999997E-2</v>
      </c>
      <c r="R303" s="434"/>
      <c r="S303" s="367">
        <f t="shared" ref="S303:T305" si="226">$G303</f>
        <v>3.739725E-2</v>
      </c>
      <c r="T303" s="367">
        <f t="shared" si="226"/>
        <v>3.739725E-2</v>
      </c>
    </row>
    <row r="304" spans="2:20" ht="13.5" customHeight="1" outlineLevel="1">
      <c r="B304" s="147" t="s">
        <v>30</v>
      </c>
      <c r="C304" s="50"/>
      <c r="D304" s="50"/>
      <c r="F304" s="115"/>
      <c r="G304" s="481">
        <v>2.5000000000000001E-3</v>
      </c>
      <c r="H304" s="368">
        <f t="shared" ref="H304:P304" si="227">G304</f>
        <v>2.5000000000000001E-3</v>
      </c>
      <c r="I304" s="368">
        <f t="shared" si="227"/>
        <v>2.5000000000000001E-3</v>
      </c>
      <c r="J304" s="368">
        <f t="shared" si="227"/>
        <v>2.5000000000000001E-3</v>
      </c>
      <c r="K304" s="368">
        <f t="shared" si="227"/>
        <v>2.5000000000000001E-3</v>
      </c>
      <c r="L304" s="368">
        <f t="shared" si="227"/>
        <v>2.5000000000000001E-3</v>
      </c>
      <c r="M304" s="368">
        <f t="shared" si="227"/>
        <v>2.5000000000000001E-3</v>
      </c>
      <c r="N304" s="368">
        <f t="shared" si="227"/>
        <v>2.5000000000000001E-3</v>
      </c>
      <c r="O304" s="368">
        <f t="shared" si="227"/>
        <v>2.5000000000000001E-3</v>
      </c>
      <c r="P304" s="368">
        <f t="shared" si="227"/>
        <v>2.5000000000000001E-3</v>
      </c>
      <c r="R304" s="434"/>
      <c r="S304" s="367">
        <f t="shared" si="226"/>
        <v>2.5000000000000001E-3</v>
      </c>
      <c r="T304" s="367">
        <f t="shared" si="226"/>
        <v>2.5000000000000001E-3</v>
      </c>
    </row>
    <row r="305" spans="2:20" ht="13.5" customHeight="1" outlineLevel="1">
      <c r="B305" s="147" t="s">
        <v>420</v>
      </c>
      <c r="C305" s="50"/>
      <c r="D305" s="50"/>
      <c r="F305" s="115"/>
      <c r="G305" s="481">
        <v>5.0000000000000001E-3</v>
      </c>
      <c r="H305" s="368">
        <f t="shared" ref="H305:P305" si="228">G305</f>
        <v>5.0000000000000001E-3</v>
      </c>
      <c r="I305" s="368">
        <f t="shared" si="228"/>
        <v>5.0000000000000001E-3</v>
      </c>
      <c r="J305" s="368">
        <f t="shared" si="228"/>
        <v>5.0000000000000001E-3</v>
      </c>
      <c r="K305" s="368">
        <f t="shared" si="228"/>
        <v>5.0000000000000001E-3</v>
      </c>
      <c r="L305" s="368">
        <f t="shared" si="228"/>
        <v>5.0000000000000001E-3</v>
      </c>
      <c r="M305" s="368">
        <f t="shared" si="228"/>
        <v>5.0000000000000001E-3</v>
      </c>
      <c r="N305" s="368">
        <f t="shared" si="228"/>
        <v>5.0000000000000001E-3</v>
      </c>
      <c r="O305" s="368">
        <f t="shared" si="228"/>
        <v>5.0000000000000001E-3</v>
      </c>
      <c r="P305" s="368">
        <f t="shared" si="228"/>
        <v>5.0000000000000001E-3</v>
      </c>
      <c r="R305" s="434"/>
      <c r="S305" s="367">
        <f t="shared" si="226"/>
        <v>5.0000000000000001E-3</v>
      </c>
      <c r="T305" s="367">
        <f t="shared" si="226"/>
        <v>5.0000000000000001E-3</v>
      </c>
    </row>
    <row r="306" spans="2:20" ht="13.5" customHeight="1" outlineLevel="1">
      <c r="B306" s="50"/>
      <c r="C306" s="50"/>
      <c r="D306" s="50"/>
      <c r="L306" s="57"/>
      <c r="R306" s="434"/>
    </row>
    <row r="307" spans="2:20" ht="13.5" customHeight="1" outlineLevel="1">
      <c r="B307" s="147" t="str">
        <f>B343</f>
        <v>Revolver</v>
      </c>
      <c r="C307" s="50"/>
      <c r="D307" s="50"/>
      <c r="F307" s="368"/>
      <c r="G307" s="368">
        <f t="shared" ref="G307:P307" si="229">$D343+(G$303+$E343)*($D343=0)</f>
        <v>7.9897250000000003E-2</v>
      </c>
      <c r="H307" s="368">
        <f t="shared" si="229"/>
        <v>8.4104000000000012E-2</v>
      </c>
      <c r="I307" s="368">
        <f t="shared" si="229"/>
        <v>8.8236750000000003E-2</v>
      </c>
      <c r="J307" s="368">
        <f t="shared" si="229"/>
        <v>9.0815000000000007E-2</v>
      </c>
      <c r="K307" s="368">
        <f t="shared" si="229"/>
        <v>9.2305500000000013E-2</v>
      </c>
      <c r="L307" s="368">
        <f t="shared" si="229"/>
        <v>9.3623499999999998E-2</v>
      </c>
      <c r="M307" s="368">
        <f t="shared" si="229"/>
        <v>9.4725250000000011E-2</v>
      </c>
      <c r="N307" s="368">
        <f t="shared" si="229"/>
        <v>9.5600000000000004E-2</v>
      </c>
      <c r="O307" s="368">
        <f t="shared" si="229"/>
        <v>9.6500000000000002E-2</v>
      </c>
      <c r="P307" s="368">
        <f t="shared" si="229"/>
        <v>9.74E-2</v>
      </c>
      <c r="R307" s="434"/>
      <c r="S307" s="368">
        <f t="shared" ref="S307:T311" si="230">$D343+(S$303+$E343)*($D343=0)</f>
        <v>7.9897250000000003E-2</v>
      </c>
      <c r="T307" s="368">
        <f t="shared" si="230"/>
        <v>7.9897250000000003E-2</v>
      </c>
    </row>
    <row r="308" spans="2:20" ht="13.5" customHeight="1" outlineLevel="1">
      <c r="B308" s="147" t="str">
        <f>B344</f>
        <v>Senior credit facility 2</v>
      </c>
      <c r="C308" s="50"/>
      <c r="D308" s="50"/>
      <c r="F308" s="368"/>
      <c r="G308" s="368">
        <f t="shared" ref="G308:P308" si="231">$D344+(G$303+$E344)*($D344=0)</f>
        <v>8.4897250000000007E-2</v>
      </c>
      <c r="H308" s="368">
        <f t="shared" si="231"/>
        <v>8.9104000000000003E-2</v>
      </c>
      <c r="I308" s="368">
        <f t="shared" si="231"/>
        <v>9.3236750000000007E-2</v>
      </c>
      <c r="J308" s="368">
        <f t="shared" si="231"/>
        <v>9.5815000000000011E-2</v>
      </c>
      <c r="K308" s="368">
        <f t="shared" si="231"/>
        <v>9.7305500000000003E-2</v>
      </c>
      <c r="L308" s="368">
        <f t="shared" si="231"/>
        <v>9.8623500000000003E-2</v>
      </c>
      <c r="M308" s="368">
        <f t="shared" si="231"/>
        <v>9.9725250000000001E-2</v>
      </c>
      <c r="N308" s="368">
        <f t="shared" si="231"/>
        <v>0.10059999999999999</v>
      </c>
      <c r="O308" s="368">
        <f t="shared" si="231"/>
        <v>0.10150000000000001</v>
      </c>
      <c r="P308" s="368">
        <f t="shared" si="231"/>
        <v>0.10239999999999999</v>
      </c>
      <c r="R308" s="434"/>
      <c r="S308" s="368">
        <f t="shared" si="230"/>
        <v>8.4897250000000007E-2</v>
      </c>
      <c r="T308" s="368">
        <f t="shared" si="230"/>
        <v>8.4897250000000007E-2</v>
      </c>
    </row>
    <row r="309" spans="2:20" ht="13.5" customHeight="1" outlineLevel="1">
      <c r="B309" s="147" t="str">
        <f>B345</f>
        <v>Subordinated note 2</v>
      </c>
      <c r="C309" s="50"/>
      <c r="D309" s="50"/>
      <c r="F309" s="368"/>
      <c r="G309" s="368">
        <f t="shared" ref="G309:P309" si="232">$D345+(G$303+$E345)*($D345=0)</f>
        <v>8.2500000000000004E-2</v>
      </c>
      <c r="H309" s="368">
        <f t="shared" si="232"/>
        <v>8.2500000000000004E-2</v>
      </c>
      <c r="I309" s="368">
        <f t="shared" si="232"/>
        <v>8.2500000000000004E-2</v>
      </c>
      <c r="J309" s="368">
        <f t="shared" si="232"/>
        <v>8.2500000000000004E-2</v>
      </c>
      <c r="K309" s="368">
        <f t="shared" si="232"/>
        <v>8.2500000000000004E-2</v>
      </c>
      <c r="L309" s="368">
        <f t="shared" si="232"/>
        <v>8.2500000000000004E-2</v>
      </c>
      <c r="M309" s="368">
        <f t="shared" si="232"/>
        <v>8.2500000000000004E-2</v>
      </c>
      <c r="N309" s="368">
        <f t="shared" si="232"/>
        <v>8.2500000000000004E-2</v>
      </c>
      <c r="O309" s="368">
        <f t="shared" si="232"/>
        <v>8.2500000000000004E-2</v>
      </c>
      <c r="P309" s="368">
        <f t="shared" si="232"/>
        <v>8.2500000000000004E-2</v>
      </c>
      <c r="R309" s="434"/>
      <c r="S309" s="368">
        <f t="shared" si="230"/>
        <v>8.2500000000000004E-2</v>
      </c>
      <c r="T309" s="368">
        <f t="shared" si="230"/>
        <v>8.2500000000000004E-2</v>
      </c>
    </row>
    <row r="310" spans="2:20" ht="13.5" customHeight="1" outlineLevel="1">
      <c r="B310" s="147" t="str">
        <f>B346</f>
        <v>Convertible bond 2</v>
      </c>
      <c r="C310" s="50"/>
      <c r="D310" s="50"/>
      <c r="F310" s="368"/>
      <c r="G310" s="368">
        <f t="shared" ref="G310:P310" si="233">$D346+(G$303+$E346)*($D346=0)</f>
        <v>9.5000000000000001E-2</v>
      </c>
      <c r="H310" s="368">
        <f t="shared" si="233"/>
        <v>9.5000000000000001E-2</v>
      </c>
      <c r="I310" s="368">
        <f t="shared" si="233"/>
        <v>9.5000000000000001E-2</v>
      </c>
      <c r="J310" s="368">
        <f t="shared" si="233"/>
        <v>9.5000000000000001E-2</v>
      </c>
      <c r="K310" s="368">
        <f t="shared" si="233"/>
        <v>9.5000000000000001E-2</v>
      </c>
      <c r="L310" s="368">
        <f t="shared" si="233"/>
        <v>9.5000000000000001E-2</v>
      </c>
      <c r="M310" s="368">
        <f t="shared" si="233"/>
        <v>9.5000000000000001E-2</v>
      </c>
      <c r="N310" s="368">
        <f t="shared" si="233"/>
        <v>9.5000000000000001E-2</v>
      </c>
      <c r="O310" s="368">
        <f t="shared" si="233"/>
        <v>9.5000000000000001E-2</v>
      </c>
      <c r="P310" s="368">
        <f t="shared" si="233"/>
        <v>9.5000000000000001E-2</v>
      </c>
      <c r="R310" s="434"/>
      <c r="S310" s="368">
        <f t="shared" si="230"/>
        <v>9.5000000000000001E-2</v>
      </c>
      <c r="T310" s="368">
        <f t="shared" si="230"/>
        <v>9.5000000000000001E-2</v>
      </c>
    </row>
    <row r="311" spans="2:20" ht="13.5" customHeight="1" outlineLevel="1">
      <c r="B311" s="147" t="str">
        <f>B347</f>
        <v>Preferred stock 2</v>
      </c>
      <c r="C311" s="50"/>
      <c r="D311" s="50"/>
      <c r="F311" s="368"/>
      <c r="G311" s="368">
        <f t="shared" ref="G311:P311" si="234">$D347+(G$303+$E347)*($D347=0)</f>
        <v>0.10249999999999999</v>
      </c>
      <c r="H311" s="368">
        <f t="shared" si="234"/>
        <v>0.10249999999999999</v>
      </c>
      <c r="I311" s="368">
        <f t="shared" si="234"/>
        <v>0.10249999999999999</v>
      </c>
      <c r="J311" s="368">
        <f t="shared" si="234"/>
        <v>0.10249999999999999</v>
      </c>
      <c r="K311" s="368">
        <f t="shared" si="234"/>
        <v>0.10249999999999999</v>
      </c>
      <c r="L311" s="368">
        <f t="shared" si="234"/>
        <v>0.10249999999999999</v>
      </c>
      <c r="M311" s="368">
        <f t="shared" si="234"/>
        <v>0.10249999999999999</v>
      </c>
      <c r="N311" s="368">
        <f t="shared" si="234"/>
        <v>0.10249999999999999</v>
      </c>
      <c r="O311" s="368">
        <f t="shared" si="234"/>
        <v>0.10249999999999999</v>
      </c>
      <c r="P311" s="368">
        <f t="shared" si="234"/>
        <v>0.10249999999999999</v>
      </c>
      <c r="R311" s="434"/>
      <c r="S311" s="368">
        <f t="shared" si="230"/>
        <v>0.10249999999999999</v>
      </c>
      <c r="T311" s="368">
        <f t="shared" si="230"/>
        <v>0.10249999999999999</v>
      </c>
    </row>
    <row r="312" spans="2:20" ht="13.5" customHeight="1" outlineLevel="1">
      <c r="B312" s="50"/>
      <c r="C312" s="50"/>
      <c r="D312" s="50"/>
      <c r="L312" s="57"/>
      <c r="R312" s="434"/>
    </row>
    <row r="313" spans="2:20" ht="13.5" customHeight="1" outlineLevel="1">
      <c r="B313" s="78" t="s">
        <v>574</v>
      </c>
      <c r="C313" s="79"/>
      <c r="D313" s="80"/>
      <c r="E313" s="80"/>
      <c r="F313" s="80"/>
      <c r="G313" s="80"/>
      <c r="H313" s="80"/>
      <c r="I313" s="80"/>
      <c r="J313" s="80"/>
      <c r="K313" s="80"/>
      <c r="L313" s="80"/>
      <c r="M313" s="80"/>
      <c r="N313" s="80"/>
      <c r="O313" s="80"/>
      <c r="P313" s="81"/>
      <c r="R313" s="434"/>
      <c r="S313" s="525"/>
      <c r="T313" s="81"/>
    </row>
    <row r="314" spans="2:20" ht="13.5" customHeight="1" outlineLevel="1">
      <c r="B314" s="50"/>
      <c r="C314" s="50"/>
      <c r="D314" s="50"/>
      <c r="G314" s="350"/>
      <c r="H314" s="350"/>
      <c r="L314" s="57"/>
      <c r="R314" s="434"/>
      <c r="T314" s="350"/>
    </row>
    <row r="315" spans="2:20" ht="13.5" customHeight="1" outlineLevel="1">
      <c r="B315" s="147" t="s">
        <v>420</v>
      </c>
      <c r="C315" s="88"/>
      <c r="D315" s="88"/>
      <c r="E315" s="88"/>
      <c r="F315" s="231"/>
      <c r="G315" s="231">
        <f t="shared" ref="G315:P315" si="235">G305*IF(avg_int,AVERAGE(F275:G275),F275)*G$3</f>
        <v>0.42499999999999999</v>
      </c>
      <c r="H315" s="231">
        <f t="shared" ca="1" si="235"/>
        <v>0.5</v>
      </c>
      <c r="I315" s="231">
        <f t="shared" ca="1" si="235"/>
        <v>0.5</v>
      </c>
      <c r="J315" s="231">
        <f t="shared" ca="1" si="235"/>
        <v>0.5</v>
      </c>
      <c r="K315" s="231">
        <f t="shared" ca="1" si="235"/>
        <v>0.5</v>
      </c>
      <c r="L315" s="231">
        <f t="shared" ca="1" si="235"/>
        <v>0.5</v>
      </c>
      <c r="M315" s="231">
        <f t="shared" ca="1" si="235"/>
        <v>0.5</v>
      </c>
      <c r="N315" s="231">
        <f t="shared" ca="1" si="235"/>
        <v>0.5</v>
      </c>
      <c r="O315" s="231">
        <f t="shared" ca="1" si="235"/>
        <v>0.5</v>
      </c>
      <c r="P315" s="231">
        <f t="shared" ca="1" si="235"/>
        <v>0.5</v>
      </c>
      <c r="R315" s="434"/>
      <c r="S315" s="339">
        <f>S$3*$G315</f>
        <v>0.21249999999999999</v>
      </c>
      <c r="T315" s="339">
        <f>T$3*$G315</f>
        <v>0.21249999999999999</v>
      </c>
    </row>
    <row r="316" spans="2:20" ht="13.5" customHeight="1" outlineLevel="1">
      <c r="B316" s="50"/>
      <c r="C316" s="50"/>
      <c r="D316" s="50"/>
      <c r="G316" s="350"/>
      <c r="H316" s="350"/>
      <c r="L316" s="57"/>
      <c r="R316" s="434"/>
      <c r="T316" s="350"/>
    </row>
    <row r="317" spans="2:20" ht="13.5" customHeight="1" outlineLevel="1">
      <c r="B317" s="147" t="str">
        <f>B343</f>
        <v>Revolver</v>
      </c>
      <c r="C317" s="88"/>
      <c r="D317" s="88"/>
      <c r="E317" s="88"/>
      <c r="F317" s="231"/>
      <c r="G317" s="231">
        <f t="shared" ref="G317:P317" si="236">G307*IF(avg_int,AVERAGE(G269,G272),G269)*G$3</f>
        <v>1.1984587500000001</v>
      </c>
      <c r="H317" s="231">
        <f t="shared" ca="1" si="236"/>
        <v>0</v>
      </c>
      <c r="I317" s="231">
        <f t="shared" ca="1" si="236"/>
        <v>0</v>
      </c>
      <c r="J317" s="231">
        <f t="shared" ca="1" si="236"/>
        <v>0</v>
      </c>
      <c r="K317" s="231">
        <f t="shared" ca="1" si="236"/>
        <v>0</v>
      </c>
      <c r="L317" s="231">
        <f t="shared" ca="1" si="236"/>
        <v>0</v>
      </c>
      <c r="M317" s="231">
        <f t="shared" ca="1" si="236"/>
        <v>0</v>
      </c>
      <c r="N317" s="231">
        <f t="shared" ca="1" si="236"/>
        <v>0</v>
      </c>
      <c r="O317" s="231">
        <f t="shared" ca="1" si="236"/>
        <v>0</v>
      </c>
      <c r="P317" s="231">
        <f t="shared" ca="1" si="236"/>
        <v>0</v>
      </c>
      <c r="R317" s="434"/>
      <c r="S317" s="339">
        <f t="shared" ref="S317:T321" si="237">S$3*$G317</f>
        <v>0.59922937500000006</v>
      </c>
      <c r="T317" s="339">
        <f t="shared" si="237"/>
        <v>0.59922937500000006</v>
      </c>
    </row>
    <row r="318" spans="2:20" ht="13.5" customHeight="1" outlineLevel="1">
      <c r="B318" s="147" t="str">
        <f>B344</f>
        <v>Senior credit facility 2</v>
      </c>
      <c r="C318" s="88"/>
      <c r="D318" s="88"/>
      <c r="E318" s="88"/>
      <c r="F318" s="231"/>
      <c r="G318" s="231">
        <f t="shared" ref="G318:P318" si="238">G308*IF(avg_int,AVERAGE(G278,G281),G278)*G$3</f>
        <v>0</v>
      </c>
      <c r="H318" s="231">
        <f t="shared" ca="1" si="238"/>
        <v>0</v>
      </c>
      <c r="I318" s="231">
        <f t="shared" ca="1" si="238"/>
        <v>0</v>
      </c>
      <c r="J318" s="231">
        <f t="shared" ca="1" si="238"/>
        <v>0</v>
      </c>
      <c r="K318" s="231">
        <f t="shared" ca="1" si="238"/>
        <v>0</v>
      </c>
      <c r="L318" s="231">
        <f t="shared" ca="1" si="238"/>
        <v>0</v>
      </c>
      <c r="M318" s="231">
        <f t="shared" ca="1" si="238"/>
        <v>0</v>
      </c>
      <c r="N318" s="231">
        <f t="shared" ca="1" si="238"/>
        <v>0</v>
      </c>
      <c r="O318" s="231">
        <f t="shared" ca="1" si="238"/>
        <v>0</v>
      </c>
      <c r="P318" s="231">
        <f t="shared" ca="1" si="238"/>
        <v>0</v>
      </c>
      <c r="R318" s="434"/>
      <c r="S318" s="339">
        <f t="shared" si="237"/>
        <v>0</v>
      </c>
      <c r="T318" s="339">
        <f t="shared" si="237"/>
        <v>0</v>
      </c>
    </row>
    <row r="319" spans="2:20" ht="13.5" customHeight="1" outlineLevel="1">
      <c r="B319" s="147" t="str">
        <f>B345</f>
        <v>Subordinated note 2</v>
      </c>
      <c r="C319" s="88"/>
      <c r="D319" s="88"/>
      <c r="E319" s="88"/>
      <c r="F319" s="231"/>
      <c r="G319" s="231">
        <f t="shared" ref="G319:P319" si="239">G309*IF(avg_int,AVERAGE(G284,G287),G284)*G$3</f>
        <v>3.7537500000000001</v>
      </c>
      <c r="H319" s="231">
        <f t="shared" ca="1" si="239"/>
        <v>3.7537500000000001</v>
      </c>
      <c r="I319" s="231">
        <f t="shared" ca="1" si="239"/>
        <v>3.7537500000000001</v>
      </c>
      <c r="J319" s="231">
        <f t="shared" ca="1" si="239"/>
        <v>3.7537500000000001</v>
      </c>
      <c r="K319" s="231">
        <f t="shared" ca="1" si="239"/>
        <v>3.7537500000000001</v>
      </c>
      <c r="L319" s="231">
        <f t="shared" ca="1" si="239"/>
        <v>3.7537500000000001</v>
      </c>
      <c r="M319" s="231">
        <f t="shared" ca="1" si="239"/>
        <v>3.7537500000000001</v>
      </c>
      <c r="N319" s="231">
        <f t="shared" ca="1" si="239"/>
        <v>3.7537500000000001</v>
      </c>
      <c r="O319" s="231">
        <f t="shared" ca="1" si="239"/>
        <v>3.7537500000000001</v>
      </c>
      <c r="P319" s="231">
        <f t="shared" ca="1" si="239"/>
        <v>3.7537500000000001</v>
      </c>
      <c r="R319" s="434"/>
      <c r="S319" s="339">
        <f t="shared" si="237"/>
        <v>1.8768750000000001</v>
      </c>
      <c r="T319" s="339">
        <f t="shared" si="237"/>
        <v>1.8768750000000001</v>
      </c>
    </row>
    <row r="320" spans="2:20" ht="13.5" customHeight="1" outlineLevel="1">
      <c r="B320" s="147" t="str">
        <f>B346</f>
        <v>Convertible bond 2</v>
      </c>
      <c r="C320" s="88"/>
      <c r="D320" s="88"/>
      <c r="E320" s="88"/>
      <c r="F320" s="339">
        <f>G320</f>
        <v>18.05</v>
      </c>
      <c r="G320" s="231">
        <f t="shared" ref="G320:P320" si="240">G310*IF(avg_int,AVERAGE(G290,G293),G290)*G$3</f>
        <v>18.05</v>
      </c>
      <c r="H320" s="231">
        <f t="shared" si="240"/>
        <v>18.907375000000002</v>
      </c>
      <c r="I320" s="231">
        <f t="shared" si="240"/>
        <v>19.8054753125</v>
      </c>
      <c r="J320" s="231">
        <f t="shared" si="240"/>
        <v>20.746235389843751</v>
      </c>
      <c r="K320" s="231">
        <f t="shared" si="240"/>
        <v>21.23895848035254</v>
      </c>
      <c r="L320" s="231">
        <f t="shared" si="240"/>
        <v>21.23895848035254</v>
      </c>
      <c r="M320" s="231">
        <f t="shared" si="240"/>
        <v>21.23895848035254</v>
      </c>
      <c r="N320" s="231">
        <f t="shared" si="240"/>
        <v>21.23895848035254</v>
      </c>
      <c r="O320" s="231">
        <f t="shared" si="240"/>
        <v>21.23895848035254</v>
      </c>
      <c r="P320" s="231">
        <f t="shared" si="240"/>
        <v>21.23895848035254</v>
      </c>
      <c r="R320" s="434"/>
      <c r="S320" s="339">
        <f t="shared" si="237"/>
        <v>9.0250000000000004</v>
      </c>
      <c r="T320" s="339">
        <f t="shared" si="237"/>
        <v>9.0250000000000004</v>
      </c>
    </row>
    <row r="321" spans="2:20" ht="13.5" customHeight="1" outlineLevel="1">
      <c r="B321" s="147" t="str">
        <f>B347</f>
        <v>Preferred stock 2</v>
      </c>
      <c r="C321" s="88"/>
      <c r="D321" s="88"/>
      <c r="E321" s="88"/>
      <c r="F321" s="339">
        <f>G321</f>
        <v>0</v>
      </c>
      <c r="G321" s="231">
        <f t="shared" ref="G321:P321" si="241">G311*IF(avg_int,AVERAGE(G296,G299),G296)*G$3</f>
        <v>0</v>
      </c>
      <c r="H321" s="231">
        <f t="shared" si="241"/>
        <v>0</v>
      </c>
      <c r="I321" s="231">
        <f t="shared" si="241"/>
        <v>0</v>
      </c>
      <c r="J321" s="231">
        <f t="shared" si="241"/>
        <v>0</v>
      </c>
      <c r="K321" s="231">
        <f t="shared" si="241"/>
        <v>0</v>
      </c>
      <c r="L321" s="231">
        <f t="shared" si="241"/>
        <v>0</v>
      </c>
      <c r="M321" s="231">
        <f t="shared" si="241"/>
        <v>0</v>
      </c>
      <c r="N321" s="231">
        <f t="shared" si="241"/>
        <v>0</v>
      </c>
      <c r="O321" s="231">
        <f t="shared" si="241"/>
        <v>0</v>
      </c>
      <c r="P321" s="231">
        <f t="shared" si="241"/>
        <v>0</v>
      </c>
      <c r="R321" s="434"/>
      <c r="S321" s="339">
        <f t="shared" si="237"/>
        <v>0</v>
      </c>
      <c r="T321" s="339">
        <f t="shared" si="237"/>
        <v>0</v>
      </c>
    </row>
    <row r="322" spans="2:20" ht="13.5" customHeight="1" outlineLevel="1">
      <c r="B322" s="147"/>
      <c r="C322" s="88"/>
      <c r="D322" s="88"/>
      <c r="E322" s="88"/>
      <c r="F322" s="482"/>
      <c r="G322" s="482"/>
      <c r="H322" s="482"/>
      <c r="I322" s="482"/>
      <c r="J322" s="482"/>
      <c r="K322" s="482"/>
      <c r="L322" s="482"/>
      <c r="M322" s="482"/>
      <c r="N322" s="482"/>
      <c r="O322" s="482"/>
      <c r="P322" s="482"/>
      <c r="R322" s="434"/>
      <c r="S322" s="482"/>
      <c r="T322" s="231"/>
    </row>
    <row r="323" spans="2:20" ht="13.5" customHeight="1" outlineLevel="1">
      <c r="B323" s="147" t="s">
        <v>584</v>
      </c>
      <c r="C323" s="88"/>
      <c r="D323" s="88"/>
      <c r="E323" s="88"/>
      <c r="F323" s="231"/>
      <c r="G323" s="231">
        <f t="shared" ref="G323:P323" si="242">G315+SUMPRODUCT(G317:G321,$F343:$F347)</f>
        <v>1.6234587500000002</v>
      </c>
      <c r="H323" s="231">
        <f t="shared" ca="1" si="242"/>
        <v>0.5</v>
      </c>
      <c r="I323" s="231">
        <f t="shared" ca="1" si="242"/>
        <v>0.5</v>
      </c>
      <c r="J323" s="231">
        <f t="shared" ca="1" si="242"/>
        <v>0.5</v>
      </c>
      <c r="K323" s="231">
        <f t="shared" ca="1" si="242"/>
        <v>0.5</v>
      </c>
      <c r="L323" s="231">
        <f t="shared" ca="1" si="242"/>
        <v>0.5</v>
      </c>
      <c r="M323" s="231">
        <f t="shared" ca="1" si="242"/>
        <v>0.5</v>
      </c>
      <c r="N323" s="231">
        <f t="shared" ca="1" si="242"/>
        <v>0.5</v>
      </c>
      <c r="O323" s="231">
        <f t="shared" ca="1" si="242"/>
        <v>0.5</v>
      </c>
      <c r="P323" s="231">
        <f t="shared" ca="1" si="242"/>
        <v>0.5</v>
      </c>
      <c r="R323" s="434"/>
      <c r="S323" s="231">
        <f>S315+SUMPRODUCT(S317:S321,$F343:$F347)</f>
        <v>0.81172937500000009</v>
      </c>
      <c r="T323" s="231">
        <f>T315+SUMPRODUCT(T317:T321,$F343:$F347)</f>
        <v>0.81172937500000009</v>
      </c>
    </row>
    <row r="324" spans="2:20" ht="13.5" customHeight="1" outlineLevel="1">
      <c r="B324" s="147" t="s">
        <v>585</v>
      </c>
      <c r="C324" s="88"/>
      <c r="D324" s="88"/>
      <c r="E324" s="88"/>
      <c r="F324" s="231"/>
      <c r="G324" s="231">
        <f t="shared" ref="G324:P324" si="243">G315+SUM(G317:G321)-SUMPRODUCT(G317:G321,G332:G336)-(SUMPRODUCT(G317:G321,$G343:$G347)-SUMPRODUCT(G317:G321,G332:G336,$G343:$G347))</f>
        <v>14.402208750000002</v>
      </c>
      <c r="H324" s="231">
        <f t="shared" ca="1" si="243"/>
        <v>13.707437500000001</v>
      </c>
      <c r="I324" s="231">
        <f t="shared" ca="1" si="243"/>
        <v>14.15648765625</v>
      </c>
      <c r="J324" s="231">
        <f t="shared" ca="1" si="243"/>
        <v>19.813426542382814</v>
      </c>
      <c r="K324" s="231">
        <f t="shared" ca="1" si="243"/>
        <v>25.49270848035254</v>
      </c>
      <c r="L324" s="231">
        <f t="shared" ca="1" si="243"/>
        <v>25.49270848035254</v>
      </c>
      <c r="M324" s="231">
        <f t="shared" ca="1" si="243"/>
        <v>25.49270848035254</v>
      </c>
      <c r="N324" s="231">
        <f t="shared" ca="1" si="243"/>
        <v>25.49270848035254</v>
      </c>
      <c r="O324" s="231">
        <f t="shared" ca="1" si="243"/>
        <v>25.49270848035254</v>
      </c>
      <c r="P324" s="231">
        <f t="shared" ca="1" si="243"/>
        <v>25.49270848035254</v>
      </c>
      <c r="R324" s="434"/>
      <c r="S324" s="231">
        <f>S315+SUM(S317:S321)-SUMPRODUCT(S317:S321,S332:S336)-(SUMPRODUCT(S317:S321,$G343:$G347)-SUMPRODUCT(S317:S321,S332:S336,$G343:$G347))</f>
        <v>7.2011043750000008</v>
      </c>
      <c r="T324" s="231">
        <f>T315+SUM(T317:T321)-SUMPRODUCT(T317:T321,T332:T336)-(SUMPRODUCT(T317:T321,$G343:$G347)-SUMPRODUCT(T317:T321,T332:T336,$G343:$G347))</f>
        <v>7.2011043750000008</v>
      </c>
    </row>
    <row r="325" spans="2:20" ht="13.5" customHeight="1" outlineLevel="1">
      <c r="B325" s="147" t="s">
        <v>575</v>
      </c>
      <c r="C325" s="88"/>
      <c r="D325" s="88"/>
      <c r="E325" s="88"/>
      <c r="F325" s="231"/>
      <c r="G325" s="231">
        <f t="shared" ref="G325:P325" si="244">SUM(G315,G317:G321)-SUMPRODUCT(G317:G321,$G343:$G347)</f>
        <v>23.427208750000002</v>
      </c>
      <c r="H325" s="231">
        <f t="shared" ca="1" si="244"/>
        <v>23.161125000000002</v>
      </c>
      <c r="I325" s="231">
        <f t="shared" ca="1" si="244"/>
        <v>24.059225312500001</v>
      </c>
      <c r="J325" s="231">
        <f t="shared" ca="1" si="244"/>
        <v>24.999985389843751</v>
      </c>
      <c r="K325" s="231">
        <f t="shared" ca="1" si="244"/>
        <v>25.49270848035254</v>
      </c>
      <c r="L325" s="231">
        <f t="shared" ca="1" si="244"/>
        <v>25.49270848035254</v>
      </c>
      <c r="M325" s="231">
        <f t="shared" ca="1" si="244"/>
        <v>25.49270848035254</v>
      </c>
      <c r="N325" s="231">
        <f t="shared" ca="1" si="244"/>
        <v>25.49270848035254</v>
      </c>
      <c r="O325" s="231">
        <f t="shared" ca="1" si="244"/>
        <v>25.49270848035254</v>
      </c>
      <c r="P325" s="231">
        <f t="shared" ca="1" si="244"/>
        <v>25.49270848035254</v>
      </c>
      <c r="R325" s="434"/>
      <c r="S325" s="231">
        <f>SUM(S315,S317:S321)-SUMPRODUCT(S317:S321,$G343:$G347)</f>
        <v>11.713604375000001</v>
      </c>
      <c r="T325" s="231">
        <f>SUM(T315,T317:T321)-SUMPRODUCT(T317:T321,$G343:$G347)</f>
        <v>11.713604375000001</v>
      </c>
    </row>
    <row r="326" spans="2:20" ht="13.5" customHeight="1" outlineLevel="1">
      <c r="B326" s="147" t="s">
        <v>581</v>
      </c>
      <c r="C326" s="88"/>
      <c r="D326" s="88"/>
      <c r="E326" s="88"/>
      <c r="F326" s="231"/>
      <c r="G326" s="231">
        <f t="shared" ref="G326:P326" si="245">SUMPRODUCT(G317:G321,$G343:$G347,$H343:$H347)</f>
        <v>0</v>
      </c>
      <c r="H326" s="231">
        <f t="shared" ca="1" si="245"/>
        <v>0</v>
      </c>
      <c r="I326" s="231">
        <f t="shared" ca="1" si="245"/>
        <v>0</v>
      </c>
      <c r="J326" s="231">
        <f t="shared" ca="1" si="245"/>
        <v>0</v>
      </c>
      <c r="K326" s="231">
        <f t="shared" ca="1" si="245"/>
        <v>0</v>
      </c>
      <c r="L326" s="231">
        <f t="shared" ca="1" si="245"/>
        <v>0</v>
      </c>
      <c r="M326" s="231">
        <f t="shared" ca="1" si="245"/>
        <v>0</v>
      </c>
      <c r="N326" s="231">
        <f t="shared" ca="1" si="245"/>
        <v>0</v>
      </c>
      <c r="O326" s="231">
        <f t="shared" ca="1" si="245"/>
        <v>0</v>
      </c>
      <c r="P326" s="231">
        <f t="shared" ca="1" si="245"/>
        <v>0</v>
      </c>
      <c r="R326" s="434"/>
      <c r="S326" s="231">
        <f>SUMPRODUCT(S317:S321,$G343:$G347,$H343:$H347)</f>
        <v>0</v>
      </c>
      <c r="T326" s="231">
        <f>SUMPRODUCT(T317:T321,$G343:$G347,$H343:$H347)</f>
        <v>0</v>
      </c>
    </row>
    <row r="327" spans="2:20" ht="13.5" customHeight="1" outlineLevel="1">
      <c r="B327" s="147" t="s">
        <v>582</v>
      </c>
      <c r="C327" s="88"/>
      <c r="D327" s="88"/>
      <c r="E327" s="88"/>
      <c r="F327" s="231"/>
      <c r="G327" s="231">
        <f t="shared" ref="G327:P327" si="246">SUMPRODUCT(G317:G321,$G343:$G347)-G326</f>
        <v>0</v>
      </c>
      <c r="H327" s="231">
        <f t="shared" ca="1" si="246"/>
        <v>0</v>
      </c>
      <c r="I327" s="231">
        <f t="shared" ca="1" si="246"/>
        <v>0</v>
      </c>
      <c r="J327" s="231">
        <f t="shared" ca="1" si="246"/>
        <v>0</v>
      </c>
      <c r="K327" s="231">
        <f t="shared" ca="1" si="246"/>
        <v>0</v>
      </c>
      <c r="L327" s="231">
        <f t="shared" ca="1" si="246"/>
        <v>0</v>
      </c>
      <c r="M327" s="231">
        <f t="shared" ca="1" si="246"/>
        <v>0</v>
      </c>
      <c r="N327" s="231">
        <f t="shared" ca="1" si="246"/>
        <v>0</v>
      </c>
      <c r="O327" s="231">
        <f t="shared" ca="1" si="246"/>
        <v>0</v>
      </c>
      <c r="P327" s="231">
        <f t="shared" ca="1" si="246"/>
        <v>0</v>
      </c>
      <c r="R327" s="434"/>
      <c r="S327" s="231">
        <f>SUMPRODUCT(S317:S321,$G343:$G347)-S326</f>
        <v>0</v>
      </c>
      <c r="T327" s="231">
        <f>SUMPRODUCT(T317:T321,$G343:$G347)-T326</f>
        <v>0</v>
      </c>
    </row>
    <row r="328" spans="2:20" ht="13.5" customHeight="1" outlineLevel="1">
      <c r="B328" s="147" t="s">
        <v>576</v>
      </c>
      <c r="C328" s="88"/>
      <c r="D328" s="88"/>
      <c r="E328" s="88"/>
      <c r="F328" s="231"/>
      <c r="G328" s="231">
        <f t="shared" ref="G328:P328" si="247">G326+G327</f>
        <v>0</v>
      </c>
      <c r="H328" s="231">
        <f t="shared" ca="1" si="247"/>
        <v>0</v>
      </c>
      <c r="I328" s="231">
        <f t="shared" ca="1" si="247"/>
        <v>0</v>
      </c>
      <c r="J328" s="231">
        <f t="shared" ca="1" si="247"/>
        <v>0</v>
      </c>
      <c r="K328" s="231">
        <f t="shared" ca="1" si="247"/>
        <v>0</v>
      </c>
      <c r="L328" s="231">
        <f t="shared" ca="1" si="247"/>
        <v>0</v>
      </c>
      <c r="M328" s="231">
        <f t="shared" ca="1" si="247"/>
        <v>0</v>
      </c>
      <c r="N328" s="231">
        <f t="shared" ca="1" si="247"/>
        <v>0</v>
      </c>
      <c r="O328" s="231">
        <f t="shared" ca="1" si="247"/>
        <v>0</v>
      </c>
      <c r="P328" s="231">
        <f t="shared" ca="1" si="247"/>
        <v>0</v>
      </c>
      <c r="R328" s="434"/>
      <c r="S328" s="231">
        <f>S326+S327</f>
        <v>0</v>
      </c>
      <c r="T328" s="231">
        <f>T326+T327</f>
        <v>0</v>
      </c>
    </row>
    <row r="329" spans="2:20" ht="13.5" customHeight="1" outlineLevel="1">
      <c r="B329" s="147"/>
      <c r="C329" s="88"/>
      <c r="D329" s="88"/>
      <c r="E329" s="88"/>
      <c r="F329" s="231"/>
      <c r="G329" s="231"/>
      <c r="H329" s="231"/>
      <c r="I329" s="231"/>
      <c r="J329" s="231"/>
      <c r="K329" s="231"/>
      <c r="L329" s="231"/>
      <c r="M329" s="231"/>
      <c r="N329" s="231"/>
      <c r="O329" s="231"/>
      <c r="P329" s="231"/>
      <c r="R329" s="434"/>
      <c r="S329" s="231"/>
      <c r="T329" s="231"/>
    </row>
    <row r="330" spans="2:20" ht="13.5" customHeight="1" outlineLevel="1">
      <c r="B330" s="78" t="s">
        <v>577</v>
      </c>
      <c r="C330" s="79"/>
      <c r="D330" s="80"/>
      <c r="E330" s="80"/>
      <c r="F330" s="80"/>
      <c r="G330" s="80"/>
      <c r="H330" s="80"/>
      <c r="I330" s="80"/>
      <c r="J330" s="80"/>
      <c r="K330" s="80"/>
      <c r="L330" s="80"/>
      <c r="M330" s="80"/>
      <c r="N330" s="80"/>
      <c r="O330" s="80"/>
      <c r="P330" s="81"/>
      <c r="R330" s="434"/>
      <c r="S330" s="525"/>
      <c r="T330" s="81"/>
    </row>
    <row r="331" spans="2:20" ht="13.5" customHeight="1" outlineLevel="1">
      <c r="B331" s="50"/>
      <c r="C331" s="50"/>
      <c r="D331" s="50"/>
      <c r="G331" s="350"/>
      <c r="H331" s="350"/>
      <c r="L331" s="57"/>
      <c r="R331" s="434"/>
      <c r="T331" s="350"/>
    </row>
    <row r="332" spans="2:20" ht="13.5" customHeight="1" outlineLevel="1">
      <c r="B332" s="147" t="str">
        <f>B343</f>
        <v>Revolver</v>
      </c>
      <c r="C332" s="88"/>
      <c r="D332" s="88"/>
      <c r="E332" s="88"/>
      <c r="F332" s="328"/>
      <c r="G332" s="358">
        <v>0</v>
      </c>
      <c r="H332" s="358">
        <v>0</v>
      </c>
      <c r="I332" s="358">
        <v>0</v>
      </c>
      <c r="J332" s="358">
        <v>0</v>
      </c>
      <c r="K332" s="358">
        <v>0</v>
      </c>
      <c r="L332" s="358">
        <v>0</v>
      </c>
      <c r="M332" s="358">
        <v>0</v>
      </c>
      <c r="N332" s="358">
        <v>0</v>
      </c>
      <c r="O332" s="358">
        <v>0</v>
      </c>
      <c r="P332" s="358">
        <v>0</v>
      </c>
      <c r="R332" s="434"/>
      <c r="S332" s="355">
        <f t="shared" ref="S332:T336" si="248">$G332</f>
        <v>0</v>
      </c>
      <c r="T332" s="355">
        <f t="shared" si="248"/>
        <v>0</v>
      </c>
    </row>
    <row r="333" spans="2:20" ht="13.5" customHeight="1" outlineLevel="1">
      <c r="B333" s="147" t="str">
        <f>B344</f>
        <v>Senior credit facility 2</v>
      </c>
      <c r="C333" s="88"/>
      <c r="D333" s="88"/>
      <c r="E333" s="88"/>
      <c r="F333" s="328"/>
      <c r="G333" s="358">
        <v>0</v>
      </c>
      <c r="H333" s="358">
        <v>0</v>
      </c>
      <c r="I333" s="358">
        <v>0</v>
      </c>
      <c r="J333" s="358">
        <v>0</v>
      </c>
      <c r="K333" s="358">
        <v>0</v>
      </c>
      <c r="L333" s="358">
        <v>0</v>
      </c>
      <c r="M333" s="358">
        <v>0</v>
      </c>
      <c r="N333" s="358">
        <v>0</v>
      </c>
      <c r="O333" s="358">
        <v>0</v>
      </c>
      <c r="P333" s="358">
        <v>0</v>
      </c>
      <c r="R333" s="434"/>
      <c r="S333" s="355">
        <f t="shared" si="248"/>
        <v>0</v>
      </c>
      <c r="T333" s="355">
        <f t="shared" si="248"/>
        <v>0</v>
      </c>
    </row>
    <row r="334" spans="2:20" ht="13.5" customHeight="1" outlineLevel="1">
      <c r="B334" s="147" t="str">
        <f>B345</f>
        <v>Subordinated note 2</v>
      </c>
      <c r="C334" s="88"/>
      <c r="D334" s="88"/>
      <c r="E334" s="88"/>
      <c r="F334" s="328"/>
      <c r="G334" s="358">
        <v>0</v>
      </c>
      <c r="H334" s="358">
        <v>0</v>
      </c>
      <c r="I334" s="358">
        <v>0</v>
      </c>
      <c r="J334" s="358">
        <v>0</v>
      </c>
      <c r="K334" s="358">
        <v>0</v>
      </c>
      <c r="L334" s="358">
        <v>0</v>
      </c>
      <c r="M334" s="358">
        <v>0</v>
      </c>
      <c r="N334" s="358">
        <v>0</v>
      </c>
      <c r="O334" s="358">
        <v>0</v>
      </c>
      <c r="P334" s="358">
        <v>0</v>
      </c>
      <c r="R334" s="434"/>
      <c r="S334" s="355">
        <f t="shared" si="248"/>
        <v>0</v>
      </c>
      <c r="T334" s="355">
        <f t="shared" si="248"/>
        <v>0</v>
      </c>
    </row>
    <row r="335" spans="2:20" ht="13.5" customHeight="1" outlineLevel="1">
      <c r="B335" s="147" t="str">
        <f>B346</f>
        <v>Convertible bond 2</v>
      </c>
      <c r="C335" s="88"/>
      <c r="D335" s="88"/>
      <c r="E335" s="88"/>
      <c r="F335" s="328"/>
      <c r="G335" s="358">
        <v>0.5</v>
      </c>
      <c r="H335" s="358">
        <v>0.5</v>
      </c>
      <c r="I335" s="358">
        <v>0.5</v>
      </c>
      <c r="J335" s="358">
        <v>0.25</v>
      </c>
      <c r="K335" s="358">
        <v>0</v>
      </c>
      <c r="L335" s="358">
        <v>0</v>
      </c>
      <c r="M335" s="358">
        <v>0</v>
      </c>
      <c r="N335" s="358">
        <v>0</v>
      </c>
      <c r="O335" s="358">
        <v>0</v>
      </c>
      <c r="P335" s="358">
        <v>0</v>
      </c>
      <c r="R335" s="434"/>
      <c r="S335" s="355">
        <f t="shared" si="248"/>
        <v>0.5</v>
      </c>
      <c r="T335" s="355">
        <f t="shared" si="248"/>
        <v>0.5</v>
      </c>
    </row>
    <row r="336" spans="2:20" ht="13.5" customHeight="1" outlineLevel="1">
      <c r="B336" s="147" t="str">
        <f>B347</f>
        <v>Preferred stock 2</v>
      </c>
      <c r="C336" s="88"/>
      <c r="D336" s="88"/>
      <c r="E336" s="88"/>
      <c r="F336" s="328"/>
      <c r="G336" s="358">
        <v>0</v>
      </c>
      <c r="H336" s="358">
        <v>0</v>
      </c>
      <c r="I336" s="358">
        <v>0</v>
      </c>
      <c r="J336" s="358">
        <v>0</v>
      </c>
      <c r="K336" s="358">
        <v>0</v>
      </c>
      <c r="L336" s="358">
        <v>0</v>
      </c>
      <c r="M336" s="358">
        <v>0</v>
      </c>
      <c r="N336" s="358">
        <v>0</v>
      </c>
      <c r="O336" s="358">
        <v>0</v>
      </c>
      <c r="P336" s="358">
        <v>0</v>
      </c>
      <c r="R336" s="434"/>
      <c r="S336" s="355">
        <f t="shared" si="248"/>
        <v>0</v>
      </c>
      <c r="T336" s="355">
        <f t="shared" si="248"/>
        <v>0</v>
      </c>
    </row>
    <row r="337" spans="1:20" ht="13.5" customHeight="1" outlineLevel="1">
      <c r="B337" s="88"/>
      <c r="C337" s="88"/>
      <c r="D337" s="88"/>
      <c r="E337" s="88"/>
      <c r="F337" s="328"/>
      <c r="G337" s="141"/>
      <c r="H337" s="141"/>
      <c r="I337" s="141"/>
      <c r="J337" s="141"/>
      <c r="K337" s="141"/>
      <c r="L337" s="141"/>
      <c r="M337" s="141"/>
      <c r="N337" s="141"/>
      <c r="O337" s="141"/>
      <c r="P337" s="141"/>
      <c r="R337" s="434"/>
    </row>
    <row r="338" spans="1:20" ht="13.5" customHeight="1" outlineLevel="1">
      <c r="B338" s="78" t="s">
        <v>425</v>
      </c>
      <c r="C338" s="79"/>
      <c r="D338" s="80"/>
      <c r="E338" s="80"/>
      <c r="F338" s="80"/>
      <c r="G338" s="80"/>
      <c r="H338" s="80"/>
      <c r="I338" s="80"/>
      <c r="J338" s="80"/>
      <c r="K338" s="80"/>
      <c r="L338" s="80"/>
      <c r="M338" s="80"/>
      <c r="N338" s="80"/>
      <c r="O338" s="80"/>
      <c r="P338" s="81"/>
      <c r="R338" s="434"/>
      <c r="S338" s="525"/>
      <c r="T338" s="81"/>
    </row>
    <row r="339" spans="1:20" ht="13.5" customHeight="1" outlineLevel="1">
      <c r="B339" s="50"/>
      <c r="C339" s="50"/>
      <c r="D339" s="50"/>
      <c r="G339" s="350"/>
      <c r="H339" s="350"/>
      <c r="L339" s="57"/>
      <c r="R339" s="434"/>
    </row>
    <row r="340" spans="1:20" ht="13.5" customHeight="1" outlineLevel="1">
      <c r="B340" s="369"/>
      <c r="C340" s="369"/>
      <c r="D340" s="432" t="s">
        <v>573</v>
      </c>
      <c r="E340" s="432" t="s">
        <v>426</v>
      </c>
      <c r="F340" s="432" t="s">
        <v>427</v>
      </c>
      <c r="G340" s="483" t="s">
        <v>360</v>
      </c>
      <c r="H340" s="483" t="s">
        <v>271</v>
      </c>
      <c r="I340" s="483" t="s">
        <v>270</v>
      </c>
      <c r="J340" s="432" t="s">
        <v>30</v>
      </c>
      <c r="R340" s="434"/>
    </row>
    <row r="341" spans="1:20" ht="13.5" customHeight="1" outlineLevel="1" thickBot="1">
      <c r="B341" s="370"/>
      <c r="C341" s="370"/>
      <c r="D341" s="530" t="s">
        <v>358</v>
      </c>
      <c r="E341" s="530" t="s">
        <v>418</v>
      </c>
      <c r="F341" s="530" t="s">
        <v>428</v>
      </c>
      <c r="G341" s="531" t="s">
        <v>337</v>
      </c>
      <c r="H341" s="531" t="s">
        <v>337</v>
      </c>
      <c r="I341" s="531" t="s">
        <v>248</v>
      </c>
      <c r="J341" s="530" t="s">
        <v>411</v>
      </c>
      <c r="R341" s="434"/>
    </row>
    <row r="342" spans="1:20" ht="5.0999999999999996" customHeight="1" outlineLevel="1">
      <c r="B342" s="147"/>
      <c r="C342" s="50"/>
      <c r="D342" s="50"/>
      <c r="E342" s="350"/>
      <c r="F342" s="350"/>
      <c r="G342" s="350"/>
      <c r="R342" s="434"/>
    </row>
    <row r="343" spans="1:20" ht="13.5" customHeight="1" outlineLevel="1">
      <c r="B343" s="487" t="s">
        <v>66</v>
      </c>
      <c r="C343" s="488"/>
      <c r="D343" s="372">
        <v>0</v>
      </c>
      <c r="E343" s="372">
        <v>4.2500000000000003E-2</v>
      </c>
      <c r="F343" s="373">
        <v>1</v>
      </c>
      <c r="G343" s="373">
        <v>0</v>
      </c>
      <c r="H343" s="373">
        <v>0</v>
      </c>
      <c r="I343" s="374">
        <v>0</v>
      </c>
      <c r="J343" s="375">
        <v>1</v>
      </c>
      <c r="R343" s="434"/>
    </row>
    <row r="344" spans="1:20" ht="13.5" customHeight="1" outlineLevel="1">
      <c r="B344" s="487" t="s">
        <v>287</v>
      </c>
      <c r="C344" s="488"/>
      <c r="D344" s="372">
        <v>0</v>
      </c>
      <c r="E344" s="372">
        <v>4.7500000000000001E-2</v>
      </c>
      <c r="F344" s="373">
        <v>1</v>
      </c>
      <c r="G344" s="373">
        <v>0</v>
      </c>
      <c r="H344" s="373">
        <v>0</v>
      </c>
      <c r="I344" s="374">
        <v>0</v>
      </c>
      <c r="J344" s="375">
        <v>1</v>
      </c>
      <c r="R344" s="434"/>
    </row>
    <row r="345" spans="1:20" ht="13.5" customHeight="1" outlineLevel="1">
      <c r="B345" s="487" t="s">
        <v>289</v>
      </c>
      <c r="C345" s="488"/>
      <c r="D345" s="372">
        <v>8.2500000000000004E-2</v>
      </c>
      <c r="E345" s="372">
        <v>0</v>
      </c>
      <c r="F345" s="373">
        <v>0</v>
      </c>
      <c r="G345" s="373">
        <v>0</v>
      </c>
      <c r="H345" s="373">
        <v>0</v>
      </c>
      <c r="I345" s="374">
        <v>0</v>
      </c>
      <c r="J345" s="375">
        <v>0</v>
      </c>
      <c r="R345" s="434"/>
    </row>
    <row r="346" spans="1:20" ht="13.5" customHeight="1" outlineLevel="1">
      <c r="B346" s="487" t="s">
        <v>291</v>
      </c>
      <c r="C346" s="488"/>
      <c r="D346" s="372">
        <v>9.5000000000000001E-2</v>
      </c>
      <c r="E346" s="372">
        <v>0</v>
      </c>
      <c r="F346" s="373">
        <v>0</v>
      </c>
      <c r="G346" s="373">
        <v>0</v>
      </c>
      <c r="H346" s="373">
        <v>1</v>
      </c>
      <c r="I346" s="374">
        <v>26.77</v>
      </c>
      <c r="J346" s="375">
        <v>0</v>
      </c>
      <c r="R346" s="434"/>
    </row>
    <row r="347" spans="1:20" ht="13.5" customHeight="1" outlineLevel="1">
      <c r="B347" s="487" t="s">
        <v>296</v>
      </c>
      <c r="C347" s="488"/>
      <c r="D347" s="372">
        <v>0.10249999999999999</v>
      </c>
      <c r="E347" s="372">
        <v>0</v>
      </c>
      <c r="F347" s="373">
        <v>0</v>
      </c>
      <c r="G347" s="373">
        <v>1</v>
      </c>
      <c r="H347" s="373">
        <v>0</v>
      </c>
      <c r="I347" s="374">
        <v>0</v>
      </c>
      <c r="J347" s="375">
        <v>0</v>
      </c>
      <c r="R347" s="434"/>
    </row>
    <row r="348" spans="1:20" ht="5.0999999999999996" customHeight="1" outlineLevel="1" thickBot="1">
      <c r="B348" s="336"/>
      <c r="C348" s="336"/>
      <c r="D348" s="336"/>
      <c r="E348" s="209"/>
      <c r="F348" s="209"/>
      <c r="G348" s="376"/>
      <c r="H348" s="376"/>
      <c r="I348" s="209"/>
      <c r="J348" s="209"/>
      <c r="K348" s="209"/>
      <c r="L348" s="337"/>
      <c r="M348" s="209"/>
      <c r="N348" s="209"/>
      <c r="O348" s="209"/>
      <c r="P348" s="209"/>
      <c r="Q348" s="209"/>
      <c r="R348" s="209"/>
      <c r="S348" s="209"/>
      <c r="T348" s="209"/>
    </row>
    <row r="349" spans="1:20" ht="13.5" customHeight="1" outlineLevel="1">
      <c r="B349" s="50"/>
      <c r="C349" s="50"/>
      <c r="D349" s="50"/>
      <c r="L349" s="57"/>
    </row>
    <row r="350" spans="1:20" ht="13.5" customHeight="1" outlineLevel="1" thickBot="1">
      <c r="B350" s="50"/>
      <c r="C350" s="50"/>
      <c r="D350" s="50"/>
      <c r="L350" s="57"/>
    </row>
    <row r="351" spans="1:20" ht="20.7" thickTop="1">
      <c r="A351" s="281" t="s">
        <v>631</v>
      </c>
      <c r="B351" s="522" t="str">
        <f>target&amp;" Depreciation Schedule"</f>
        <v>TargetCo Depreciation Schedule</v>
      </c>
      <c r="C351" s="523"/>
      <c r="D351" s="524"/>
      <c r="E351" s="524"/>
      <c r="F351" s="524"/>
      <c r="G351" s="524"/>
      <c r="H351" s="524"/>
      <c r="I351" s="524"/>
      <c r="J351" s="524"/>
      <c r="K351" s="524"/>
      <c r="L351" s="524"/>
      <c r="M351" s="524"/>
      <c r="N351" s="524"/>
      <c r="O351" s="524"/>
      <c r="P351" s="524"/>
      <c r="Q351" s="524"/>
      <c r="R351" s="524"/>
      <c r="S351" s="524"/>
      <c r="T351" s="524"/>
    </row>
    <row r="352" spans="1:20" ht="5.0999999999999996" customHeight="1" outlineLevel="1">
      <c r="B352" s="107"/>
      <c r="C352" s="285"/>
      <c r="L352" s="57"/>
    </row>
    <row r="353" spans="2:20" ht="13.5" customHeight="1" outlineLevel="1">
      <c r="B353" s="286"/>
      <c r="C353" s="286"/>
      <c r="D353" s="286"/>
      <c r="E353" s="42"/>
      <c r="F353" s="432" t="s">
        <v>630</v>
      </c>
      <c r="G353" s="433" t="s">
        <v>629</v>
      </c>
      <c r="H353" s="433"/>
      <c r="I353" s="433"/>
      <c r="J353" s="433"/>
      <c r="K353" s="433"/>
      <c r="L353" s="433"/>
      <c r="M353" s="433"/>
      <c r="N353" s="433"/>
      <c r="O353" s="433"/>
      <c r="P353" s="433"/>
      <c r="R353" s="434"/>
      <c r="S353" s="433" t="s">
        <v>628</v>
      </c>
      <c r="T353" s="433"/>
    </row>
    <row r="354" spans="2:20" ht="13.5" customHeight="1" outlineLevel="1" thickBot="1">
      <c r="B354" s="435" t="str">
        <f>"("&amp;curr&amp;" in millions)"</f>
        <v>($ in millions)</v>
      </c>
      <c r="C354" s="436"/>
      <c r="D354" s="436"/>
      <c r="E354" s="437"/>
      <c r="F354" s="439">
        <f t="shared" ref="F354" si="249">F$8</f>
        <v>44926</v>
      </c>
      <c r="G354" s="439">
        <f t="shared" ref="G354:P354" si="250">G$8</f>
        <v>45291</v>
      </c>
      <c r="H354" s="439">
        <f t="shared" si="250"/>
        <v>45657</v>
      </c>
      <c r="I354" s="439">
        <f t="shared" si="250"/>
        <v>46022</v>
      </c>
      <c r="J354" s="439">
        <f t="shared" si="250"/>
        <v>46387</v>
      </c>
      <c r="K354" s="439">
        <f t="shared" si="250"/>
        <v>46752</v>
      </c>
      <c r="L354" s="439">
        <f t="shared" si="250"/>
        <v>47118</v>
      </c>
      <c r="M354" s="439">
        <f t="shared" si="250"/>
        <v>47483</v>
      </c>
      <c r="N354" s="439">
        <f t="shared" si="250"/>
        <v>47848</v>
      </c>
      <c r="O354" s="439">
        <f t="shared" si="250"/>
        <v>48213</v>
      </c>
      <c r="P354" s="439">
        <f t="shared" si="250"/>
        <v>48579</v>
      </c>
      <c r="R354" s="434"/>
      <c r="S354" s="440">
        <f>S$8</f>
        <v>45107</v>
      </c>
      <c r="T354" s="440">
        <f>T$8</f>
        <v>45291</v>
      </c>
    </row>
    <row r="355" spans="2:20" ht="5.0999999999999996" customHeight="1" outlineLevel="1">
      <c r="B355" s="318"/>
      <c r="C355" s="318"/>
      <c r="D355" s="318"/>
      <c r="E355" s="319"/>
      <c r="F355" s="319"/>
      <c r="G355" s="319"/>
      <c r="H355" s="319"/>
      <c r="I355" s="319"/>
      <c r="J355" s="319"/>
      <c r="K355" s="319"/>
      <c r="L355" s="327"/>
      <c r="R355" s="434"/>
      <c r="S355" s="319"/>
      <c r="T355" s="319"/>
    </row>
    <row r="356" spans="2:20" ht="13.5" customHeight="1" outlineLevel="1">
      <c r="B356" s="88" t="s">
        <v>107</v>
      </c>
      <c r="C356" s="50"/>
      <c r="D356" s="50"/>
      <c r="F356" s="341"/>
      <c r="G356" s="341">
        <f t="shared" ref="G356:P356" si="251">G46</f>
        <v>14.1</v>
      </c>
      <c r="H356" s="341">
        <f t="shared" si="251"/>
        <v>15</v>
      </c>
      <c r="I356" s="341">
        <f t="shared" si="251"/>
        <v>15.15</v>
      </c>
      <c r="J356" s="341">
        <f t="shared" si="251"/>
        <v>15.301500000000001</v>
      </c>
      <c r="K356" s="341">
        <f t="shared" si="251"/>
        <v>15.454515000000001</v>
      </c>
      <c r="L356" s="341">
        <f t="shared" si="251"/>
        <v>15.609060150000001</v>
      </c>
      <c r="M356" s="341">
        <f t="shared" si="251"/>
        <v>15.765150751500002</v>
      </c>
      <c r="N356" s="341">
        <f t="shared" si="251"/>
        <v>15.922802259015002</v>
      </c>
      <c r="O356" s="341">
        <f t="shared" si="251"/>
        <v>16.082030281605153</v>
      </c>
      <c r="P356" s="341">
        <f t="shared" si="251"/>
        <v>16.242850584421205</v>
      </c>
      <c r="R356" s="434"/>
      <c r="S356" s="341"/>
      <c r="T356" s="341"/>
    </row>
    <row r="357" spans="2:20" ht="13.5" customHeight="1" outlineLevel="1">
      <c r="B357" s="50"/>
      <c r="C357" s="50"/>
      <c r="D357" s="50"/>
      <c r="F357" s="350"/>
      <c r="R357" s="434"/>
      <c r="S357" s="350"/>
      <c r="T357" s="57"/>
    </row>
    <row r="358" spans="2:20" ht="13.5" customHeight="1" outlineLevel="1">
      <c r="B358" s="78" t="s">
        <v>639</v>
      </c>
      <c r="C358" s="79"/>
      <c r="D358" s="80"/>
      <c r="E358" s="80"/>
      <c r="F358" s="80"/>
      <c r="G358" s="80"/>
      <c r="H358" s="80"/>
      <c r="I358" s="80"/>
      <c r="J358" s="80"/>
      <c r="K358" s="80"/>
      <c r="L358" s="80"/>
      <c r="M358" s="80"/>
      <c r="N358" s="80"/>
      <c r="O358" s="80"/>
      <c r="P358" s="81"/>
      <c r="R358" s="434"/>
      <c r="S358" s="525"/>
      <c r="T358" s="81"/>
    </row>
    <row r="359" spans="2:20" ht="13.5" customHeight="1" outlineLevel="1">
      <c r="B359" s="318"/>
      <c r="C359" s="318"/>
      <c r="D359" s="318"/>
      <c r="E359" s="319"/>
      <c r="F359" s="319"/>
      <c r="G359" s="319"/>
      <c r="H359" s="319"/>
      <c r="I359" s="319"/>
      <c r="J359" s="319"/>
      <c r="K359" s="319"/>
      <c r="L359" s="327"/>
      <c r="R359" s="434"/>
      <c r="S359" s="319"/>
      <c r="T359" s="319"/>
    </row>
    <row r="360" spans="2:20" ht="13.5" customHeight="1" outlineLevel="1">
      <c r="B360" s="88" t="s">
        <v>158</v>
      </c>
      <c r="D360" s="50"/>
      <c r="F360" s="330">
        <v>10</v>
      </c>
      <c r="G360" s="118"/>
      <c r="H360" s="118"/>
      <c r="I360" s="118"/>
      <c r="J360" s="118"/>
      <c r="K360" s="118"/>
      <c r="L360" s="118"/>
      <c r="M360" s="118"/>
      <c r="N360" s="118"/>
      <c r="O360" s="118"/>
      <c r="P360" s="118"/>
      <c r="R360" s="434"/>
      <c r="S360" s="118"/>
      <c r="T360" s="118"/>
    </row>
    <row r="361" spans="2:20" ht="13.5" customHeight="1" outlineLevel="1">
      <c r="B361" s="88" t="s">
        <v>513</v>
      </c>
      <c r="D361" s="50"/>
      <c r="F361" s="478">
        <v>1</v>
      </c>
      <c r="G361" s="118"/>
      <c r="H361" s="118"/>
      <c r="I361" s="118"/>
      <c r="J361" s="118"/>
      <c r="K361" s="118"/>
      <c r="L361" s="118"/>
      <c r="M361" s="118"/>
      <c r="N361" s="118"/>
      <c r="O361" s="118"/>
      <c r="P361" s="118"/>
      <c r="R361" s="434"/>
      <c r="S361" s="118"/>
      <c r="T361" s="118"/>
    </row>
    <row r="362" spans="2:20" ht="13.5" customHeight="1" outlineLevel="1">
      <c r="B362" s="318"/>
      <c r="C362" s="318"/>
      <c r="D362" s="318"/>
      <c r="E362" s="319"/>
      <c r="F362" s="319"/>
      <c r="G362" s="319"/>
      <c r="H362" s="319"/>
      <c r="I362" s="319"/>
      <c r="J362" s="319"/>
      <c r="K362" s="319"/>
      <c r="L362" s="327"/>
      <c r="R362" s="434"/>
      <c r="S362" s="319"/>
      <c r="T362" s="319"/>
    </row>
    <row r="363" spans="2:20" ht="13.5" customHeight="1" outlineLevel="1">
      <c r="B363" s="489">
        <f t="array" ref="B363:B372">TRANSPOSE(G354:P354)</f>
        <v>45291</v>
      </c>
      <c r="C363" s="341">
        <f t="array" ref="C363:C372">TRANSPOSE(G356:P356)</f>
        <v>14.1</v>
      </c>
      <c r="D363" s="50"/>
      <c r="F363" s="50"/>
      <c r="G363" s="351">
        <f>MIN($C363/$F$360*G$3,$C363-SUM($F363:F363))*IF($F$361,0.5,1)</f>
        <v>0.70499999999999996</v>
      </c>
      <c r="H363" s="328">
        <f>MIN($C363/$F$360*H$3,$C363-SUM($F363:G363))</f>
        <v>1.41</v>
      </c>
      <c r="I363" s="328">
        <f>MIN($C363/$F$360*I$3,$C363-SUM($F363:H363))</f>
        <v>1.41</v>
      </c>
      <c r="J363" s="328">
        <f>MIN($C363/$F$360*J$3,$C363-SUM($F363:I363))</f>
        <v>1.41</v>
      </c>
      <c r="K363" s="328">
        <f>MIN($C363/$F$360*K$3,$C363-SUM($F363:J363))</f>
        <v>1.41</v>
      </c>
      <c r="L363" s="328">
        <f>MIN($C363/$F$360*L$3,$C363-SUM($F363:K363))</f>
        <v>1.41</v>
      </c>
      <c r="M363" s="328">
        <f>MIN($C363/$F$360*M$3,$C363-SUM($F363:L363))</f>
        <v>1.41</v>
      </c>
      <c r="N363" s="328">
        <f>MIN($C363/$F$360*N$3,$C363-SUM($F363:M363))</f>
        <v>1.41</v>
      </c>
      <c r="O363" s="328">
        <f>MIN($C363/$F$360*O$3,$C363-SUM($F363:N363))</f>
        <v>1.41</v>
      </c>
      <c r="P363" s="328">
        <f>MIN($C363/$F$360*P$3,$C363-SUM($F363:O363))</f>
        <v>1.41</v>
      </c>
      <c r="R363" s="434"/>
      <c r="S363" s="50"/>
      <c r="T363" s="50"/>
    </row>
    <row r="364" spans="2:20" ht="13.5" customHeight="1" outlineLevel="1">
      <c r="B364" s="489">
        <v>45657</v>
      </c>
      <c r="C364" s="341">
        <v>15</v>
      </c>
      <c r="D364" s="50"/>
      <c r="F364" s="50"/>
      <c r="G364" s="264"/>
      <c r="H364" s="184">
        <f>MIN($C364/$F$360*H$3,$C364-SUM($F364:G364))*IF($F$361,0.5,1)</f>
        <v>0.75</v>
      </c>
      <c r="I364" s="163">
        <f>MIN($C364/$F$360*I$3,$C364-SUM($F364:H364))</f>
        <v>1.5</v>
      </c>
      <c r="J364" s="163">
        <f>MIN($C364/$F$360*J$3,$C364-SUM($F364:I364))</f>
        <v>1.5</v>
      </c>
      <c r="K364" s="163">
        <f>MIN($C364/$F$360*K$3,$C364-SUM($F364:J364))</f>
        <v>1.5</v>
      </c>
      <c r="L364" s="163">
        <f>MIN($C364/$F$360*L$3,$C364-SUM($F364:K364))</f>
        <v>1.5</v>
      </c>
      <c r="M364" s="163">
        <f>MIN($C364/$F$360*M$3,$C364-SUM($F364:L364))</f>
        <v>1.5</v>
      </c>
      <c r="N364" s="163">
        <f>MIN($C364/$F$360*N$3,$C364-SUM($F364:M364))</f>
        <v>1.5</v>
      </c>
      <c r="O364" s="163">
        <f>MIN($C364/$F$360*O$3,$C364-SUM($F364:N364))</f>
        <v>1.5</v>
      </c>
      <c r="P364" s="163">
        <f>MIN($C364/$F$360*P$3,$C364-SUM($F364:O364))</f>
        <v>1.5</v>
      </c>
      <c r="R364" s="434"/>
      <c r="S364" s="50"/>
      <c r="T364" s="50"/>
    </row>
    <row r="365" spans="2:20" ht="13.5" customHeight="1" outlineLevel="1">
      <c r="B365" s="489">
        <v>46022</v>
      </c>
      <c r="C365" s="341">
        <v>15.15</v>
      </c>
      <c r="D365" s="50"/>
      <c r="F365" s="50"/>
      <c r="G365" s="264"/>
      <c r="H365" s="264"/>
      <c r="I365" s="184">
        <f>MIN($C365/$F$360*I$3,$C365-SUM($F365:H365))*IF($F$361,0.5,1)</f>
        <v>0.75750000000000006</v>
      </c>
      <c r="J365" s="163">
        <f>MIN($C365/$F$360*J$3,$C365-SUM($F365:I365))</f>
        <v>1.5150000000000001</v>
      </c>
      <c r="K365" s="163">
        <f>MIN($C365/$F$360*K$3,$C365-SUM($F365:J365))</f>
        <v>1.5150000000000001</v>
      </c>
      <c r="L365" s="163">
        <f>MIN($C365/$F$360*L$3,$C365-SUM($F365:K365))</f>
        <v>1.5150000000000001</v>
      </c>
      <c r="M365" s="163">
        <f>MIN($C365/$F$360*M$3,$C365-SUM($F365:L365))</f>
        <v>1.5150000000000001</v>
      </c>
      <c r="N365" s="163">
        <f>MIN($C365/$F$360*N$3,$C365-SUM($F365:M365))</f>
        <v>1.5150000000000001</v>
      </c>
      <c r="O365" s="163">
        <f>MIN($C365/$F$360*O$3,$C365-SUM($F365:N365))</f>
        <v>1.5150000000000001</v>
      </c>
      <c r="P365" s="163">
        <f>MIN($C365/$F$360*P$3,$C365-SUM($F365:O365))</f>
        <v>1.5150000000000001</v>
      </c>
      <c r="R365" s="434"/>
      <c r="S365" s="50"/>
      <c r="T365" s="50"/>
    </row>
    <row r="366" spans="2:20" ht="13.5" customHeight="1" outlineLevel="1">
      <c r="B366" s="489">
        <v>46387</v>
      </c>
      <c r="C366" s="341">
        <v>15.301500000000001</v>
      </c>
      <c r="D366" s="50"/>
      <c r="F366" s="50"/>
      <c r="G366" s="264"/>
      <c r="H366" s="264"/>
      <c r="I366" s="264"/>
      <c r="J366" s="184">
        <f>MIN($C366/$F$360*J$3,$C366-SUM($F366:I366))*IF($F$361,0.5,1)</f>
        <v>0.76507500000000006</v>
      </c>
      <c r="K366" s="163">
        <f>MIN($C366/$F$360*K$3,$C366-SUM($F366:J366))</f>
        <v>1.5301500000000001</v>
      </c>
      <c r="L366" s="163">
        <f>MIN($C366/$F$360*L$3,$C366-SUM($F366:K366))</f>
        <v>1.5301500000000001</v>
      </c>
      <c r="M366" s="163">
        <f>MIN($C366/$F$360*M$3,$C366-SUM($F366:L366))</f>
        <v>1.5301500000000001</v>
      </c>
      <c r="N366" s="163">
        <f>MIN($C366/$F$360*N$3,$C366-SUM($F366:M366))</f>
        <v>1.5301500000000001</v>
      </c>
      <c r="O366" s="163">
        <f>MIN($C366/$F$360*O$3,$C366-SUM($F366:N366))</f>
        <v>1.5301500000000001</v>
      </c>
      <c r="P366" s="163">
        <f>MIN($C366/$F$360*P$3,$C366-SUM($F366:O366))</f>
        <v>1.5301500000000001</v>
      </c>
      <c r="R366" s="434"/>
      <c r="S366" s="50"/>
      <c r="T366" s="50"/>
    </row>
    <row r="367" spans="2:20" ht="13.5" customHeight="1" outlineLevel="1">
      <c r="B367" s="489">
        <v>46752</v>
      </c>
      <c r="C367" s="341">
        <v>15.454515000000001</v>
      </c>
      <c r="D367" s="50"/>
      <c r="F367" s="50"/>
      <c r="G367" s="264"/>
      <c r="H367" s="264"/>
      <c r="I367" s="264"/>
      <c r="J367" s="264"/>
      <c r="K367" s="184">
        <f>MIN($C367/$F$360*K$3,$C367-SUM($F367:J367))*IF($F$361,0.5,1)</f>
        <v>0.77272574999999999</v>
      </c>
      <c r="L367" s="163">
        <f>MIN($C367/$F$360*L$3,$C367-SUM($F367:K367))</f>
        <v>1.5454515</v>
      </c>
      <c r="M367" s="163">
        <f>MIN($C367/$F$360*M$3,$C367-SUM($F367:L367))</f>
        <v>1.5454515</v>
      </c>
      <c r="N367" s="163">
        <f>MIN($C367/$F$360*N$3,$C367-SUM($F367:M367))</f>
        <v>1.5454515</v>
      </c>
      <c r="O367" s="163">
        <f>MIN($C367/$F$360*O$3,$C367-SUM($F367:N367))</f>
        <v>1.5454515</v>
      </c>
      <c r="P367" s="163">
        <f>MIN($C367/$F$360*P$3,$C367-SUM($F367:O367))</f>
        <v>1.5454515</v>
      </c>
      <c r="R367" s="434"/>
      <c r="S367" s="50"/>
      <c r="T367" s="50"/>
    </row>
    <row r="368" spans="2:20" ht="13.5" customHeight="1" outlineLevel="1">
      <c r="B368" s="489">
        <v>47118</v>
      </c>
      <c r="C368" s="341">
        <v>15.609060150000001</v>
      </c>
      <c r="D368" s="50"/>
      <c r="F368" s="50"/>
      <c r="G368" s="264"/>
      <c r="H368" s="264"/>
      <c r="I368" s="264"/>
      <c r="J368" s="264"/>
      <c r="K368" s="264"/>
      <c r="L368" s="184">
        <f>MIN($C368/$F$360*L$3,$C368-SUM($F368:K368))*IF($F$361,0.5,1)</f>
        <v>0.78045300750000002</v>
      </c>
      <c r="M368" s="163">
        <f>MIN($C368/$F$360*M$3,$C368-SUM($F368:L368))</f>
        <v>1.560906015</v>
      </c>
      <c r="N368" s="163">
        <f>MIN($C368/$F$360*N$3,$C368-SUM($F368:M368))</f>
        <v>1.560906015</v>
      </c>
      <c r="O368" s="163">
        <f>MIN($C368/$F$360*O$3,$C368-SUM($F368:N368))</f>
        <v>1.560906015</v>
      </c>
      <c r="P368" s="163">
        <f>MIN($C368/$F$360*P$3,$C368-SUM($F368:O368))</f>
        <v>1.560906015</v>
      </c>
      <c r="R368" s="434"/>
      <c r="S368" s="50"/>
      <c r="T368" s="50"/>
    </row>
    <row r="369" spans="2:20" ht="13.5" customHeight="1" outlineLevel="1">
      <c r="B369" s="489">
        <v>47483</v>
      </c>
      <c r="C369" s="341">
        <v>15.765150751500002</v>
      </c>
      <c r="D369" s="50"/>
      <c r="F369" s="50"/>
      <c r="G369" s="264"/>
      <c r="H369" s="264"/>
      <c r="I369" s="264"/>
      <c r="J369" s="264"/>
      <c r="K369" s="264"/>
      <c r="L369" s="264"/>
      <c r="M369" s="184">
        <f>MIN($C369/$F$360*M$3,$C369-SUM($F369:L369))*IF($F$361,0.5,1)</f>
        <v>0.78825753757500006</v>
      </c>
      <c r="N369" s="163">
        <f>MIN($C369/$F$360*N$3,$C369-SUM($F369:M369))</f>
        <v>1.5765150751500001</v>
      </c>
      <c r="O369" s="163">
        <f>MIN($C369/$F$360*O$3,$C369-SUM($F369:N369))</f>
        <v>1.5765150751500001</v>
      </c>
      <c r="P369" s="163">
        <f>MIN($C369/$F$360*P$3,$C369-SUM($F369:O369))</f>
        <v>1.5765150751500001</v>
      </c>
      <c r="R369" s="434"/>
      <c r="S369" s="50"/>
      <c r="T369" s="50"/>
    </row>
    <row r="370" spans="2:20" ht="13.5" customHeight="1" outlineLevel="1">
      <c r="B370" s="489">
        <v>47848</v>
      </c>
      <c r="C370" s="341">
        <v>15.922802259015002</v>
      </c>
      <c r="D370" s="50"/>
      <c r="F370" s="50"/>
      <c r="G370" s="264"/>
      <c r="H370" s="264"/>
      <c r="I370" s="264"/>
      <c r="J370" s="264"/>
      <c r="K370" s="264"/>
      <c r="L370" s="264"/>
      <c r="M370" s="264"/>
      <c r="N370" s="184">
        <f>MIN($C370/$F$360*N$3,$C370-SUM($F370:M370))*IF($F$361,0.5,1)</f>
        <v>0.79614011295075016</v>
      </c>
      <c r="O370" s="163">
        <f>MIN($C370/$F$360*O$3,$C370-SUM($F370:N370))</f>
        <v>1.5922802259015003</v>
      </c>
      <c r="P370" s="163">
        <f>MIN($C370/$F$360*P$3,$C370-SUM($F370:O370))</f>
        <v>1.5922802259015003</v>
      </c>
      <c r="R370" s="434"/>
      <c r="S370" s="50"/>
      <c r="T370" s="50"/>
    </row>
    <row r="371" spans="2:20" ht="13.5" customHeight="1" outlineLevel="1">
      <c r="B371" s="489">
        <v>48213</v>
      </c>
      <c r="C371" s="341">
        <v>16.082030281605153</v>
      </c>
      <c r="D371" s="50"/>
      <c r="F371" s="50"/>
      <c r="G371" s="264"/>
      <c r="H371" s="264"/>
      <c r="I371" s="264"/>
      <c r="J371" s="264"/>
      <c r="K371" s="264"/>
      <c r="L371" s="264"/>
      <c r="M371" s="264"/>
      <c r="N371" s="264"/>
      <c r="O371" s="184">
        <f>MIN($C371/$F$360*O$3,$C371-SUM($F371:N371))*IF($F$361,0.5,1)</f>
        <v>0.80410151408025765</v>
      </c>
      <c r="P371" s="163">
        <f>MIN($C371/$F$360*P$3,$C371-SUM($F371:O371))</f>
        <v>1.6082030281605153</v>
      </c>
      <c r="R371" s="434"/>
      <c r="S371" s="50"/>
      <c r="T371" s="50"/>
    </row>
    <row r="372" spans="2:20" ht="13.5" customHeight="1" outlineLevel="1">
      <c r="B372" s="489">
        <v>48579</v>
      </c>
      <c r="C372" s="341">
        <v>16.242850584421205</v>
      </c>
      <c r="D372" s="50"/>
      <c r="F372" s="50"/>
      <c r="G372" s="264"/>
      <c r="H372" s="264"/>
      <c r="I372" s="264"/>
      <c r="J372" s="264"/>
      <c r="K372" s="264"/>
      <c r="L372" s="264"/>
      <c r="M372" s="264"/>
      <c r="N372" s="264"/>
      <c r="O372" s="264"/>
      <c r="P372" s="184">
        <f>MIN($C372/$F$360*P$3,$C372-SUM($F372:O372))*IF($F$361,0.5,1)</f>
        <v>0.81214252922106023</v>
      </c>
      <c r="R372" s="434"/>
      <c r="S372" s="50"/>
      <c r="T372" s="50"/>
    </row>
    <row r="373" spans="2:20" ht="13.5" customHeight="1" outlineLevel="1">
      <c r="B373" s="119" t="s">
        <v>619</v>
      </c>
      <c r="C373" s="119"/>
      <c r="D373" s="119"/>
      <c r="E373" s="119"/>
      <c r="F373" s="119"/>
      <c r="G373" s="120">
        <f t="shared" ref="G373:P373" si="252">SUM(G363:G372)</f>
        <v>0.70499999999999996</v>
      </c>
      <c r="H373" s="120">
        <f t="shared" si="252"/>
        <v>2.16</v>
      </c>
      <c r="I373" s="120">
        <f t="shared" si="252"/>
        <v>3.6675000000000004</v>
      </c>
      <c r="J373" s="120">
        <f t="shared" si="252"/>
        <v>5.1900750000000011</v>
      </c>
      <c r="K373" s="120">
        <f t="shared" si="252"/>
        <v>6.7278757500000008</v>
      </c>
      <c r="L373" s="120">
        <f t="shared" si="252"/>
        <v>8.2810545075000004</v>
      </c>
      <c r="M373" s="120">
        <f t="shared" si="252"/>
        <v>9.849765052575</v>
      </c>
      <c r="N373" s="120">
        <f t="shared" si="252"/>
        <v>11.434162703100752</v>
      </c>
      <c r="O373" s="120">
        <f t="shared" si="252"/>
        <v>13.03440433013176</v>
      </c>
      <c r="P373" s="120">
        <f t="shared" si="252"/>
        <v>14.650648373433077</v>
      </c>
      <c r="R373" s="434"/>
      <c r="S373" s="479">
        <f>S$3*$G373</f>
        <v>0.35249999999999998</v>
      </c>
      <c r="T373" s="479">
        <f>T$3*$G373</f>
        <v>0.35249999999999998</v>
      </c>
    </row>
    <row r="374" spans="2:20" ht="13.5" customHeight="1" outlineLevel="1">
      <c r="B374" s="88" t="s">
        <v>481</v>
      </c>
      <c r="C374" s="50"/>
      <c r="D374" s="50"/>
      <c r="F374" s="50"/>
      <c r="G374" s="163">
        <f t="shared" ref="G374:P374" si="253">G375-G373</f>
        <v>13.395</v>
      </c>
      <c r="H374" s="163">
        <f t="shared" si="253"/>
        <v>11.94</v>
      </c>
      <c r="I374" s="163">
        <f t="shared" si="253"/>
        <v>10.573499999999999</v>
      </c>
      <c r="J374" s="163">
        <f t="shared" si="253"/>
        <v>9.1933349999999976</v>
      </c>
      <c r="K374" s="163">
        <f t="shared" si="253"/>
        <v>7.7993683499999999</v>
      </c>
      <c r="L374" s="163">
        <f t="shared" si="253"/>
        <v>6.3914620334999999</v>
      </c>
      <c r="M374" s="163">
        <f t="shared" si="253"/>
        <v>4.9694766538350024</v>
      </c>
      <c r="N374" s="163">
        <f t="shared" si="253"/>
        <v>3.5332714203733495</v>
      </c>
      <c r="O374" s="163">
        <f t="shared" si="253"/>
        <v>2.0827041345770816</v>
      </c>
      <c r="P374" s="163">
        <f t="shared" si="253"/>
        <v>0.61763117592285433</v>
      </c>
      <c r="R374" s="434"/>
      <c r="S374" s="184">
        <f>S$3*$G374</f>
        <v>6.6974999999999998</v>
      </c>
      <c r="T374" s="184">
        <f>T$3*$G374</f>
        <v>6.6974999999999998</v>
      </c>
    </row>
    <row r="375" spans="2:20" ht="13.5" customHeight="1" outlineLevel="1">
      <c r="B375" s="490" t="s">
        <v>512</v>
      </c>
      <c r="C375" s="490"/>
      <c r="D375" s="490"/>
      <c r="E375" s="490"/>
      <c r="F375" s="490"/>
      <c r="G375" s="491">
        <f t="shared" ref="G375:P375" si="254">G15</f>
        <v>14.1</v>
      </c>
      <c r="H375" s="491">
        <f t="shared" si="254"/>
        <v>14.1</v>
      </c>
      <c r="I375" s="491">
        <f t="shared" si="254"/>
        <v>14.241</v>
      </c>
      <c r="J375" s="491">
        <f t="shared" si="254"/>
        <v>14.38341</v>
      </c>
      <c r="K375" s="491">
        <f t="shared" si="254"/>
        <v>14.527244100000001</v>
      </c>
      <c r="L375" s="491">
        <f t="shared" si="254"/>
        <v>14.672516541</v>
      </c>
      <c r="M375" s="491">
        <f t="shared" si="254"/>
        <v>14.819241706410002</v>
      </c>
      <c r="N375" s="491">
        <f t="shared" si="254"/>
        <v>14.967434123474101</v>
      </c>
      <c r="O375" s="491">
        <f t="shared" si="254"/>
        <v>15.117108464708842</v>
      </c>
      <c r="P375" s="491">
        <f t="shared" si="254"/>
        <v>15.268279549355931</v>
      </c>
      <c r="R375" s="434"/>
      <c r="S375" s="492">
        <f>S15</f>
        <v>7.05</v>
      </c>
      <c r="T375" s="492">
        <f>T15</f>
        <v>7.05</v>
      </c>
    </row>
    <row r="376" spans="2:20" ht="13.5" customHeight="1" outlineLevel="1">
      <c r="B376" s="88"/>
      <c r="C376" s="88"/>
      <c r="D376" s="88"/>
      <c r="E376" s="88"/>
      <c r="F376" s="114"/>
      <c r="G376" s="114"/>
      <c r="H376" s="114"/>
      <c r="I376" s="114"/>
      <c r="J376" s="114"/>
      <c r="K376" s="114"/>
      <c r="L376" s="114"/>
      <c r="M376" s="114"/>
      <c r="N376" s="114"/>
      <c r="O376" s="114"/>
      <c r="P376" s="114"/>
      <c r="R376" s="434"/>
      <c r="S376" s="114"/>
      <c r="T376" s="114"/>
    </row>
    <row r="377" spans="2:20" ht="13.5" customHeight="1" outlineLevel="1">
      <c r="B377" s="78" t="s">
        <v>637</v>
      </c>
      <c r="C377" s="79"/>
      <c r="D377" s="80"/>
      <c r="E377" s="80"/>
      <c r="F377" s="80"/>
      <c r="G377" s="80"/>
      <c r="H377" s="80"/>
      <c r="I377" s="80"/>
      <c r="J377" s="80"/>
      <c r="K377" s="80"/>
      <c r="L377" s="80"/>
      <c r="M377" s="80"/>
      <c r="N377" s="80"/>
      <c r="O377" s="80"/>
      <c r="P377" s="81"/>
      <c r="R377" s="434"/>
      <c r="S377" s="525"/>
      <c r="T377" s="81"/>
    </row>
    <row r="378" spans="2:20" ht="13.5" customHeight="1" outlineLevel="1">
      <c r="B378" s="318"/>
      <c r="C378" s="318"/>
      <c r="D378" s="318"/>
      <c r="E378" s="319"/>
      <c r="F378" s="319"/>
      <c r="G378" s="319"/>
      <c r="H378" s="319"/>
      <c r="I378" s="319"/>
      <c r="J378" s="319"/>
      <c r="K378" s="319"/>
      <c r="L378" s="327"/>
      <c r="R378" s="434"/>
      <c r="S378" s="319"/>
      <c r="T378" s="319"/>
    </row>
    <row r="379" spans="2:20" ht="13.5" customHeight="1" outlineLevel="1">
      <c r="B379" s="36" t="s">
        <v>638</v>
      </c>
      <c r="E379" s="319"/>
      <c r="F379" s="330">
        <v>10</v>
      </c>
      <c r="G379" s="319"/>
      <c r="H379" s="319"/>
      <c r="I379" s="319"/>
      <c r="J379" s="319"/>
      <c r="K379" s="319"/>
      <c r="L379" s="327"/>
      <c r="R379" s="434"/>
      <c r="S379" s="319"/>
      <c r="T379" s="319"/>
    </row>
    <row r="380" spans="2:20" ht="13.5" customHeight="1" outlineLevel="1">
      <c r="B380" s="318"/>
      <c r="C380" s="318"/>
      <c r="D380" s="318"/>
      <c r="E380" s="319"/>
      <c r="F380" s="319"/>
      <c r="G380" s="319"/>
      <c r="H380" s="319"/>
      <c r="I380" s="319"/>
      <c r="J380" s="319"/>
      <c r="K380" s="319"/>
      <c r="L380" s="327"/>
      <c r="R380" s="434"/>
      <c r="S380" s="319"/>
      <c r="T380" s="319"/>
    </row>
    <row r="381" spans="2:20" ht="13.5" customHeight="1" outlineLevel="1">
      <c r="B381" s="489">
        <f>B363</f>
        <v>45291</v>
      </c>
      <c r="C381" s="341">
        <f>C363</f>
        <v>14.1</v>
      </c>
      <c r="D381" s="318"/>
      <c r="E381" s="319"/>
      <c r="F381" s="319"/>
      <c r="G381" s="328">
        <f>$C381*HLOOKUP($F$379,macrs,COUNTA($F381:F381)+1+2)</f>
        <v>1.4100000000000001</v>
      </c>
      <c r="H381" s="328">
        <f>$C381*HLOOKUP($F$379,macrs,COUNTA($F381:G381)+1+2)</f>
        <v>2.5379999999999998</v>
      </c>
      <c r="I381" s="328">
        <f>$C381*HLOOKUP($F$379,macrs,COUNTA($F381:H381)+1+2)</f>
        <v>2.0303999999999998</v>
      </c>
      <c r="J381" s="328">
        <f>$C381*HLOOKUP($F$379,macrs,COUNTA($F381:I381)+1+2)</f>
        <v>1.62432</v>
      </c>
      <c r="K381" s="328">
        <f>$C381*HLOOKUP($F$379,macrs,COUNTA($F381:J381)+1+2)</f>
        <v>1.30002</v>
      </c>
      <c r="L381" s="328">
        <f>$C381*HLOOKUP($F$379,macrs,COUNTA($F381:K381)+1+2)</f>
        <v>1.0391699999999999</v>
      </c>
      <c r="M381" s="328">
        <f>$C381*HLOOKUP($F$379,macrs,COUNTA($F381:L381)+1+2)</f>
        <v>0.92354999999999998</v>
      </c>
      <c r="N381" s="328">
        <f>$C381*HLOOKUP($F$379,macrs,COUNTA($F381:M381)+1+2)</f>
        <v>0.92354999999999998</v>
      </c>
      <c r="O381" s="328">
        <f>$C381*HLOOKUP($F$379,macrs,COUNTA($F381:N381)+1+2)</f>
        <v>0.92496</v>
      </c>
      <c r="P381" s="328">
        <f>$C381*HLOOKUP($F$379,macrs,COUNTA($F381:O381)+1+2)</f>
        <v>0.92354999999999998</v>
      </c>
      <c r="R381" s="434"/>
      <c r="S381" s="319"/>
      <c r="T381" s="319"/>
    </row>
    <row r="382" spans="2:20" ht="13.5" customHeight="1" outlineLevel="1">
      <c r="B382" s="489">
        <f t="shared" ref="B382:C390" si="255">B364</f>
        <v>45657</v>
      </c>
      <c r="C382" s="341">
        <f t="shared" si="255"/>
        <v>15</v>
      </c>
      <c r="D382" s="318"/>
      <c r="E382" s="319"/>
      <c r="F382" s="319"/>
      <c r="G382" s="264"/>
      <c r="H382" s="199">
        <f>$C382*HLOOKUP($F$379,macrs,COUNTA($F382:G382)+1+2)</f>
        <v>1.5</v>
      </c>
      <c r="I382" s="199">
        <f>$C382*HLOOKUP($F$379,macrs,COUNTA($F382:H382)+1+2)</f>
        <v>2.6999999999999997</v>
      </c>
      <c r="J382" s="199">
        <f>$C382*HLOOKUP($F$379,macrs,COUNTA($F382:I382)+1+2)</f>
        <v>2.1599999999999997</v>
      </c>
      <c r="K382" s="199">
        <f>$C382*HLOOKUP($F$379,macrs,COUNTA($F382:J382)+1+2)</f>
        <v>1.728</v>
      </c>
      <c r="L382" s="199">
        <f>$C382*HLOOKUP($F$379,macrs,COUNTA($F382:K382)+1+2)</f>
        <v>1.383</v>
      </c>
      <c r="M382" s="199">
        <f>$C382*HLOOKUP($F$379,macrs,COUNTA($F382:L382)+1+2)</f>
        <v>1.1054999999999999</v>
      </c>
      <c r="N382" s="199">
        <f>$C382*HLOOKUP($F$379,macrs,COUNTA($F382:M382)+1+2)</f>
        <v>0.98250000000000004</v>
      </c>
      <c r="O382" s="199">
        <f>$C382*HLOOKUP($F$379,macrs,COUNTA($F382:N382)+1+2)</f>
        <v>0.98250000000000004</v>
      </c>
      <c r="P382" s="199">
        <f>$C382*HLOOKUP($F$379,macrs,COUNTA($F382:O382)+1+2)</f>
        <v>0.9840000000000001</v>
      </c>
      <c r="R382" s="434"/>
      <c r="S382" s="319"/>
      <c r="T382" s="319"/>
    </row>
    <row r="383" spans="2:20" ht="13.5" customHeight="1" outlineLevel="1">
      <c r="B383" s="489">
        <f t="shared" si="255"/>
        <v>46022</v>
      </c>
      <c r="C383" s="341">
        <f t="shared" si="255"/>
        <v>15.15</v>
      </c>
      <c r="D383" s="318"/>
      <c r="E383" s="319"/>
      <c r="F383" s="319"/>
      <c r="G383" s="264"/>
      <c r="H383" s="264"/>
      <c r="I383" s="199">
        <f>$C383*HLOOKUP($F$379,macrs,COUNTA($F383:H383)+1+2)</f>
        <v>1.5150000000000001</v>
      </c>
      <c r="J383" s="199">
        <f>$C383*HLOOKUP($F$379,macrs,COUNTA($F383:I383)+1+2)</f>
        <v>2.7269999999999999</v>
      </c>
      <c r="K383" s="199">
        <f>$C383*HLOOKUP($F$379,macrs,COUNTA($F383:J383)+1+2)</f>
        <v>2.1816</v>
      </c>
      <c r="L383" s="199">
        <f>$C383*HLOOKUP($F$379,macrs,COUNTA($F383:K383)+1+2)</f>
        <v>1.7452799999999999</v>
      </c>
      <c r="M383" s="199">
        <f>$C383*HLOOKUP($F$379,macrs,COUNTA($F383:L383)+1+2)</f>
        <v>1.39683</v>
      </c>
      <c r="N383" s="199">
        <f>$C383*HLOOKUP($F$379,macrs,COUNTA($F383:M383)+1+2)</f>
        <v>1.116555</v>
      </c>
      <c r="O383" s="199">
        <f>$C383*HLOOKUP($F$379,macrs,COUNTA($F383:N383)+1+2)</f>
        <v>0.99232500000000001</v>
      </c>
      <c r="P383" s="199">
        <f>$C383*HLOOKUP($F$379,macrs,COUNTA($F383:O383)+1+2)</f>
        <v>0.99232500000000001</v>
      </c>
      <c r="R383" s="434"/>
      <c r="S383" s="319"/>
      <c r="T383" s="319"/>
    </row>
    <row r="384" spans="2:20" ht="13.5" customHeight="1" outlineLevel="1">
      <c r="B384" s="489">
        <f t="shared" si="255"/>
        <v>46387</v>
      </c>
      <c r="C384" s="341">
        <f t="shared" si="255"/>
        <v>15.301500000000001</v>
      </c>
      <c r="D384" s="318"/>
      <c r="E384" s="319"/>
      <c r="F384" s="319"/>
      <c r="G384" s="264"/>
      <c r="H384" s="264"/>
      <c r="I384" s="264"/>
      <c r="J384" s="199">
        <f>$C384*HLOOKUP($F$379,macrs,COUNTA($F384:I384)+1+2)</f>
        <v>1.5301500000000001</v>
      </c>
      <c r="K384" s="199">
        <f>$C384*HLOOKUP($F$379,macrs,COUNTA($F384:J384)+1+2)</f>
        <v>2.75427</v>
      </c>
      <c r="L384" s="199">
        <f>$C384*HLOOKUP($F$379,macrs,COUNTA($F384:K384)+1+2)</f>
        <v>2.2034159999999998</v>
      </c>
      <c r="M384" s="199">
        <f>$C384*HLOOKUP($F$379,macrs,COUNTA($F384:L384)+1+2)</f>
        <v>1.7627328</v>
      </c>
      <c r="N384" s="199">
        <f>$C384*HLOOKUP($F$379,macrs,COUNTA($F384:M384)+1+2)</f>
        <v>1.4107983000000002</v>
      </c>
      <c r="O384" s="199">
        <f>$C384*HLOOKUP($F$379,macrs,COUNTA($F384:N384)+1+2)</f>
        <v>1.12772055</v>
      </c>
      <c r="P384" s="199">
        <f>$C384*HLOOKUP($F$379,macrs,COUNTA($F384:O384)+1+2)</f>
        <v>1.0022482500000001</v>
      </c>
      <c r="R384" s="434"/>
      <c r="S384" s="319"/>
      <c r="T384" s="319"/>
    </row>
    <row r="385" spans="2:20" ht="13.5" customHeight="1" outlineLevel="1">
      <c r="B385" s="489">
        <f t="shared" si="255"/>
        <v>46752</v>
      </c>
      <c r="C385" s="341">
        <f t="shared" si="255"/>
        <v>15.454515000000001</v>
      </c>
      <c r="D385" s="318"/>
      <c r="E385" s="319"/>
      <c r="F385" s="319"/>
      <c r="G385" s="264"/>
      <c r="H385" s="264"/>
      <c r="I385" s="264"/>
      <c r="J385" s="264"/>
      <c r="K385" s="199">
        <f>$C385*HLOOKUP($F$379,macrs,COUNTA($F385:J385)+1+2)</f>
        <v>1.5454515000000002</v>
      </c>
      <c r="L385" s="199">
        <f>$C385*HLOOKUP($F$379,macrs,COUNTA($F385:K385)+1+2)</f>
        <v>2.7818127000000001</v>
      </c>
      <c r="M385" s="199">
        <f>$C385*HLOOKUP($F$379,macrs,COUNTA($F385:L385)+1+2)</f>
        <v>2.2254501599999998</v>
      </c>
      <c r="N385" s="199">
        <f>$C385*HLOOKUP($F$379,macrs,COUNTA($F385:M385)+1+2)</f>
        <v>1.7803601280000001</v>
      </c>
      <c r="O385" s="199">
        <f>$C385*HLOOKUP($F$379,macrs,COUNTA($F385:N385)+1+2)</f>
        <v>1.4249062830000001</v>
      </c>
      <c r="P385" s="199">
        <f>$C385*HLOOKUP($F$379,macrs,COUNTA($F385:O385)+1+2)</f>
        <v>1.1389977555000002</v>
      </c>
      <c r="R385" s="434"/>
      <c r="S385" s="319"/>
      <c r="T385" s="319"/>
    </row>
    <row r="386" spans="2:20" ht="13.5" customHeight="1" outlineLevel="1">
      <c r="B386" s="489">
        <f t="shared" si="255"/>
        <v>47118</v>
      </c>
      <c r="C386" s="341">
        <f t="shared" si="255"/>
        <v>15.609060150000001</v>
      </c>
      <c r="D386" s="318"/>
      <c r="E386" s="319"/>
      <c r="F386" s="319"/>
      <c r="G386" s="264"/>
      <c r="H386" s="264"/>
      <c r="I386" s="264"/>
      <c r="J386" s="264"/>
      <c r="K386" s="264"/>
      <c r="L386" s="199">
        <f>$C386*HLOOKUP($F$379,macrs,COUNTA($F386:K386)+1+2)</f>
        <v>1.5609060150000003</v>
      </c>
      <c r="M386" s="199">
        <f>$C386*HLOOKUP($F$379,macrs,COUNTA($F386:L386)+1+2)</f>
        <v>2.8096308270000003</v>
      </c>
      <c r="N386" s="199">
        <f>$C386*HLOOKUP($F$379,macrs,COUNTA($F386:M386)+1+2)</f>
        <v>2.2477046615999998</v>
      </c>
      <c r="O386" s="199">
        <f>$C386*HLOOKUP($F$379,macrs,COUNTA($F386:N386)+1+2)</f>
        <v>1.7981637292800001</v>
      </c>
      <c r="P386" s="199">
        <f>$C386*HLOOKUP($F$379,macrs,COUNTA($F386:O386)+1+2)</f>
        <v>1.4391553458300002</v>
      </c>
      <c r="R386" s="434"/>
      <c r="S386" s="319"/>
      <c r="T386" s="319"/>
    </row>
    <row r="387" spans="2:20" ht="13.5" customHeight="1" outlineLevel="1">
      <c r="B387" s="489">
        <f t="shared" si="255"/>
        <v>47483</v>
      </c>
      <c r="C387" s="341">
        <f t="shared" si="255"/>
        <v>15.765150751500002</v>
      </c>
      <c r="D387" s="318"/>
      <c r="E387" s="319"/>
      <c r="F387" s="319"/>
      <c r="G387" s="264"/>
      <c r="H387" s="264"/>
      <c r="I387" s="264"/>
      <c r="J387" s="264"/>
      <c r="K387" s="264"/>
      <c r="L387" s="264"/>
      <c r="M387" s="199">
        <f>$C387*HLOOKUP($F$379,macrs,COUNTA($F387:L387)+1+2)</f>
        <v>1.5765150751500003</v>
      </c>
      <c r="N387" s="199">
        <f>$C387*HLOOKUP($F$379,macrs,COUNTA($F387:M387)+1+2)</f>
        <v>2.8377271352700002</v>
      </c>
      <c r="O387" s="199">
        <f>$C387*HLOOKUP($F$379,macrs,COUNTA($F387:N387)+1+2)</f>
        <v>2.2701817082160001</v>
      </c>
      <c r="P387" s="199">
        <f>$C387*HLOOKUP($F$379,macrs,COUNTA($F387:O387)+1+2)</f>
        <v>1.8161453665728002</v>
      </c>
      <c r="R387" s="434"/>
      <c r="S387" s="319"/>
      <c r="T387" s="319"/>
    </row>
    <row r="388" spans="2:20" ht="13.5" customHeight="1" outlineLevel="1">
      <c r="B388" s="489">
        <f t="shared" si="255"/>
        <v>47848</v>
      </c>
      <c r="C388" s="341">
        <f t="shared" si="255"/>
        <v>15.922802259015002</v>
      </c>
      <c r="D388" s="318"/>
      <c r="E388" s="319"/>
      <c r="F388" s="319"/>
      <c r="G388" s="264"/>
      <c r="H388" s="264"/>
      <c r="I388" s="264"/>
      <c r="J388" s="264"/>
      <c r="K388" s="264"/>
      <c r="L388" s="264"/>
      <c r="M388" s="264"/>
      <c r="N388" s="199">
        <f>$C388*HLOOKUP($F$379,macrs,COUNTA($F388:M388)+1+2)</f>
        <v>1.5922802259015003</v>
      </c>
      <c r="O388" s="199">
        <f>$C388*HLOOKUP($F$379,macrs,COUNTA($F388:N388)+1+2)</f>
        <v>2.8661044066227004</v>
      </c>
      <c r="P388" s="199">
        <f>$C388*HLOOKUP($F$379,macrs,COUNTA($F388:O388)+1+2)</f>
        <v>2.2928835252981603</v>
      </c>
      <c r="R388" s="434"/>
      <c r="S388" s="319"/>
      <c r="T388" s="319"/>
    </row>
    <row r="389" spans="2:20" ht="13.5" customHeight="1" outlineLevel="1">
      <c r="B389" s="489">
        <f t="shared" si="255"/>
        <v>48213</v>
      </c>
      <c r="C389" s="341">
        <f t="shared" si="255"/>
        <v>16.082030281605153</v>
      </c>
      <c r="D389" s="318"/>
      <c r="E389" s="319"/>
      <c r="F389" s="319"/>
      <c r="G389" s="264"/>
      <c r="H389" s="264"/>
      <c r="I389" s="264"/>
      <c r="J389" s="264"/>
      <c r="K389" s="264"/>
      <c r="L389" s="264"/>
      <c r="M389" s="264"/>
      <c r="N389" s="264"/>
      <c r="O389" s="199">
        <f>$C389*HLOOKUP($F$379,macrs,COUNTA($F389:N389)+1+2)</f>
        <v>1.6082030281605153</v>
      </c>
      <c r="P389" s="199">
        <f>$C389*HLOOKUP($F$379,macrs,COUNTA($F389:O389)+1+2)</f>
        <v>2.8947654506889275</v>
      </c>
      <c r="R389" s="434"/>
      <c r="S389" s="319"/>
      <c r="T389" s="319"/>
    </row>
    <row r="390" spans="2:20" ht="13.5" customHeight="1" outlineLevel="1">
      <c r="B390" s="489">
        <f t="shared" si="255"/>
        <v>48579</v>
      </c>
      <c r="C390" s="341">
        <f t="shared" si="255"/>
        <v>16.242850584421205</v>
      </c>
      <c r="D390" s="318"/>
      <c r="E390" s="319"/>
      <c r="F390" s="319"/>
      <c r="G390" s="264"/>
      <c r="H390" s="264"/>
      <c r="I390" s="264"/>
      <c r="J390" s="264"/>
      <c r="K390" s="264"/>
      <c r="L390" s="264"/>
      <c r="M390" s="264"/>
      <c r="N390" s="264"/>
      <c r="O390" s="264"/>
      <c r="P390" s="199">
        <f>$C390*HLOOKUP($F$379,macrs,COUNTA($F390:O390)+1+2)</f>
        <v>1.6242850584421207</v>
      </c>
      <c r="R390" s="434"/>
      <c r="S390" s="319"/>
      <c r="T390" s="319"/>
    </row>
    <row r="391" spans="2:20" ht="13.5" customHeight="1" outlineLevel="1">
      <c r="B391" s="119" t="s">
        <v>636</v>
      </c>
      <c r="C391" s="119"/>
      <c r="D391" s="119"/>
      <c r="E391" s="119"/>
      <c r="F391" s="119"/>
      <c r="G391" s="120">
        <f t="shared" ref="G391:P391" si="256">SUM(G381:G390)</f>
        <v>1.4100000000000001</v>
      </c>
      <c r="H391" s="120">
        <f t="shared" si="256"/>
        <v>4.0380000000000003</v>
      </c>
      <c r="I391" s="120">
        <f t="shared" si="256"/>
        <v>6.2454000000000001</v>
      </c>
      <c r="J391" s="120">
        <f t="shared" si="256"/>
        <v>8.0414700000000003</v>
      </c>
      <c r="K391" s="120">
        <f t="shared" si="256"/>
        <v>9.5093414999999997</v>
      </c>
      <c r="L391" s="120">
        <f t="shared" si="256"/>
        <v>10.713584715</v>
      </c>
      <c r="M391" s="120">
        <f t="shared" si="256"/>
        <v>11.800208862149999</v>
      </c>
      <c r="N391" s="120">
        <f t="shared" si="256"/>
        <v>12.891475450771502</v>
      </c>
      <c r="O391" s="120">
        <f t="shared" si="256"/>
        <v>13.995064705279216</v>
      </c>
      <c r="P391" s="120">
        <f t="shared" si="256"/>
        <v>15.108355752332011</v>
      </c>
      <c r="R391" s="434"/>
      <c r="S391" s="479">
        <f>S$3*$G391</f>
        <v>0.70500000000000007</v>
      </c>
      <c r="T391" s="479">
        <f>T$3*$G391</f>
        <v>0.70500000000000007</v>
      </c>
    </row>
    <row r="392" spans="2:20" ht="13.5" customHeight="1" outlineLevel="1">
      <c r="B392" s="318"/>
      <c r="C392" s="318"/>
      <c r="D392" s="318"/>
      <c r="E392" s="319"/>
      <c r="F392" s="319"/>
      <c r="G392" s="319"/>
      <c r="H392" s="319"/>
      <c r="I392" s="319"/>
      <c r="J392" s="319"/>
      <c r="K392" s="319"/>
      <c r="L392" s="327"/>
      <c r="R392" s="434"/>
      <c r="S392" s="319"/>
      <c r="T392" s="319"/>
    </row>
    <row r="393" spans="2:20" ht="13.5" customHeight="1" outlineLevel="1">
      <c r="B393" s="78" t="s">
        <v>535</v>
      </c>
      <c r="C393" s="79"/>
      <c r="D393" s="80"/>
      <c r="E393" s="80"/>
      <c r="F393" s="80"/>
      <c r="G393" s="80"/>
      <c r="H393" s="80"/>
      <c r="I393" s="80"/>
      <c r="J393" s="80"/>
      <c r="K393" s="80"/>
      <c r="L393" s="80"/>
      <c r="M393" s="80"/>
      <c r="N393" s="80"/>
      <c r="O393" s="80"/>
      <c r="P393" s="81"/>
      <c r="R393" s="434"/>
      <c r="S393" s="525"/>
      <c r="T393" s="81"/>
    </row>
    <row r="394" spans="2:20" ht="13.5" customHeight="1" outlineLevel="1">
      <c r="B394" s="88"/>
      <c r="C394" s="318"/>
      <c r="D394" s="318"/>
      <c r="E394" s="319"/>
      <c r="F394" s="319"/>
      <c r="G394" s="319"/>
      <c r="H394" s="319"/>
      <c r="I394" s="319"/>
      <c r="J394" s="319"/>
      <c r="K394" s="319"/>
      <c r="L394" s="327"/>
      <c r="R394" s="434"/>
      <c r="S394" s="319"/>
      <c r="T394" s="319"/>
    </row>
    <row r="395" spans="2:20" ht="13.5" customHeight="1" outlineLevel="1">
      <c r="B395" s="88" t="s">
        <v>640</v>
      </c>
      <c r="C395" s="318"/>
      <c r="D395" s="318"/>
      <c r="E395" s="319"/>
      <c r="F395" s="478">
        <v>0</v>
      </c>
      <c r="G395" s="319"/>
      <c r="H395" s="319"/>
      <c r="I395" s="319"/>
      <c r="J395" s="319"/>
      <c r="K395" s="319"/>
      <c r="L395" s="327"/>
      <c r="R395" s="434"/>
      <c r="S395" s="319"/>
      <c r="T395" s="319"/>
    </row>
    <row r="396" spans="2:20" ht="13.5" customHeight="1" outlineLevel="1">
      <c r="B396" s="88"/>
      <c r="C396" s="318"/>
      <c r="D396" s="318"/>
      <c r="E396" s="319"/>
      <c r="F396" s="319"/>
      <c r="G396" s="319"/>
      <c r="H396" s="319"/>
      <c r="I396" s="319"/>
      <c r="J396" s="319"/>
      <c r="K396" s="319"/>
      <c r="L396" s="327"/>
      <c r="R396" s="434"/>
      <c r="S396" s="319"/>
      <c r="T396" s="319"/>
    </row>
    <row r="397" spans="2:20" ht="13.5" customHeight="1" outlineLevel="1">
      <c r="B397" s="88" t="s">
        <v>480</v>
      </c>
      <c r="C397" s="88"/>
      <c r="D397" s="88"/>
      <c r="E397" s="88"/>
      <c r="F397" s="88"/>
      <c r="G397" s="328">
        <f>CHOOSE($F395+1,G373,G391)</f>
        <v>0.70499999999999996</v>
      </c>
      <c r="H397" s="328">
        <f t="shared" ref="H397:P397" si="257">CHOOSE($F395+1,H373,H391)</f>
        <v>2.16</v>
      </c>
      <c r="I397" s="328">
        <f t="shared" si="257"/>
        <v>3.6675000000000004</v>
      </c>
      <c r="J397" s="328">
        <f t="shared" si="257"/>
        <v>5.1900750000000011</v>
      </c>
      <c r="K397" s="328">
        <f t="shared" si="257"/>
        <v>6.7278757500000008</v>
      </c>
      <c r="L397" s="328">
        <f t="shared" si="257"/>
        <v>8.2810545075000004</v>
      </c>
      <c r="M397" s="328">
        <f t="shared" si="257"/>
        <v>9.849765052575</v>
      </c>
      <c r="N397" s="328">
        <f t="shared" si="257"/>
        <v>11.434162703100752</v>
      </c>
      <c r="O397" s="328">
        <f t="shared" si="257"/>
        <v>13.03440433013176</v>
      </c>
      <c r="P397" s="328">
        <f t="shared" si="257"/>
        <v>14.650648373433077</v>
      </c>
      <c r="R397" s="434"/>
      <c r="S397" s="328">
        <f t="shared" ref="S397:T397" si="258">CHOOSE($F395+1,S373,S391)</f>
        <v>0.35249999999999998</v>
      </c>
      <c r="T397" s="328">
        <f t="shared" si="258"/>
        <v>0.35249999999999998</v>
      </c>
    </row>
    <row r="398" spans="2:20" ht="13.5" customHeight="1" outlineLevel="1">
      <c r="B398" s="88" t="s">
        <v>618</v>
      </c>
      <c r="C398" s="50"/>
      <c r="D398" s="50"/>
      <c r="F398" s="50"/>
      <c r="G398" s="495">
        <f t="shared" ref="G398:P398" si="259">G374</f>
        <v>13.395</v>
      </c>
      <c r="H398" s="495">
        <f t="shared" si="259"/>
        <v>11.94</v>
      </c>
      <c r="I398" s="495">
        <f t="shared" si="259"/>
        <v>10.573499999999999</v>
      </c>
      <c r="J398" s="495">
        <f t="shared" si="259"/>
        <v>9.1933349999999976</v>
      </c>
      <c r="K398" s="495">
        <f t="shared" si="259"/>
        <v>7.7993683499999999</v>
      </c>
      <c r="L398" s="495">
        <f t="shared" si="259"/>
        <v>6.3914620334999999</v>
      </c>
      <c r="M398" s="495">
        <f t="shared" si="259"/>
        <v>4.9694766538350024</v>
      </c>
      <c r="N398" s="495">
        <f t="shared" si="259"/>
        <v>3.5332714203733495</v>
      </c>
      <c r="O398" s="495">
        <f t="shared" si="259"/>
        <v>2.0827041345770816</v>
      </c>
      <c r="P398" s="495">
        <f t="shared" si="259"/>
        <v>0.61763117592285433</v>
      </c>
      <c r="R398" s="434"/>
      <c r="S398" s="184">
        <f>S$3*$G398</f>
        <v>6.6974999999999998</v>
      </c>
      <c r="T398" s="184">
        <f>T$3*$G398</f>
        <v>6.6974999999999998</v>
      </c>
    </row>
    <row r="399" spans="2:20" ht="13.5" customHeight="1" outlineLevel="1">
      <c r="B399" s="490" t="s">
        <v>620</v>
      </c>
      <c r="C399" s="490"/>
      <c r="D399" s="490"/>
      <c r="E399" s="490"/>
      <c r="F399" s="490"/>
      <c r="G399" s="491">
        <f t="shared" ref="G399:P399" si="260">SUM(G397:G398)</f>
        <v>14.1</v>
      </c>
      <c r="H399" s="491">
        <f t="shared" si="260"/>
        <v>14.1</v>
      </c>
      <c r="I399" s="491">
        <f t="shared" si="260"/>
        <v>14.241</v>
      </c>
      <c r="J399" s="491">
        <f t="shared" si="260"/>
        <v>14.383409999999998</v>
      </c>
      <c r="K399" s="491">
        <f t="shared" si="260"/>
        <v>14.527244100000001</v>
      </c>
      <c r="L399" s="491">
        <f t="shared" si="260"/>
        <v>14.672516541</v>
      </c>
      <c r="M399" s="491">
        <f t="shared" si="260"/>
        <v>14.819241706410002</v>
      </c>
      <c r="N399" s="491">
        <f t="shared" si="260"/>
        <v>14.967434123474101</v>
      </c>
      <c r="O399" s="491">
        <f t="shared" si="260"/>
        <v>15.117108464708842</v>
      </c>
      <c r="P399" s="491">
        <f t="shared" si="260"/>
        <v>15.268279549355931</v>
      </c>
      <c r="R399" s="434"/>
      <c r="S399" s="492">
        <f>SUM(S397:S398)</f>
        <v>7.05</v>
      </c>
      <c r="T399" s="492">
        <f>SUM(T397:T398)</f>
        <v>7.05</v>
      </c>
    </row>
    <row r="400" spans="2:20" ht="5.0999999999999996" customHeight="1" outlineLevel="1" thickBot="1">
      <c r="B400" s="348"/>
      <c r="C400" s="348"/>
      <c r="D400" s="348"/>
      <c r="E400" s="349"/>
      <c r="F400" s="349"/>
      <c r="G400" s="349"/>
      <c r="H400" s="349"/>
      <c r="I400" s="349"/>
      <c r="J400" s="349"/>
      <c r="K400" s="349"/>
      <c r="L400" s="349"/>
      <c r="M400" s="349"/>
      <c r="N400" s="349"/>
      <c r="O400" s="349"/>
      <c r="P400" s="349"/>
      <c r="Q400" s="349"/>
      <c r="R400" s="349"/>
      <c r="S400" s="349"/>
      <c r="T400" s="349"/>
    </row>
    <row r="401" spans="1:20" ht="13.5" customHeight="1" outlineLevel="1">
      <c r="B401" s="50"/>
      <c r="C401" s="50"/>
      <c r="D401" s="50"/>
      <c r="G401" s="350"/>
      <c r="H401" s="350"/>
      <c r="L401" s="57"/>
    </row>
    <row r="402" spans="1:20" ht="13.5" customHeight="1" outlineLevel="1" thickBot="1">
      <c r="B402" s="50"/>
      <c r="C402" s="50"/>
      <c r="D402" s="50"/>
      <c r="L402" s="57"/>
    </row>
    <row r="403" spans="1:20" ht="20.7" thickTop="1">
      <c r="A403" s="281" t="s">
        <v>631</v>
      </c>
      <c r="B403" s="522" t="str">
        <f>target&amp;" Tax Schedule"</f>
        <v>TargetCo Tax Schedule</v>
      </c>
      <c r="C403" s="523"/>
      <c r="D403" s="524"/>
      <c r="E403" s="524"/>
      <c r="F403" s="524"/>
      <c r="G403" s="524"/>
      <c r="H403" s="524"/>
      <c r="I403" s="524"/>
      <c r="J403" s="524"/>
      <c r="K403" s="524"/>
      <c r="L403" s="524"/>
      <c r="M403" s="524"/>
      <c r="N403" s="524"/>
      <c r="O403" s="524"/>
      <c r="P403" s="524"/>
      <c r="Q403" s="524"/>
      <c r="R403" s="524"/>
      <c r="S403" s="524"/>
      <c r="T403" s="524"/>
    </row>
    <row r="404" spans="1:20" ht="5.0999999999999996" customHeight="1" outlineLevel="1">
      <c r="B404" s="107"/>
      <c r="C404" s="285"/>
      <c r="L404" s="57"/>
    </row>
    <row r="405" spans="1:20" ht="13.5" customHeight="1" outlineLevel="1">
      <c r="B405" s="286"/>
      <c r="C405" s="286"/>
      <c r="D405" s="286"/>
      <c r="E405" s="42"/>
      <c r="F405" s="432" t="s">
        <v>630</v>
      </c>
      <c r="G405" s="433" t="s">
        <v>629</v>
      </c>
      <c r="H405" s="433"/>
      <c r="I405" s="433"/>
      <c r="J405" s="433"/>
      <c r="K405" s="433"/>
      <c r="L405" s="433"/>
      <c r="M405" s="433"/>
      <c r="N405" s="433"/>
      <c r="O405" s="433"/>
      <c r="P405" s="433"/>
      <c r="R405" s="434"/>
      <c r="S405" s="433" t="s">
        <v>628</v>
      </c>
      <c r="T405" s="433"/>
    </row>
    <row r="406" spans="1:20" ht="13.5" customHeight="1" outlineLevel="1" thickBot="1">
      <c r="B406" s="435" t="str">
        <f>"("&amp;curr&amp;" in millions)"</f>
        <v>($ in millions)</v>
      </c>
      <c r="C406" s="436"/>
      <c r="D406" s="436"/>
      <c r="E406" s="437"/>
      <c r="F406" s="439">
        <f t="shared" ref="F406" si="261">F$8</f>
        <v>44926</v>
      </c>
      <c r="G406" s="439">
        <f t="shared" ref="G406:P406" si="262">G$8</f>
        <v>45291</v>
      </c>
      <c r="H406" s="439">
        <f t="shared" si="262"/>
        <v>45657</v>
      </c>
      <c r="I406" s="439">
        <f t="shared" si="262"/>
        <v>46022</v>
      </c>
      <c r="J406" s="439">
        <f t="shared" si="262"/>
        <v>46387</v>
      </c>
      <c r="K406" s="439">
        <f t="shared" si="262"/>
        <v>46752</v>
      </c>
      <c r="L406" s="439">
        <f t="shared" si="262"/>
        <v>47118</v>
      </c>
      <c r="M406" s="439">
        <f t="shared" si="262"/>
        <v>47483</v>
      </c>
      <c r="N406" s="439">
        <f t="shared" si="262"/>
        <v>47848</v>
      </c>
      <c r="O406" s="439">
        <f t="shared" si="262"/>
        <v>48213</v>
      </c>
      <c r="P406" s="439">
        <f t="shared" si="262"/>
        <v>48579</v>
      </c>
      <c r="R406" s="434"/>
      <c r="S406" s="440">
        <f>S$8</f>
        <v>45107</v>
      </c>
      <c r="T406" s="440">
        <f>T$8</f>
        <v>45291</v>
      </c>
    </row>
    <row r="407" spans="1:20" ht="5.0999999999999996" customHeight="1" outlineLevel="1">
      <c r="B407" s="318"/>
      <c r="C407" s="318"/>
      <c r="D407" s="318"/>
      <c r="E407" s="319"/>
      <c r="F407" s="319"/>
      <c r="G407" s="319"/>
      <c r="H407" s="319"/>
      <c r="I407" s="319"/>
      <c r="J407" s="319"/>
      <c r="K407" s="319"/>
      <c r="L407" s="327"/>
      <c r="R407" s="434"/>
      <c r="S407" s="319"/>
      <c r="T407" s="319"/>
    </row>
    <row r="408" spans="1:20" ht="13.75" customHeight="1" outlineLevel="1">
      <c r="B408" s="395" t="s">
        <v>566</v>
      </c>
      <c r="C408" s="496"/>
      <c r="D408" s="496"/>
      <c r="E408" s="497"/>
      <c r="F408" s="497"/>
      <c r="G408" s="497"/>
      <c r="H408" s="497"/>
      <c r="I408" s="497"/>
      <c r="J408" s="497"/>
      <c r="K408" s="497"/>
      <c r="L408" s="498"/>
      <c r="M408" s="499"/>
      <c r="N408" s="499"/>
      <c r="O408" s="499"/>
      <c r="P408" s="499"/>
      <c r="Q408" s="500"/>
      <c r="R408" s="434"/>
      <c r="S408" s="501"/>
      <c r="T408" s="501"/>
    </row>
    <row r="409" spans="1:20" ht="13.75" customHeight="1" outlineLevel="1">
      <c r="B409" s="318"/>
      <c r="C409" s="318"/>
      <c r="D409" s="318"/>
      <c r="E409" s="319"/>
      <c r="F409" s="319"/>
      <c r="G409" s="319"/>
      <c r="H409" s="319"/>
      <c r="I409" s="319"/>
      <c r="J409" s="319"/>
      <c r="K409" s="319"/>
      <c r="L409" s="327"/>
      <c r="R409" s="434"/>
      <c r="S409" s="319"/>
      <c r="T409" s="319"/>
    </row>
    <row r="410" spans="1:20" ht="13.75" customHeight="1" outlineLevel="1">
      <c r="B410" s="36" t="s">
        <v>489</v>
      </c>
      <c r="C410" s="318"/>
      <c r="D410" s="318"/>
      <c r="E410" s="319"/>
      <c r="F410" s="177"/>
      <c r="G410" s="375">
        <v>0.38145000000000001</v>
      </c>
      <c r="H410" s="177">
        <f t="shared" ref="H410:P410" si="263">G410</f>
        <v>0.38145000000000001</v>
      </c>
      <c r="I410" s="177">
        <f t="shared" si="263"/>
        <v>0.38145000000000001</v>
      </c>
      <c r="J410" s="177">
        <f t="shared" si="263"/>
        <v>0.38145000000000001</v>
      </c>
      <c r="K410" s="177">
        <f t="shared" si="263"/>
        <v>0.38145000000000001</v>
      </c>
      <c r="L410" s="177">
        <f t="shared" si="263"/>
        <v>0.38145000000000001</v>
      </c>
      <c r="M410" s="177">
        <f t="shared" si="263"/>
        <v>0.38145000000000001</v>
      </c>
      <c r="N410" s="177">
        <f t="shared" si="263"/>
        <v>0.38145000000000001</v>
      </c>
      <c r="O410" s="177">
        <f t="shared" si="263"/>
        <v>0.38145000000000001</v>
      </c>
      <c r="P410" s="177">
        <f t="shared" si="263"/>
        <v>0.38145000000000001</v>
      </c>
      <c r="R410" s="434"/>
      <c r="S410" s="177">
        <f>$G410</f>
        <v>0.38145000000000001</v>
      </c>
      <c r="T410" s="177">
        <f>$G410</f>
        <v>0.38145000000000001</v>
      </c>
    </row>
    <row r="411" spans="1:20" ht="13.75" customHeight="1" outlineLevel="1">
      <c r="B411" s="36" t="s">
        <v>490</v>
      </c>
      <c r="C411" s="318"/>
      <c r="D411" s="318"/>
      <c r="E411" s="319"/>
      <c r="F411" s="177"/>
      <c r="G411" s="375">
        <v>0.03</v>
      </c>
      <c r="H411" s="177">
        <f t="shared" ref="H411:P411" si="264">G411</f>
        <v>0.03</v>
      </c>
      <c r="I411" s="177">
        <f t="shared" si="264"/>
        <v>0.03</v>
      </c>
      <c r="J411" s="177">
        <f t="shared" si="264"/>
        <v>0.03</v>
      </c>
      <c r="K411" s="177">
        <f t="shared" si="264"/>
        <v>0.03</v>
      </c>
      <c r="L411" s="177">
        <f t="shared" si="264"/>
        <v>0.03</v>
      </c>
      <c r="M411" s="177">
        <f t="shared" si="264"/>
        <v>0.03</v>
      </c>
      <c r="N411" s="177">
        <f t="shared" si="264"/>
        <v>0.03</v>
      </c>
      <c r="O411" s="177">
        <f t="shared" si="264"/>
        <v>0.03</v>
      </c>
      <c r="P411" s="177">
        <f t="shared" si="264"/>
        <v>0.03</v>
      </c>
      <c r="R411" s="434"/>
      <c r="S411" s="177">
        <f>$G411</f>
        <v>0.03</v>
      </c>
      <c r="T411" s="177">
        <f>$G411</f>
        <v>0.03</v>
      </c>
    </row>
    <row r="412" spans="1:20" ht="13.75" customHeight="1" outlineLevel="1">
      <c r="B412" s="36" t="s">
        <v>491</v>
      </c>
      <c r="C412" s="318"/>
      <c r="D412" s="318"/>
      <c r="E412" s="319"/>
      <c r="F412" s="399">
        <f>F73</f>
        <v>0.39775910364145656</v>
      </c>
      <c r="G412" s="177">
        <f t="shared" ref="G412" si="265">G410*(1-G411)+G411</f>
        <v>0.40000650000000004</v>
      </c>
      <c r="H412" s="177">
        <f t="shared" ref="H412" si="266">H410*(1-H411)+H411</f>
        <v>0.40000650000000004</v>
      </c>
      <c r="I412" s="177">
        <f t="shared" ref="I412" si="267">I410*(1-I411)+I411</f>
        <v>0.40000650000000004</v>
      </c>
      <c r="J412" s="177">
        <f t="shared" ref="J412" si="268">J410*(1-J411)+J411</f>
        <v>0.40000650000000004</v>
      </c>
      <c r="K412" s="177">
        <f t="shared" ref="K412" si="269">K410*(1-K411)+K411</f>
        <v>0.40000650000000004</v>
      </c>
      <c r="L412" s="177">
        <f t="shared" ref="L412" si="270">L410*(1-L411)+L411</f>
        <v>0.40000650000000004</v>
      </c>
      <c r="M412" s="177">
        <f t="shared" ref="M412" si="271">M410*(1-M411)+M411</f>
        <v>0.40000650000000004</v>
      </c>
      <c r="N412" s="177">
        <f t="shared" ref="N412" si="272">N410*(1-N411)+N411</f>
        <v>0.40000650000000004</v>
      </c>
      <c r="O412" s="177">
        <f t="shared" ref="O412" si="273">O410*(1-O411)+O411</f>
        <v>0.40000650000000004</v>
      </c>
      <c r="P412" s="177">
        <f t="shared" ref="P412" si="274">P410*(1-P411)+P411</f>
        <v>0.40000650000000004</v>
      </c>
      <c r="R412" s="434"/>
      <c r="S412" s="177">
        <f t="shared" ref="S412" si="275">S410*(1-S411)+S411</f>
        <v>0.40000650000000004</v>
      </c>
      <c r="T412" s="177">
        <f t="shared" ref="T412" si="276">T410*(1-T411)+T411</f>
        <v>0.40000650000000004</v>
      </c>
    </row>
    <row r="413" spans="1:20" ht="13.75" customHeight="1" outlineLevel="1">
      <c r="C413" s="318"/>
      <c r="D413" s="318"/>
      <c r="E413" s="319"/>
      <c r="F413" s="319"/>
      <c r="G413" s="319"/>
      <c r="H413" s="319"/>
      <c r="I413" s="319"/>
      <c r="J413" s="319"/>
      <c r="K413" s="319"/>
      <c r="L413" s="327"/>
      <c r="R413" s="434"/>
      <c r="S413" s="319"/>
      <c r="T413" s="319"/>
    </row>
    <row r="414" spans="1:20" ht="13.5" customHeight="1" outlineLevel="1">
      <c r="B414" s="78" t="s">
        <v>544</v>
      </c>
      <c r="C414" s="79"/>
      <c r="D414" s="80"/>
      <c r="E414" s="80"/>
      <c r="F414" s="80"/>
      <c r="G414" s="80"/>
      <c r="H414" s="80"/>
      <c r="I414" s="80"/>
      <c r="J414" s="80"/>
      <c r="K414" s="80"/>
      <c r="L414" s="80"/>
      <c r="M414" s="80"/>
      <c r="N414" s="80"/>
      <c r="O414" s="80"/>
      <c r="P414" s="81"/>
      <c r="R414" s="434"/>
      <c r="S414" s="525"/>
      <c r="T414" s="81"/>
    </row>
    <row r="415" spans="1:20" ht="13.75" customHeight="1" outlineLevel="1">
      <c r="B415" s="318"/>
      <c r="C415" s="318"/>
      <c r="D415" s="318"/>
      <c r="E415" s="319"/>
      <c r="F415" s="319"/>
      <c r="G415" s="319"/>
      <c r="H415" s="319"/>
      <c r="I415" s="319"/>
      <c r="J415" s="319"/>
      <c r="K415" s="319"/>
      <c r="L415" s="327"/>
      <c r="R415" s="434"/>
      <c r="S415" s="319"/>
      <c r="T415" s="319"/>
    </row>
    <row r="416" spans="1:20" ht="13.75" customHeight="1" outlineLevel="1">
      <c r="B416" s="36" t="s">
        <v>93</v>
      </c>
      <c r="F416" s="401"/>
      <c r="G416" s="401">
        <f t="shared" ref="G416:P416" si="277">G14</f>
        <v>126.49999999999999</v>
      </c>
      <c r="H416" s="401">
        <f t="shared" si="277"/>
        <v>125.9</v>
      </c>
      <c r="I416" s="401">
        <f t="shared" si="277"/>
        <v>127.15900000000001</v>
      </c>
      <c r="J416" s="401">
        <f t="shared" si="277"/>
        <v>128.43059000000002</v>
      </c>
      <c r="K416" s="401">
        <f t="shared" si="277"/>
        <v>129.71489590000004</v>
      </c>
      <c r="L416" s="401">
        <f t="shared" si="277"/>
        <v>131.01204485900004</v>
      </c>
      <c r="M416" s="401">
        <f t="shared" si="277"/>
        <v>132.32216530759001</v>
      </c>
      <c r="N416" s="401">
        <f t="shared" si="277"/>
        <v>133.64538696066592</v>
      </c>
      <c r="O416" s="401">
        <f t="shared" si="277"/>
        <v>134.98184083027257</v>
      </c>
      <c r="P416" s="401">
        <f t="shared" si="277"/>
        <v>136.3316592385753</v>
      </c>
      <c r="R416" s="434"/>
      <c r="S416" s="401">
        <f>S14</f>
        <v>63.249999999999993</v>
      </c>
      <c r="T416" s="401">
        <f>T14</f>
        <v>63.249999999999993</v>
      </c>
    </row>
    <row r="417" spans="2:20" ht="13.75" customHeight="1" outlineLevel="1">
      <c r="B417" s="36" t="s">
        <v>482</v>
      </c>
      <c r="F417" s="163"/>
      <c r="G417" s="163">
        <f t="shared" ref="G417:P417" si="278">-G399</f>
        <v>-14.1</v>
      </c>
      <c r="H417" s="163">
        <f t="shared" si="278"/>
        <v>-14.1</v>
      </c>
      <c r="I417" s="163">
        <f t="shared" si="278"/>
        <v>-14.241</v>
      </c>
      <c r="J417" s="163">
        <f t="shared" si="278"/>
        <v>-14.383409999999998</v>
      </c>
      <c r="K417" s="163">
        <f t="shared" si="278"/>
        <v>-14.527244100000001</v>
      </c>
      <c r="L417" s="163">
        <f t="shared" si="278"/>
        <v>-14.672516541</v>
      </c>
      <c r="M417" s="163">
        <f t="shared" si="278"/>
        <v>-14.819241706410002</v>
      </c>
      <c r="N417" s="163">
        <f t="shared" si="278"/>
        <v>-14.967434123474101</v>
      </c>
      <c r="O417" s="163">
        <f t="shared" si="278"/>
        <v>-15.117108464708842</v>
      </c>
      <c r="P417" s="163">
        <f t="shared" si="278"/>
        <v>-15.268279549355931</v>
      </c>
      <c r="R417" s="434"/>
      <c r="S417" s="163">
        <f>-S399</f>
        <v>-7.05</v>
      </c>
      <c r="T417" s="163">
        <f>-T399</f>
        <v>-7.05</v>
      </c>
    </row>
    <row r="418" spans="2:20" ht="13.75" customHeight="1" outlineLevel="1">
      <c r="B418" s="36" t="s">
        <v>483</v>
      </c>
      <c r="F418" s="163"/>
      <c r="G418" s="163">
        <f t="shared" ref="G418:P418" si="279">-G16</f>
        <v>-11.6</v>
      </c>
      <c r="H418" s="163">
        <f t="shared" si="279"/>
        <v>-11.6</v>
      </c>
      <c r="I418" s="163">
        <f t="shared" si="279"/>
        <v>-11.6</v>
      </c>
      <c r="J418" s="163">
        <f t="shared" si="279"/>
        <v>-2.6909999999999989</v>
      </c>
      <c r="K418" s="163">
        <f t="shared" si="279"/>
        <v>0</v>
      </c>
      <c r="L418" s="163">
        <f t="shared" si="279"/>
        <v>0</v>
      </c>
      <c r="M418" s="163">
        <f t="shared" si="279"/>
        <v>0</v>
      </c>
      <c r="N418" s="163">
        <f t="shared" si="279"/>
        <v>0</v>
      </c>
      <c r="O418" s="163">
        <f t="shared" si="279"/>
        <v>0</v>
      </c>
      <c r="P418" s="163">
        <f t="shared" si="279"/>
        <v>0</v>
      </c>
      <c r="R418" s="434"/>
      <c r="S418" s="163">
        <f>-S16</f>
        <v>-5.8</v>
      </c>
      <c r="T418" s="163">
        <f>-T16</f>
        <v>-5.8</v>
      </c>
    </row>
    <row r="419" spans="2:20" ht="13.75" customHeight="1" outlineLevel="1">
      <c r="B419" s="36" t="s">
        <v>484</v>
      </c>
      <c r="F419" s="329"/>
      <c r="G419" s="98">
        <v>0</v>
      </c>
      <c r="H419" s="98">
        <v>0</v>
      </c>
      <c r="I419" s="98">
        <v>0</v>
      </c>
      <c r="J419" s="98">
        <v>0</v>
      </c>
      <c r="K419" s="98">
        <v>0</v>
      </c>
      <c r="L419" s="98">
        <v>0</v>
      </c>
      <c r="M419" s="98">
        <v>0</v>
      </c>
      <c r="N419" s="98">
        <v>0</v>
      </c>
      <c r="O419" s="98">
        <v>0</v>
      </c>
      <c r="P419" s="98">
        <v>0</v>
      </c>
      <c r="R419" s="434"/>
      <c r="S419" s="98">
        <v>0</v>
      </c>
      <c r="T419" s="98">
        <v>0</v>
      </c>
    </row>
    <row r="420" spans="2:20" ht="13.75" customHeight="1" outlineLevel="1">
      <c r="B420" s="36" t="s">
        <v>485</v>
      </c>
      <c r="F420" s="163"/>
      <c r="G420" s="163">
        <f t="shared" ref="G420:P420" si="280">-G17</f>
        <v>-10.6</v>
      </c>
      <c r="H420" s="163">
        <f t="shared" si="280"/>
        <v>-10.7</v>
      </c>
      <c r="I420" s="163">
        <f t="shared" si="280"/>
        <v>-10.806999999999999</v>
      </c>
      <c r="J420" s="163">
        <f t="shared" si="280"/>
        <v>-10.915069999999998</v>
      </c>
      <c r="K420" s="163">
        <f t="shared" si="280"/>
        <v>-11.024220699999999</v>
      </c>
      <c r="L420" s="163">
        <f t="shared" si="280"/>
        <v>-11.134462907</v>
      </c>
      <c r="M420" s="163">
        <f t="shared" si="280"/>
        <v>-11.24580753607</v>
      </c>
      <c r="N420" s="163">
        <f t="shared" si="280"/>
        <v>-11.358265611430699</v>
      </c>
      <c r="O420" s="163">
        <f t="shared" si="280"/>
        <v>-11.471848267545006</v>
      </c>
      <c r="P420" s="163">
        <f t="shared" si="280"/>
        <v>-11.586566750220458</v>
      </c>
      <c r="R420" s="434"/>
      <c r="S420" s="163">
        <f>-S17</f>
        <v>-5.3</v>
      </c>
      <c r="T420" s="163">
        <f>-T17</f>
        <v>-5.3</v>
      </c>
    </row>
    <row r="421" spans="2:20" ht="13.75" customHeight="1" outlineLevel="1">
      <c r="B421" s="57" t="s">
        <v>487</v>
      </c>
      <c r="F421" s="163"/>
      <c r="G421" s="163">
        <f t="shared" ref="G421:P421" ca="1" si="281">-G27</f>
        <v>-23.034443750000001</v>
      </c>
      <c r="H421" s="163">
        <f t="shared" ca="1" si="281"/>
        <v>-22.571788103897138</v>
      </c>
      <c r="I421" s="163">
        <f t="shared" ca="1" si="281"/>
        <v>-23.289071686133525</v>
      </c>
      <c r="J421" s="163">
        <f t="shared" ca="1" si="281"/>
        <v>-24.052040002187692</v>
      </c>
      <c r="K421" s="163">
        <f t="shared" ca="1" si="281"/>
        <v>-24.387051683698658</v>
      </c>
      <c r="L421" s="163">
        <f t="shared" ca="1" si="281"/>
        <v>-24.243718911253481</v>
      </c>
      <c r="M421" s="163">
        <f t="shared" ca="1" si="281"/>
        <v>-24.098372012441985</v>
      </c>
      <c r="N421" s="163">
        <f t="shared" ca="1" si="281"/>
        <v>-23.950989974811979</v>
      </c>
      <c r="O421" s="163">
        <f t="shared" ca="1" si="281"/>
        <v>-23.801551574479983</v>
      </c>
      <c r="P421" s="163">
        <f t="shared" ca="1" si="281"/>
        <v>-23.650035374014958</v>
      </c>
      <c r="R421" s="434"/>
      <c r="S421" s="163">
        <f ca="1">-S27</f>
        <v>-11.517221875000001</v>
      </c>
      <c r="T421" s="163">
        <f ca="1">-T27</f>
        <v>-11.517221875000001</v>
      </c>
    </row>
    <row r="422" spans="2:20" ht="13.75" customHeight="1" outlineLevel="1">
      <c r="B422" s="88" t="s">
        <v>486</v>
      </c>
      <c r="F422" s="163"/>
      <c r="G422" s="163">
        <f t="shared" ref="G422:P422" si="282">-G226*(1-$F229)</f>
        <v>0</v>
      </c>
      <c r="H422" s="163">
        <f t="shared" si="282"/>
        <v>0</v>
      </c>
      <c r="I422" s="163">
        <f t="shared" si="282"/>
        <v>0</v>
      </c>
      <c r="J422" s="163">
        <f t="shared" si="282"/>
        <v>0</v>
      </c>
      <c r="K422" s="163">
        <f t="shared" si="282"/>
        <v>0</v>
      </c>
      <c r="L422" s="163">
        <f t="shared" si="282"/>
        <v>0</v>
      </c>
      <c r="M422" s="163">
        <f t="shared" si="282"/>
        <v>0</v>
      </c>
      <c r="N422" s="163">
        <f t="shared" si="282"/>
        <v>0</v>
      </c>
      <c r="O422" s="163">
        <f t="shared" si="282"/>
        <v>0</v>
      </c>
      <c r="P422" s="163">
        <f t="shared" si="282"/>
        <v>0</v>
      </c>
      <c r="R422" s="434"/>
      <c r="S422" s="163">
        <f>-S226*(1-$F229)</f>
        <v>0</v>
      </c>
      <c r="T422" s="163">
        <f>-T226*(1-$F229)</f>
        <v>0</v>
      </c>
    </row>
    <row r="423" spans="2:20" ht="13.75" customHeight="1" outlineLevel="1">
      <c r="B423" s="301" t="s">
        <v>488</v>
      </c>
      <c r="F423" s="163"/>
      <c r="G423" s="163">
        <f t="shared" ref="G423:P423" si="283">-G29</f>
        <v>0</v>
      </c>
      <c r="H423" s="163">
        <f t="shared" si="283"/>
        <v>0</v>
      </c>
      <c r="I423" s="163">
        <f t="shared" si="283"/>
        <v>0</v>
      </c>
      <c r="J423" s="163">
        <f t="shared" si="283"/>
        <v>0</v>
      </c>
      <c r="K423" s="163">
        <f t="shared" si="283"/>
        <v>0</v>
      </c>
      <c r="L423" s="163">
        <f t="shared" si="283"/>
        <v>0</v>
      </c>
      <c r="M423" s="163">
        <f t="shared" si="283"/>
        <v>0</v>
      </c>
      <c r="N423" s="163">
        <f t="shared" si="283"/>
        <v>0</v>
      </c>
      <c r="O423" s="163">
        <f t="shared" si="283"/>
        <v>0</v>
      </c>
      <c r="P423" s="163">
        <f t="shared" si="283"/>
        <v>0</v>
      </c>
      <c r="R423" s="434"/>
      <c r="S423" s="163">
        <f>-S29</f>
        <v>0</v>
      </c>
      <c r="T423" s="163">
        <f>-T29</f>
        <v>0</v>
      </c>
    </row>
    <row r="424" spans="2:20" ht="13.75" customHeight="1" outlineLevel="1">
      <c r="B424" s="116" t="s">
        <v>564</v>
      </c>
      <c r="C424" s="116"/>
      <c r="D424" s="116"/>
      <c r="E424" s="116"/>
      <c r="F424" s="144"/>
      <c r="G424" s="144">
        <f t="shared" ref="G424:P424" ca="1" si="284">SUM(G416:G423)</f>
        <v>67.165556250000009</v>
      </c>
      <c r="H424" s="144">
        <f t="shared" ca="1" si="284"/>
        <v>66.92821189610288</v>
      </c>
      <c r="I424" s="144">
        <f t="shared" ca="1" si="284"/>
        <v>67.221928313866485</v>
      </c>
      <c r="J424" s="144">
        <f t="shared" ca="1" si="284"/>
        <v>76.389069997812328</v>
      </c>
      <c r="K424" s="144">
        <f t="shared" ca="1" si="284"/>
        <v>79.776379416301381</v>
      </c>
      <c r="L424" s="144">
        <f t="shared" ca="1" si="284"/>
        <v>80.961346499746568</v>
      </c>
      <c r="M424" s="144">
        <f t="shared" ca="1" si="284"/>
        <v>82.158744052668027</v>
      </c>
      <c r="N424" s="144">
        <f t="shared" ca="1" si="284"/>
        <v>83.36869725094914</v>
      </c>
      <c r="O424" s="144">
        <f t="shared" ca="1" si="284"/>
        <v>84.591332523538739</v>
      </c>
      <c r="P424" s="144">
        <f t="shared" ca="1" si="284"/>
        <v>85.826777564983956</v>
      </c>
      <c r="R424" s="434"/>
      <c r="S424" s="144">
        <f ca="1">SUM(S416:S423)</f>
        <v>33.582778125000004</v>
      </c>
      <c r="T424" s="144">
        <f ca="1">SUM(T416:T423)</f>
        <v>33.582778125000004</v>
      </c>
    </row>
    <row r="425" spans="2:20" ht="13.75" customHeight="1" outlineLevel="1">
      <c r="B425" s="36" t="s">
        <v>518</v>
      </c>
      <c r="C425" s="88"/>
      <c r="D425" s="88"/>
      <c r="E425" s="88"/>
      <c r="F425" s="118"/>
      <c r="G425" s="118">
        <f ca="1">G447+G463</f>
        <v>-64.2</v>
      </c>
      <c r="H425" s="118">
        <f t="shared" ref="H425:P425" ca="1" si="285">H447+H463</f>
        <v>0</v>
      </c>
      <c r="I425" s="118">
        <f t="shared" ca="1" si="285"/>
        <v>0</v>
      </c>
      <c r="J425" s="118">
        <f t="shared" ca="1" si="285"/>
        <v>0</v>
      </c>
      <c r="K425" s="118">
        <f t="shared" ca="1" si="285"/>
        <v>0</v>
      </c>
      <c r="L425" s="118">
        <f t="shared" ca="1" si="285"/>
        <v>0</v>
      </c>
      <c r="M425" s="118">
        <f t="shared" ca="1" si="285"/>
        <v>0</v>
      </c>
      <c r="N425" s="118">
        <f t="shared" ca="1" si="285"/>
        <v>0</v>
      </c>
      <c r="O425" s="118">
        <f t="shared" ca="1" si="285"/>
        <v>0</v>
      </c>
      <c r="P425" s="118">
        <f t="shared" ca="1" si="285"/>
        <v>0</v>
      </c>
      <c r="R425" s="434"/>
      <c r="S425" s="118">
        <f t="shared" ref="S425:T425" ca="1" si="286">S447+S463</f>
        <v>-33.582778125000004</v>
      </c>
      <c r="T425" s="118">
        <f t="shared" ca="1" si="286"/>
        <v>-30.617221874999998</v>
      </c>
    </row>
    <row r="426" spans="2:20" ht="13.75" customHeight="1" outlineLevel="1">
      <c r="B426" s="116" t="s">
        <v>549</v>
      </c>
      <c r="C426" s="116"/>
      <c r="D426" s="116"/>
      <c r="E426" s="116"/>
      <c r="F426" s="144"/>
      <c r="G426" s="144">
        <f t="shared" ref="G426:P426" ca="1" si="287">SUM(G424:G425)</f>
        <v>2.9655562500000059</v>
      </c>
      <c r="H426" s="144">
        <f t="shared" ca="1" si="287"/>
        <v>66.92821189610288</v>
      </c>
      <c r="I426" s="144">
        <f t="shared" ca="1" si="287"/>
        <v>67.221928313866485</v>
      </c>
      <c r="J426" s="144">
        <f t="shared" ca="1" si="287"/>
        <v>76.389069997812328</v>
      </c>
      <c r="K426" s="144">
        <f t="shared" ca="1" si="287"/>
        <v>79.776379416301381</v>
      </c>
      <c r="L426" s="144">
        <f t="shared" ca="1" si="287"/>
        <v>80.961346499746568</v>
      </c>
      <c r="M426" s="144">
        <f t="shared" ca="1" si="287"/>
        <v>82.158744052668027</v>
      </c>
      <c r="N426" s="144">
        <f t="shared" ca="1" si="287"/>
        <v>83.36869725094914</v>
      </c>
      <c r="O426" s="144">
        <f t="shared" ca="1" si="287"/>
        <v>84.591332523538739</v>
      </c>
      <c r="P426" s="144">
        <f t="shared" ca="1" si="287"/>
        <v>85.826777564983956</v>
      </c>
      <c r="R426" s="434"/>
      <c r="S426" s="144">
        <f ca="1">SUM(S424:S425)</f>
        <v>0</v>
      </c>
      <c r="T426" s="144">
        <f ca="1">SUM(T424:T425)</f>
        <v>2.9655562500000059</v>
      </c>
    </row>
    <row r="427" spans="2:20" ht="13.75" customHeight="1" outlineLevel="1">
      <c r="B427" s="36" t="s">
        <v>551</v>
      </c>
      <c r="F427" s="163"/>
      <c r="G427" s="163">
        <f t="shared" ref="G427:P427" ca="1" si="288">-MAX(0,G426*G411)</f>
        <v>-8.8966687500000169E-2</v>
      </c>
      <c r="H427" s="163">
        <f t="shared" ca="1" si="288"/>
        <v>-2.0078463568830864</v>
      </c>
      <c r="I427" s="163">
        <f t="shared" ca="1" si="288"/>
        <v>-2.0166578494159944</v>
      </c>
      <c r="J427" s="163">
        <f t="shared" ca="1" si="288"/>
        <v>-2.2916720999343698</v>
      </c>
      <c r="K427" s="163">
        <f t="shared" ca="1" si="288"/>
        <v>-2.3932913824890414</v>
      </c>
      <c r="L427" s="163">
        <f t="shared" ca="1" si="288"/>
        <v>-2.4288403949923971</v>
      </c>
      <c r="M427" s="163">
        <f t="shared" ca="1" si="288"/>
        <v>-2.4647623215800407</v>
      </c>
      <c r="N427" s="163">
        <f t="shared" ca="1" si="288"/>
        <v>-2.5010609175284739</v>
      </c>
      <c r="O427" s="163">
        <f t="shared" ca="1" si="288"/>
        <v>-2.5377399757061623</v>
      </c>
      <c r="P427" s="163">
        <f t="shared" ca="1" si="288"/>
        <v>-2.5748033269495187</v>
      </c>
      <c r="R427" s="434"/>
      <c r="S427" s="163">
        <f ca="1">-MAX(0,S426*S411)</f>
        <v>0</v>
      </c>
      <c r="T427" s="163">
        <f ca="1">-MAX(0,T426*T411)</f>
        <v>-8.8966687500000169E-2</v>
      </c>
    </row>
    <row r="428" spans="2:20" ht="13.75" customHeight="1" outlineLevel="1">
      <c r="B428" s="116" t="s">
        <v>550</v>
      </c>
      <c r="C428" s="116"/>
      <c r="D428" s="116"/>
      <c r="E428" s="116"/>
      <c r="F428" s="403"/>
      <c r="G428" s="403">
        <f t="shared" ref="G428:P428" ca="1" si="289">SUM(G426:G427)</f>
        <v>2.8765895625000057</v>
      </c>
      <c r="H428" s="403">
        <f t="shared" ca="1" si="289"/>
        <v>64.920365539219787</v>
      </c>
      <c r="I428" s="403">
        <f t="shared" ca="1" si="289"/>
        <v>65.205270464450493</v>
      </c>
      <c r="J428" s="403">
        <f t="shared" ca="1" si="289"/>
        <v>74.097397897877954</v>
      </c>
      <c r="K428" s="403">
        <f t="shared" ca="1" si="289"/>
        <v>77.383088033812342</v>
      </c>
      <c r="L428" s="403">
        <f t="shared" ca="1" si="289"/>
        <v>78.532506104754177</v>
      </c>
      <c r="M428" s="403">
        <f t="shared" ca="1" si="289"/>
        <v>79.693981731087987</v>
      </c>
      <c r="N428" s="403">
        <f t="shared" ca="1" si="289"/>
        <v>80.867636333420663</v>
      </c>
      <c r="O428" s="403">
        <f t="shared" ca="1" si="289"/>
        <v>82.053592547832579</v>
      </c>
      <c r="P428" s="403">
        <f t="shared" ca="1" si="289"/>
        <v>83.251974238034435</v>
      </c>
      <c r="R428" s="434"/>
      <c r="S428" s="403">
        <f ca="1">SUM(S426:S427)</f>
        <v>0</v>
      </c>
      <c r="T428" s="403">
        <f ca="1">SUM(T426:T427)</f>
        <v>2.8765895625000057</v>
      </c>
    </row>
    <row r="429" spans="2:20" ht="13.75" customHeight="1" outlineLevel="1">
      <c r="B429" s="88"/>
      <c r="C429" s="88"/>
      <c r="D429" s="88"/>
      <c r="E429" s="88"/>
      <c r="F429" s="118"/>
      <c r="G429" s="118"/>
      <c r="H429" s="118"/>
      <c r="I429" s="118"/>
      <c r="J429" s="118"/>
      <c r="K429" s="118"/>
      <c r="L429" s="118"/>
      <c r="M429" s="118"/>
      <c r="N429" s="118"/>
      <c r="O429" s="118"/>
      <c r="P429" s="118"/>
      <c r="R429" s="434"/>
      <c r="S429" s="118"/>
      <c r="T429" s="118"/>
    </row>
    <row r="430" spans="2:20" ht="13.75" customHeight="1" outlineLevel="1">
      <c r="B430" s="36" t="s">
        <v>552</v>
      </c>
      <c r="F430" s="401"/>
      <c r="G430" s="401">
        <f t="shared" ref="G430:P430" ca="1" si="290">G486</f>
        <v>1.3415317912499998</v>
      </c>
      <c r="H430" s="401">
        <f t="shared" ca="1" si="290"/>
        <v>23.422341643685389</v>
      </c>
      <c r="I430" s="401">
        <f t="shared" ca="1" si="290"/>
        <v>24.872550418664641</v>
      </c>
      <c r="J430" s="401">
        <f t="shared" ca="1" si="290"/>
        <v>28.264452428145546</v>
      </c>
      <c r="K430" s="401">
        <f t="shared" ca="1" si="290"/>
        <v>29.51777893049772</v>
      </c>
      <c r="L430" s="401">
        <f t="shared" ca="1" si="290"/>
        <v>29.956224453658482</v>
      </c>
      <c r="M430" s="401">
        <f t="shared" ca="1" si="290"/>
        <v>30.399269331323513</v>
      </c>
      <c r="N430" s="401">
        <f t="shared" ca="1" si="290"/>
        <v>30.846959879383313</v>
      </c>
      <c r="O430" s="401">
        <f t="shared" ca="1" si="290"/>
        <v>31.299342877370737</v>
      </c>
      <c r="P430" s="401">
        <f t="shared" ca="1" si="290"/>
        <v>31.756465573098236</v>
      </c>
      <c r="R430" s="434"/>
      <c r="S430" s="401">
        <f ca="1">S486</f>
        <v>0.67165556250000003</v>
      </c>
      <c r="T430" s="401">
        <f ca="1">T486</f>
        <v>0.66987622875000008</v>
      </c>
    </row>
    <row r="431" spans="2:20" ht="13.75" customHeight="1" outlineLevel="1">
      <c r="B431" s="36" t="s">
        <v>553</v>
      </c>
      <c r="F431" s="163"/>
      <c r="G431" s="163">
        <f t="shared" ref="G431:P431" ca="1" si="291">-G427</f>
        <v>8.8966687500000169E-2</v>
      </c>
      <c r="H431" s="163">
        <f t="shared" ca="1" si="291"/>
        <v>2.0078463568830864</v>
      </c>
      <c r="I431" s="163">
        <f t="shared" ca="1" si="291"/>
        <v>2.0166578494159944</v>
      </c>
      <c r="J431" s="163">
        <f t="shared" ca="1" si="291"/>
        <v>2.2916720999343698</v>
      </c>
      <c r="K431" s="163">
        <f t="shared" ca="1" si="291"/>
        <v>2.3932913824890414</v>
      </c>
      <c r="L431" s="163">
        <f t="shared" ca="1" si="291"/>
        <v>2.4288403949923971</v>
      </c>
      <c r="M431" s="163">
        <f t="shared" ca="1" si="291"/>
        <v>2.4647623215800407</v>
      </c>
      <c r="N431" s="163">
        <f t="shared" ca="1" si="291"/>
        <v>2.5010609175284739</v>
      </c>
      <c r="O431" s="163">
        <f t="shared" ca="1" si="291"/>
        <v>2.5377399757061623</v>
      </c>
      <c r="P431" s="163">
        <f t="shared" ca="1" si="291"/>
        <v>2.5748033269495187</v>
      </c>
      <c r="R431" s="434"/>
      <c r="S431" s="163">
        <f ca="1">-S427</f>
        <v>0</v>
      </c>
      <c r="T431" s="163">
        <f ca="1">-T427</f>
        <v>8.8966687500000169E-2</v>
      </c>
    </row>
    <row r="432" spans="2:20" ht="13.75" customHeight="1" outlineLevel="1">
      <c r="B432" s="445" t="s">
        <v>554</v>
      </c>
      <c r="C432" s="445"/>
      <c r="D432" s="445"/>
      <c r="E432" s="445"/>
      <c r="F432" s="446"/>
      <c r="G432" s="446">
        <f t="shared" ref="G432:P432" ca="1" si="292">SUM(G430:G431)</f>
        <v>1.4304984787499999</v>
      </c>
      <c r="H432" s="446">
        <f t="shared" ca="1" si="292"/>
        <v>25.430188000568474</v>
      </c>
      <c r="I432" s="446">
        <f t="shared" ca="1" si="292"/>
        <v>26.889208268080637</v>
      </c>
      <c r="J432" s="446">
        <f t="shared" ca="1" si="292"/>
        <v>30.556124528079916</v>
      </c>
      <c r="K432" s="446">
        <f t="shared" ca="1" si="292"/>
        <v>31.911070312986762</v>
      </c>
      <c r="L432" s="446">
        <f t="shared" ca="1" si="292"/>
        <v>32.385064848650877</v>
      </c>
      <c r="M432" s="446">
        <f t="shared" ca="1" si="292"/>
        <v>32.864031652903556</v>
      </c>
      <c r="N432" s="446">
        <f t="shared" ca="1" si="292"/>
        <v>33.34802079691179</v>
      </c>
      <c r="O432" s="446">
        <f t="shared" ca="1" si="292"/>
        <v>33.8370828530769</v>
      </c>
      <c r="P432" s="446">
        <f t="shared" ca="1" si="292"/>
        <v>34.331268900047753</v>
      </c>
      <c r="R432" s="434"/>
      <c r="S432" s="446">
        <f ca="1">SUM(S430:S431)</f>
        <v>0.67165556250000003</v>
      </c>
      <c r="T432" s="446">
        <f ca="1">SUM(T430:T431)</f>
        <v>0.75884291625000022</v>
      </c>
    </row>
    <row r="433" spans="2:20" ht="13.75" customHeight="1" outlineLevel="1">
      <c r="B433" s="36" t="s">
        <v>515</v>
      </c>
      <c r="F433" s="163"/>
      <c r="G433" s="163">
        <f t="shared" ref="G433:P433" ca="1" si="293">G434-G432</f>
        <v>25.436160597365621</v>
      </c>
      <c r="H433" s="163">
        <f t="shared" ca="1" si="293"/>
        <v>1.3415317912499987</v>
      </c>
      <c r="I433" s="163">
        <f t="shared" ca="1" si="293"/>
        <v>0</v>
      </c>
      <c r="J433" s="163">
        <f t="shared" ca="1" si="293"/>
        <v>0</v>
      </c>
      <c r="K433" s="163">
        <f t="shared" ca="1" si="293"/>
        <v>0</v>
      </c>
      <c r="L433" s="163">
        <f t="shared" ca="1" si="293"/>
        <v>0</v>
      </c>
      <c r="M433" s="163">
        <f t="shared" ca="1" si="293"/>
        <v>0</v>
      </c>
      <c r="N433" s="163">
        <f t="shared" ca="1" si="293"/>
        <v>0</v>
      </c>
      <c r="O433" s="163">
        <f t="shared" ca="1" si="293"/>
        <v>0</v>
      </c>
      <c r="P433" s="163">
        <f t="shared" ca="1" si="293"/>
        <v>0</v>
      </c>
      <c r="R433" s="434"/>
      <c r="S433" s="163">
        <f ca="1">S434-S432</f>
        <v>12.761673975557811</v>
      </c>
      <c r="T433" s="163">
        <f ca="1">T434-T432</f>
        <v>12.67448662180781</v>
      </c>
    </row>
    <row r="434" spans="2:20" ht="13.75" customHeight="1" outlineLevel="1">
      <c r="B434" s="116" t="s">
        <v>514</v>
      </c>
      <c r="C434" s="116"/>
      <c r="D434" s="116"/>
      <c r="E434" s="116"/>
      <c r="F434" s="403"/>
      <c r="G434" s="403">
        <f t="shared" ref="G434:P434" ca="1" si="294">G31</f>
        <v>26.866659076115621</v>
      </c>
      <c r="H434" s="403">
        <f t="shared" ca="1" si="294"/>
        <v>26.771719791818473</v>
      </c>
      <c r="I434" s="403">
        <f t="shared" ca="1" si="294"/>
        <v>26.889208268080637</v>
      </c>
      <c r="J434" s="403">
        <f t="shared" ca="1" si="294"/>
        <v>30.55612452807992</v>
      </c>
      <c r="K434" s="403">
        <f t="shared" ca="1" si="294"/>
        <v>31.911070312986766</v>
      </c>
      <c r="L434" s="403">
        <f t="shared" ca="1" si="294"/>
        <v>32.385064848650877</v>
      </c>
      <c r="M434" s="403">
        <f t="shared" ca="1" si="294"/>
        <v>32.864031652903556</v>
      </c>
      <c r="N434" s="403">
        <f t="shared" ca="1" si="294"/>
        <v>33.34802079691179</v>
      </c>
      <c r="O434" s="403">
        <f t="shared" ca="1" si="294"/>
        <v>33.8370828530769</v>
      </c>
      <c r="P434" s="403">
        <f t="shared" ca="1" si="294"/>
        <v>34.331268900047753</v>
      </c>
      <c r="R434" s="434"/>
      <c r="S434" s="403">
        <f ca="1">S31</f>
        <v>13.43332953805781</v>
      </c>
      <c r="T434" s="403">
        <f ca="1">T31</f>
        <v>13.43332953805781</v>
      </c>
    </row>
    <row r="435" spans="2:20" ht="13.75" customHeight="1" outlineLevel="1">
      <c r="F435" s="163"/>
      <c r="G435" s="163"/>
      <c r="H435" s="163"/>
      <c r="I435" s="163"/>
      <c r="J435" s="163"/>
      <c r="K435" s="163"/>
      <c r="L435" s="163"/>
      <c r="M435" s="163"/>
      <c r="N435" s="163"/>
      <c r="O435" s="163"/>
      <c r="P435" s="163"/>
      <c r="R435" s="434"/>
      <c r="S435" s="163"/>
      <c r="T435" s="163"/>
    </row>
    <row r="436" spans="2:20" ht="13.75" customHeight="1" outlineLevel="1">
      <c r="B436" s="36" t="s">
        <v>526</v>
      </c>
      <c r="F436" s="401"/>
      <c r="G436" s="401">
        <f t="shared" ref="G436:P436" si="295">F438</f>
        <v>-15.4</v>
      </c>
      <c r="H436" s="401">
        <f t="shared" ca="1" si="295"/>
        <v>10.036160597365621</v>
      </c>
      <c r="I436" s="401">
        <f t="shared" ca="1" si="295"/>
        <v>11.377692388615619</v>
      </c>
      <c r="J436" s="401">
        <f t="shared" ca="1" si="295"/>
        <v>11.377692388615619</v>
      </c>
      <c r="K436" s="401">
        <f t="shared" ca="1" si="295"/>
        <v>11.377692388615619</v>
      </c>
      <c r="L436" s="401">
        <f t="shared" ca="1" si="295"/>
        <v>11.377692388615619</v>
      </c>
      <c r="M436" s="401">
        <f t="shared" ca="1" si="295"/>
        <v>11.377692388615619</v>
      </c>
      <c r="N436" s="401">
        <f t="shared" ca="1" si="295"/>
        <v>11.377692388615619</v>
      </c>
      <c r="O436" s="401">
        <f t="shared" ca="1" si="295"/>
        <v>11.377692388615619</v>
      </c>
      <c r="P436" s="401">
        <f t="shared" ca="1" si="295"/>
        <v>11.377692388615619</v>
      </c>
      <c r="R436" s="434"/>
      <c r="S436" s="304">
        <f>F438</f>
        <v>-15.4</v>
      </c>
      <c r="T436" s="401">
        <f ca="1">S438</f>
        <v>-2.6383260244421898</v>
      </c>
    </row>
    <row r="437" spans="2:20" ht="13.75" customHeight="1" outlineLevel="1">
      <c r="B437" s="36" t="s">
        <v>525</v>
      </c>
      <c r="F437" s="163"/>
      <c r="G437" s="163">
        <f t="shared" ref="G437:P437" ca="1" si="296">G433</f>
        <v>25.436160597365621</v>
      </c>
      <c r="H437" s="163">
        <f t="shared" ca="1" si="296"/>
        <v>1.3415317912499987</v>
      </c>
      <c r="I437" s="163">
        <f t="shared" ca="1" si="296"/>
        <v>0</v>
      </c>
      <c r="J437" s="163">
        <f t="shared" ca="1" si="296"/>
        <v>0</v>
      </c>
      <c r="K437" s="163">
        <f t="shared" ca="1" si="296"/>
        <v>0</v>
      </c>
      <c r="L437" s="163">
        <f t="shared" ca="1" si="296"/>
        <v>0</v>
      </c>
      <c r="M437" s="163">
        <f t="shared" ca="1" si="296"/>
        <v>0</v>
      </c>
      <c r="N437" s="163">
        <f t="shared" ca="1" si="296"/>
        <v>0</v>
      </c>
      <c r="O437" s="163">
        <f t="shared" ca="1" si="296"/>
        <v>0</v>
      </c>
      <c r="P437" s="163">
        <f t="shared" ca="1" si="296"/>
        <v>0</v>
      </c>
      <c r="R437" s="434"/>
      <c r="S437" s="163">
        <f ca="1">S433</f>
        <v>12.761673975557811</v>
      </c>
      <c r="T437" s="163">
        <f ca="1">T433</f>
        <v>12.67448662180781</v>
      </c>
    </row>
    <row r="438" spans="2:20" ht="13.5" customHeight="1" outlineLevel="1">
      <c r="B438" s="407" t="s">
        <v>527</v>
      </c>
      <c r="C438" s="407"/>
      <c r="D438" s="407"/>
      <c r="E438" s="407"/>
      <c r="F438" s="503">
        <f>F114</f>
        <v>-15.4</v>
      </c>
      <c r="G438" s="157">
        <f t="shared" ref="G438" ca="1" si="297">SUM(G436:G437)</f>
        <v>10.036160597365621</v>
      </c>
      <c r="H438" s="157">
        <f t="shared" ref="H438" ca="1" si="298">SUM(H436:H437)</f>
        <v>11.377692388615619</v>
      </c>
      <c r="I438" s="157">
        <f t="shared" ref="I438" ca="1" si="299">SUM(I436:I437)</f>
        <v>11.377692388615619</v>
      </c>
      <c r="J438" s="157">
        <f t="shared" ref="J438" ca="1" si="300">SUM(J436:J437)</f>
        <v>11.377692388615619</v>
      </c>
      <c r="K438" s="157">
        <f t="shared" ref="K438" ca="1" si="301">SUM(K436:K437)</f>
        <v>11.377692388615619</v>
      </c>
      <c r="L438" s="157">
        <f t="shared" ref="L438" ca="1" si="302">SUM(L436:L437)</f>
        <v>11.377692388615619</v>
      </c>
      <c r="M438" s="157">
        <f t="shared" ref="M438" ca="1" si="303">SUM(M436:M437)</f>
        <v>11.377692388615619</v>
      </c>
      <c r="N438" s="157">
        <f t="shared" ref="N438" ca="1" si="304">SUM(N436:N437)</f>
        <v>11.377692388615619</v>
      </c>
      <c r="O438" s="157">
        <f t="shared" ref="O438" ca="1" si="305">SUM(O436:O437)</f>
        <v>11.377692388615619</v>
      </c>
      <c r="P438" s="157">
        <f t="shared" ref="P438" ca="1" si="306">SUM(P436:P437)</f>
        <v>11.377692388615619</v>
      </c>
      <c r="R438" s="434"/>
      <c r="S438" s="157">
        <f t="shared" ref="S438" ca="1" si="307">SUM(S436:S437)</f>
        <v>-2.6383260244421898</v>
      </c>
      <c r="T438" s="157">
        <f t="shared" ref="T438" ca="1" si="308">SUM(T436:T437)</f>
        <v>10.036160597365621</v>
      </c>
    </row>
    <row r="439" spans="2:20" ht="13.75" customHeight="1" outlineLevel="1">
      <c r="F439" s="163"/>
      <c r="G439" s="163"/>
      <c r="H439" s="163"/>
      <c r="I439" s="163"/>
      <c r="J439" s="163"/>
      <c r="K439" s="163"/>
      <c r="L439" s="163"/>
      <c r="M439" s="163"/>
      <c r="N439" s="163"/>
      <c r="O439" s="163"/>
      <c r="P439" s="163"/>
      <c r="R439" s="434"/>
      <c r="S439" s="163"/>
      <c r="T439" s="163"/>
    </row>
    <row r="440" spans="2:20" ht="13.5" customHeight="1" outlineLevel="1">
      <c r="B440" s="78" t="s">
        <v>650</v>
      </c>
      <c r="C440" s="79"/>
      <c r="D440" s="80"/>
      <c r="E440" s="80"/>
      <c r="F440" s="80"/>
      <c r="G440" s="80"/>
      <c r="H440" s="80"/>
      <c r="I440" s="80"/>
      <c r="J440" s="80"/>
      <c r="K440" s="80"/>
      <c r="L440" s="80"/>
      <c r="M440" s="80"/>
      <c r="N440" s="80"/>
      <c r="O440" s="80"/>
      <c r="P440" s="81"/>
      <c r="R440" s="434"/>
      <c r="S440" s="525"/>
      <c r="T440" s="81"/>
    </row>
    <row r="441" spans="2:20" ht="13.75" customHeight="1" outlineLevel="1">
      <c r="F441" s="163"/>
      <c r="G441" s="163"/>
      <c r="H441" s="163"/>
      <c r="I441" s="163"/>
      <c r="J441" s="163"/>
      <c r="K441" s="163"/>
      <c r="L441" s="163"/>
      <c r="M441" s="163"/>
      <c r="N441" s="163"/>
      <c r="O441" s="163"/>
      <c r="P441" s="163"/>
      <c r="R441" s="434"/>
      <c r="S441" s="163"/>
      <c r="T441" s="163"/>
    </row>
    <row r="442" spans="2:20" ht="13.75" customHeight="1" outlineLevel="1">
      <c r="B442" s="88" t="s">
        <v>652</v>
      </c>
      <c r="C442" s="88"/>
      <c r="D442" s="88"/>
      <c r="F442" s="456">
        <v>0</v>
      </c>
      <c r="G442" s="401">
        <f>$F442*G$3</f>
        <v>0</v>
      </c>
      <c r="H442" s="401">
        <f t="shared" ref="H442:P442" si="309">$F442*H$3</f>
        <v>0</v>
      </c>
      <c r="I442" s="401">
        <f t="shared" si="309"/>
        <v>0</v>
      </c>
      <c r="J442" s="401">
        <f t="shared" si="309"/>
        <v>0</v>
      </c>
      <c r="K442" s="401">
        <f t="shared" si="309"/>
        <v>0</v>
      </c>
      <c r="L442" s="401">
        <f t="shared" si="309"/>
        <v>0</v>
      </c>
      <c r="M442" s="401">
        <f t="shared" si="309"/>
        <v>0</v>
      </c>
      <c r="N442" s="401">
        <f t="shared" si="309"/>
        <v>0</v>
      </c>
      <c r="O442" s="401">
        <f t="shared" si="309"/>
        <v>0</v>
      </c>
      <c r="P442" s="401">
        <f t="shared" si="309"/>
        <v>0</v>
      </c>
      <c r="R442" s="434"/>
      <c r="S442" s="401">
        <f t="shared" ref="S442:T442" si="310">$F442*S$3</f>
        <v>0</v>
      </c>
      <c r="T442" s="401">
        <f t="shared" si="310"/>
        <v>0</v>
      </c>
    </row>
    <row r="443" spans="2:20" ht="13.75" customHeight="1" outlineLevel="1">
      <c r="B443" s="36" t="s">
        <v>543</v>
      </c>
      <c r="F443" s="504">
        <v>0</v>
      </c>
      <c r="G443" s="307">
        <f>MAX(0,F443-G$3)</f>
        <v>0</v>
      </c>
      <c r="H443" s="307">
        <f t="shared" ref="H443" si="311">MAX(0,G443-H$3)</f>
        <v>0</v>
      </c>
      <c r="I443" s="307">
        <f t="shared" ref="I443" si="312">MAX(0,H443-I$3)</f>
        <v>0</v>
      </c>
      <c r="J443" s="307">
        <f t="shared" ref="J443" si="313">MAX(0,I443-J$3)</f>
        <v>0</v>
      </c>
      <c r="K443" s="307">
        <f t="shared" ref="K443" si="314">MAX(0,J443-K$3)</f>
        <v>0</v>
      </c>
      <c r="L443" s="307">
        <f t="shared" ref="L443" si="315">MAX(0,K443-L$3)</f>
        <v>0</v>
      </c>
      <c r="M443" s="307">
        <f t="shared" ref="M443" si="316">MAX(0,L443-M$3)</f>
        <v>0</v>
      </c>
      <c r="N443" s="307">
        <f t="shared" ref="N443" si="317">MAX(0,M443-N$3)</f>
        <v>0</v>
      </c>
      <c r="O443" s="307">
        <f t="shared" ref="O443" si="318">MAX(0,N443-O$3)</f>
        <v>0</v>
      </c>
      <c r="P443" s="307">
        <f t="shared" ref="P443" si="319">MAX(0,O443-P$3)</f>
        <v>0</v>
      </c>
      <c r="R443" s="434"/>
      <c r="S443" s="505">
        <f>MAX(0,$F443-SUM($S$3:S$3))</f>
        <v>0</v>
      </c>
      <c r="T443" s="505">
        <f>MAX(0,$F443-SUM($S$3:T$3))</f>
        <v>0</v>
      </c>
    </row>
    <row r="444" spans="2:20" ht="13.75" customHeight="1" outlineLevel="1">
      <c r="F444" s="163"/>
      <c r="G444" s="163"/>
      <c r="H444" s="163"/>
      <c r="I444" s="163"/>
      <c r="J444" s="163"/>
      <c r="K444" s="163"/>
      <c r="L444" s="163"/>
      <c r="M444" s="163"/>
      <c r="N444" s="163"/>
      <c r="O444" s="163"/>
      <c r="P444" s="163"/>
      <c r="R444" s="434"/>
      <c r="S444" s="163"/>
      <c r="T444" s="163"/>
    </row>
    <row r="445" spans="2:20" ht="13.75" customHeight="1" outlineLevel="1">
      <c r="B445" s="354" t="s">
        <v>653</v>
      </c>
      <c r="C445" s="88"/>
      <c r="D445" s="88"/>
      <c r="E445" s="118"/>
      <c r="F445" s="118"/>
      <c r="G445" s="118"/>
      <c r="H445" s="163"/>
      <c r="I445" s="163"/>
      <c r="J445" s="163"/>
      <c r="K445" s="163"/>
      <c r="L445" s="163"/>
      <c r="M445" s="163"/>
      <c r="N445" s="163"/>
      <c r="O445" s="163"/>
      <c r="P445" s="163"/>
      <c r="R445" s="434"/>
      <c r="S445" s="163"/>
      <c r="T445" s="163"/>
    </row>
    <row r="446" spans="2:20" ht="13.75" customHeight="1" outlineLevel="1">
      <c r="B446" s="36" t="s">
        <v>394</v>
      </c>
      <c r="F446" s="401"/>
      <c r="G446" s="401">
        <f t="shared" ref="G446" si="320">F449</f>
        <v>0</v>
      </c>
      <c r="H446" s="401">
        <f t="shared" ref="H446" ca="1" si="321">G449</f>
        <v>0</v>
      </c>
      <c r="I446" s="401">
        <f t="shared" ref="I446" ca="1" si="322">H449</f>
        <v>0</v>
      </c>
      <c r="J446" s="401">
        <f t="shared" ref="J446" ca="1" si="323">I449</f>
        <v>0</v>
      </c>
      <c r="K446" s="401">
        <f t="shared" ref="K446" ca="1" si="324">J449</f>
        <v>0</v>
      </c>
      <c r="L446" s="401">
        <f t="shared" ref="L446" ca="1" si="325">K449</f>
        <v>0</v>
      </c>
      <c r="M446" s="401">
        <f t="shared" ref="M446" ca="1" si="326">L449</f>
        <v>0</v>
      </c>
      <c r="N446" s="401">
        <f t="shared" ref="N446" ca="1" si="327">M449</f>
        <v>0</v>
      </c>
      <c r="O446" s="401">
        <f t="shared" ref="O446" ca="1" si="328">N449</f>
        <v>0</v>
      </c>
      <c r="P446" s="401">
        <f t="shared" ref="P446" ca="1" si="329">O449</f>
        <v>0</v>
      </c>
      <c r="R446" s="434"/>
      <c r="S446" s="304">
        <f>F449</f>
        <v>0</v>
      </c>
      <c r="T446" s="401">
        <f t="shared" ref="T446" ca="1" si="330">S449</f>
        <v>0</v>
      </c>
    </row>
    <row r="447" spans="2:20" ht="13.75" customHeight="1" outlineLevel="1">
      <c r="B447" s="36" t="s">
        <v>518</v>
      </c>
      <c r="F447" s="163"/>
      <c r="G447" s="163">
        <f ca="1">IF(G424&gt;0,-MIN(G424,G446,G442+G452),0)</f>
        <v>0</v>
      </c>
      <c r="H447" s="163">
        <f t="shared" ref="H447:P447" ca="1" si="331">IF(H424&gt;0,-MIN(H424,H446,H442+H452),0)</f>
        <v>0</v>
      </c>
      <c r="I447" s="163">
        <f t="shared" ca="1" si="331"/>
        <v>0</v>
      </c>
      <c r="J447" s="163">
        <f t="shared" ca="1" si="331"/>
        <v>0</v>
      </c>
      <c r="K447" s="163">
        <f t="shared" ca="1" si="331"/>
        <v>0</v>
      </c>
      <c r="L447" s="163">
        <f t="shared" ca="1" si="331"/>
        <v>0</v>
      </c>
      <c r="M447" s="163">
        <f t="shared" ca="1" si="331"/>
        <v>0</v>
      </c>
      <c r="N447" s="163">
        <f t="shared" ca="1" si="331"/>
        <v>0</v>
      </c>
      <c r="O447" s="163">
        <f t="shared" ca="1" si="331"/>
        <v>0</v>
      </c>
      <c r="P447" s="163">
        <f t="shared" ca="1" si="331"/>
        <v>0</v>
      </c>
      <c r="R447" s="434"/>
      <c r="S447" s="163">
        <f t="shared" ref="S447:T447" ca="1" si="332">IF(S424&gt;0,-MIN(S424,S446,S442+S452),0)</f>
        <v>0</v>
      </c>
      <c r="T447" s="163">
        <f t="shared" ca="1" si="332"/>
        <v>0</v>
      </c>
    </row>
    <row r="448" spans="2:20" ht="13.75" customHeight="1" outlineLevel="1">
      <c r="B448" s="36" t="s">
        <v>519</v>
      </c>
      <c r="F448" s="118"/>
      <c r="G448" s="118">
        <f ca="1">IF(G443&gt;0,0,-SUM(G446:G447))</f>
        <v>0</v>
      </c>
      <c r="H448" s="118">
        <f t="shared" ref="H448:P448" ca="1" si="333">IF(H443&gt;0,0,-SUM(H446:H447))</f>
        <v>0</v>
      </c>
      <c r="I448" s="118">
        <f t="shared" ca="1" si="333"/>
        <v>0</v>
      </c>
      <c r="J448" s="118">
        <f t="shared" ca="1" si="333"/>
        <v>0</v>
      </c>
      <c r="K448" s="118">
        <f t="shared" ca="1" si="333"/>
        <v>0</v>
      </c>
      <c r="L448" s="118">
        <f t="shared" ca="1" si="333"/>
        <v>0</v>
      </c>
      <c r="M448" s="118">
        <f t="shared" ca="1" si="333"/>
        <v>0</v>
      </c>
      <c r="N448" s="118">
        <f t="shared" ca="1" si="333"/>
        <v>0</v>
      </c>
      <c r="O448" s="118">
        <f t="shared" ca="1" si="333"/>
        <v>0</v>
      </c>
      <c r="P448" s="118">
        <f t="shared" ca="1" si="333"/>
        <v>0</v>
      </c>
      <c r="R448" s="434"/>
      <c r="S448" s="118">
        <f t="shared" ref="S448" ca="1" si="334">IF(S443&gt;0,0,-SUM(S446:S447))</f>
        <v>0</v>
      </c>
      <c r="T448" s="118">
        <f t="shared" ref="T448" ca="1" si="335">IF(T443&gt;0,0,-SUM(T446:T447))</f>
        <v>0</v>
      </c>
    </row>
    <row r="449" spans="2:20" ht="13.75" customHeight="1" outlineLevel="1">
      <c r="B449" s="116" t="s">
        <v>397</v>
      </c>
      <c r="C449" s="116"/>
      <c r="D449" s="116"/>
      <c r="E449" s="116"/>
      <c r="F449" s="506">
        <v>0</v>
      </c>
      <c r="G449" s="403">
        <f ca="1">SUM(G446:G448)</f>
        <v>0</v>
      </c>
      <c r="H449" s="403">
        <f t="shared" ref="H449:P449" ca="1" si="336">SUM(H446:H448)</f>
        <v>0</v>
      </c>
      <c r="I449" s="403">
        <f t="shared" ca="1" si="336"/>
        <v>0</v>
      </c>
      <c r="J449" s="403">
        <f t="shared" ca="1" si="336"/>
        <v>0</v>
      </c>
      <c r="K449" s="403">
        <f t="shared" ca="1" si="336"/>
        <v>0</v>
      </c>
      <c r="L449" s="403">
        <f t="shared" ca="1" si="336"/>
        <v>0</v>
      </c>
      <c r="M449" s="403">
        <f t="shared" ca="1" si="336"/>
        <v>0</v>
      </c>
      <c r="N449" s="403">
        <f t="shared" ca="1" si="336"/>
        <v>0</v>
      </c>
      <c r="O449" s="403">
        <f t="shared" ca="1" si="336"/>
        <v>0</v>
      </c>
      <c r="P449" s="403">
        <f t="shared" ca="1" si="336"/>
        <v>0</v>
      </c>
      <c r="R449" s="434"/>
      <c r="S449" s="403">
        <f t="shared" ref="S449" ca="1" si="337">SUM(S446:S448)</f>
        <v>0</v>
      </c>
      <c r="T449" s="403">
        <f t="shared" ref="T449" ca="1" si="338">SUM(T446:T448)</f>
        <v>0</v>
      </c>
    </row>
    <row r="450" spans="2:20" ht="13.75" customHeight="1" outlineLevel="1">
      <c r="B450" s="88"/>
      <c r="C450" s="88"/>
      <c r="D450" s="88"/>
      <c r="E450" s="88"/>
      <c r="F450" s="118"/>
      <c r="G450" s="118"/>
      <c r="H450" s="163"/>
      <c r="I450" s="163"/>
      <c r="J450" s="163"/>
      <c r="K450" s="163"/>
      <c r="L450" s="163"/>
      <c r="M450" s="163"/>
      <c r="N450" s="163"/>
      <c r="O450" s="163"/>
      <c r="P450" s="163"/>
      <c r="R450" s="434"/>
      <c r="S450" s="163"/>
      <c r="T450" s="163"/>
    </row>
    <row r="451" spans="2:20" ht="13.75" customHeight="1" outlineLevel="1">
      <c r="B451" s="354" t="s">
        <v>654</v>
      </c>
      <c r="C451" s="88"/>
      <c r="D451" s="88"/>
      <c r="E451" s="118"/>
      <c r="F451" s="118"/>
      <c r="G451" s="118"/>
      <c r="H451" s="163"/>
      <c r="I451" s="163"/>
      <c r="J451" s="163"/>
      <c r="K451" s="163"/>
      <c r="L451" s="163"/>
      <c r="M451" s="163"/>
      <c r="N451" s="163"/>
      <c r="O451" s="163"/>
      <c r="P451" s="163"/>
      <c r="R451" s="434"/>
      <c r="S451" s="163"/>
      <c r="T451" s="163"/>
    </row>
    <row r="452" spans="2:20" ht="13.75" customHeight="1" outlineLevel="1">
      <c r="B452" s="88" t="s">
        <v>394</v>
      </c>
      <c r="C452" s="88"/>
      <c r="D452" s="88"/>
      <c r="E452" s="88"/>
      <c r="F452" s="118"/>
      <c r="G452" s="401">
        <f t="shared" ref="G452" si="339">F455</f>
        <v>0</v>
      </c>
      <c r="H452" s="401">
        <f t="shared" ref="H452" ca="1" si="340">G455</f>
        <v>0</v>
      </c>
      <c r="I452" s="401">
        <f t="shared" ref="I452" ca="1" si="341">H455</f>
        <v>0</v>
      </c>
      <c r="J452" s="401">
        <f t="shared" ref="J452" ca="1" si="342">I455</f>
        <v>0</v>
      </c>
      <c r="K452" s="401">
        <f t="shared" ref="K452" ca="1" si="343">J455</f>
        <v>0</v>
      </c>
      <c r="L452" s="401">
        <f t="shared" ref="L452" ca="1" si="344">K455</f>
        <v>0</v>
      </c>
      <c r="M452" s="401">
        <f t="shared" ref="M452" ca="1" si="345">L455</f>
        <v>0</v>
      </c>
      <c r="N452" s="401">
        <f t="shared" ref="N452" ca="1" si="346">M455</f>
        <v>0</v>
      </c>
      <c r="O452" s="401">
        <f t="shared" ref="O452" ca="1" si="347">N455</f>
        <v>0</v>
      </c>
      <c r="P452" s="401">
        <f t="shared" ref="P452" ca="1" si="348">O455</f>
        <v>0</v>
      </c>
      <c r="R452" s="434"/>
      <c r="S452" s="304">
        <f>F455</f>
        <v>0</v>
      </c>
      <c r="T452" s="401">
        <f t="shared" ref="T452" ca="1" si="349">S455</f>
        <v>0</v>
      </c>
    </row>
    <row r="453" spans="2:20" ht="13.75" customHeight="1" outlineLevel="1">
      <c r="B453" s="88" t="s">
        <v>655</v>
      </c>
      <c r="C453" s="88"/>
      <c r="D453" s="88"/>
      <c r="E453" s="88"/>
      <c r="F453" s="118"/>
      <c r="G453" s="118">
        <f ca="1">IF(G449&gt;0,MAX(0,G442+G447),0)</f>
        <v>0</v>
      </c>
      <c r="H453" s="118">
        <f t="shared" ref="H453:P453" ca="1" si="350">IF(H449&gt;0,MAX(0,H442+H447),0)</f>
        <v>0</v>
      </c>
      <c r="I453" s="118">
        <f t="shared" ca="1" si="350"/>
        <v>0</v>
      </c>
      <c r="J453" s="118">
        <f t="shared" ca="1" si="350"/>
        <v>0</v>
      </c>
      <c r="K453" s="118">
        <f t="shared" ca="1" si="350"/>
        <v>0</v>
      </c>
      <c r="L453" s="118">
        <f t="shared" ca="1" si="350"/>
        <v>0</v>
      </c>
      <c r="M453" s="118">
        <f t="shared" ca="1" si="350"/>
        <v>0</v>
      </c>
      <c r="N453" s="118">
        <f t="shared" ca="1" si="350"/>
        <v>0</v>
      </c>
      <c r="O453" s="118">
        <f t="shared" ca="1" si="350"/>
        <v>0</v>
      </c>
      <c r="P453" s="118">
        <f t="shared" ca="1" si="350"/>
        <v>0</v>
      </c>
      <c r="R453" s="434"/>
      <c r="S453" s="118">
        <f t="shared" ref="S453:T453" ca="1" si="351">IF(S449&gt;0,MAX(0,S442+S447),0)</f>
        <v>0</v>
      </c>
      <c r="T453" s="118">
        <f t="shared" ca="1" si="351"/>
        <v>0</v>
      </c>
    </row>
    <row r="454" spans="2:20" ht="13.75" customHeight="1" outlineLevel="1">
      <c r="B454" s="88" t="s">
        <v>656</v>
      </c>
      <c r="C454" s="88"/>
      <c r="D454" s="88"/>
      <c r="E454" s="88"/>
      <c r="F454" s="118"/>
      <c r="G454" s="118">
        <f ca="1">-MAX(0,-G447-G442)</f>
        <v>0</v>
      </c>
      <c r="H454" s="118">
        <f t="shared" ref="H454:P454" ca="1" si="352">-MAX(0,-H447-H442)</f>
        <v>0</v>
      </c>
      <c r="I454" s="118">
        <f t="shared" ca="1" si="352"/>
        <v>0</v>
      </c>
      <c r="J454" s="118">
        <f t="shared" ca="1" si="352"/>
        <v>0</v>
      </c>
      <c r="K454" s="118">
        <f t="shared" ca="1" si="352"/>
        <v>0</v>
      </c>
      <c r="L454" s="118">
        <f t="shared" ca="1" si="352"/>
        <v>0</v>
      </c>
      <c r="M454" s="118">
        <f t="shared" ca="1" si="352"/>
        <v>0</v>
      </c>
      <c r="N454" s="118">
        <f t="shared" ca="1" si="352"/>
        <v>0</v>
      </c>
      <c r="O454" s="118">
        <f t="shared" ca="1" si="352"/>
        <v>0</v>
      </c>
      <c r="P454" s="118">
        <f t="shared" ca="1" si="352"/>
        <v>0</v>
      </c>
      <c r="R454" s="434"/>
      <c r="S454" s="118">
        <f t="shared" ref="S454:T454" ca="1" si="353">-MAX(0,-S447-S442)</f>
        <v>0</v>
      </c>
      <c r="T454" s="118">
        <f t="shared" ca="1" si="353"/>
        <v>0</v>
      </c>
    </row>
    <row r="455" spans="2:20" ht="13.75" customHeight="1" outlineLevel="1">
      <c r="B455" s="116" t="s">
        <v>397</v>
      </c>
      <c r="C455" s="116"/>
      <c r="D455" s="116"/>
      <c r="E455" s="116"/>
      <c r="F455" s="506">
        <v>0</v>
      </c>
      <c r="G455" s="403">
        <f t="shared" ref="G455:P455" ca="1" si="354">SUM(G452:G454)</f>
        <v>0</v>
      </c>
      <c r="H455" s="403">
        <f t="shared" ca="1" si="354"/>
        <v>0</v>
      </c>
      <c r="I455" s="403">
        <f t="shared" ca="1" si="354"/>
        <v>0</v>
      </c>
      <c r="J455" s="403">
        <f t="shared" ca="1" si="354"/>
        <v>0</v>
      </c>
      <c r="K455" s="403">
        <f t="shared" ca="1" si="354"/>
        <v>0</v>
      </c>
      <c r="L455" s="403">
        <f t="shared" ca="1" si="354"/>
        <v>0</v>
      </c>
      <c r="M455" s="403">
        <f t="shared" ca="1" si="354"/>
        <v>0</v>
      </c>
      <c r="N455" s="403">
        <f t="shared" ca="1" si="354"/>
        <v>0</v>
      </c>
      <c r="O455" s="403">
        <f t="shared" ca="1" si="354"/>
        <v>0</v>
      </c>
      <c r="P455" s="403">
        <f t="shared" ca="1" si="354"/>
        <v>0</v>
      </c>
      <c r="R455" s="434"/>
      <c r="S455" s="403">
        <f t="shared" ref="S455:T455" ca="1" si="355">SUM(S452:S454)</f>
        <v>0</v>
      </c>
      <c r="T455" s="403">
        <f t="shared" ca="1" si="355"/>
        <v>0</v>
      </c>
    </row>
    <row r="456" spans="2:20" ht="13.75" customHeight="1" outlineLevel="1">
      <c r="F456" s="163"/>
      <c r="G456" s="163"/>
      <c r="H456" s="163"/>
      <c r="I456" s="163"/>
      <c r="J456" s="163"/>
      <c r="K456" s="163"/>
      <c r="L456" s="163"/>
      <c r="M456" s="163"/>
      <c r="N456" s="163"/>
      <c r="O456" s="163"/>
      <c r="P456" s="163"/>
      <c r="R456" s="434"/>
      <c r="S456" s="163"/>
      <c r="T456" s="163"/>
    </row>
    <row r="457" spans="2:20" ht="13.5" customHeight="1" outlineLevel="1">
      <c r="B457" s="78" t="s">
        <v>657</v>
      </c>
      <c r="C457" s="79"/>
      <c r="D457" s="80"/>
      <c r="E457" s="80"/>
      <c r="F457" s="80"/>
      <c r="G457" s="80"/>
      <c r="H457" s="80"/>
      <c r="I457" s="80"/>
      <c r="J457" s="80"/>
      <c r="K457" s="80"/>
      <c r="L457" s="80"/>
      <c r="M457" s="80"/>
      <c r="N457" s="80"/>
      <c r="O457" s="80"/>
      <c r="P457" s="81"/>
      <c r="R457" s="434"/>
      <c r="S457" s="525"/>
      <c r="T457" s="81"/>
    </row>
    <row r="458" spans="2:20" ht="13.75" customHeight="1" outlineLevel="1">
      <c r="B458" s="318"/>
      <c r="C458" s="318"/>
      <c r="D458" s="318"/>
      <c r="E458" s="319"/>
      <c r="F458" s="319"/>
      <c r="G458" s="319"/>
      <c r="H458" s="319"/>
      <c r="I458" s="319"/>
      <c r="J458" s="319"/>
      <c r="K458" s="319"/>
      <c r="L458" s="327"/>
      <c r="R458" s="434"/>
      <c r="S458" s="319"/>
      <c r="T458" s="319"/>
    </row>
    <row r="459" spans="2:20" ht="13.75" customHeight="1" outlineLevel="1">
      <c r="B459" s="36" t="s">
        <v>543</v>
      </c>
      <c r="F459" s="504">
        <v>15</v>
      </c>
      <c r="G459" s="307">
        <f>MAX(0,F459-G$3)</f>
        <v>14</v>
      </c>
      <c r="H459" s="307">
        <f t="shared" ref="H459" si="356">MAX(0,G459-H$3)</f>
        <v>13</v>
      </c>
      <c r="I459" s="307">
        <f t="shared" ref="I459" si="357">MAX(0,H459-I$3)</f>
        <v>12</v>
      </c>
      <c r="J459" s="307">
        <f t="shared" ref="J459" si="358">MAX(0,I459-J$3)</f>
        <v>11</v>
      </c>
      <c r="K459" s="307">
        <f t="shared" ref="K459" si="359">MAX(0,J459-K$3)</f>
        <v>10</v>
      </c>
      <c r="L459" s="307">
        <f t="shared" ref="L459" si="360">MAX(0,K459-L$3)</f>
        <v>9</v>
      </c>
      <c r="M459" s="307">
        <f t="shared" ref="M459" si="361">MAX(0,L459-M$3)</f>
        <v>8</v>
      </c>
      <c r="N459" s="307">
        <f t="shared" ref="N459" si="362">MAX(0,M459-N$3)</f>
        <v>7</v>
      </c>
      <c r="O459" s="307">
        <f t="shared" ref="O459" si="363">MAX(0,N459-O$3)</f>
        <v>6</v>
      </c>
      <c r="P459" s="307">
        <f t="shared" ref="P459" si="364">MAX(0,O459-P$3)</f>
        <v>5</v>
      </c>
      <c r="R459" s="434"/>
      <c r="S459" s="505">
        <f>MAX(0,$F459-SUM($S$3:S$3))</f>
        <v>14.5</v>
      </c>
      <c r="T459" s="505">
        <f>MAX(0,$F459-SUM($S$3:T$3))</f>
        <v>14</v>
      </c>
    </row>
    <row r="460" spans="2:20" ht="13.75" customHeight="1" outlineLevel="1">
      <c r="F460" s="163"/>
      <c r="G460" s="163"/>
      <c r="H460" s="163"/>
      <c r="I460" s="163"/>
      <c r="J460" s="163"/>
      <c r="K460" s="163"/>
      <c r="L460" s="163"/>
      <c r="M460" s="163"/>
      <c r="N460" s="163"/>
      <c r="O460" s="163"/>
      <c r="P460" s="163"/>
      <c r="R460" s="434"/>
      <c r="S460" s="163"/>
      <c r="T460" s="163"/>
    </row>
    <row r="461" spans="2:20" ht="13.75" customHeight="1" outlineLevel="1">
      <c r="B461" s="36" t="s">
        <v>516</v>
      </c>
      <c r="F461" s="401"/>
      <c r="G461" s="401">
        <f t="shared" ref="G461:P461" si="365">F465</f>
        <v>64.2</v>
      </c>
      <c r="H461" s="401">
        <f t="shared" ca="1" si="365"/>
        <v>0</v>
      </c>
      <c r="I461" s="401">
        <f t="shared" ca="1" si="365"/>
        <v>0</v>
      </c>
      <c r="J461" s="401">
        <f t="shared" ca="1" si="365"/>
        <v>0</v>
      </c>
      <c r="K461" s="401">
        <f t="shared" ca="1" si="365"/>
        <v>0</v>
      </c>
      <c r="L461" s="401">
        <f t="shared" ca="1" si="365"/>
        <v>0</v>
      </c>
      <c r="M461" s="401">
        <f t="shared" ca="1" si="365"/>
        <v>0</v>
      </c>
      <c r="N461" s="401">
        <f t="shared" ca="1" si="365"/>
        <v>0</v>
      </c>
      <c r="O461" s="401">
        <f t="shared" ca="1" si="365"/>
        <v>0</v>
      </c>
      <c r="P461" s="401">
        <f t="shared" ca="1" si="365"/>
        <v>0</v>
      </c>
      <c r="R461" s="434"/>
      <c r="S461" s="304">
        <f>F465</f>
        <v>64.2</v>
      </c>
      <c r="T461" s="401">
        <f ca="1">S465</f>
        <v>30.617221874999998</v>
      </c>
    </row>
    <row r="462" spans="2:20" ht="13.75" customHeight="1" outlineLevel="1">
      <c r="B462" s="36" t="s">
        <v>517</v>
      </c>
      <c r="F462" s="163"/>
      <c r="G462" s="163">
        <f t="shared" ref="G462:P462" ca="1" si="366">MAX(0,-G424)</f>
        <v>0</v>
      </c>
      <c r="H462" s="163">
        <f t="shared" ca="1" si="366"/>
        <v>0</v>
      </c>
      <c r="I462" s="163">
        <f t="shared" ca="1" si="366"/>
        <v>0</v>
      </c>
      <c r="J462" s="163">
        <f t="shared" ca="1" si="366"/>
        <v>0</v>
      </c>
      <c r="K462" s="163">
        <f t="shared" ca="1" si="366"/>
        <v>0</v>
      </c>
      <c r="L462" s="163">
        <f t="shared" ca="1" si="366"/>
        <v>0</v>
      </c>
      <c r="M462" s="163">
        <f t="shared" ca="1" si="366"/>
        <v>0</v>
      </c>
      <c r="N462" s="163">
        <f t="shared" ca="1" si="366"/>
        <v>0</v>
      </c>
      <c r="O462" s="163">
        <f t="shared" ca="1" si="366"/>
        <v>0</v>
      </c>
      <c r="P462" s="163">
        <f t="shared" ca="1" si="366"/>
        <v>0</v>
      </c>
      <c r="R462" s="434"/>
      <c r="S462" s="163">
        <f ca="1">MAX(0,-S424)</f>
        <v>0</v>
      </c>
      <c r="T462" s="163">
        <f ca="1">MAX(0,-T424)</f>
        <v>0</v>
      </c>
    </row>
    <row r="463" spans="2:20" ht="13.75" customHeight="1" outlineLevel="1">
      <c r="B463" s="36" t="s">
        <v>518</v>
      </c>
      <c r="F463" s="163"/>
      <c r="G463" s="163">
        <f ca="1">IF(G424+G447&gt;0,-MIN(G461+G462,G424+G447),0)</f>
        <v>-64.2</v>
      </c>
      <c r="H463" s="163">
        <f t="shared" ref="H463:P463" ca="1" si="367">IF(H424+H447&gt;0,-MIN(H461+H462,H424+H447),0)</f>
        <v>0</v>
      </c>
      <c r="I463" s="163">
        <f t="shared" ca="1" si="367"/>
        <v>0</v>
      </c>
      <c r="J463" s="163">
        <f t="shared" ca="1" si="367"/>
        <v>0</v>
      </c>
      <c r="K463" s="163">
        <f t="shared" ca="1" si="367"/>
        <v>0</v>
      </c>
      <c r="L463" s="163">
        <f t="shared" ca="1" si="367"/>
        <v>0</v>
      </c>
      <c r="M463" s="163">
        <f t="shared" ca="1" si="367"/>
        <v>0</v>
      </c>
      <c r="N463" s="163">
        <f t="shared" ca="1" si="367"/>
        <v>0</v>
      </c>
      <c r="O463" s="163">
        <f t="shared" ca="1" si="367"/>
        <v>0</v>
      </c>
      <c r="P463" s="163">
        <f t="shared" ca="1" si="367"/>
        <v>0</v>
      </c>
      <c r="R463" s="434"/>
      <c r="S463" s="163">
        <f t="shared" ref="S463:T463" ca="1" si="368">IF(S424+S447&gt;0,-MIN(S461+S462,S424+S447),0)</f>
        <v>-33.582778125000004</v>
      </c>
      <c r="T463" s="163">
        <f t="shared" ca="1" si="368"/>
        <v>-30.617221874999998</v>
      </c>
    </row>
    <row r="464" spans="2:20" ht="13.75" customHeight="1" outlineLevel="1">
      <c r="B464" s="36" t="s">
        <v>519</v>
      </c>
      <c r="F464" s="118"/>
      <c r="G464" s="118">
        <f>IF(G459&gt;0,0,-SUM(G461:G463))</f>
        <v>0</v>
      </c>
      <c r="H464" s="118">
        <f t="shared" ref="H464:P464" si="369">IF(H459&gt;0,0,-SUM(H461:H463))</f>
        <v>0</v>
      </c>
      <c r="I464" s="118">
        <f t="shared" si="369"/>
        <v>0</v>
      </c>
      <c r="J464" s="118">
        <f t="shared" si="369"/>
        <v>0</v>
      </c>
      <c r="K464" s="118">
        <f t="shared" si="369"/>
        <v>0</v>
      </c>
      <c r="L464" s="118">
        <f t="shared" si="369"/>
        <v>0</v>
      </c>
      <c r="M464" s="118">
        <f t="shared" si="369"/>
        <v>0</v>
      </c>
      <c r="N464" s="118">
        <f t="shared" si="369"/>
        <v>0</v>
      </c>
      <c r="O464" s="118">
        <f t="shared" si="369"/>
        <v>0</v>
      </c>
      <c r="P464" s="118">
        <f t="shared" si="369"/>
        <v>0</v>
      </c>
      <c r="R464" s="434"/>
      <c r="S464" s="118">
        <f t="shared" ref="S464:T464" si="370">IF(S459&gt;0,0,-SUM(S461:S463))</f>
        <v>0</v>
      </c>
      <c r="T464" s="118">
        <f t="shared" si="370"/>
        <v>0</v>
      </c>
    </row>
    <row r="465" spans="2:20" ht="13.75" customHeight="1" outlineLevel="1">
      <c r="B465" s="116" t="s">
        <v>528</v>
      </c>
      <c r="C465" s="116"/>
      <c r="D465" s="116"/>
      <c r="E465" s="116"/>
      <c r="F465" s="506">
        <v>64.2</v>
      </c>
      <c r="G465" s="403">
        <f t="shared" ref="G465:P465" ca="1" si="371">SUM(G461:G464)</f>
        <v>0</v>
      </c>
      <c r="H465" s="403">
        <f t="shared" ca="1" si="371"/>
        <v>0</v>
      </c>
      <c r="I465" s="403">
        <f t="shared" ca="1" si="371"/>
        <v>0</v>
      </c>
      <c r="J465" s="403">
        <f t="shared" ca="1" si="371"/>
        <v>0</v>
      </c>
      <c r="K465" s="403">
        <f t="shared" ca="1" si="371"/>
        <v>0</v>
      </c>
      <c r="L465" s="403">
        <f t="shared" ca="1" si="371"/>
        <v>0</v>
      </c>
      <c r="M465" s="403">
        <f t="shared" ca="1" si="371"/>
        <v>0</v>
      </c>
      <c r="N465" s="403">
        <f t="shared" ca="1" si="371"/>
        <v>0</v>
      </c>
      <c r="O465" s="403">
        <f t="shared" ca="1" si="371"/>
        <v>0</v>
      </c>
      <c r="P465" s="403">
        <f t="shared" ca="1" si="371"/>
        <v>0</v>
      </c>
      <c r="R465" s="434"/>
      <c r="S465" s="403">
        <f ca="1">SUM(S461:S464)</f>
        <v>30.617221874999998</v>
      </c>
      <c r="T465" s="403">
        <f ca="1">SUM(T461:T464)</f>
        <v>0</v>
      </c>
    </row>
    <row r="466" spans="2:20" ht="13.75" customHeight="1" outlineLevel="1">
      <c r="F466" s="163"/>
      <c r="G466" s="163"/>
      <c r="H466" s="163"/>
      <c r="I466" s="163"/>
      <c r="J466" s="163"/>
      <c r="K466" s="163"/>
      <c r="L466" s="163"/>
      <c r="M466" s="163"/>
      <c r="N466" s="163"/>
      <c r="O466" s="163"/>
      <c r="P466" s="163"/>
      <c r="R466" s="434"/>
      <c r="S466" s="163"/>
      <c r="T466" s="163"/>
    </row>
    <row r="467" spans="2:20" ht="13.5" customHeight="1" outlineLevel="1">
      <c r="B467" s="78" t="s">
        <v>651</v>
      </c>
      <c r="C467" s="79"/>
      <c r="D467" s="80"/>
      <c r="E467" s="80"/>
      <c r="F467" s="80"/>
      <c r="G467" s="80"/>
      <c r="H467" s="80"/>
      <c r="I467" s="80"/>
      <c r="J467" s="80"/>
      <c r="K467" s="80"/>
      <c r="L467" s="80"/>
      <c r="M467" s="80"/>
      <c r="N467" s="80"/>
      <c r="O467" s="80"/>
      <c r="P467" s="81"/>
      <c r="R467" s="434"/>
      <c r="S467" s="525"/>
      <c r="T467" s="81"/>
    </row>
    <row r="468" spans="2:20" ht="13.75" customHeight="1" outlineLevel="1">
      <c r="F468" s="163"/>
      <c r="G468" s="163"/>
      <c r="H468" s="163"/>
      <c r="I468" s="163"/>
      <c r="J468" s="163"/>
      <c r="K468" s="163"/>
      <c r="L468" s="163"/>
      <c r="M468" s="163"/>
      <c r="N468" s="163"/>
      <c r="O468" s="163"/>
      <c r="P468" s="163"/>
      <c r="R468" s="434"/>
      <c r="S468" s="163"/>
      <c r="T468" s="163"/>
    </row>
    <row r="469" spans="2:20" ht="13.75" customHeight="1" outlineLevel="1">
      <c r="B469" s="36" t="s">
        <v>520</v>
      </c>
      <c r="F469" s="401"/>
      <c r="G469" s="401">
        <f t="shared" ref="G469:P469" si="372">F471</f>
        <v>25.680417300000006</v>
      </c>
      <c r="H469" s="401">
        <f t="shared" ca="1" si="372"/>
        <v>0</v>
      </c>
      <c r="I469" s="401">
        <f t="shared" ca="1" si="372"/>
        <v>0</v>
      </c>
      <c r="J469" s="401">
        <f t="shared" ca="1" si="372"/>
        <v>0</v>
      </c>
      <c r="K469" s="401">
        <f t="shared" ca="1" si="372"/>
        <v>0</v>
      </c>
      <c r="L469" s="401">
        <f t="shared" ca="1" si="372"/>
        <v>0</v>
      </c>
      <c r="M469" s="401">
        <f t="shared" ca="1" si="372"/>
        <v>0</v>
      </c>
      <c r="N469" s="401">
        <f t="shared" ca="1" si="372"/>
        <v>0</v>
      </c>
      <c r="O469" s="401">
        <f t="shared" ca="1" si="372"/>
        <v>0</v>
      </c>
      <c r="P469" s="401">
        <f t="shared" ca="1" si="372"/>
        <v>0</v>
      </c>
      <c r="R469" s="434"/>
      <c r="S469" s="304">
        <f>F471</f>
        <v>25.680417300000006</v>
      </c>
      <c r="T469" s="401">
        <f ca="1">S471</f>
        <v>12.24708776194219</v>
      </c>
    </row>
    <row r="470" spans="2:20" ht="13.75" customHeight="1" outlineLevel="1">
      <c r="B470" s="36" t="s">
        <v>522</v>
      </c>
      <c r="F470" s="163"/>
      <c r="G470" s="163">
        <f ca="1">SUM(G447:G448,G462:G464)*G412</f>
        <v>-25.680417300000006</v>
      </c>
      <c r="H470" s="163">
        <f t="shared" ref="H470:P470" ca="1" si="373">SUM(H447:H448,H462:H464)*H412</f>
        <v>0</v>
      </c>
      <c r="I470" s="163">
        <f t="shared" ca="1" si="373"/>
        <v>0</v>
      </c>
      <c r="J470" s="163">
        <f t="shared" ca="1" si="373"/>
        <v>0</v>
      </c>
      <c r="K470" s="163">
        <f t="shared" ca="1" si="373"/>
        <v>0</v>
      </c>
      <c r="L470" s="163">
        <f t="shared" ca="1" si="373"/>
        <v>0</v>
      </c>
      <c r="M470" s="163">
        <f t="shared" ca="1" si="373"/>
        <v>0</v>
      </c>
      <c r="N470" s="163">
        <f t="shared" ca="1" si="373"/>
        <v>0</v>
      </c>
      <c r="O470" s="163">
        <f t="shared" ca="1" si="373"/>
        <v>0</v>
      </c>
      <c r="P470" s="163">
        <f t="shared" ca="1" si="373"/>
        <v>0</v>
      </c>
      <c r="R470" s="434"/>
      <c r="S470" s="163">
        <f t="shared" ref="S470:T470" ca="1" si="374">SUM(S447:S448,S462:S464)*S412</f>
        <v>-13.433329538057816</v>
      </c>
      <c r="T470" s="163">
        <f t="shared" ca="1" si="374"/>
        <v>-12.247087761942188</v>
      </c>
    </row>
    <row r="471" spans="2:20" ht="13.75" customHeight="1" outlineLevel="1">
      <c r="B471" s="116" t="s">
        <v>521</v>
      </c>
      <c r="C471" s="116"/>
      <c r="D471" s="116"/>
      <c r="E471" s="116"/>
      <c r="F471" s="479">
        <f>(F449+F465)*G412</f>
        <v>25.680417300000006</v>
      </c>
      <c r="G471" s="403">
        <f t="shared" ref="G471:P471" ca="1" si="375">SUM(G469:G470)</f>
        <v>0</v>
      </c>
      <c r="H471" s="403">
        <f t="shared" ca="1" si="375"/>
        <v>0</v>
      </c>
      <c r="I471" s="403">
        <f t="shared" ca="1" si="375"/>
        <v>0</v>
      </c>
      <c r="J471" s="403">
        <f t="shared" ca="1" si="375"/>
        <v>0</v>
      </c>
      <c r="K471" s="403">
        <f t="shared" ca="1" si="375"/>
        <v>0</v>
      </c>
      <c r="L471" s="403">
        <f t="shared" ca="1" si="375"/>
        <v>0</v>
      </c>
      <c r="M471" s="403">
        <f t="shared" ca="1" si="375"/>
        <v>0</v>
      </c>
      <c r="N471" s="403">
        <f t="shared" ca="1" si="375"/>
        <v>0</v>
      </c>
      <c r="O471" s="403">
        <f t="shared" ca="1" si="375"/>
        <v>0</v>
      </c>
      <c r="P471" s="403">
        <f t="shared" ca="1" si="375"/>
        <v>0</v>
      </c>
      <c r="R471" s="434"/>
      <c r="S471" s="403">
        <f ca="1">SUM(S469:S470)</f>
        <v>12.24708776194219</v>
      </c>
      <c r="T471" s="403">
        <f ca="1">SUM(T469:T470)</f>
        <v>0</v>
      </c>
    </row>
    <row r="472" spans="2:20" ht="13.75" customHeight="1" outlineLevel="1">
      <c r="F472" s="163"/>
      <c r="G472" s="163"/>
      <c r="H472" s="163"/>
      <c r="I472" s="163"/>
      <c r="J472" s="163"/>
      <c r="K472" s="163"/>
      <c r="L472" s="163"/>
      <c r="M472" s="163"/>
      <c r="N472" s="163"/>
      <c r="O472" s="163"/>
      <c r="P472" s="163"/>
      <c r="R472" s="434"/>
    </row>
    <row r="473" spans="2:20" ht="13.5" customHeight="1" outlineLevel="1">
      <c r="B473" s="78" t="s">
        <v>546</v>
      </c>
      <c r="C473" s="79"/>
      <c r="D473" s="80"/>
      <c r="E473" s="80"/>
      <c r="F473" s="80"/>
      <c r="G473" s="80"/>
      <c r="H473" s="80"/>
      <c r="I473" s="80"/>
      <c r="J473" s="80"/>
      <c r="K473" s="80"/>
      <c r="L473" s="80"/>
      <c r="M473" s="80"/>
      <c r="N473" s="80"/>
      <c r="O473" s="80"/>
      <c r="P473" s="81"/>
      <c r="R473" s="434"/>
      <c r="S473" s="525"/>
      <c r="T473" s="81"/>
    </row>
    <row r="474" spans="2:20" ht="13.75" customHeight="1" outlineLevel="1">
      <c r="B474" s="318"/>
      <c r="C474" s="318"/>
      <c r="D474" s="318"/>
      <c r="E474" s="319"/>
      <c r="F474" s="319"/>
      <c r="G474" s="319"/>
      <c r="H474" s="319"/>
      <c r="I474" s="319"/>
      <c r="J474" s="319"/>
      <c r="K474" s="319"/>
      <c r="L474" s="327"/>
      <c r="R474" s="434"/>
    </row>
    <row r="475" spans="2:20" ht="13.75" customHeight="1" outlineLevel="1">
      <c r="B475" s="392" t="s">
        <v>566</v>
      </c>
      <c r="C475" s="318"/>
      <c r="D475" s="318"/>
      <c r="E475" s="319"/>
      <c r="F475" s="319"/>
      <c r="G475" s="319"/>
      <c r="H475" s="319"/>
      <c r="I475" s="319"/>
      <c r="J475" s="319"/>
      <c r="K475" s="319"/>
      <c r="L475" s="327"/>
      <c r="R475" s="434"/>
    </row>
    <row r="476" spans="2:20" ht="5.0999999999999996" customHeight="1" outlineLevel="1">
      <c r="B476" s="318"/>
      <c r="C476" s="318"/>
      <c r="D476" s="318"/>
      <c r="E476" s="319"/>
      <c r="F476" s="319"/>
      <c r="G476" s="319"/>
      <c r="H476" s="319"/>
      <c r="I476" s="319"/>
      <c r="J476" s="319"/>
      <c r="K476" s="319"/>
      <c r="L476" s="327"/>
      <c r="R476" s="434"/>
    </row>
    <row r="477" spans="2:20" ht="13.75" customHeight="1" outlineLevel="1">
      <c r="B477" s="36" t="s">
        <v>565</v>
      </c>
      <c r="F477" s="177"/>
      <c r="G477" s="179">
        <v>0.2</v>
      </c>
      <c r="H477" s="177">
        <f t="shared" ref="H477:P477" si="376">G477</f>
        <v>0.2</v>
      </c>
      <c r="I477" s="177">
        <f t="shared" si="376"/>
        <v>0.2</v>
      </c>
      <c r="J477" s="177">
        <f t="shared" si="376"/>
        <v>0.2</v>
      </c>
      <c r="K477" s="177">
        <f t="shared" si="376"/>
        <v>0.2</v>
      </c>
      <c r="L477" s="177">
        <f t="shared" si="376"/>
        <v>0.2</v>
      </c>
      <c r="M477" s="177">
        <f t="shared" si="376"/>
        <v>0.2</v>
      </c>
      <c r="N477" s="177">
        <f t="shared" si="376"/>
        <v>0.2</v>
      </c>
      <c r="O477" s="177">
        <f t="shared" si="376"/>
        <v>0.2</v>
      </c>
      <c r="P477" s="177">
        <f t="shared" si="376"/>
        <v>0.2</v>
      </c>
      <c r="R477" s="434"/>
      <c r="S477" s="177">
        <f>$G477</f>
        <v>0.2</v>
      </c>
      <c r="T477" s="177">
        <f>$G477</f>
        <v>0.2</v>
      </c>
    </row>
    <row r="478" spans="2:20" ht="13.75" customHeight="1" outlineLevel="1">
      <c r="B478" s="36" t="s">
        <v>547</v>
      </c>
      <c r="F478" s="177"/>
      <c r="G478" s="179">
        <v>0.9</v>
      </c>
      <c r="H478" s="177">
        <f t="shared" ref="H478:P478" si="377">G478</f>
        <v>0.9</v>
      </c>
      <c r="I478" s="177">
        <f t="shared" si="377"/>
        <v>0.9</v>
      </c>
      <c r="J478" s="177">
        <f t="shared" si="377"/>
        <v>0.9</v>
      </c>
      <c r="K478" s="177">
        <f t="shared" si="377"/>
        <v>0.9</v>
      </c>
      <c r="L478" s="177">
        <f t="shared" si="377"/>
        <v>0.9</v>
      </c>
      <c r="M478" s="177">
        <f t="shared" si="377"/>
        <v>0.9</v>
      </c>
      <c r="N478" s="177">
        <f t="shared" si="377"/>
        <v>0.9</v>
      </c>
      <c r="O478" s="177">
        <f t="shared" si="377"/>
        <v>0.9</v>
      </c>
      <c r="P478" s="177">
        <f t="shared" si="377"/>
        <v>0.9</v>
      </c>
      <c r="R478" s="434"/>
      <c r="S478" s="177">
        <f>$G478</f>
        <v>0.9</v>
      </c>
      <c r="T478" s="177">
        <f>$G478</f>
        <v>0.9</v>
      </c>
    </row>
    <row r="479" spans="2:20" ht="13.75" customHeight="1" outlineLevel="1">
      <c r="B479" s="36" t="s">
        <v>548</v>
      </c>
      <c r="F479" s="177"/>
      <c r="G479" s="177">
        <f t="shared" ref="G479:P479" si="378">G477*(1-G478)</f>
        <v>1.9999999999999997E-2</v>
      </c>
      <c r="H479" s="177">
        <f t="shared" si="378"/>
        <v>1.9999999999999997E-2</v>
      </c>
      <c r="I479" s="177">
        <f t="shared" si="378"/>
        <v>1.9999999999999997E-2</v>
      </c>
      <c r="J479" s="177">
        <f t="shared" si="378"/>
        <v>1.9999999999999997E-2</v>
      </c>
      <c r="K479" s="177">
        <f t="shared" si="378"/>
        <v>1.9999999999999997E-2</v>
      </c>
      <c r="L479" s="177">
        <f t="shared" si="378"/>
        <v>1.9999999999999997E-2</v>
      </c>
      <c r="M479" s="177">
        <f t="shared" si="378"/>
        <v>1.9999999999999997E-2</v>
      </c>
      <c r="N479" s="177">
        <f t="shared" si="378"/>
        <v>1.9999999999999997E-2</v>
      </c>
      <c r="O479" s="177">
        <f t="shared" si="378"/>
        <v>1.9999999999999997E-2</v>
      </c>
      <c r="P479" s="177">
        <f t="shared" si="378"/>
        <v>1.9999999999999997E-2</v>
      </c>
      <c r="R479" s="434"/>
      <c r="S479" s="177">
        <f>S477*(1-S478)</f>
        <v>1.9999999999999997E-2</v>
      </c>
      <c r="T479" s="177">
        <f>T477*(1-T478)</f>
        <v>1.9999999999999997E-2</v>
      </c>
    </row>
    <row r="480" spans="2:20" ht="13.75" customHeight="1" outlineLevel="1">
      <c r="F480" s="163"/>
      <c r="G480" s="163"/>
      <c r="H480" s="163"/>
      <c r="I480" s="163"/>
      <c r="J480" s="163"/>
      <c r="K480" s="163"/>
      <c r="L480" s="163"/>
      <c r="M480" s="163"/>
      <c r="N480" s="163"/>
      <c r="O480" s="163"/>
      <c r="P480" s="163"/>
      <c r="R480" s="434"/>
      <c r="S480" s="163"/>
      <c r="T480" s="163"/>
    </row>
    <row r="481" spans="2:20" ht="13.75" customHeight="1" outlineLevel="1">
      <c r="B481" s="36" t="s">
        <v>563</v>
      </c>
      <c r="F481" s="401"/>
      <c r="G481" s="401">
        <f t="shared" ref="G481:P481" ca="1" si="379">MAX(0,G428*G410)</f>
        <v>1.0972750886156273</v>
      </c>
      <c r="H481" s="401">
        <f t="shared" ca="1" si="379"/>
        <v>24.763873434935388</v>
      </c>
      <c r="I481" s="401">
        <f t="shared" ca="1" si="379"/>
        <v>24.872550418664641</v>
      </c>
      <c r="J481" s="401">
        <f t="shared" ca="1" si="379"/>
        <v>28.264452428145546</v>
      </c>
      <c r="K481" s="401">
        <f t="shared" ca="1" si="379"/>
        <v>29.51777893049772</v>
      </c>
      <c r="L481" s="401">
        <f t="shared" ca="1" si="379"/>
        <v>29.956224453658482</v>
      </c>
      <c r="M481" s="401">
        <f t="shared" ca="1" si="379"/>
        <v>30.399269331323513</v>
      </c>
      <c r="N481" s="401">
        <f t="shared" ca="1" si="379"/>
        <v>30.846959879383313</v>
      </c>
      <c r="O481" s="401">
        <f t="shared" ca="1" si="379"/>
        <v>31.299342877370737</v>
      </c>
      <c r="P481" s="401">
        <f t="shared" ca="1" si="379"/>
        <v>31.756465573098236</v>
      </c>
      <c r="R481" s="434"/>
      <c r="S481" s="401">
        <f ca="1">MAX(0,S428*S410)</f>
        <v>0</v>
      </c>
      <c r="T481" s="401">
        <f ca="1">MAX(0,T428*T410)</f>
        <v>1.0972750886156273</v>
      </c>
    </row>
    <row r="482" spans="2:20" ht="13.75" customHeight="1" outlineLevel="1">
      <c r="B482" s="36" t="s">
        <v>555</v>
      </c>
      <c r="F482" s="163"/>
      <c r="G482" s="163">
        <f t="shared" ref="G482:P482" ca="1" si="380">MAX(0,(G424+G427)*G479)</f>
        <v>1.3415317912499998</v>
      </c>
      <c r="H482" s="163">
        <f t="shared" ca="1" si="380"/>
        <v>1.2984073107843956</v>
      </c>
      <c r="I482" s="163">
        <f t="shared" ca="1" si="380"/>
        <v>1.3041054092890096</v>
      </c>
      <c r="J482" s="163">
        <f t="shared" ca="1" si="380"/>
        <v>1.481947957957559</v>
      </c>
      <c r="K482" s="163">
        <f t="shared" ca="1" si="380"/>
        <v>1.5476617606762466</v>
      </c>
      <c r="L482" s="163">
        <f t="shared" ca="1" si="380"/>
        <v>1.5706501220950833</v>
      </c>
      <c r="M482" s="163">
        <f t="shared" ca="1" si="380"/>
        <v>1.5938796346217594</v>
      </c>
      <c r="N482" s="163">
        <f t="shared" ca="1" si="380"/>
        <v>1.6173527266684129</v>
      </c>
      <c r="O482" s="163">
        <f t="shared" ca="1" si="380"/>
        <v>1.6410718509566513</v>
      </c>
      <c r="P482" s="163">
        <f t="shared" ca="1" si="380"/>
        <v>1.6650394847606884</v>
      </c>
      <c r="R482" s="434"/>
      <c r="S482" s="163">
        <f ca="1">MAX(0,(S424+S427)*S479)</f>
        <v>0.67165556250000003</v>
      </c>
      <c r="T482" s="163">
        <f ca="1">MAX(0,(T424+T427)*T479)</f>
        <v>0.66987622875000008</v>
      </c>
    </row>
    <row r="483" spans="2:20" ht="13.75" customHeight="1" outlineLevel="1">
      <c r="F483" s="163"/>
      <c r="G483" s="163"/>
      <c r="H483" s="163"/>
      <c r="I483" s="163"/>
      <c r="J483" s="163"/>
      <c r="K483" s="163"/>
      <c r="L483" s="163"/>
      <c r="M483" s="163"/>
      <c r="N483" s="163"/>
      <c r="O483" s="163"/>
      <c r="P483" s="163"/>
      <c r="R483" s="434"/>
      <c r="S483" s="163"/>
      <c r="T483" s="163"/>
    </row>
    <row r="484" spans="2:20" ht="13.75" customHeight="1" outlineLevel="1">
      <c r="B484" s="36" t="s">
        <v>556</v>
      </c>
      <c r="F484" s="401"/>
      <c r="G484" s="401">
        <f t="shared" ref="G484:P484" ca="1" si="381">MAX(G481,G482)</f>
        <v>1.3415317912499998</v>
      </c>
      <c r="H484" s="401">
        <f t="shared" ca="1" si="381"/>
        <v>24.763873434935388</v>
      </c>
      <c r="I484" s="401">
        <f t="shared" ca="1" si="381"/>
        <v>24.872550418664641</v>
      </c>
      <c r="J484" s="401">
        <f t="shared" ca="1" si="381"/>
        <v>28.264452428145546</v>
      </c>
      <c r="K484" s="401">
        <f t="shared" ca="1" si="381"/>
        <v>29.51777893049772</v>
      </c>
      <c r="L484" s="401">
        <f t="shared" ca="1" si="381"/>
        <v>29.956224453658482</v>
      </c>
      <c r="M484" s="401">
        <f t="shared" ca="1" si="381"/>
        <v>30.399269331323513</v>
      </c>
      <c r="N484" s="401">
        <f t="shared" ca="1" si="381"/>
        <v>30.846959879383313</v>
      </c>
      <c r="O484" s="401">
        <f t="shared" ca="1" si="381"/>
        <v>31.299342877370737</v>
      </c>
      <c r="P484" s="401">
        <f t="shared" ca="1" si="381"/>
        <v>31.756465573098236</v>
      </c>
      <c r="R484" s="434"/>
      <c r="S484" s="401">
        <f ca="1">MAX(S481,S482)</f>
        <v>0.67165556250000003</v>
      </c>
      <c r="T484" s="401">
        <f ca="1">MAX(T481,T482)</f>
        <v>1.0972750886156273</v>
      </c>
    </row>
    <row r="485" spans="2:20" ht="13.75" customHeight="1" outlineLevel="1">
      <c r="B485" s="36" t="s">
        <v>557</v>
      </c>
      <c r="F485" s="163"/>
      <c r="G485" s="163">
        <f t="shared" ref="G485:P485" ca="1" si="382">G492</f>
        <v>0</v>
      </c>
      <c r="H485" s="163">
        <f t="shared" ca="1" si="382"/>
        <v>-1.3415317912499998</v>
      </c>
      <c r="I485" s="163">
        <f t="shared" ca="1" si="382"/>
        <v>0</v>
      </c>
      <c r="J485" s="163">
        <f t="shared" ca="1" si="382"/>
        <v>0</v>
      </c>
      <c r="K485" s="163">
        <f t="shared" ca="1" si="382"/>
        <v>0</v>
      </c>
      <c r="L485" s="163">
        <f t="shared" ca="1" si="382"/>
        <v>0</v>
      </c>
      <c r="M485" s="163">
        <f t="shared" ca="1" si="382"/>
        <v>0</v>
      </c>
      <c r="N485" s="163">
        <f t="shared" ca="1" si="382"/>
        <v>0</v>
      </c>
      <c r="O485" s="163">
        <f t="shared" ca="1" si="382"/>
        <v>0</v>
      </c>
      <c r="P485" s="163">
        <f t="shared" ca="1" si="382"/>
        <v>0</v>
      </c>
      <c r="R485" s="434"/>
      <c r="S485" s="163">
        <f ca="1">S492</f>
        <v>0</v>
      </c>
      <c r="T485" s="163">
        <f ca="1">T492</f>
        <v>-0.4273988598656272</v>
      </c>
    </row>
    <row r="486" spans="2:20" ht="13.75" customHeight="1" outlineLevel="1">
      <c r="B486" s="116" t="s">
        <v>552</v>
      </c>
      <c r="C486" s="116"/>
      <c r="D486" s="116"/>
      <c r="E486" s="116"/>
      <c r="F486" s="403"/>
      <c r="G486" s="403">
        <f t="shared" ref="G486:P486" ca="1" si="383">SUM(G484:G485)</f>
        <v>1.3415317912499998</v>
      </c>
      <c r="H486" s="403">
        <f t="shared" ca="1" si="383"/>
        <v>23.422341643685389</v>
      </c>
      <c r="I486" s="403">
        <f t="shared" ca="1" si="383"/>
        <v>24.872550418664641</v>
      </c>
      <c r="J486" s="403">
        <f t="shared" ca="1" si="383"/>
        <v>28.264452428145546</v>
      </c>
      <c r="K486" s="403">
        <f t="shared" ca="1" si="383"/>
        <v>29.51777893049772</v>
      </c>
      <c r="L486" s="403">
        <f t="shared" ca="1" si="383"/>
        <v>29.956224453658482</v>
      </c>
      <c r="M486" s="403">
        <f t="shared" ca="1" si="383"/>
        <v>30.399269331323513</v>
      </c>
      <c r="N486" s="403">
        <f t="shared" ca="1" si="383"/>
        <v>30.846959879383313</v>
      </c>
      <c r="O486" s="403">
        <f t="shared" ca="1" si="383"/>
        <v>31.299342877370737</v>
      </c>
      <c r="P486" s="403">
        <f t="shared" ca="1" si="383"/>
        <v>31.756465573098236</v>
      </c>
      <c r="R486" s="434"/>
      <c r="S486" s="403">
        <f ca="1">SUM(S484:S485)</f>
        <v>0.67165556250000003</v>
      </c>
      <c r="T486" s="403">
        <f ca="1">SUM(T484:T485)</f>
        <v>0.66987622875000008</v>
      </c>
    </row>
    <row r="487" spans="2:20" ht="13.75" customHeight="1" outlineLevel="1">
      <c r="B487" s="59" t="s">
        <v>558</v>
      </c>
      <c r="F487" s="177"/>
      <c r="G487" s="177">
        <f t="shared" ref="G487:P487" ca="1" si="384">IFERROR(G486/(G424+G427),"NA")</f>
        <v>1.9999999999999997E-2</v>
      </c>
      <c r="H487" s="177">
        <f t="shared" ca="1" si="384"/>
        <v>0.36078573263016284</v>
      </c>
      <c r="I487" s="177">
        <f t="shared" ca="1" si="384"/>
        <v>0.38145000000000001</v>
      </c>
      <c r="J487" s="177">
        <f t="shared" ca="1" si="384"/>
        <v>0.38145000000000001</v>
      </c>
      <c r="K487" s="177">
        <f t="shared" ca="1" si="384"/>
        <v>0.38145000000000001</v>
      </c>
      <c r="L487" s="177">
        <f t="shared" ca="1" si="384"/>
        <v>0.38145000000000001</v>
      </c>
      <c r="M487" s="177">
        <f t="shared" ca="1" si="384"/>
        <v>0.38145000000000001</v>
      </c>
      <c r="N487" s="177">
        <f t="shared" ca="1" si="384"/>
        <v>0.38145000000000001</v>
      </c>
      <c r="O487" s="177">
        <f t="shared" ca="1" si="384"/>
        <v>0.38145000000000001</v>
      </c>
      <c r="P487" s="177">
        <f t="shared" ca="1" si="384"/>
        <v>0.38145000000000001</v>
      </c>
      <c r="R487" s="434"/>
      <c r="S487" s="177">
        <f ca="1">IFERROR(S486/(S424+S427),"NA")</f>
        <v>1.9999999999999997E-2</v>
      </c>
      <c r="T487" s="177">
        <f ca="1">IFERROR(T486/(T424+T427),"NA")</f>
        <v>1.9999999999999997E-2</v>
      </c>
    </row>
    <row r="488" spans="2:20" ht="13.75" customHeight="1" outlineLevel="1">
      <c r="F488" s="163"/>
      <c r="G488" s="163"/>
      <c r="H488" s="163"/>
      <c r="I488" s="163"/>
      <c r="J488" s="163"/>
      <c r="K488" s="163"/>
      <c r="L488" s="163"/>
      <c r="M488" s="163"/>
      <c r="N488" s="163"/>
      <c r="O488" s="163"/>
      <c r="P488" s="163"/>
      <c r="R488" s="434"/>
      <c r="S488" s="163"/>
      <c r="T488" s="163"/>
    </row>
    <row r="489" spans="2:20" ht="13.75" customHeight="1" outlineLevel="1">
      <c r="B489" s="53" t="s">
        <v>559</v>
      </c>
      <c r="F489" s="163"/>
      <c r="G489" s="163"/>
      <c r="H489" s="163"/>
      <c r="I489" s="163"/>
      <c r="J489" s="163"/>
      <c r="K489" s="163"/>
      <c r="L489" s="163"/>
      <c r="M489" s="163"/>
      <c r="N489" s="163"/>
      <c r="O489" s="163"/>
      <c r="P489" s="163"/>
      <c r="R489" s="434"/>
      <c r="S489" s="163"/>
      <c r="T489" s="163"/>
    </row>
    <row r="490" spans="2:20" ht="13.75" customHeight="1" outlineLevel="1">
      <c r="B490" s="36" t="s">
        <v>560</v>
      </c>
      <c r="F490" s="401"/>
      <c r="G490" s="401">
        <f t="shared" ref="G490:P490" si="385">F493</f>
        <v>0</v>
      </c>
      <c r="H490" s="401">
        <f t="shared" ca="1" si="385"/>
        <v>1.3415317912499998</v>
      </c>
      <c r="I490" s="401">
        <f t="shared" ca="1" si="385"/>
        <v>0</v>
      </c>
      <c r="J490" s="401">
        <f t="shared" ca="1" si="385"/>
        <v>0</v>
      </c>
      <c r="K490" s="401">
        <f t="shared" ca="1" si="385"/>
        <v>0</v>
      </c>
      <c r="L490" s="401">
        <f t="shared" ca="1" si="385"/>
        <v>0</v>
      </c>
      <c r="M490" s="401">
        <f t="shared" ca="1" si="385"/>
        <v>0</v>
      </c>
      <c r="N490" s="401">
        <f t="shared" ca="1" si="385"/>
        <v>0</v>
      </c>
      <c r="O490" s="401">
        <f t="shared" ca="1" si="385"/>
        <v>0</v>
      </c>
      <c r="P490" s="401">
        <f t="shared" ca="1" si="385"/>
        <v>0</v>
      </c>
      <c r="R490" s="434"/>
      <c r="S490" s="304">
        <f>F493</f>
        <v>0</v>
      </c>
      <c r="T490" s="401">
        <f ca="1">S493</f>
        <v>0.67165556250000003</v>
      </c>
    </row>
    <row r="491" spans="2:20" ht="13.75" customHeight="1" outlineLevel="1">
      <c r="B491" s="36" t="s">
        <v>562</v>
      </c>
      <c r="F491" s="163"/>
      <c r="G491" s="163">
        <f t="shared" ref="G491:P491" ca="1" si="386">IF(G482&gt;G481,G486,0)</f>
        <v>1.3415317912499998</v>
      </c>
      <c r="H491" s="163">
        <f t="shared" ca="1" si="386"/>
        <v>0</v>
      </c>
      <c r="I491" s="163">
        <f t="shared" ca="1" si="386"/>
        <v>0</v>
      </c>
      <c r="J491" s="163">
        <f t="shared" ca="1" si="386"/>
        <v>0</v>
      </c>
      <c r="K491" s="163">
        <f t="shared" ca="1" si="386"/>
        <v>0</v>
      </c>
      <c r="L491" s="163">
        <f t="shared" ca="1" si="386"/>
        <v>0</v>
      </c>
      <c r="M491" s="163">
        <f t="shared" ca="1" si="386"/>
        <v>0</v>
      </c>
      <c r="N491" s="163">
        <f t="shared" ca="1" si="386"/>
        <v>0</v>
      </c>
      <c r="O491" s="163">
        <f t="shared" ca="1" si="386"/>
        <v>0</v>
      </c>
      <c r="P491" s="163">
        <f t="shared" ca="1" si="386"/>
        <v>0</v>
      </c>
      <c r="R491" s="434"/>
      <c r="S491" s="163">
        <f t="shared" ref="S491:T491" ca="1" si="387">IF(S482&gt;S481,S486,0)</f>
        <v>0.67165556250000003</v>
      </c>
      <c r="T491" s="163">
        <f t="shared" ca="1" si="387"/>
        <v>0</v>
      </c>
    </row>
    <row r="492" spans="2:20" ht="13.75" customHeight="1" outlineLevel="1">
      <c r="B492" s="36" t="s">
        <v>557</v>
      </c>
      <c r="F492" s="163"/>
      <c r="G492" s="163">
        <f t="shared" ref="G492:P492" ca="1" si="388">IF(G481&gt;G482,-MIN(G490,G484-G482),0)</f>
        <v>0</v>
      </c>
      <c r="H492" s="163">
        <f t="shared" ca="1" si="388"/>
        <v>-1.3415317912499998</v>
      </c>
      <c r="I492" s="163">
        <f t="shared" ca="1" si="388"/>
        <v>0</v>
      </c>
      <c r="J492" s="163">
        <f t="shared" ca="1" si="388"/>
        <v>0</v>
      </c>
      <c r="K492" s="163">
        <f t="shared" ca="1" si="388"/>
        <v>0</v>
      </c>
      <c r="L492" s="163">
        <f t="shared" ca="1" si="388"/>
        <v>0</v>
      </c>
      <c r="M492" s="163">
        <f t="shared" ca="1" si="388"/>
        <v>0</v>
      </c>
      <c r="N492" s="163">
        <f t="shared" ca="1" si="388"/>
        <v>0</v>
      </c>
      <c r="O492" s="163">
        <f t="shared" ca="1" si="388"/>
        <v>0</v>
      </c>
      <c r="P492" s="163">
        <f t="shared" ca="1" si="388"/>
        <v>0</v>
      </c>
      <c r="R492" s="434"/>
      <c r="S492" s="163">
        <f t="shared" ref="S492:T492" ca="1" si="389">IF(S481&gt;S482,-MIN(S490,S484-S482),0)</f>
        <v>0</v>
      </c>
      <c r="T492" s="163">
        <f t="shared" ca="1" si="389"/>
        <v>-0.4273988598656272</v>
      </c>
    </row>
    <row r="493" spans="2:20" ht="13.75" customHeight="1" outlineLevel="1">
      <c r="B493" s="116" t="s">
        <v>561</v>
      </c>
      <c r="C493" s="116"/>
      <c r="D493" s="116"/>
      <c r="E493" s="116"/>
      <c r="F493" s="506">
        <v>0</v>
      </c>
      <c r="G493" s="403">
        <f t="shared" ref="G493:P493" ca="1" si="390">SUM(G490:G492)</f>
        <v>1.3415317912499998</v>
      </c>
      <c r="H493" s="403">
        <f t="shared" ca="1" si="390"/>
        <v>0</v>
      </c>
      <c r="I493" s="403">
        <f t="shared" ca="1" si="390"/>
        <v>0</v>
      </c>
      <c r="J493" s="403">
        <f t="shared" ca="1" si="390"/>
        <v>0</v>
      </c>
      <c r="K493" s="403">
        <f t="shared" ca="1" si="390"/>
        <v>0</v>
      </c>
      <c r="L493" s="403">
        <f t="shared" ca="1" si="390"/>
        <v>0</v>
      </c>
      <c r="M493" s="403">
        <f t="shared" ca="1" si="390"/>
        <v>0</v>
      </c>
      <c r="N493" s="403">
        <f t="shared" ca="1" si="390"/>
        <v>0</v>
      </c>
      <c r="O493" s="403">
        <f t="shared" ca="1" si="390"/>
        <v>0</v>
      </c>
      <c r="P493" s="403">
        <f t="shared" ca="1" si="390"/>
        <v>0</v>
      </c>
      <c r="R493" s="434"/>
      <c r="S493" s="403">
        <f ca="1">SUM(S490:S492)</f>
        <v>0.67165556250000003</v>
      </c>
      <c r="T493" s="403">
        <f ca="1">SUM(T490:T492)</f>
        <v>0.24425670263437282</v>
      </c>
    </row>
    <row r="494" spans="2:20" ht="5.0999999999999996" customHeight="1" outlineLevel="1" thickBot="1">
      <c r="B494" s="348"/>
      <c r="C494" s="348"/>
      <c r="D494" s="348"/>
      <c r="E494" s="349"/>
      <c r="F494" s="349"/>
      <c r="G494" s="349"/>
      <c r="H494" s="349"/>
      <c r="I494" s="349"/>
      <c r="J494" s="349"/>
      <c r="K494" s="349"/>
      <c r="L494" s="349"/>
      <c r="M494" s="349"/>
      <c r="N494" s="349"/>
      <c r="O494" s="349"/>
      <c r="P494" s="349"/>
      <c r="Q494" s="349"/>
      <c r="R494" s="349"/>
      <c r="S494" s="349"/>
      <c r="T494" s="349"/>
    </row>
    <row r="495" spans="2:20" ht="13.5" customHeight="1" outlineLevel="1">
      <c r="B495" s="50"/>
      <c r="C495" s="50"/>
      <c r="D495" s="50"/>
      <c r="L495" s="57"/>
    </row>
    <row r="496" spans="2:20" ht="13.5" customHeight="1" outlineLevel="1" thickBot="1">
      <c r="B496" s="50"/>
      <c r="C496" s="50"/>
      <c r="D496" s="50"/>
      <c r="L496" s="57"/>
    </row>
    <row r="497" spans="1:20" ht="20.7" thickTop="1">
      <c r="A497" s="281" t="s">
        <v>631</v>
      </c>
      <c r="B497" s="522" t="str">
        <f>target&amp;" Shares Outstanding"</f>
        <v>TargetCo Shares Outstanding</v>
      </c>
      <c r="C497" s="523"/>
      <c r="D497" s="524"/>
      <c r="E497" s="524"/>
      <c r="F497" s="524"/>
      <c r="G497" s="524"/>
      <c r="H497" s="524"/>
      <c r="I497" s="524"/>
      <c r="J497" s="524"/>
      <c r="K497" s="524"/>
      <c r="L497" s="524"/>
      <c r="M497" s="524"/>
      <c r="N497" s="524"/>
      <c r="O497" s="524"/>
      <c r="P497" s="524"/>
      <c r="Q497" s="524"/>
      <c r="R497" s="524"/>
      <c r="S497" s="524"/>
      <c r="T497" s="524"/>
    </row>
    <row r="498" spans="1:20" ht="5.0999999999999996" customHeight="1" outlineLevel="1">
      <c r="B498" s="107"/>
      <c r="C498" s="285"/>
      <c r="L498" s="57"/>
    </row>
    <row r="499" spans="1:20" ht="13.5" customHeight="1" outlineLevel="1">
      <c r="B499" s="286"/>
      <c r="C499" s="286"/>
      <c r="D499" s="286"/>
      <c r="E499" s="42"/>
      <c r="F499" s="432" t="s">
        <v>630</v>
      </c>
      <c r="G499" s="433" t="s">
        <v>629</v>
      </c>
      <c r="H499" s="433"/>
      <c r="I499" s="433"/>
      <c r="J499" s="433"/>
      <c r="K499" s="433"/>
      <c r="L499" s="433"/>
      <c r="M499" s="433"/>
      <c r="N499" s="433"/>
      <c r="O499" s="433"/>
      <c r="P499" s="433"/>
      <c r="R499" s="434"/>
      <c r="S499" s="433" t="s">
        <v>628</v>
      </c>
      <c r="T499" s="433"/>
    </row>
    <row r="500" spans="1:20" ht="13.5" customHeight="1" outlineLevel="1" thickBot="1">
      <c r="B500" s="435" t="str">
        <f>"("&amp;curr&amp;" in millions)"</f>
        <v>($ in millions)</v>
      </c>
      <c r="C500" s="436"/>
      <c r="D500" s="436"/>
      <c r="E500" s="437"/>
      <c r="F500" s="439">
        <f t="shared" ref="F500" si="391">F$8</f>
        <v>44926</v>
      </c>
      <c r="G500" s="439">
        <f t="shared" ref="G500:P500" si="392">G$8</f>
        <v>45291</v>
      </c>
      <c r="H500" s="439">
        <f t="shared" si="392"/>
        <v>45657</v>
      </c>
      <c r="I500" s="439">
        <f t="shared" si="392"/>
        <v>46022</v>
      </c>
      <c r="J500" s="439">
        <f t="shared" si="392"/>
        <v>46387</v>
      </c>
      <c r="K500" s="439">
        <f t="shared" si="392"/>
        <v>46752</v>
      </c>
      <c r="L500" s="439">
        <f t="shared" si="392"/>
        <v>47118</v>
      </c>
      <c r="M500" s="439">
        <f t="shared" si="392"/>
        <v>47483</v>
      </c>
      <c r="N500" s="439">
        <f t="shared" si="392"/>
        <v>47848</v>
      </c>
      <c r="O500" s="439">
        <f t="shared" si="392"/>
        <v>48213</v>
      </c>
      <c r="P500" s="439">
        <f t="shared" si="392"/>
        <v>48579</v>
      </c>
      <c r="R500" s="434"/>
      <c r="S500" s="440">
        <f>S$8</f>
        <v>45107</v>
      </c>
      <c r="T500" s="440">
        <f>T$8</f>
        <v>45291</v>
      </c>
    </row>
    <row r="501" spans="1:20" ht="5.0999999999999996" customHeight="1" outlineLevel="1">
      <c r="B501" s="50"/>
      <c r="C501" s="50"/>
      <c r="D501" s="50"/>
      <c r="L501" s="57"/>
      <c r="R501" s="434"/>
    </row>
    <row r="502" spans="1:20" ht="13.5" customHeight="1" outlineLevel="1">
      <c r="B502" s="78" t="s">
        <v>264</v>
      </c>
      <c r="C502" s="79"/>
      <c r="D502" s="80"/>
      <c r="E502" s="80"/>
      <c r="F502" s="80"/>
      <c r="G502" s="80"/>
      <c r="H502" s="80"/>
      <c r="I502" s="80"/>
      <c r="J502" s="80"/>
      <c r="K502" s="80"/>
      <c r="L502" s="80"/>
      <c r="M502" s="80"/>
      <c r="N502" s="80"/>
      <c r="O502" s="80"/>
      <c r="P502" s="81"/>
      <c r="R502" s="434"/>
      <c r="S502" s="525"/>
      <c r="T502" s="81"/>
    </row>
    <row r="503" spans="1:20" ht="13.5" customHeight="1" outlineLevel="1">
      <c r="B503" s="532"/>
      <c r="C503" s="532"/>
      <c r="D503" s="532"/>
      <c r="E503" s="509"/>
      <c r="F503" s="509"/>
      <c r="G503" s="509"/>
      <c r="H503" s="509"/>
      <c r="I503" s="509"/>
      <c r="J503" s="509"/>
      <c r="K503" s="509"/>
      <c r="L503" s="510"/>
      <c r="R503" s="434"/>
    </row>
    <row r="504" spans="1:20" ht="13.5" customHeight="1" outlineLevel="1">
      <c r="B504" s="36" t="s">
        <v>578</v>
      </c>
      <c r="C504" s="532"/>
      <c r="D504" s="189">
        <f>Inputs!$E$44</f>
        <v>9.16</v>
      </c>
      <c r="E504" s="509"/>
      <c r="F504" s="509"/>
      <c r="I504" s="509"/>
      <c r="J504" s="509"/>
      <c r="K504" s="509"/>
      <c r="L504" s="510"/>
      <c r="R504" s="434"/>
    </row>
    <row r="505" spans="1:20" ht="13.5" customHeight="1" outlineLevel="1">
      <c r="B505" s="532"/>
      <c r="C505" s="532"/>
      <c r="D505" s="532"/>
      <c r="E505" s="509"/>
      <c r="F505" s="509"/>
      <c r="I505" s="509"/>
      <c r="J505" s="509"/>
      <c r="K505" s="509"/>
      <c r="L505" s="510"/>
      <c r="R505" s="434"/>
    </row>
    <row r="506" spans="1:20" ht="13.5" customHeight="1" outlineLevel="1">
      <c r="D506" s="507" t="s">
        <v>265</v>
      </c>
      <c r="E506" s="507"/>
      <c r="F506" s="507" t="s">
        <v>266</v>
      </c>
      <c r="G506" s="507"/>
      <c r="H506" s="507"/>
      <c r="I506" s="509"/>
      <c r="J506" s="509"/>
      <c r="K506" s="509"/>
      <c r="L506" s="510"/>
      <c r="R506" s="434"/>
    </row>
    <row r="507" spans="1:20" ht="13.5" customHeight="1" outlineLevel="1">
      <c r="B507" s="186"/>
      <c r="D507" s="483" t="s">
        <v>183</v>
      </c>
      <c r="E507" s="483" t="s">
        <v>184</v>
      </c>
      <c r="F507" s="483" t="s">
        <v>183</v>
      </c>
      <c r="G507" s="483" t="s">
        <v>184</v>
      </c>
      <c r="H507" s="483" t="s">
        <v>185</v>
      </c>
      <c r="I507" s="509"/>
      <c r="J507" s="509"/>
      <c r="K507" s="509"/>
      <c r="L507" s="510"/>
      <c r="R507" s="434"/>
    </row>
    <row r="508" spans="1:20" ht="13.5" customHeight="1" outlineLevel="1" thickBot="1">
      <c r="B508" s="511"/>
      <c r="C508" s="511"/>
      <c r="D508" s="486" t="s">
        <v>182</v>
      </c>
      <c r="E508" s="486" t="s">
        <v>186</v>
      </c>
      <c r="F508" s="486" t="s">
        <v>182</v>
      </c>
      <c r="G508" s="486" t="s">
        <v>186</v>
      </c>
      <c r="H508" s="486" t="s">
        <v>257</v>
      </c>
      <c r="I508" s="509"/>
      <c r="J508" s="509"/>
      <c r="K508" s="509"/>
      <c r="L508" s="510"/>
      <c r="R508" s="434"/>
    </row>
    <row r="509" spans="1:20" ht="5.0999999999999996" customHeight="1" outlineLevel="1">
      <c r="H509" s="509"/>
      <c r="I509" s="509"/>
      <c r="J509" s="509"/>
      <c r="K509" s="509"/>
      <c r="L509" s="510"/>
      <c r="R509" s="434"/>
    </row>
    <row r="510" spans="1:20" ht="13.5" customHeight="1" outlineLevel="1">
      <c r="B510" s="170" t="s">
        <v>188</v>
      </c>
      <c r="D510" s="513">
        <v>0.40200000000000002</v>
      </c>
      <c r="E510" s="374">
        <v>9.1300000000000008</v>
      </c>
      <c r="F510" s="513">
        <v>0.20899999999999999</v>
      </c>
      <c r="G510" s="374">
        <v>9.0399999999999991</v>
      </c>
      <c r="H510" s="134">
        <f t="shared" ref="H510:H519" si="393">IF($G510&gt;D$504,0,$F510-$F510*$G510/D$504)</f>
        <v>2.7379912663755834E-3</v>
      </c>
      <c r="I510" s="509"/>
      <c r="J510" s="509"/>
      <c r="K510" s="509"/>
      <c r="L510" s="510"/>
      <c r="R510" s="434"/>
    </row>
    <row r="511" spans="1:20" ht="13.5" customHeight="1" outlineLevel="1">
      <c r="B511" s="170" t="s">
        <v>189</v>
      </c>
      <c r="D511" s="513">
        <v>0.12</v>
      </c>
      <c r="E511" s="504">
        <v>9.93</v>
      </c>
      <c r="F511" s="513">
        <v>5.8999999999999997E-2</v>
      </c>
      <c r="G511" s="504">
        <v>10.029999999999999</v>
      </c>
      <c r="H511" s="134">
        <f t="shared" si="393"/>
        <v>0</v>
      </c>
      <c r="I511" s="509"/>
      <c r="J511" s="509"/>
      <c r="K511" s="509"/>
      <c r="L511" s="510"/>
      <c r="R511" s="434"/>
    </row>
    <row r="512" spans="1:20" ht="13.5" customHeight="1" outlineLevel="1">
      <c r="B512" s="170" t="s">
        <v>190</v>
      </c>
      <c r="D512" s="513">
        <v>0.46600000000000003</v>
      </c>
      <c r="E512" s="504">
        <v>11.6</v>
      </c>
      <c r="F512" s="513">
        <v>0.221</v>
      </c>
      <c r="G512" s="504">
        <v>11.53</v>
      </c>
      <c r="H512" s="134">
        <f t="shared" si="393"/>
        <v>0</v>
      </c>
      <c r="I512" s="509"/>
      <c r="J512" s="509"/>
      <c r="K512" s="509"/>
      <c r="L512" s="510"/>
      <c r="R512" s="434"/>
    </row>
    <row r="513" spans="2:20" ht="13.5" customHeight="1" outlineLevel="1">
      <c r="B513" s="170" t="s">
        <v>191</v>
      </c>
      <c r="D513" s="513">
        <v>0.3</v>
      </c>
      <c r="E513" s="504">
        <v>12.64</v>
      </c>
      <c r="F513" s="513">
        <v>0.3</v>
      </c>
      <c r="G513" s="504">
        <v>12.69</v>
      </c>
      <c r="H513" s="134">
        <f t="shared" si="393"/>
        <v>0</v>
      </c>
      <c r="I513" s="509"/>
      <c r="J513" s="509"/>
      <c r="K513" s="509"/>
      <c r="L513" s="510"/>
      <c r="R513" s="434"/>
    </row>
    <row r="514" spans="2:20" ht="13.5" customHeight="1" outlineLevel="1">
      <c r="B514" s="170" t="s">
        <v>192</v>
      </c>
      <c r="D514" s="513">
        <v>0.52</v>
      </c>
      <c r="E514" s="504">
        <v>19.48</v>
      </c>
      <c r="F514" s="513">
        <v>0.26900000000000002</v>
      </c>
      <c r="G514" s="504">
        <v>19.54</v>
      </c>
      <c r="H514" s="134">
        <f t="shared" si="393"/>
        <v>0</v>
      </c>
      <c r="I514" s="509"/>
      <c r="J514" s="509"/>
      <c r="K514" s="509"/>
      <c r="L514" s="510"/>
      <c r="R514" s="434"/>
    </row>
    <row r="515" spans="2:20" ht="13.5" customHeight="1" outlineLevel="1">
      <c r="B515" s="170" t="s">
        <v>193</v>
      </c>
      <c r="D515" s="513">
        <v>0.42199999999999999</v>
      </c>
      <c r="E515" s="504">
        <v>27.03</v>
      </c>
      <c r="F515" s="513">
        <v>0.21099999999999999</v>
      </c>
      <c r="G515" s="504">
        <v>27.06</v>
      </c>
      <c r="H515" s="134">
        <f t="shared" si="393"/>
        <v>0</v>
      </c>
      <c r="I515" s="509"/>
      <c r="J515" s="509"/>
      <c r="K515" s="509"/>
      <c r="L515" s="510"/>
      <c r="R515" s="434"/>
    </row>
    <row r="516" spans="2:20" ht="13.5" customHeight="1" outlineLevel="1">
      <c r="B516" s="170" t="s">
        <v>194</v>
      </c>
      <c r="D516" s="513">
        <v>0.375</v>
      </c>
      <c r="E516" s="504">
        <v>45.78</v>
      </c>
      <c r="F516" s="513">
        <v>0.187</v>
      </c>
      <c r="G516" s="504">
        <v>45.75</v>
      </c>
      <c r="H516" s="134">
        <f t="shared" si="393"/>
        <v>0</v>
      </c>
      <c r="I516" s="509"/>
      <c r="J516" s="509"/>
      <c r="K516" s="509"/>
      <c r="L516" s="510"/>
      <c r="R516" s="434"/>
    </row>
    <row r="517" spans="2:20" ht="13.5" customHeight="1" outlineLevel="1">
      <c r="B517" s="170" t="s">
        <v>195</v>
      </c>
      <c r="D517" s="513">
        <v>0</v>
      </c>
      <c r="E517" s="504">
        <v>0</v>
      </c>
      <c r="F517" s="513">
        <v>0</v>
      </c>
      <c r="G517" s="504">
        <v>0</v>
      </c>
      <c r="H517" s="134">
        <f t="shared" si="393"/>
        <v>0</v>
      </c>
      <c r="I517" s="509"/>
      <c r="J517" s="509"/>
      <c r="K517" s="509"/>
      <c r="L517" s="510"/>
      <c r="R517" s="434"/>
    </row>
    <row r="518" spans="2:20" ht="13.5" customHeight="1" outlineLevel="1">
      <c r="B518" s="170" t="s">
        <v>196</v>
      </c>
      <c r="D518" s="513">
        <v>0</v>
      </c>
      <c r="E518" s="504">
        <v>0</v>
      </c>
      <c r="F518" s="513">
        <v>0</v>
      </c>
      <c r="G518" s="504">
        <v>0</v>
      </c>
      <c r="H518" s="134">
        <f t="shared" si="393"/>
        <v>0</v>
      </c>
      <c r="I518" s="509"/>
      <c r="J518" s="509"/>
      <c r="K518" s="509"/>
      <c r="L518" s="510"/>
      <c r="R518" s="434"/>
    </row>
    <row r="519" spans="2:20" ht="13.5" customHeight="1" outlineLevel="1">
      <c r="B519" s="170" t="s">
        <v>197</v>
      </c>
      <c r="D519" s="513">
        <v>0</v>
      </c>
      <c r="E519" s="504">
        <v>0</v>
      </c>
      <c r="F519" s="513">
        <v>0</v>
      </c>
      <c r="G519" s="504">
        <v>0</v>
      </c>
      <c r="H519" s="134">
        <f t="shared" si="393"/>
        <v>0</v>
      </c>
      <c r="I519" s="509"/>
      <c r="J519" s="509"/>
      <c r="K519" s="509"/>
      <c r="L519" s="510"/>
      <c r="R519" s="434"/>
    </row>
    <row r="520" spans="2:20" ht="13.5" customHeight="1" outlineLevel="1">
      <c r="B520" s="123" t="s">
        <v>272</v>
      </c>
      <c r="C520" s="123"/>
      <c r="D520" s="123"/>
      <c r="E520" s="176"/>
      <c r="F520" s="176"/>
      <c r="G520" s="176"/>
      <c r="H520" s="176">
        <f>SUM(H510:H519)</f>
        <v>2.7379912663755834E-3</v>
      </c>
      <c r="I520" s="509"/>
      <c r="J520" s="509"/>
      <c r="K520" s="509"/>
      <c r="L520" s="510"/>
      <c r="R520" s="434"/>
    </row>
    <row r="521" spans="2:20" ht="13.5" customHeight="1" outlineLevel="1">
      <c r="B521" s="532"/>
      <c r="C521" s="532"/>
      <c r="D521" s="532"/>
      <c r="E521" s="509"/>
      <c r="F521" s="509"/>
      <c r="G521" s="509"/>
      <c r="H521" s="509"/>
      <c r="I521" s="509"/>
      <c r="J521" s="509"/>
      <c r="K521" s="509"/>
      <c r="L521" s="510"/>
      <c r="R521" s="434"/>
    </row>
    <row r="522" spans="2:20" ht="13.5" customHeight="1" outlineLevel="1">
      <c r="B522" s="78" t="s">
        <v>267</v>
      </c>
      <c r="C522" s="79"/>
      <c r="D522" s="80"/>
      <c r="E522" s="80"/>
      <c r="F522" s="80"/>
      <c r="G522" s="80"/>
      <c r="H522" s="80"/>
      <c r="I522" s="80"/>
      <c r="J522" s="80"/>
      <c r="K522" s="80"/>
      <c r="L522" s="80"/>
      <c r="M522" s="80"/>
      <c r="N522" s="80"/>
      <c r="O522" s="80"/>
      <c r="P522" s="81"/>
      <c r="R522" s="434"/>
      <c r="S522" s="525"/>
      <c r="T522" s="81"/>
    </row>
    <row r="523" spans="2:20" ht="13.5" customHeight="1" outlineLevel="1">
      <c r="B523" s="532"/>
      <c r="C523" s="532"/>
      <c r="D523" s="532"/>
      <c r="E523" s="509"/>
      <c r="F523" s="509"/>
      <c r="G523" s="509"/>
      <c r="H523" s="509"/>
      <c r="I523" s="509"/>
      <c r="J523" s="509"/>
      <c r="K523" s="509"/>
      <c r="L523" s="510"/>
      <c r="R523" s="434"/>
      <c r="S523" s="509"/>
      <c r="T523" s="509"/>
    </row>
    <row r="524" spans="2:20" ht="13.5" customHeight="1" outlineLevel="1">
      <c r="B524" s="514" t="s">
        <v>571</v>
      </c>
      <c r="C524" s="532"/>
      <c r="D524" s="532"/>
      <c r="E524" s="509"/>
      <c r="F524" s="509"/>
      <c r="G524" s="509"/>
      <c r="H524" s="509"/>
      <c r="I524" s="509"/>
      <c r="J524" s="509"/>
      <c r="K524" s="509"/>
      <c r="L524" s="510"/>
      <c r="R524" s="434"/>
      <c r="S524" s="509"/>
      <c r="T524" s="509"/>
    </row>
    <row r="525" spans="2:20" s="170" customFormat="1" ht="13.5" customHeight="1" outlineLevel="1">
      <c r="B525" s="170" t="str">
        <f>B346</f>
        <v>Convertible bond 2</v>
      </c>
      <c r="E525" s="137"/>
      <c r="F525" s="114">
        <f t="shared" ref="F525:P525" si="394">F293</f>
        <v>190</v>
      </c>
      <c r="G525" s="114">
        <f t="shared" si="394"/>
        <v>199.02500000000001</v>
      </c>
      <c r="H525" s="114">
        <f t="shared" si="394"/>
        <v>208.47868750000001</v>
      </c>
      <c r="I525" s="114">
        <f t="shared" si="394"/>
        <v>218.38142515625</v>
      </c>
      <c r="J525" s="114">
        <f t="shared" si="394"/>
        <v>223.56798400371093</v>
      </c>
      <c r="K525" s="114">
        <f t="shared" si="394"/>
        <v>223.56798400371093</v>
      </c>
      <c r="L525" s="114">
        <f t="shared" si="394"/>
        <v>223.56798400371093</v>
      </c>
      <c r="M525" s="114">
        <f t="shared" si="394"/>
        <v>223.56798400371093</v>
      </c>
      <c r="N525" s="114">
        <f t="shared" si="394"/>
        <v>223.56798400371093</v>
      </c>
      <c r="O525" s="114">
        <f t="shared" si="394"/>
        <v>223.56798400371093</v>
      </c>
      <c r="P525" s="114">
        <f t="shared" si="394"/>
        <v>223.56798400371093</v>
      </c>
      <c r="R525" s="480"/>
      <c r="S525" s="114">
        <f>S293</f>
        <v>194.51249999999999</v>
      </c>
      <c r="T525" s="114">
        <f>T293</f>
        <v>199.02499999999998</v>
      </c>
    </row>
    <row r="526" spans="2:20" s="170" customFormat="1" ht="13.5" customHeight="1" outlineLevel="1">
      <c r="B526" s="170" t="str">
        <f>B347</f>
        <v>Preferred stock 2</v>
      </c>
      <c r="E526" s="137"/>
      <c r="F526" s="114">
        <f t="shared" ref="F526:P526" si="395">F299</f>
        <v>0</v>
      </c>
      <c r="G526" s="114">
        <f t="shared" si="395"/>
        <v>0</v>
      </c>
      <c r="H526" s="114">
        <f t="shared" si="395"/>
        <v>0</v>
      </c>
      <c r="I526" s="114">
        <f t="shared" si="395"/>
        <v>0</v>
      </c>
      <c r="J526" s="114">
        <f t="shared" si="395"/>
        <v>0</v>
      </c>
      <c r="K526" s="114">
        <f t="shared" si="395"/>
        <v>0</v>
      </c>
      <c r="L526" s="114">
        <f t="shared" si="395"/>
        <v>0</v>
      </c>
      <c r="M526" s="114">
        <f t="shared" si="395"/>
        <v>0</v>
      </c>
      <c r="N526" s="114">
        <f t="shared" si="395"/>
        <v>0</v>
      </c>
      <c r="O526" s="114">
        <f t="shared" si="395"/>
        <v>0</v>
      </c>
      <c r="P526" s="114">
        <f t="shared" si="395"/>
        <v>0</v>
      </c>
      <c r="R526" s="480"/>
      <c r="S526" s="114">
        <f>S299</f>
        <v>0</v>
      </c>
      <c r="T526" s="114">
        <f>T299</f>
        <v>0</v>
      </c>
    </row>
    <row r="527" spans="2:20" s="170" customFormat="1" ht="13.5" customHeight="1" outlineLevel="1">
      <c r="E527" s="137"/>
      <c r="F527" s="137"/>
      <c r="G527" s="137"/>
      <c r="H527" s="137"/>
      <c r="I527" s="137"/>
      <c r="J527" s="137"/>
      <c r="K527" s="137"/>
      <c r="L527" s="533"/>
      <c r="R527" s="480"/>
      <c r="S527" s="137"/>
      <c r="T527" s="137"/>
    </row>
    <row r="528" spans="2:20" s="170" customFormat="1" ht="13.5" customHeight="1" outlineLevel="1">
      <c r="B528" s="514" t="s">
        <v>569</v>
      </c>
      <c r="E528" s="137"/>
      <c r="F528" s="137"/>
      <c r="G528" s="137"/>
      <c r="H528" s="137"/>
      <c r="I528" s="137"/>
      <c r="J528" s="137"/>
      <c r="K528" s="137"/>
      <c r="L528" s="533"/>
      <c r="R528" s="480"/>
      <c r="S528" s="137"/>
      <c r="T528" s="137"/>
    </row>
    <row r="529" spans="2:20" s="170" customFormat="1" ht="13.5" customHeight="1" outlineLevel="1">
      <c r="B529" s="170" t="str">
        <f>B525</f>
        <v>Convertible bond 2</v>
      </c>
      <c r="E529" s="137"/>
      <c r="F529" s="305">
        <f>I346</f>
        <v>26.77</v>
      </c>
      <c r="G529" s="190">
        <f>F529</f>
        <v>26.77</v>
      </c>
      <c r="H529" s="190">
        <f t="shared" ref="H529:P529" si="396">G529</f>
        <v>26.77</v>
      </c>
      <c r="I529" s="190">
        <f t="shared" si="396"/>
        <v>26.77</v>
      </c>
      <c r="J529" s="190">
        <f t="shared" si="396"/>
        <v>26.77</v>
      </c>
      <c r="K529" s="190">
        <f t="shared" si="396"/>
        <v>26.77</v>
      </c>
      <c r="L529" s="190">
        <f t="shared" si="396"/>
        <v>26.77</v>
      </c>
      <c r="M529" s="190">
        <f t="shared" si="396"/>
        <v>26.77</v>
      </c>
      <c r="N529" s="190">
        <f t="shared" si="396"/>
        <v>26.77</v>
      </c>
      <c r="O529" s="190">
        <f t="shared" si="396"/>
        <v>26.77</v>
      </c>
      <c r="P529" s="190">
        <f t="shared" si="396"/>
        <v>26.77</v>
      </c>
      <c r="R529" s="480"/>
      <c r="S529" s="190">
        <f>$F529</f>
        <v>26.77</v>
      </c>
      <c r="T529" s="190">
        <f>$F529</f>
        <v>26.77</v>
      </c>
    </row>
    <row r="530" spans="2:20" s="170" customFormat="1" ht="13.5" customHeight="1" outlineLevel="1">
      <c r="B530" s="170" t="str">
        <f>B526</f>
        <v>Preferred stock 2</v>
      </c>
      <c r="E530" s="137"/>
      <c r="F530" s="305">
        <f>I347</f>
        <v>0</v>
      </c>
      <c r="G530" s="190">
        <f>F530</f>
        <v>0</v>
      </c>
      <c r="H530" s="190">
        <f t="shared" ref="H530:P530" si="397">G530</f>
        <v>0</v>
      </c>
      <c r="I530" s="190">
        <f t="shared" si="397"/>
        <v>0</v>
      </c>
      <c r="J530" s="190">
        <f t="shared" si="397"/>
        <v>0</v>
      </c>
      <c r="K530" s="190">
        <f t="shared" si="397"/>
        <v>0</v>
      </c>
      <c r="L530" s="190">
        <f t="shared" si="397"/>
        <v>0</v>
      </c>
      <c r="M530" s="190">
        <f t="shared" si="397"/>
        <v>0</v>
      </c>
      <c r="N530" s="190">
        <f t="shared" si="397"/>
        <v>0</v>
      </c>
      <c r="O530" s="190">
        <f t="shared" si="397"/>
        <v>0</v>
      </c>
      <c r="P530" s="190">
        <f t="shared" si="397"/>
        <v>0</v>
      </c>
      <c r="R530" s="480"/>
      <c r="S530" s="190">
        <f>$F530</f>
        <v>0</v>
      </c>
      <c r="T530" s="190">
        <f>$F530</f>
        <v>0</v>
      </c>
    </row>
    <row r="531" spans="2:20" s="170" customFormat="1" ht="13.5" customHeight="1" outlineLevel="1">
      <c r="E531" s="137"/>
      <c r="F531" s="137"/>
      <c r="G531" s="137"/>
      <c r="H531" s="137"/>
      <c r="I531" s="137"/>
      <c r="J531" s="137"/>
      <c r="K531" s="137"/>
      <c r="L531" s="533"/>
      <c r="R531" s="480"/>
      <c r="S531" s="137"/>
      <c r="T531" s="137"/>
    </row>
    <row r="532" spans="2:20" s="170" customFormat="1" ht="13.5" customHeight="1" outlineLevel="1">
      <c r="B532" s="514" t="s">
        <v>570</v>
      </c>
      <c r="E532" s="137"/>
      <c r="F532" s="137"/>
      <c r="G532" s="137"/>
      <c r="H532" s="137"/>
      <c r="I532" s="137"/>
      <c r="J532" s="137"/>
      <c r="K532" s="137"/>
      <c r="L532" s="533"/>
      <c r="R532" s="480"/>
      <c r="S532" s="137"/>
      <c r="T532" s="137"/>
    </row>
    <row r="533" spans="2:20" s="170" customFormat="1" ht="13.5" customHeight="1" outlineLevel="1">
      <c r="B533" s="170" t="str">
        <f>B525</f>
        <v>Convertible bond 2</v>
      </c>
      <c r="E533" s="137"/>
      <c r="F533" s="134">
        <f t="shared" ref="F533:P533" si="398">IFERROR(F525/F529,0)</f>
        <v>7.0974971983563693</v>
      </c>
      <c r="G533" s="134">
        <f t="shared" si="398"/>
        <v>7.4346283152782968</v>
      </c>
      <c r="H533" s="134">
        <f t="shared" si="398"/>
        <v>7.7877731602540159</v>
      </c>
      <c r="I533" s="134">
        <f t="shared" si="398"/>
        <v>8.1576923853660812</v>
      </c>
      <c r="J533" s="134">
        <f t="shared" si="398"/>
        <v>8.3514375795185263</v>
      </c>
      <c r="K533" s="134">
        <f t="shared" si="398"/>
        <v>8.3514375795185263</v>
      </c>
      <c r="L533" s="134">
        <f t="shared" si="398"/>
        <v>8.3514375795185263</v>
      </c>
      <c r="M533" s="134">
        <f t="shared" si="398"/>
        <v>8.3514375795185263</v>
      </c>
      <c r="N533" s="134">
        <f t="shared" si="398"/>
        <v>8.3514375795185263</v>
      </c>
      <c r="O533" s="134">
        <f t="shared" si="398"/>
        <v>8.3514375795185263</v>
      </c>
      <c r="P533" s="134">
        <f t="shared" si="398"/>
        <v>8.3514375795185263</v>
      </c>
      <c r="R533" s="480"/>
      <c r="S533" s="134">
        <f>IFERROR(S525/S529,0)</f>
        <v>7.2660627568173322</v>
      </c>
      <c r="T533" s="134">
        <f>IFERROR(T525/T529,0)</f>
        <v>7.4346283152782959</v>
      </c>
    </row>
    <row r="534" spans="2:20" s="170" customFormat="1" ht="13.5" customHeight="1" outlineLevel="1">
      <c r="B534" s="170" t="str">
        <f>B526</f>
        <v>Preferred stock 2</v>
      </c>
      <c r="E534" s="137"/>
      <c r="F534" s="134">
        <f t="shared" ref="F534:P534" si="399">IFERROR(F526/F530,0)</f>
        <v>0</v>
      </c>
      <c r="G534" s="134">
        <f t="shared" si="399"/>
        <v>0</v>
      </c>
      <c r="H534" s="134">
        <f t="shared" si="399"/>
        <v>0</v>
      </c>
      <c r="I534" s="134">
        <f t="shared" si="399"/>
        <v>0</v>
      </c>
      <c r="J534" s="134">
        <f t="shared" si="399"/>
        <v>0</v>
      </c>
      <c r="K534" s="134">
        <f t="shared" si="399"/>
        <v>0</v>
      </c>
      <c r="L534" s="134">
        <f t="shared" si="399"/>
        <v>0</v>
      </c>
      <c r="M534" s="134">
        <f t="shared" si="399"/>
        <v>0</v>
      </c>
      <c r="N534" s="134">
        <f t="shared" si="399"/>
        <v>0</v>
      </c>
      <c r="O534" s="134">
        <f t="shared" si="399"/>
        <v>0</v>
      </c>
      <c r="P534" s="134">
        <f t="shared" si="399"/>
        <v>0</v>
      </c>
      <c r="R534" s="480"/>
      <c r="S534" s="134">
        <f>IFERROR(S526/S530,0)</f>
        <v>0</v>
      </c>
      <c r="T534" s="134">
        <f>IFERROR(T526/T530,0)</f>
        <v>0</v>
      </c>
    </row>
    <row r="535" spans="2:20" s="170" customFormat="1" ht="13.5" customHeight="1" outlineLevel="1">
      <c r="E535" s="137"/>
      <c r="F535" s="137"/>
      <c r="G535" s="137"/>
      <c r="H535" s="137"/>
      <c r="I535" s="137"/>
      <c r="J535" s="137"/>
      <c r="K535" s="137"/>
      <c r="L535" s="533"/>
      <c r="R535" s="480"/>
      <c r="S535" s="137"/>
      <c r="T535" s="137"/>
    </row>
    <row r="536" spans="2:20" s="170" customFormat="1" ht="13.5" customHeight="1" outlineLevel="1">
      <c r="B536" s="514" t="s">
        <v>572</v>
      </c>
      <c r="E536" s="137"/>
      <c r="F536" s="515"/>
      <c r="G536" s="515"/>
      <c r="H536" s="515"/>
      <c r="I536" s="515"/>
      <c r="J536" s="515"/>
      <c r="K536" s="515"/>
      <c r="L536" s="515"/>
      <c r="M536" s="515"/>
      <c r="N536" s="515"/>
      <c r="O536" s="515"/>
      <c r="P536" s="515"/>
      <c r="R536" s="480"/>
      <c r="S536" s="515"/>
      <c r="T536" s="515"/>
    </row>
    <row r="537" spans="2:20" s="170" customFormat="1" ht="13.5" customHeight="1" outlineLevel="1">
      <c r="B537" s="170" t="str">
        <f>B525</f>
        <v>Convertible bond 2</v>
      </c>
      <c r="E537" s="137"/>
      <c r="F537" s="515">
        <f t="shared" ref="F537:P537" si="400">(F$35+F320*(1-F$73*(1-$G346)))/(F$548+F533)</f>
        <v>1.2694068155687124</v>
      </c>
      <c r="G537" s="515">
        <f t="shared" ca="1" si="400"/>
        <v>1.1953062332191466</v>
      </c>
      <c r="H537" s="515">
        <f t="shared" ca="1" si="400"/>
        <v>1.1941445252686809</v>
      </c>
      <c r="I537" s="515">
        <f t="shared" ca="1" si="400"/>
        <v>1.2004286580329784</v>
      </c>
      <c r="J537" s="515">
        <f t="shared" ca="1" si="400"/>
        <v>1.3339124341477175</v>
      </c>
      <c r="K537" s="515">
        <f t="shared" ca="1" si="400"/>
        <v>1.3871950545913792</v>
      </c>
      <c r="L537" s="515">
        <f t="shared" ca="1" si="400"/>
        <v>1.4034676376687174</v>
      </c>
      <c r="M537" s="515">
        <f t="shared" ca="1" si="400"/>
        <v>1.4199109224052571</v>
      </c>
      <c r="N537" s="515">
        <f t="shared" ca="1" si="400"/>
        <v>1.4365266277812045</v>
      </c>
      <c r="O537" s="515">
        <f t="shared" ca="1" si="400"/>
        <v>1.4533164899845112</v>
      </c>
      <c r="P537" s="515">
        <f t="shared" ca="1" si="400"/>
        <v>1.470282262582981</v>
      </c>
      <c r="R537" s="480"/>
      <c r="S537" s="515">
        <f ca="1">(S$35+S320*(1-S$73*(1-$G346)))/(S$548+S533)</f>
        <v>0.60001765641561555</v>
      </c>
      <c r="T537" s="515">
        <f ca="1">(T$35+T320*(1-T$73*(1-$G346)))/(T$548+T533)</f>
        <v>0.59765311660957332</v>
      </c>
    </row>
    <row r="538" spans="2:20" s="170" customFormat="1" ht="13.5" customHeight="1" outlineLevel="1">
      <c r="B538" s="170" t="str">
        <f>B526</f>
        <v>Preferred stock 2</v>
      </c>
      <c r="E538" s="137"/>
      <c r="F538" s="515">
        <f t="shared" ref="F538:P538" si="401">(F$35+F321*(1-F$73*(1-$G347)))/(F$548+F534)</f>
        <v>1.2167515563101303</v>
      </c>
      <c r="G538" s="515">
        <f t="shared" ca="1" si="401"/>
        <v>1.1403196710210626</v>
      </c>
      <c r="H538" s="515">
        <f t="shared" ca="1" si="401"/>
        <v>1.1362900991591509</v>
      </c>
      <c r="I538" s="515">
        <f t="shared" ca="1" si="401"/>
        <v>1.1412767415332723</v>
      </c>
      <c r="J538" s="515">
        <f t="shared" ca="1" si="401"/>
        <v>1.2969141332691683</v>
      </c>
      <c r="K538" s="515">
        <f t="shared" ca="1" si="401"/>
        <v>1.3544230080168258</v>
      </c>
      <c r="L538" s="515">
        <f t="shared" ca="1" si="401"/>
        <v>1.3745410767146486</v>
      </c>
      <c r="M538" s="515">
        <f t="shared" ca="1" si="401"/>
        <v>1.3948701867505509</v>
      </c>
      <c r="N538" s="515">
        <f t="shared" ca="1" si="401"/>
        <v>1.4154124633287308</v>
      </c>
      <c r="O538" s="515">
        <f t="shared" ca="1" si="401"/>
        <v>1.4361700529276127</v>
      </c>
      <c r="P538" s="515">
        <f t="shared" ca="1" si="401"/>
        <v>1.4571451235126254</v>
      </c>
      <c r="R538" s="480"/>
      <c r="S538" s="515">
        <f ca="1">(S$35+S321*(1-S$73*(1-$G347)))/(S$548+S534)</f>
        <v>0.57015983551053129</v>
      </c>
      <c r="T538" s="515">
        <f ca="1">(T$35+T321*(1-T$73*(1-$G347)))/(T$548+T534)</f>
        <v>0.57015983551053129</v>
      </c>
    </row>
    <row r="539" spans="2:20" s="170" customFormat="1" ht="13.5" customHeight="1" outlineLevel="1">
      <c r="E539" s="137"/>
      <c r="F539" s="137"/>
      <c r="G539" s="137"/>
      <c r="H539" s="137"/>
      <c r="I539" s="137"/>
      <c r="J539" s="137"/>
      <c r="K539" s="137"/>
      <c r="L539" s="533"/>
      <c r="R539" s="480"/>
      <c r="S539" s="137"/>
      <c r="T539" s="137"/>
    </row>
    <row r="540" spans="2:20" s="170" customFormat="1" ht="13.5" customHeight="1" outlineLevel="1">
      <c r="B540" s="170" t="s">
        <v>567</v>
      </c>
      <c r="E540" s="137"/>
      <c r="F540" s="515">
        <f t="shared" ref="F540:P540" si="402">F$35/F$548</f>
        <v>1.2167515563101303</v>
      </c>
      <c r="G540" s="515">
        <f t="shared" ca="1" si="402"/>
        <v>1.1403196710210626</v>
      </c>
      <c r="H540" s="515">
        <f t="shared" ca="1" si="402"/>
        <v>1.1362900991591509</v>
      </c>
      <c r="I540" s="515">
        <f t="shared" ca="1" si="402"/>
        <v>1.1412767415332723</v>
      </c>
      <c r="J540" s="515">
        <f t="shared" ca="1" si="402"/>
        <v>1.2969141332691683</v>
      </c>
      <c r="K540" s="515">
        <f t="shared" ca="1" si="402"/>
        <v>1.3544230080168258</v>
      </c>
      <c r="L540" s="515">
        <f t="shared" ca="1" si="402"/>
        <v>1.3745410767146486</v>
      </c>
      <c r="M540" s="515">
        <f t="shared" ca="1" si="402"/>
        <v>1.3948701867505509</v>
      </c>
      <c r="N540" s="515">
        <f t="shared" ca="1" si="402"/>
        <v>1.4154124633287308</v>
      </c>
      <c r="O540" s="515">
        <f t="shared" ca="1" si="402"/>
        <v>1.4361700529276127</v>
      </c>
      <c r="P540" s="515">
        <f t="shared" ca="1" si="402"/>
        <v>1.4571451235126254</v>
      </c>
      <c r="R540" s="480"/>
      <c r="S540" s="515">
        <f ca="1">S$35/S$548</f>
        <v>0.57015983551053129</v>
      </c>
      <c r="T540" s="515">
        <f ca="1">T$35/T$548</f>
        <v>0.57015983551053129</v>
      </c>
    </row>
    <row r="541" spans="2:20" s="170" customFormat="1" ht="13.5" customHeight="1" outlineLevel="1">
      <c r="E541" s="137"/>
      <c r="F541" s="137"/>
      <c r="G541" s="137"/>
      <c r="H541" s="137"/>
      <c r="I541" s="137"/>
      <c r="J541" s="137"/>
      <c r="K541" s="137"/>
      <c r="L541" s="533"/>
      <c r="R541" s="480"/>
      <c r="S541" s="137"/>
      <c r="T541" s="137"/>
    </row>
    <row r="542" spans="2:20" s="170" customFormat="1" ht="13.5" customHeight="1" outlineLevel="1">
      <c r="B542" s="514" t="s">
        <v>568</v>
      </c>
      <c r="E542" s="137"/>
      <c r="R542" s="480"/>
    </row>
    <row r="543" spans="2:20" ht="13.5" customHeight="1" outlineLevel="1">
      <c r="B543" s="170" t="str">
        <f>B525</f>
        <v>Convertible bond 2</v>
      </c>
      <c r="C543" s="532"/>
      <c r="D543" s="532"/>
      <c r="E543" s="509"/>
      <c r="F543" s="93">
        <f t="shared" ref="F543:P543" si="403">(F537&lt;F$540)*1</f>
        <v>0</v>
      </c>
      <c r="G543" s="93">
        <f t="shared" ca="1" si="403"/>
        <v>0</v>
      </c>
      <c r="H543" s="93">
        <f t="shared" ca="1" si="403"/>
        <v>0</v>
      </c>
      <c r="I543" s="93">
        <f t="shared" ca="1" si="403"/>
        <v>0</v>
      </c>
      <c r="J543" s="93">
        <f t="shared" ca="1" si="403"/>
        <v>0</v>
      </c>
      <c r="K543" s="93">
        <f t="shared" ca="1" si="403"/>
        <v>0</v>
      </c>
      <c r="L543" s="93">
        <f t="shared" ca="1" si="403"/>
        <v>0</v>
      </c>
      <c r="M543" s="93">
        <f t="shared" ca="1" si="403"/>
        <v>0</v>
      </c>
      <c r="N543" s="93">
        <f t="shared" ca="1" si="403"/>
        <v>0</v>
      </c>
      <c r="O543" s="93">
        <f t="shared" ca="1" si="403"/>
        <v>0</v>
      </c>
      <c r="P543" s="93">
        <f t="shared" ca="1" si="403"/>
        <v>0</v>
      </c>
      <c r="R543" s="434"/>
      <c r="S543" s="93">
        <f ca="1">(S537&lt;S$540)*1</f>
        <v>0</v>
      </c>
      <c r="T543" s="93">
        <f ca="1">(T537&lt;T$540)*1</f>
        <v>0</v>
      </c>
    </row>
    <row r="544" spans="2:20" ht="13.5" customHeight="1" outlineLevel="1">
      <c r="B544" s="170" t="str">
        <f>B526</f>
        <v>Preferred stock 2</v>
      </c>
      <c r="C544" s="532"/>
      <c r="D544" s="532"/>
      <c r="E544" s="509"/>
      <c r="F544" s="93">
        <f t="shared" ref="F544:P544" si="404">(F538&lt;F$540)*1</f>
        <v>0</v>
      </c>
      <c r="G544" s="93">
        <f t="shared" ca="1" si="404"/>
        <v>0</v>
      </c>
      <c r="H544" s="93">
        <f t="shared" ca="1" si="404"/>
        <v>0</v>
      </c>
      <c r="I544" s="93">
        <f t="shared" ca="1" si="404"/>
        <v>0</v>
      </c>
      <c r="J544" s="93">
        <f t="shared" ca="1" si="404"/>
        <v>0</v>
      </c>
      <c r="K544" s="93">
        <f t="shared" ca="1" si="404"/>
        <v>0</v>
      </c>
      <c r="L544" s="93">
        <f t="shared" ca="1" si="404"/>
        <v>0</v>
      </c>
      <c r="M544" s="93">
        <f t="shared" ca="1" si="404"/>
        <v>0</v>
      </c>
      <c r="N544" s="93">
        <f t="shared" ca="1" si="404"/>
        <v>0</v>
      </c>
      <c r="O544" s="93">
        <f t="shared" ca="1" si="404"/>
        <v>0</v>
      </c>
      <c r="P544" s="93">
        <f t="shared" ca="1" si="404"/>
        <v>0</v>
      </c>
      <c r="R544" s="434"/>
      <c r="S544" s="93">
        <f ca="1">(S538&lt;S$540)*1</f>
        <v>0</v>
      </c>
      <c r="T544" s="93">
        <f ca="1">(T538&lt;T$540)*1</f>
        <v>0</v>
      </c>
    </row>
    <row r="545" spans="1:20" ht="13.5" customHeight="1" outlineLevel="1">
      <c r="B545" s="532"/>
      <c r="C545" s="532"/>
      <c r="D545" s="532"/>
      <c r="E545" s="509"/>
      <c r="F545" s="509"/>
      <c r="G545" s="509"/>
      <c r="H545" s="509"/>
      <c r="I545" s="509"/>
      <c r="J545" s="509"/>
      <c r="K545" s="509"/>
      <c r="L545" s="510"/>
      <c r="R545" s="434"/>
      <c r="S545" s="509"/>
      <c r="T545" s="509"/>
    </row>
    <row r="546" spans="1:20" ht="13.5" customHeight="1" outlineLevel="1">
      <c r="B546" s="78" t="s">
        <v>579</v>
      </c>
      <c r="C546" s="79"/>
      <c r="D546" s="80"/>
      <c r="E546" s="80"/>
      <c r="F546" s="80"/>
      <c r="G546" s="80"/>
      <c r="H546" s="80"/>
      <c r="I546" s="80"/>
      <c r="J546" s="80"/>
      <c r="K546" s="80"/>
      <c r="L546" s="80"/>
      <c r="M546" s="80"/>
      <c r="N546" s="80"/>
      <c r="O546" s="80"/>
      <c r="P546" s="81"/>
      <c r="R546" s="434"/>
      <c r="S546" s="525"/>
      <c r="T546" s="81"/>
    </row>
    <row r="547" spans="1:20" ht="13.5" customHeight="1" outlineLevel="1">
      <c r="B547" s="532"/>
      <c r="C547" s="532"/>
      <c r="D547" s="532"/>
      <c r="E547" s="509"/>
      <c r="F547" s="509"/>
      <c r="G547" s="509"/>
      <c r="H547" s="509"/>
      <c r="I547" s="509"/>
      <c r="J547" s="509"/>
      <c r="K547" s="509"/>
      <c r="L547" s="510"/>
      <c r="R547" s="434"/>
      <c r="S547" s="509"/>
      <c r="T547" s="509"/>
    </row>
    <row r="548" spans="1:20" ht="13.5" customHeight="1" outlineLevel="1">
      <c r="B548" s="36" t="s">
        <v>123</v>
      </c>
      <c r="E548" s="171"/>
      <c r="F548" s="513">
        <v>35.340000000000003</v>
      </c>
      <c r="G548" s="134">
        <f>F548</f>
        <v>35.340000000000003</v>
      </c>
      <c r="H548" s="134">
        <f t="shared" ref="H548" si="405">G548</f>
        <v>35.340000000000003</v>
      </c>
      <c r="I548" s="134">
        <f t="shared" ref="I548" si="406">H548</f>
        <v>35.340000000000003</v>
      </c>
      <c r="J548" s="134">
        <f t="shared" ref="J548" si="407">I548</f>
        <v>35.340000000000003</v>
      </c>
      <c r="K548" s="134">
        <f t="shared" ref="K548" si="408">J548</f>
        <v>35.340000000000003</v>
      </c>
      <c r="L548" s="134">
        <f t="shared" ref="L548" si="409">K548</f>
        <v>35.340000000000003</v>
      </c>
      <c r="M548" s="134">
        <f t="shared" ref="M548" si="410">L548</f>
        <v>35.340000000000003</v>
      </c>
      <c r="N548" s="134">
        <f t="shared" ref="N548" si="411">M548</f>
        <v>35.340000000000003</v>
      </c>
      <c r="O548" s="134">
        <f t="shared" ref="O548" si="412">N548</f>
        <v>35.340000000000003</v>
      </c>
      <c r="P548" s="134">
        <f t="shared" ref="P548" si="413">O548</f>
        <v>35.340000000000003</v>
      </c>
      <c r="R548" s="434"/>
      <c r="S548" s="134">
        <f>$G548</f>
        <v>35.340000000000003</v>
      </c>
      <c r="T548" s="134">
        <f>$G548</f>
        <v>35.340000000000003</v>
      </c>
    </row>
    <row r="549" spans="1:20" ht="13.5" customHeight="1" outlineLevel="1">
      <c r="B549" s="36" t="s">
        <v>273</v>
      </c>
      <c r="C549" s="532"/>
      <c r="D549" s="532"/>
      <c r="E549" s="509"/>
      <c r="F549" s="134">
        <f t="shared" ref="F549:P549" si="414">$H520</f>
        <v>2.7379912663755834E-3</v>
      </c>
      <c r="G549" s="134">
        <f t="shared" si="414"/>
        <v>2.7379912663755834E-3</v>
      </c>
      <c r="H549" s="134">
        <f t="shared" si="414"/>
        <v>2.7379912663755834E-3</v>
      </c>
      <c r="I549" s="134">
        <f t="shared" si="414"/>
        <v>2.7379912663755834E-3</v>
      </c>
      <c r="J549" s="134">
        <f t="shared" si="414"/>
        <v>2.7379912663755834E-3</v>
      </c>
      <c r="K549" s="134">
        <f t="shared" si="414"/>
        <v>2.7379912663755834E-3</v>
      </c>
      <c r="L549" s="134">
        <f t="shared" si="414"/>
        <v>2.7379912663755834E-3</v>
      </c>
      <c r="M549" s="134">
        <f t="shared" si="414"/>
        <v>2.7379912663755834E-3</v>
      </c>
      <c r="N549" s="134">
        <f t="shared" si="414"/>
        <v>2.7379912663755834E-3</v>
      </c>
      <c r="O549" s="134">
        <f t="shared" si="414"/>
        <v>2.7379912663755834E-3</v>
      </c>
      <c r="P549" s="134">
        <f t="shared" si="414"/>
        <v>2.7379912663755834E-3</v>
      </c>
      <c r="R549" s="434"/>
      <c r="S549" s="134">
        <f>$H520</f>
        <v>2.7379912663755834E-3</v>
      </c>
      <c r="T549" s="134">
        <f>$H520</f>
        <v>2.7379912663755834E-3</v>
      </c>
    </row>
    <row r="550" spans="1:20" ht="13.5" customHeight="1" outlineLevel="1">
      <c r="B550" s="36" t="str">
        <f>"( + ) Shares from "&amp;B525</f>
        <v>( + ) Shares from Convertible bond 2</v>
      </c>
      <c r="C550" s="532"/>
      <c r="D550" s="532"/>
      <c r="E550" s="509"/>
      <c r="F550" s="134">
        <f t="shared" ref="F550" si="415">F533*F543</f>
        <v>0</v>
      </c>
      <c r="G550" s="134">
        <f t="shared" ref="G550:P550" ca="1" si="416">G533*G543</f>
        <v>0</v>
      </c>
      <c r="H550" s="134">
        <f t="shared" ca="1" si="416"/>
        <v>0</v>
      </c>
      <c r="I550" s="134">
        <f t="shared" ca="1" si="416"/>
        <v>0</v>
      </c>
      <c r="J550" s="134">
        <f t="shared" ca="1" si="416"/>
        <v>0</v>
      </c>
      <c r="K550" s="134">
        <f t="shared" ca="1" si="416"/>
        <v>0</v>
      </c>
      <c r="L550" s="134">
        <f t="shared" ca="1" si="416"/>
        <v>0</v>
      </c>
      <c r="M550" s="134">
        <f t="shared" ca="1" si="416"/>
        <v>0</v>
      </c>
      <c r="N550" s="134">
        <f t="shared" ca="1" si="416"/>
        <v>0</v>
      </c>
      <c r="O550" s="134">
        <f t="shared" ca="1" si="416"/>
        <v>0</v>
      </c>
      <c r="P550" s="134">
        <f t="shared" ca="1" si="416"/>
        <v>0</v>
      </c>
      <c r="R550" s="434"/>
      <c r="S550" s="134">
        <f ca="1">S533*S543</f>
        <v>0</v>
      </c>
      <c r="T550" s="134">
        <f ca="1">T533*T543</f>
        <v>0</v>
      </c>
    </row>
    <row r="551" spans="1:20" ht="13.5" customHeight="1" outlineLevel="1">
      <c r="B551" s="36" t="str">
        <f>"( + ) Shares from "&amp;B526</f>
        <v>( + ) Shares from Preferred stock 2</v>
      </c>
      <c r="C551" s="532"/>
      <c r="D551" s="532"/>
      <c r="E551" s="509"/>
      <c r="F551" s="134">
        <f t="shared" ref="F551" si="417">F534*F544</f>
        <v>0</v>
      </c>
      <c r="G551" s="134">
        <f t="shared" ref="G551:P551" ca="1" si="418">G534*G544</f>
        <v>0</v>
      </c>
      <c r="H551" s="134">
        <f t="shared" ca="1" si="418"/>
        <v>0</v>
      </c>
      <c r="I551" s="134">
        <f t="shared" ca="1" si="418"/>
        <v>0</v>
      </c>
      <c r="J551" s="134">
        <f t="shared" ca="1" si="418"/>
        <v>0</v>
      </c>
      <c r="K551" s="134">
        <f t="shared" ca="1" si="418"/>
        <v>0</v>
      </c>
      <c r="L551" s="134">
        <f t="shared" ca="1" si="418"/>
        <v>0</v>
      </c>
      <c r="M551" s="134">
        <f t="shared" ca="1" si="418"/>
        <v>0</v>
      </c>
      <c r="N551" s="134">
        <f t="shared" ca="1" si="418"/>
        <v>0</v>
      </c>
      <c r="O551" s="134">
        <f t="shared" ca="1" si="418"/>
        <v>0</v>
      </c>
      <c r="P551" s="134">
        <f t="shared" ca="1" si="418"/>
        <v>0</v>
      </c>
      <c r="R551" s="434"/>
      <c r="S551" s="134">
        <f ca="1">S534*S544</f>
        <v>0</v>
      </c>
      <c r="T551" s="134">
        <f ca="1">T534*T544</f>
        <v>0</v>
      </c>
    </row>
    <row r="552" spans="1:20" ht="13.5" customHeight="1" outlineLevel="1">
      <c r="B552" s="534" t="s">
        <v>122</v>
      </c>
      <c r="C552" s="534"/>
      <c r="D552" s="534"/>
      <c r="E552" s="535"/>
      <c r="F552" s="535">
        <f t="shared" ref="F552:P552" si="419">SUM(F548:F551)</f>
        <v>35.342737991266382</v>
      </c>
      <c r="G552" s="535">
        <f t="shared" ca="1" si="419"/>
        <v>35.342737991266382</v>
      </c>
      <c r="H552" s="535">
        <f t="shared" ca="1" si="419"/>
        <v>35.342737991266382</v>
      </c>
      <c r="I552" s="535">
        <f t="shared" ca="1" si="419"/>
        <v>35.342737991266382</v>
      </c>
      <c r="J552" s="535">
        <f t="shared" ca="1" si="419"/>
        <v>35.342737991266382</v>
      </c>
      <c r="K552" s="535">
        <f t="shared" ca="1" si="419"/>
        <v>35.342737991266382</v>
      </c>
      <c r="L552" s="535">
        <f t="shared" ca="1" si="419"/>
        <v>35.342737991266382</v>
      </c>
      <c r="M552" s="535">
        <f t="shared" ca="1" si="419"/>
        <v>35.342737991266382</v>
      </c>
      <c r="N552" s="535">
        <f t="shared" ca="1" si="419"/>
        <v>35.342737991266382</v>
      </c>
      <c r="O552" s="535">
        <f t="shared" ca="1" si="419"/>
        <v>35.342737991266382</v>
      </c>
      <c r="P552" s="535">
        <f t="shared" ca="1" si="419"/>
        <v>35.342737991266382</v>
      </c>
      <c r="R552" s="434"/>
      <c r="S552" s="516">
        <f ca="1">SUM(S548:S551)</f>
        <v>35.342737991266382</v>
      </c>
      <c r="T552" s="516">
        <f ca="1">SUM(T548:T551)</f>
        <v>35.342737991266382</v>
      </c>
    </row>
    <row r="553" spans="1:20" ht="5.0999999999999996" customHeight="1" outlineLevel="1" thickBot="1">
      <c r="B553" s="77"/>
      <c r="C553" s="77"/>
      <c r="D553" s="77"/>
      <c r="E553" s="517"/>
      <c r="F553" s="517"/>
      <c r="G553" s="518"/>
      <c r="H553" s="519"/>
      <c r="I553" s="519"/>
      <c r="J553" s="519"/>
      <c r="K553" s="519"/>
      <c r="L553" s="519"/>
      <c r="M553" s="519"/>
      <c r="N553" s="519"/>
      <c r="O553" s="519"/>
      <c r="P553" s="519"/>
      <c r="Q553" s="519"/>
      <c r="R553" s="519"/>
      <c r="S553" s="519"/>
      <c r="T553" s="519"/>
    </row>
    <row r="554" spans="1:20" s="82" customFormat="1" ht="13.5" customHeight="1" outlineLevel="1">
      <c r="L554" s="536"/>
    </row>
    <row r="555" spans="1:20" s="82" customFormat="1" ht="13.5" customHeight="1" outlineLevel="1" thickBot="1"/>
    <row r="556" spans="1:20" ht="20.7" thickTop="1">
      <c r="A556" s="281" t="s">
        <v>631</v>
      </c>
      <c r="B556" s="522" t="str">
        <f>target&amp;" Summary Credit Metrics"</f>
        <v>TargetCo Summary Credit Metrics</v>
      </c>
      <c r="C556" s="523"/>
      <c r="D556" s="524"/>
      <c r="E556" s="524"/>
      <c r="F556" s="524"/>
      <c r="G556" s="524"/>
      <c r="H556" s="524"/>
      <c r="I556" s="524"/>
      <c r="J556" s="524"/>
      <c r="K556" s="524"/>
      <c r="L556" s="524"/>
      <c r="M556" s="524"/>
      <c r="N556" s="524"/>
      <c r="O556" s="524"/>
      <c r="P556" s="524"/>
      <c r="Q556" s="524"/>
      <c r="R556" s="524"/>
      <c r="S556" s="524"/>
      <c r="T556" s="524"/>
    </row>
    <row r="557" spans="1:20" ht="5.0999999999999996" customHeight="1" outlineLevel="1">
      <c r="B557" s="107"/>
      <c r="C557" s="285"/>
      <c r="L557" s="57"/>
    </row>
    <row r="558" spans="1:20" ht="13.5" customHeight="1" outlineLevel="1">
      <c r="B558" s="286"/>
      <c r="C558" s="286"/>
      <c r="D558" s="286"/>
      <c r="E558" s="42"/>
      <c r="F558" s="432" t="s">
        <v>630</v>
      </c>
      <c r="G558" s="433" t="s">
        <v>629</v>
      </c>
      <c r="H558" s="433"/>
      <c r="I558" s="433"/>
      <c r="J558" s="433"/>
      <c r="K558" s="433"/>
      <c r="L558" s="433"/>
      <c r="M558" s="433"/>
      <c r="N558" s="433"/>
      <c r="O558" s="433"/>
      <c r="P558" s="433"/>
      <c r="R558" s="434"/>
      <c r="S558" s="433" t="s">
        <v>628</v>
      </c>
      <c r="T558" s="433"/>
    </row>
    <row r="559" spans="1:20" ht="13.5" customHeight="1" outlineLevel="1" thickBot="1">
      <c r="B559" s="435" t="str">
        <f>"("&amp;curr&amp;" in millions)"</f>
        <v>($ in millions)</v>
      </c>
      <c r="C559" s="436"/>
      <c r="D559" s="436"/>
      <c r="E559" s="437"/>
      <c r="F559" s="439">
        <f t="shared" ref="F559" si="420">F$8</f>
        <v>44926</v>
      </c>
      <c r="G559" s="439">
        <f t="shared" ref="G559:P559" si="421">G$8</f>
        <v>45291</v>
      </c>
      <c r="H559" s="439">
        <f t="shared" si="421"/>
        <v>45657</v>
      </c>
      <c r="I559" s="439">
        <f t="shared" si="421"/>
        <v>46022</v>
      </c>
      <c r="J559" s="439">
        <f t="shared" si="421"/>
        <v>46387</v>
      </c>
      <c r="K559" s="439">
        <f t="shared" si="421"/>
        <v>46752</v>
      </c>
      <c r="L559" s="439">
        <f t="shared" si="421"/>
        <v>47118</v>
      </c>
      <c r="M559" s="439">
        <f t="shared" si="421"/>
        <v>47483</v>
      </c>
      <c r="N559" s="439">
        <f t="shared" si="421"/>
        <v>47848</v>
      </c>
      <c r="O559" s="439">
        <f t="shared" si="421"/>
        <v>48213</v>
      </c>
      <c r="P559" s="439">
        <f t="shared" si="421"/>
        <v>48579</v>
      </c>
      <c r="R559" s="434"/>
      <c r="S559" s="440">
        <f>S$8</f>
        <v>45107</v>
      </c>
      <c r="T559" s="440">
        <f>T$8</f>
        <v>45291</v>
      </c>
    </row>
    <row r="560" spans="1:20" ht="5.0999999999999996" customHeight="1" outlineLevel="1">
      <c r="B560" s="50"/>
      <c r="C560" s="50"/>
      <c r="D560" s="50"/>
      <c r="L560" s="57"/>
      <c r="R560" s="434"/>
    </row>
    <row r="561" spans="2:20" ht="13.5" customHeight="1" outlineLevel="1">
      <c r="B561" s="78" t="s">
        <v>617</v>
      </c>
      <c r="C561" s="79"/>
      <c r="D561" s="80"/>
      <c r="E561" s="80"/>
      <c r="F561" s="80"/>
      <c r="G561" s="80"/>
      <c r="H561" s="80"/>
      <c r="I561" s="80"/>
      <c r="J561" s="80"/>
      <c r="K561" s="80"/>
      <c r="L561" s="80"/>
      <c r="M561" s="80"/>
      <c r="N561" s="80"/>
      <c r="O561" s="80"/>
      <c r="P561" s="81"/>
      <c r="R561" s="434"/>
      <c r="S561" s="525"/>
      <c r="T561" s="81"/>
    </row>
    <row r="562" spans="2:20" ht="13.5" customHeight="1" outlineLevel="1">
      <c r="B562" s="532"/>
      <c r="C562" s="532"/>
      <c r="D562" s="532"/>
      <c r="E562" s="509"/>
      <c r="F562" s="509"/>
      <c r="G562" s="509"/>
      <c r="H562" s="509"/>
      <c r="I562" s="509"/>
      <c r="J562" s="509"/>
      <c r="K562" s="509"/>
      <c r="L562" s="510"/>
      <c r="R562" s="434"/>
      <c r="S562" s="509"/>
      <c r="T562" s="509"/>
    </row>
    <row r="563" spans="2:20" ht="13.5" customHeight="1" outlineLevel="1">
      <c r="B563" s="36" t="s">
        <v>298</v>
      </c>
      <c r="F563" s="231"/>
      <c r="G563" s="231">
        <f t="shared" ref="G563:P563" ca="1" si="422">G272+G281+G287+G293</f>
        <v>244.52500000000001</v>
      </c>
      <c r="H563" s="231">
        <f t="shared" ca="1" si="422"/>
        <v>253.97868750000001</v>
      </c>
      <c r="I563" s="231">
        <f t="shared" ca="1" si="422"/>
        <v>263.88142515624997</v>
      </c>
      <c r="J563" s="231">
        <f t="shared" ca="1" si="422"/>
        <v>269.06798400371093</v>
      </c>
      <c r="K563" s="231">
        <f t="shared" ca="1" si="422"/>
        <v>269.06798400371093</v>
      </c>
      <c r="L563" s="231">
        <f t="shared" ca="1" si="422"/>
        <v>269.06798400371093</v>
      </c>
      <c r="M563" s="231">
        <f t="shared" ca="1" si="422"/>
        <v>269.06798400371093</v>
      </c>
      <c r="N563" s="231">
        <f t="shared" ca="1" si="422"/>
        <v>269.06798400371093</v>
      </c>
      <c r="O563" s="231">
        <f t="shared" ca="1" si="422"/>
        <v>269.06798400371093</v>
      </c>
      <c r="P563" s="231">
        <f t="shared" ca="1" si="422"/>
        <v>269.06798400371093</v>
      </c>
      <c r="R563" s="434"/>
      <c r="S563" s="231">
        <f ca="1">S272+S281+S287+S293</f>
        <v>240.01249999999999</v>
      </c>
      <c r="T563" s="231">
        <f ca="1">T272+T281+T287+T293</f>
        <v>244.52499999999998</v>
      </c>
    </row>
    <row r="564" spans="2:20" ht="13.5" customHeight="1" outlineLevel="1">
      <c r="B564" s="36" t="s">
        <v>609</v>
      </c>
      <c r="C564" s="381"/>
      <c r="D564" s="381"/>
      <c r="F564" s="163"/>
      <c r="G564" s="163">
        <f t="shared" ref="G564:P564" ca="1" si="423">G563-G84</f>
        <v>8.7902415588540919</v>
      </c>
      <c r="H564" s="163">
        <f t="shared" ca="1" si="423"/>
        <v>-54.082763046590259</v>
      </c>
      <c r="I564" s="163">
        <f t="shared" ca="1" si="423"/>
        <v>-115.29672990617416</v>
      </c>
      <c r="J564" s="163">
        <f t="shared" ca="1" si="423"/>
        <v>-173.19473465784262</v>
      </c>
      <c r="K564" s="163">
        <f t="shared" ca="1" si="423"/>
        <v>-230.52784363591269</v>
      </c>
      <c r="L564" s="163">
        <f t="shared" ca="1" si="423"/>
        <v>-288.66660316051133</v>
      </c>
      <c r="M564" s="163">
        <f t="shared" ca="1" si="423"/>
        <v>-347.61941821251384</v>
      </c>
      <c r="N564" s="163">
        <f t="shared" ca="1" si="423"/>
        <v>-407.39477834531152</v>
      </c>
      <c r="O564" s="163">
        <f t="shared" ca="1" si="423"/>
        <v>-468.0012585313213</v>
      </c>
      <c r="P564" s="163">
        <f t="shared" ca="1" si="423"/>
        <v>-529.44752001696088</v>
      </c>
      <c r="R564" s="434"/>
      <c r="S564" s="163">
        <f ca="1">S563-S84</f>
        <v>52.714176767604073</v>
      </c>
      <c r="T564" s="163">
        <f ca="1">T563-T84</f>
        <v>8.7902415588540634</v>
      </c>
    </row>
    <row r="565" spans="2:20" ht="13.5" customHeight="1" outlineLevel="1">
      <c r="B565" s="36" t="s">
        <v>610</v>
      </c>
      <c r="C565" s="381"/>
      <c r="D565" s="381"/>
      <c r="F565" s="163"/>
      <c r="G565" s="163">
        <f t="shared" ref="G565:P565" ca="1" si="424">G272+G281</f>
        <v>0</v>
      </c>
      <c r="H565" s="163">
        <f t="shared" ca="1" si="424"/>
        <v>0</v>
      </c>
      <c r="I565" s="163">
        <f t="shared" ca="1" si="424"/>
        <v>0</v>
      </c>
      <c r="J565" s="163">
        <f t="shared" ca="1" si="424"/>
        <v>0</v>
      </c>
      <c r="K565" s="163">
        <f t="shared" ca="1" si="424"/>
        <v>0</v>
      </c>
      <c r="L565" s="163">
        <f t="shared" ca="1" si="424"/>
        <v>0</v>
      </c>
      <c r="M565" s="163">
        <f t="shared" ca="1" si="424"/>
        <v>0</v>
      </c>
      <c r="N565" s="163">
        <f t="shared" ca="1" si="424"/>
        <v>0</v>
      </c>
      <c r="O565" s="163">
        <f t="shared" ca="1" si="424"/>
        <v>0</v>
      </c>
      <c r="P565" s="163">
        <f t="shared" ca="1" si="424"/>
        <v>0</v>
      </c>
      <c r="R565" s="434"/>
      <c r="S565" s="163">
        <f ca="1">S272+S281</f>
        <v>0</v>
      </c>
      <c r="T565" s="163">
        <f ca="1">T272+T281</f>
        <v>0</v>
      </c>
    </row>
    <row r="566" spans="2:20" ht="13.5" customHeight="1" outlineLevel="1">
      <c r="B566" s="36" t="s">
        <v>611</v>
      </c>
      <c r="C566" s="381"/>
      <c r="D566" s="381"/>
      <c r="F566" s="163"/>
      <c r="G566" s="163">
        <f t="shared" ref="G566:P566" si="425">G299</f>
        <v>0</v>
      </c>
      <c r="H566" s="163">
        <f t="shared" si="425"/>
        <v>0</v>
      </c>
      <c r="I566" s="163">
        <f t="shared" si="425"/>
        <v>0</v>
      </c>
      <c r="J566" s="163">
        <f t="shared" si="425"/>
        <v>0</v>
      </c>
      <c r="K566" s="163">
        <f t="shared" si="425"/>
        <v>0</v>
      </c>
      <c r="L566" s="163">
        <f t="shared" si="425"/>
        <v>0</v>
      </c>
      <c r="M566" s="163">
        <f t="shared" si="425"/>
        <v>0</v>
      </c>
      <c r="N566" s="163">
        <f t="shared" si="425"/>
        <v>0</v>
      </c>
      <c r="O566" s="163">
        <f t="shared" si="425"/>
        <v>0</v>
      </c>
      <c r="P566" s="163">
        <f t="shared" si="425"/>
        <v>0</v>
      </c>
      <c r="R566" s="434"/>
      <c r="S566" s="163">
        <f>S299</f>
        <v>0</v>
      </c>
      <c r="T566" s="163">
        <f>T299</f>
        <v>0</v>
      </c>
    </row>
    <row r="567" spans="2:20" ht="13.5" customHeight="1" outlineLevel="1">
      <c r="B567" s="36" t="s">
        <v>612</v>
      </c>
      <c r="C567" s="381"/>
      <c r="D567" s="381"/>
      <c r="F567" s="163"/>
      <c r="G567" s="163">
        <f t="shared" ref="G567:P567" ca="1" si="426">G563+G566+SUM(G119:G123)</f>
        <v>408.6768971738843</v>
      </c>
      <c r="H567" s="163">
        <f t="shared" ca="1" si="426"/>
        <v>468.98707677816867</v>
      </c>
      <c r="I567" s="163">
        <f t="shared" ca="1" si="426"/>
        <v>530.02953448020457</v>
      </c>
      <c r="J567" s="163">
        <f t="shared" ca="1" si="426"/>
        <v>591.96410879739801</v>
      </c>
      <c r="K567" s="163">
        <f t="shared" ca="1" si="426"/>
        <v>650.85363860071266</v>
      </c>
      <c r="L567" s="163">
        <f t="shared" ca="1" si="426"/>
        <v>710.56438315880825</v>
      </c>
      <c r="M567" s="163">
        <f t="shared" ca="1" si="426"/>
        <v>771.10490309464262</v>
      </c>
      <c r="N567" s="163">
        <f t="shared" ca="1" si="426"/>
        <v>832.48384516011083</v>
      </c>
      <c r="O567" s="163">
        <f t="shared" ca="1" si="426"/>
        <v>894.70994309811749</v>
      </c>
      <c r="P567" s="163">
        <f t="shared" ca="1" si="426"/>
        <v>957.79201851327434</v>
      </c>
      <c r="R567" s="434"/>
      <c r="S567" s="163">
        <f ca="1">S563+S566+SUM(S119:S123)</f>
        <v>378.71494858694211</v>
      </c>
      <c r="T567" s="163">
        <f ca="1">T563+T566+SUM(T119:T123)</f>
        <v>408.6768971738843</v>
      </c>
    </row>
    <row r="568" spans="2:20" s="82" customFormat="1" ht="13.5" customHeight="1" outlineLevel="1">
      <c r="R568" s="537"/>
    </row>
    <row r="569" spans="2:20" ht="13.5" customHeight="1" outlineLevel="1">
      <c r="B569" s="78" t="s">
        <v>586</v>
      </c>
      <c r="C569" s="79"/>
      <c r="D569" s="80"/>
      <c r="E569" s="80"/>
      <c r="F569" s="80"/>
      <c r="G569" s="80"/>
      <c r="H569" s="80"/>
      <c r="I569" s="80"/>
      <c r="J569" s="80"/>
      <c r="K569" s="80"/>
      <c r="L569" s="80"/>
      <c r="M569" s="80"/>
      <c r="N569" s="80"/>
      <c r="O569" s="80"/>
      <c r="P569" s="81"/>
      <c r="R569" s="434"/>
      <c r="S569" s="525"/>
      <c r="T569" s="81"/>
    </row>
    <row r="570" spans="2:20" ht="13.5" customHeight="1" outlineLevel="1">
      <c r="B570" s="321"/>
      <c r="C570" s="321"/>
      <c r="D570" s="321"/>
      <c r="E570" s="385"/>
      <c r="F570" s="385"/>
      <c r="G570" s="385"/>
      <c r="H570" s="385"/>
      <c r="I570" s="385"/>
      <c r="J570" s="385"/>
      <c r="K570" s="385"/>
      <c r="L570" s="57"/>
      <c r="R570" s="434"/>
      <c r="S570" s="385"/>
      <c r="T570" s="385"/>
    </row>
    <row r="571" spans="2:20" ht="13.5" customHeight="1" outlineLevel="1">
      <c r="B571" s="36" t="s">
        <v>584</v>
      </c>
      <c r="F571" s="231"/>
      <c r="G571" s="231">
        <f t="shared" ref="G571:P571" si="427">G323</f>
        <v>1.6234587500000002</v>
      </c>
      <c r="H571" s="231">
        <f t="shared" ca="1" si="427"/>
        <v>0.5</v>
      </c>
      <c r="I571" s="231">
        <f t="shared" ca="1" si="427"/>
        <v>0.5</v>
      </c>
      <c r="J571" s="231">
        <f t="shared" ca="1" si="427"/>
        <v>0.5</v>
      </c>
      <c r="K571" s="231">
        <f t="shared" ca="1" si="427"/>
        <v>0.5</v>
      </c>
      <c r="L571" s="231">
        <f t="shared" ca="1" si="427"/>
        <v>0.5</v>
      </c>
      <c r="M571" s="231">
        <f t="shared" ca="1" si="427"/>
        <v>0.5</v>
      </c>
      <c r="N571" s="231">
        <f t="shared" ca="1" si="427"/>
        <v>0.5</v>
      </c>
      <c r="O571" s="231">
        <f t="shared" ca="1" si="427"/>
        <v>0.5</v>
      </c>
      <c r="P571" s="231">
        <f t="shared" ca="1" si="427"/>
        <v>0.5</v>
      </c>
      <c r="R571" s="434"/>
      <c r="S571" s="231">
        <f t="shared" ref="S571:T573" si="428">S323</f>
        <v>0.81172937500000009</v>
      </c>
      <c r="T571" s="231">
        <f t="shared" si="428"/>
        <v>0.81172937500000009</v>
      </c>
    </row>
    <row r="572" spans="2:20" ht="13.5" customHeight="1" outlineLevel="1">
      <c r="B572" s="36" t="s">
        <v>585</v>
      </c>
      <c r="F572" s="163"/>
      <c r="G572" s="163">
        <f t="shared" ref="G572:P572" si="429">G324</f>
        <v>14.402208750000002</v>
      </c>
      <c r="H572" s="163">
        <f t="shared" ca="1" si="429"/>
        <v>13.707437500000001</v>
      </c>
      <c r="I572" s="163">
        <f t="shared" ca="1" si="429"/>
        <v>14.15648765625</v>
      </c>
      <c r="J572" s="163">
        <f t="shared" ca="1" si="429"/>
        <v>19.813426542382814</v>
      </c>
      <c r="K572" s="163">
        <f t="shared" ca="1" si="429"/>
        <v>25.49270848035254</v>
      </c>
      <c r="L572" s="163">
        <f t="shared" ca="1" si="429"/>
        <v>25.49270848035254</v>
      </c>
      <c r="M572" s="163">
        <f t="shared" ca="1" si="429"/>
        <v>25.49270848035254</v>
      </c>
      <c r="N572" s="163">
        <f t="shared" ca="1" si="429"/>
        <v>25.49270848035254</v>
      </c>
      <c r="O572" s="163">
        <f t="shared" ca="1" si="429"/>
        <v>25.49270848035254</v>
      </c>
      <c r="P572" s="163">
        <f t="shared" ca="1" si="429"/>
        <v>25.49270848035254</v>
      </c>
      <c r="R572" s="434"/>
      <c r="S572" s="163">
        <f t="shared" si="428"/>
        <v>7.2011043750000008</v>
      </c>
      <c r="T572" s="163">
        <f t="shared" si="428"/>
        <v>7.2011043750000008</v>
      </c>
    </row>
    <row r="573" spans="2:20" ht="13.5" customHeight="1" outlineLevel="1">
      <c r="B573" s="36" t="s">
        <v>575</v>
      </c>
      <c r="F573" s="163"/>
      <c r="G573" s="163">
        <f t="shared" ref="G573:P573" si="430">G325</f>
        <v>23.427208750000002</v>
      </c>
      <c r="H573" s="163">
        <f t="shared" ca="1" si="430"/>
        <v>23.161125000000002</v>
      </c>
      <c r="I573" s="163">
        <f t="shared" ca="1" si="430"/>
        <v>24.059225312500001</v>
      </c>
      <c r="J573" s="163">
        <f t="shared" ca="1" si="430"/>
        <v>24.999985389843751</v>
      </c>
      <c r="K573" s="163">
        <f t="shared" ca="1" si="430"/>
        <v>25.49270848035254</v>
      </c>
      <c r="L573" s="163">
        <f t="shared" ca="1" si="430"/>
        <v>25.49270848035254</v>
      </c>
      <c r="M573" s="163">
        <f t="shared" ca="1" si="430"/>
        <v>25.49270848035254</v>
      </c>
      <c r="N573" s="163">
        <f t="shared" ca="1" si="430"/>
        <v>25.49270848035254</v>
      </c>
      <c r="O573" s="163">
        <f t="shared" ca="1" si="430"/>
        <v>25.49270848035254</v>
      </c>
      <c r="P573" s="163">
        <f t="shared" ca="1" si="430"/>
        <v>25.49270848035254</v>
      </c>
      <c r="R573" s="434"/>
      <c r="S573" s="163">
        <f t="shared" si="428"/>
        <v>11.713604375000001</v>
      </c>
      <c r="T573" s="163">
        <f t="shared" si="428"/>
        <v>11.713604375000001</v>
      </c>
    </row>
    <row r="574" spans="2:20" ht="13.5" customHeight="1" outlineLevel="1">
      <c r="B574" s="36" t="s">
        <v>587</v>
      </c>
      <c r="F574" s="163"/>
      <c r="G574" s="163">
        <f t="shared" ref="G574:P574" si="431">G325+G328</f>
        <v>23.427208750000002</v>
      </c>
      <c r="H574" s="163">
        <f t="shared" ca="1" si="431"/>
        <v>23.161125000000002</v>
      </c>
      <c r="I574" s="163">
        <f t="shared" ca="1" si="431"/>
        <v>24.059225312500001</v>
      </c>
      <c r="J574" s="163">
        <f t="shared" ca="1" si="431"/>
        <v>24.999985389843751</v>
      </c>
      <c r="K574" s="163">
        <f t="shared" ca="1" si="431"/>
        <v>25.49270848035254</v>
      </c>
      <c r="L574" s="163">
        <f t="shared" ca="1" si="431"/>
        <v>25.49270848035254</v>
      </c>
      <c r="M574" s="163">
        <f t="shared" ca="1" si="431"/>
        <v>25.49270848035254</v>
      </c>
      <c r="N574" s="163">
        <f t="shared" ca="1" si="431"/>
        <v>25.49270848035254</v>
      </c>
      <c r="O574" s="163">
        <f t="shared" ca="1" si="431"/>
        <v>25.49270848035254</v>
      </c>
      <c r="P574" s="163">
        <f t="shared" ca="1" si="431"/>
        <v>25.49270848035254</v>
      </c>
      <c r="R574" s="434"/>
      <c r="S574" s="163">
        <f>S325+S328</f>
        <v>11.713604375000001</v>
      </c>
      <c r="T574" s="163">
        <f>T325+T328</f>
        <v>11.713604375000001</v>
      </c>
    </row>
    <row r="575" spans="2:20" s="82" customFormat="1" ht="13.5" customHeight="1" outlineLevel="1">
      <c r="R575" s="537"/>
    </row>
    <row r="576" spans="2:20" ht="13.5" customHeight="1" outlineLevel="1">
      <c r="B576" s="78" t="s">
        <v>616</v>
      </c>
      <c r="C576" s="79"/>
      <c r="D576" s="80"/>
      <c r="E576" s="80"/>
      <c r="F576" s="80"/>
      <c r="G576" s="80"/>
      <c r="H576" s="80"/>
      <c r="I576" s="80"/>
      <c r="J576" s="80"/>
      <c r="K576" s="80"/>
      <c r="L576" s="80"/>
      <c r="M576" s="80"/>
      <c r="N576" s="80"/>
      <c r="O576" s="80"/>
      <c r="P576" s="81"/>
      <c r="R576" s="434"/>
      <c r="S576" s="525"/>
      <c r="T576" s="81"/>
    </row>
    <row r="577" spans="2:20" ht="13.5" customHeight="1" outlineLevel="1">
      <c r="B577" s="321"/>
      <c r="C577" s="321"/>
      <c r="D577" s="321"/>
      <c r="E577" s="385"/>
      <c r="F577" s="385"/>
      <c r="G577" s="385"/>
      <c r="H577" s="385"/>
      <c r="I577" s="385"/>
      <c r="J577" s="385"/>
      <c r="K577" s="385"/>
      <c r="L577" s="57"/>
      <c r="R577" s="434"/>
      <c r="S577" s="385"/>
      <c r="T577" s="385"/>
    </row>
    <row r="578" spans="2:20" ht="13.5" customHeight="1" outlineLevel="1">
      <c r="B578" s="53" t="s">
        <v>93</v>
      </c>
      <c r="F578" s="231"/>
      <c r="G578" s="231">
        <f t="shared" ref="G578:P578" si="432">G14</f>
        <v>126.49999999999999</v>
      </c>
      <c r="H578" s="231">
        <f t="shared" si="432"/>
        <v>125.9</v>
      </c>
      <c r="I578" s="231">
        <f t="shared" si="432"/>
        <v>127.15900000000001</v>
      </c>
      <c r="J578" s="231">
        <f t="shared" si="432"/>
        <v>128.43059000000002</v>
      </c>
      <c r="K578" s="231">
        <f t="shared" si="432"/>
        <v>129.71489590000004</v>
      </c>
      <c r="L578" s="231">
        <f t="shared" si="432"/>
        <v>131.01204485900004</v>
      </c>
      <c r="M578" s="231">
        <f t="shared" si="432"/>
        <v>132.32216530759001</v>
      </c>
      <c r="N578" s="231">
        <f t="shared" si="432"/>
        <v>133.64538696066592</v>
      </c>
      <c r="O578" s="231">
        <f t="shared" si="432"/>
        <v>134.98184083027257</v>
      </c>
      <c r="P578" s="231">
        <f t="shared" si="432"/>
        <v>136.3316592385753</v>
      </c>
      <c r="R578" s="434"/>
      <c r="S578" s="231">
        <f>S14</f>
        <v>63.249999999999993</v>
      </c>
      <c r="T578" s="231">
        <f>T14</f>
        <v>63.249999999999993</v>
      </c>
    </row>
    <row r="579" spans="2:20" ht="13.5" customHeight="1" outlineLevel="1">
      <c r="B579" s="36" t="s">
        <v>588</v>
      </c>
      <c r="F579" s="425"/>
      <c r="G579" s="425">
        <f t="shared" ref="G579:P579" si="433">IFERROR(G$578/G571,0)</f>
        <v>77.920058024264534</v>
      </c>
      <c r="H579" s="425">
        <f t="shared" ca="1" si="433"/>
        <v>251.8</v>
      </c>
      <c r="I579" s="425">
        <f t="shared" ca="1" si="433"/>
        <v>254.31800000000001</v>
      </c>
      <c r="J579" s="425">
        <f t="shared" ca="1" si="433"/>
        <v>256.86118000000005</v>
      </c>
      <c r="K579" s="425">
        <f t="shared" ca="1" si="433"/>
        <v>259.42979180000009</v>
      </c>
      <c r="L579" s="425">
        <f t="shared" ca="1" si="433"/>
        <v>262.02408971800008</v>
      </c>
      <c r="M579" s="425">
        <f t="shared" ca="1" si="433"/>
        <v>264.64433061518002</v>
      </c>
      <c r="N579" s="425">
        <f t="shared" ca="1" si="433"/>
        <v>267.29077392133183</v>
      </c>
      <c r="O579" s="425">
        <f t="shared" ca="1" si="433"/>
        <v>269.96368166054515</v>
      </c>
      <c r="P579" s="425">
        <f t="shared" ca="1" si="433"/>
        <v>272.6633184771506</v>
      </c>
      <c r="R579" s="434"/>
      <c r="S579" s="425">
        <f t="shared" ref="S579:T582" si="434">IFERROR(S$578/S571,0)</f>
        <v>77.920058024264534</v>
      </c>
      <c r="T579" s="425">
        <f t="shared" si="434"/>
        <v>77.920058024264534</v>
      </c>
    </row>
    <row r="580" spans="2:20" ht="13.5" customHeight="1" outlineLevel="1">
      <c r="B580" s="36" t="s">
        <v>589</v>
      </c>
      <c r="F580" s="425"/>
      <c r="G580" s="425">
        <f t="shared" ref="G580:P582" si="435">IFERROR(G$578/G572,0)</f>
        <v>8.7833749805910823</v>
      </c>
      <c r="H580" s="425">
        <f t="shared" ca="1" si="435"/>
        <v>9.1847947510247625</v>
      </c>
      <c r="I580" s="425">
        <f t="shared" ca="1" si="435"/>
        <v>8.9823834193688654</v>
      </c>
      <c r="J580" s="425">
        <f t="shared" ca="1" si="435"/>
        <v>6.4819979383815669</v>
      </c>
      <c r="K580" s="425">
        <f t="shared" ca="1" si="435"/>
        <v>5.0883136250497856</v>
      </c>
      <c r="L580" s="425">
        <f t="shared" ca="1" si="435"/>
        <v>5.1391967613002834</v>
      </c>
      <c r="M580" s="425">
        <f t="shared" ca="1" si="435"/>
        <v>5.1905887289132853</v>
      </c>
      <c r="N580" s="425">
        <f t="shared" ca="1" si="435"/>
        <v>5.2424946162024177</v>
      </c>
      <c r="O580" s="425">
        <f t="shared" ca="1" si="435"/>
        <v>5.2949195623644423</v>
      </c>
      <c r="P580" s="425">
        <f t="shared" ca="1" si="435"/>
        <v>5.3478687579880866</v>
      </c>
      <c r="R580" s="434"/>
      <c r="S580" s="425">
        <f t="shared" si="434"/>
        <v>8.7833749805910823</v>
      </c>
      <c r="T580" s="425">
        <f t="shared" si="434"/>
        <v>8.7833749805910823</v>
      </c>
    </row>
    <row r="581" spans="2:20" ht="13.5" customHeight="1" outlineLevel="1">
      <c r="B581" s="36" t="s">
        <v>590</v>
      </c>
      <c r="F581" s="425"/>
      <c r="G581" s="425">
        <f t="shared" si="435"/>
        <v>5.3997043074967257</v>
      </c>
      <c r="H581" s="425">
        <f t="shared" ca="1" si="435"/>
        <v>5.4358326722039623</v>
      </c>
      <c r="I581" s="425">
        <f t="shared" ca="1" si="435"/>
        <v>5.2852491444907157</v>
      </c>
      <c r="J581" s="425">
        <f t="shared" ca="1" si="435"/>
        <v>5.1372266022273347</v>
      </c>
      <c r="K581" s="425">
        <f t="shared" ca="1" si="435"/>
        <v>5.0883136250497856</v>
      </c>
      <c r="L581" s="425">
        <f t="shared" ca="1" si="435"/>
        <v>5.1391967613002834</v>
      </c>
      <c r="M581" s="425">
        <f t="shared" ca="1" si="435"/>
        <v>5.1905887289132853</v>
      </c>
      <c r="N581" s="425">
        <f t="shared" ca="1" si="435"/>
        <v>5.2424946162024177</v>
      </c>
      <c r="O581" s="425">
        <f t="shared" ca="1" si="435"/>
        <v>5.2949195623644423</v>
      </c>
      <c r="P581" s="425">
        <f t="shared" ca="1" si="435"/>
        <v>5.3478687579880866</v>
      </c>
      <c r="R581" s="434"/>
      <c r="S581" s="425">
        <f t="shared" si="434"/>
        <v>5.3997043074967257</v>
      </c>
      <c r="T581" s="425">
        <f t="shared" si="434"/>
        <v>5.3997043074967257</v>
      </c>
    </row>
    <row r="582" spans="2:20" ht="13.5" customHeight="1" outlineLevel="1">
      <c r="B582" s="36" t="s">
        <v>591</v>
      </c>
      <c r="F582" s="425"/>
      <c r="G582" s="425">
        <f t="shared" si="435"/>
        <v>5.3997043074967257</v>
      </c>
      <c r="H582" s="425">
        <f t="shared" ca="1" si="435"/>
        <v>5.4358326722039623</v>
      </c>
      <c r="I582" s="425">
        <f t="shared" ca="1" si="435"/>
        <v>5.2852491444907157</v>
      </c>
      <c r="J582" s="425">
        <f t="shared" ca="1" si="435"/>
        <v>5.1372266022273347</v>
      </c>
      <c r="K582" s="425">
        <f t="shared" ca="1" si="435"/>
        <v>5.0883136250497856</v>
      </c>
      <c r="L582" s="425">
        <f t="shared" ca="1" si="435"/>
        <v>5.1391967613002834</v>
      </c>
      <c r="M582" s="425">
        <f t="shared" ca="1" si="435"/>
        <v>5.1905887289132853</v>
      </c>
      <c r="N582" s="425">
        <f t="shared" ca="1" si="435"/>
        <v>5.2424946162024177</v>
      </c>
      <c r="O582" s="425">
        <f t="shared" ca="1" si="435"/>
        <v>5.2949195623644423</v>
      </c>
      <c r="P582" s="425">
        <f t="shared" ca="1" si="435"/>
        <v>5.3478687579880866</v>
      </c>
      <c r="R582" s="434"/>
      <c r="S582" s="425">
        <f t="shared" si="434"/>
        <v>5.3997043074967257</v>
      </c>
      <c r="T582" s="425">
        <f t="shared" si="434"/>
        <v>5.3997043074967257</v>
      </c>
    </row>
    <row r="583" spans="2:20" ht="13.5" customHeight="1" outlineLevel="1">
      <c r="R583" s="434"/>
    </row>
    <row r="584" spans="2:20" ht="13.5" customHeight="1" outlineLevel="1">
      <c r="B584" s="53" t="s">
        <v>593</v>
      </c>
      <c r="F584" s="231"/>
      <c r="G584" s="231">
        <f t="shared" ref="G584:P584" si="436">G578-G46</f>
        <v>112.39999999999999</v>
      </c>
      <c r="H584" s="231">
        <f t="shared" si="436"/>
        <v>110.9</v>
      </c>
      <c r="I584" s="231">
        <f t="shared" si="436"/>
        <v>112.009</v>
      </c>
      <c r="J584" s="231">
        <f t="shared" si="436"/>
        <v>113.12909000000002</v>
      </c>
      <c r="K584" s="231">
        <f t="shared" si="436"/>
        <v>114.26038090000004</v>
      </c>
      <c r="L584" s="231">
        <f t="shared" si="436"/>
        <v>115.40298470900004</v>
      </c>
      <c r="M584" s="231">
        <f t="shared" si="436"/>
        <v>116.55701455609001</v>
      </c>
      <c r="N584" s="231">
        <f t="shared" si="436"/>
        <v>117.72258470165092</v>
      </c>
      <c r="O584" s="231">
        <f t="shared" si="436"/>
        <v>118.89981054866742</v>
      </c>
      <c r="P584" s="231">
        <f t="shared" si="436"/>
        <v>120.08880865415409</v>
      </c>
      <c r="R584" s="434"/>
      <c r="S584" s="231">
        <f>S578-S46</f>
        <v>56.199999999999996</v>
      </c>
      <c r="T584" s="231">
        <f>T578-T46</f>
        <v>56.199999999999996</v>
      </c>
    </row>
    <row r="585" spans="2:20" ht="13.5" customHeight="1" outlineLevel="1">
      <c r="B585" s="36" t="s">
        <v>592</v>
      </c>
      <c r="F585" s="425"/>
      <c r="G585" s="425">
        <f t="shared" ref="G585:P585" si="437">IFERROR(G$584/G571,0)</f>
        <v>69.234897406540185</v>
      </c>
      <c r="H585" s="425">
        <f t="shared" ca="1" si="437"/>
        <v>221.8</v>
      </c>
      <c r="I585" s="425">
        <f t="shared" ca="1" si="437"/>
        <v>224.018</v>
      </c>
      <c r="J585" s="425">
        <f t="shared" ca="1" si="437"/>
        <v>226.25818000000004</v>
      </c>
      <c r="K585" s="425">
        <f t="shared" ca="1" si="437"/>
        <v>228.52076180000009</v>
      </c>
      <c r="L585" s="425">
        <f t="shared" ca="1" si="437"/>
        <v>230.80596941800007</v>
      </c>
      <c r="M585" s="425">
        <f t="shared" ca="1" si="437"/>
        <v>233.11402911218002</v>
      </c>
      <c r="N585" s="425">
        <f t="shared" ca="1" si="437"/>
        <v>235.44516940330183</v>
      </c>
      <c r="O585" s="425">
        <f t="shared" ca="1" si="437"/>
        <v>237.79962109733484</v>
      </c>
      <c r="P585" s="425">
        <f t="shared" ca="1" si="437"/>
        <v>240.17761730830819</v>
      </c>
      <c r="R585" s="434"/>
      <c r="S585" s="425">
        <f t="shared" ref="S585:T588" si="438">IFERROR(S$584/S571,0)</f>
        <v>69.234897406540185</v>
      </c>
      <c r="T585" s="425">
        <f t="shared" si="438"/>
        <v>69.234897406540185</v>
      </c>
    </row>
    <row r="586" spans="2:20" ht="13.5" customHeight="1" outlineLevel="1">
      <c r="B586" s="36" t="s">
        <v>595</v>
      </c>
      <c r="F586" s="425"/>
      <c r="G586" s="425">
        <f t="shared" ref="G586:P588" si="439">IFERROR(G$584/G572,0)</f>
        <v>7.8043584807781636</v>
      </c>
      <c r="H586" s="425">
        <f t="shared" ca="1" si="439"/>
        <v>8.0904983152394454</v>
      </c>
      <c r="I586" s="425">
        <f t="shared" ca="1" si="439"/>
        <v>7.9122027101509698</v>
      </c>
      <c r="J586" s="425">
        <f t="shared" ca="1" si="439"/>
        <v>5.7097185970334854</v>
      </c>
      <c r="K586" s="425">
        <f t="shared" ca="1" si="439"/>
        <v>4.4820808659096203</v>
      </c>
      <c r="L586" s="425">
        <f t="shared" ca="1" si="439"/>
        <v>4.5269016745687169</v>
      </c>
      <c r="M586" s="425">
        <f t="shared" ca="1" si="439"/>
        <v>4.5721706913144029</v>
      </c>
      <c r="N586" s="425">
        <f t="shared" ca="1" si="439"/>
        <v>4.6178923982275473</v>
      </c>
      <c r="O586" s="425">
        <f t="shared" ca="1" si="439"/>
        <v>4.6640713222098222</v>
      </c>
      <c r="P586" s="425">
        <f t="shared" ca="1" si="439"/>
        <v>4.7107120354319205</v>
      </c>
      <c r="R586" s="434"/>
      <c r="S586" s="425">
        <f t="shared" si="438"/>
        <v>7.8043584807781636</v>
      </c>
      <c r="T586" s="425">
        <f t="shared" si="438"/>
        <v>7.8043584807781636</v>
      </c>
    </row>
    <row r="587" spans="2:20" ht="13.5" customHeight="1" outlineLevel="1">
      <c r="B587" s="36" t="s">
        <v>594</v>
      </c>
      <c r="F587" s="425"/>
      <c r="G587" s="425">
        <f t="shared" si="439"/>
        <v>4.7978400329061817</v>
      </c>
      <c r="H587" s="425">
        <f t="shared" ca="1" si="439"/>
        <v>4.7881957374695743</v>
      </c>
      <c r="I587" s="425">
        <f t="shared" ca="1" si="439"/>
        <v>4.6555530589675964</v>
      </c>
      <c r="J587" s="425">
        <f t="shared" ca="1" si="439"/>
        <v>4.5251662445354359</v>
      </c>
      <c r="K587" s="425">
        <f t="shared" ca="1" si="439"/>
        <v>4.4820808659096203</v>
      </c>
      <c r="L587" s="425">
        <f t="shared" ca="1" si="439"/>
        <v>4.5269016745687169</v>
      </c>
      <c r="M587" s="425">
        <f t="shared" ca="1" si="439"/>
        <v>4.5721706913144029</v>
      </c>
      <c r="N587" s="425">
        <f t="shared" ca="1" si="439"/>
        <v>4.6178923982275473</v>
      </c>
      <c r="O587" s="425">
        <f t="shared" ca="1" si="439"/>
        <v>4.6640713222098222</v>
      </c>
      <c r="P587" s="425">
        <f t="shared" ca="1" si="439"/>
        <v>4.7107120354319205</v>
      </c>
      <c r="R587" s="434"/>
      <c r="S587" s="425">
        <f t="shared" si="438"/>
        <v>4.7978400329061817</v>
      </c>
      <c r="T587" s="425">
        <f t="shared" si="438"/>
        <v>4.7978400329061817</v>
      </c>
    </row>
    <row r="588" spans="2:20" ht="13.5" customHeight="1" outlineLevel="1">
      <c r="B588" s="36" t="s">
        <v>596</v>
      </c>
      <c r="F588" s="425"/>
      <c r="G588" s="425">
        <f t="shared" si="439"/>
        <v>4.7978400329061817</v>
      </c>
      <c r="H588" s="425">
        <f t="shared" ca="1" si="439"/>
        <v>4.7881957374695743</v>
      </c>
      <c r="I588" s="425">
        <f t="shared" ca="1" si="439"/>
        <v>4.6555530589675964</v>
      </c>
      <c r="J588" s="425">
        <f t="shared" ca="1" si="439"/>
        <v>4.5251662445354359</v>
      </c>
      <c r="K588" s="425">
        <f t="shared" ca="1" si="439"/>
        <v>4.4820808659096203</v>
      </c>
      <c r="L588" s="425">
        <f t="shared" ca="1" si="439"/>
        <v>4.5269016745687169</v>
      </c>
      <c r="M588" s="425">
        <f t="shared" ca="1" si="439"/>
        <v>4.5721706913144029</v>
      </c>
      <c r="N588" s="425">
        <f t="shared" ca="1" si="439"/>
        <v>4.6178923982275473</v>
      </c>
      <c r="O588" s="425">
        <f t="shared" ca="1" si="439"/>
        <v>4.6640713222098222</v>
      </c>
      <c r="P588" s="425">
        <f t="shared" ca="1" si="439"/>
        <v>4.7107120354319205</v>
      </c>
      <c r="R588" s="434"/>
      <c r="S588" s="425">
        <f t="shared" si="438"/>
        <v>4.7978400329061817</v>
      </c>
      <c r="T588" s="425">
        <f t="shared" si="438"/>
        <v>4.7978400329061817</v>
      </c>
    </row>
    <row r="589" spans="2:20" ht="13.5" customHeight="1" outlineLevel="1">
      <c r="R589" s="434"/>
    </row>
    <row r="590" spans="2:20" ht="13.5" customHeight="1" outlineLevel="1">
      <c r="B590" s="53" t="s">
        <v>604</v>
      </c>
      <c r="F590" s="231"/>
      <c r="G590" s="231">
        <f t="shared" ref="G590:P590" si="440">G584-(G193-F193)</f>
        <v>109.06870066989592</v>
      </c>
      <c r="H590" s="231">
        <f t="shared" si="440"/>
        <v>110.87498070990998</v>
      </c>
      <c r="I590" s="231">
        <f t="shared" si="440"/>
        <v>111.39224681379801</v>
      </c>
      <c r="J590" s="231">
        <f t="shared" si="440"/>
        <v>112.50616928193607</v>
      </c>
      <c r="K590" s="231">
        <f t="shared" si="440"/>
        <v>113.63123097475547</v>
      </c>
      <c r="L590" s="231">
        <f t="shared" si="440"/>
        <v>114.76754328450295</v>
      </c>
      <c r="M590" s="231">
        <f t="shared" si="440"/>
        <v>115.91521871734803</v>
      </c>
      <c r="N590" s="231">
        <f t="shared" si="440"/>
        <v>117.07437090452149</v>
      </c>
      <c r="O590" s="231">
        <f t="shared" si="440"/>
        <v>118.24511461356667</v>
      </c>
      <c r="P590" s="231">
        <f t="shared" si="440"/>
        <v>119.42756575970239</v>
      </c>
      <c r="R590" s="434"/>
      <c r="S590" s="339">
        <f>S584-(S193-F193)</f>
        <v>52.868700669895922</v>
      </c>
      <c r="T590" s="231">
        <f>T584-(T193-S193)</f>
        <v>56.199999999999996</v>
      </c>
    </row>
    <row r="591" spans="2:20" ht="13.5" customHeight="1" outlineLevel="1">
      <c r="B591" s="36" t="s">
        <v>605</v>
      </c>
      <c r="F591" s="425"/>
      <c r="G591" s="425">
        <f t="shared" ref="G591:P591" si="441">IFERROR(G$590/G571,0)</f>
        <v>67.182920828691152</v>
      </c>
      <c r="H591" s="425">
        <f t="shared" ca="1" si="441"/>
        <v>221.74996141981995</v>
      </c>
      <c r="I591" s="425">
        <f t="shared" ca="1" si="441"/>
        <v>222.78449362759602</v>
      </c>
      <c r="J591" s="425">
        <f t="shared" ca="1" si="441"/>
        <v>225.01233856387213</v>
      </c>
      <c r="K591" s="425">
        <f t="shared" ca="1" si="441"/>
        <v>227.26246194951094</v>
      </c>
      <c r="L591" s="425">
        <f t="shared" ca="1" si="441"/>
        <v>229.5350865690059</v>
      </c>
      <c r="M591" s="425">
        <f t="shared" ca="1" si="441"/>
        <v>231.83043743469605</v>
      </c>
      <c r="N591" s="425">
        <f t="shared" ca="1" si="441"/>
        <v>234.14874180904297</v>
      </c>
      <c r="O591" s="425">
        <f t="shared" ca="1" si="441"/>
        <v>236.49022922713334</v>
      </c>
      <c r="P591" s="425">
        <f t="shared" ca="1" si="441"/>
        <v>238.85513151940478</v>
      </c>
      <c r="R591" s="434"/>
      <c r="S591" s="425">
        <f t="shared" ref="S591:T594" si="442">IFERROR(S$590/S571,0)</f>
        <v>65.13094425084212</v>
      </c>
      <c r="T591" s="425">
        <f t="shared" si="442"/>
        <v>69.234897406540185</v>
      </c>
    </row>
    <row r="592" spans="2:20" ht="13.5" customHeight="1" outlineLevel="1">
      <c r="B592" s="36" t="s">
        <v>606</v>
      </c>
      <c r="F592" s="425"/>
      <c r="G592" s="425">
        <f t="shared" ref="G592:P594" si="443">IFERROR(G$590/G572,0)</f>
        <v>7.5730537282967729</v>
      </c>
      <c r="H592" s="425">
        <f t="shared" ca="1" si="443"/>
        <v>8.0886730805746865</v>
      </c>
      <c r="I592" s="425">
        <f t="shared" ca="1" si="443"/>
        <v>7.8686358875620561</v>
      </c>
      <c r="J592" s="425">
        <f t="shared" ca="1" si="443"/>
        <v>5.6782792739698316</v>
      </c>
      <c r="K592" s="425">
        <f t="shared" ca="1" si="443"/>
        <v>4.4574012628878599</v>
      </c>
      <c r="L592" s="425">
        <f t="shared" ca="1" si="443"/>
        <v>4.5019752755167355</v>
      </c>
      <c r="M592" s="425">
        <f t="shared" ca="1" si="443"/>
        <v>4.5469950282719047</v>
      </c>
      <c r="N592" s="425">
        <f t="shared" ca="1" si="443"/>
        <v>4.5924649785546228</v>
      </c>
      <c r="O592" s="425">
        <f t="shared" ca="1" si="443"/>
        <v>4.6383896283401684</v>
      </c>
      <c r="P592" s="425">
        <f t="shared" ca="1" si="443"/>
        <v>4.684773524623572</v>
      </c>
      <c r="R592" s="434"/>
      <c r="S592" s="425">
        <f t="shared" si="442"/>
        <v>7.3417489758153822</v>
      </c>
      <c r="T592" s="425">
        <f t="shared" si="442"/>
        <v>7.8043584807781636</v>
      </c>
    </row>
    <row r="593" spans="1:20" ht="13.5" customHeight="1" outlineLevel="1">
      <c r="B593" s="36" t="s">
        <v>607</v>
      </c>
      <c r="F593" s="425"/>
      <c r="G593" s="425">
        <f t="shared" si="443"/>
        <v>4.6556421566822772</v>
      </c>
      <c r="H593" s="425">
        <f t="shared" ca="1" si="443"/>
        <v>4.7871155097133649</v>
      </c>
      <c r="I593" s="425">
        <f t="shared" ca="1" si="443"/>
        <v>4.6299182690609753</v>
      </c>
      <c r="J593" s="425">
        <f t="shared" ca="1" si="443"/>
        <v>4.5002494012513194</v>
      </c>
      <c r="K593" s="425">
        <f t="shared" ca="1" si="443"/>
        <v>4.4574012628878599</v>
      </c>
      <c r="L593" s="425">
        <f t="shared" ca="1" si="443"/>
        <v>4.5019752755167355</v>
      </c>
      <c r="M593" s="425">
        <f t="shared" ca="1" si="443"/>
        <v>4.5469950282719047</v>
      </c>
      <c r="N593" s="425">
        <f t="shared" ca="1" si="443"/>
        <v>4.5924649785546228</v>
      </c>
      <c r="O593" s="425">
        <f t="shared" ca="1" si="443"/>
        <v>4.6383896283401684</v>
      </c>
      <c r="P593" s="425">
        <f t="shared" ca="1" si="443"/>
        <v>4.684773524623572</v>
      </c>
      <c r="R593" s="434"/>
      <c r="S593" s="425">
        <f t="shared" si="442"/>
        <v>4.5134442804583728</v>
      </c>
      <c r="T593" s="425">
        <f t="shared" si="442"/>
        <v>4.7978400329061817</v>
      </c>
    </row>
    <row r="594" spans="1:20" ht="13.5" customHeight="1" outlineLevel="1">
      <c r="B594" s="36" t="s">
        <v>608</v>
      </c>
      <c r="F594" s="425"/>
      <c r="G594" s="425">
        <f t="shared" si="443"/>
        <v>4.6556421566822772</v>
      </c>
      <c r="H594" s="425">
        <f t="shared" ca="1" si="443"/>
        <v>4.7871155097133649</v>
      </c>
      <c r="I594" s="425">
        <f t="shared" ca="1" si="443"/>
        <v>4.6299182690609753</v>
      </c>
      <c r="J594" s="425">
        <f t="shared" ca="1" si="443"/>
        <v>4.5002494012513194</v>
      </c>
      <c r="K594" s="425">
        <f t="shared" ca="1" si="443"/>
        <v>4.4574012628878599</v>
      </c>
      <c r="L594" s="425">
        <f t="shared" ca="1" si="443"/>
        <v>4.5019752755167355</v>
      </c>
      <c r="M594" s="425">
        <f t="shared" ca="1" si="443"/>
        <v>4.5469950282719047</v>
      </c>
      <c r="N594" s="425">
        <f t="shared" ca="1" si="443"/>
        <v>4.5924649785546228</v>
      </c>
      <c r="O594" s="425">
        <f t="shared" ca="1" si="443"/>
        <v>4.6383896283401684</v>
      </c>
      <c r="P594" s="425">
        <f t="shared" ca="1" si="443"/>
        <v>4.684773524623572</v>
      </c>
      <c r="R594" s="434"/>
      <c r="S594" s="425">
        <f t="shared" si="442"/>
        <v>4.5134442804583728</v>
      </c>
      <c r="T594" s="425">
        <f t="shared" si="442"/>
        <v>4.7978400329061817</v>
      </c>
    </row>
    <row r="595" spans="1:20" s="82" customFormat="1" ht="13.5" customHeight="1" outlineLevel="1">
      <c r="R595" s="537"/>
    </row>
    <row r="596" spans="1:20" ht="13.5" customHeight="1" outlineLevel="1">
      <c r="B596" s="78" t="s">
        <v>597</v>
      </c>
      <c r="C596" s="79"/>
      <c r="D596" s="80"/>
      <c r="E596" s="80"/>
      <c r="F596" s="80"/>
      <c r="G596" s="80"/>
      <c r="H596" s="80"/>
      <c r="I596" s="80"/>
      <c r="J596" s="80"/>
      <c r="K596" s="80"/>
      <c r="L596" s="80"/>
      <c r="M596" s="80"/>
      <c r="N596" s="80"/>
      <c r="O596" s="80"/>
      <c r="P596" s="81"/>
      <c r="R596" s="434"/>
      <c r="S596" s="525"/>
      <c r="T596" s="81"/>
    </row>
    <row r="597" spans="1:20" ht="13.5" customHeight="1" outlineLevel="1">
      <c r="B597" s="321"/>
      <c r="C597" s="321"/>
      <c r="D597" s="321"/>
      <c r="E597" s="385"/>
      <c r="F597" s="385"/>
      <c r="G597" s="385"/>
      <c r="H597" s="385"/>
      <c r="I597" s="385"/>
      <c r="J597" s="385"/>
      <c r="K597" s="385"/>
      <c r="L597" s="57"/>
      <c r="R597" s="434"/>
      <c r="S597" s="385"/>
      <c r="T597" s="385"/>
    </row>
    <row r="598" spans="1:20" ht="13.5" customHeight="1" outlineLevel="1">
      <c r="B598" s="36" t="s">
        <v>598</v>
      </c>
      <c r="F598" s="426"/>
      <c r="G598" s="426">
        <f t="shared" ref="G598:P598" ca="1" si="444">G565/G567</f>
        <v>0</v>
      </c>
      <c r="H598" s="426">
        <f t="shared" ca="1" si="444"/>
        <v>0</v>
      </c>
      <c r="I598" s="426">
        <f t="shared" ca="1" si="444"/>
        <v>0</v>
      </c>
      <c r="J598" s="426">
        <f t="shared" ca="1" si="444"/>
        <v>0</v>
      </c>
      <c r="K598" s="426">
        <f t="shared" ca="1" si="444"/>
        <v>0</v>
      </c>
      <c r="L598" s="426">
        <f t="shared" ca="1" si="444"/>
        <v>0</v>
      </c>
      <c r="M598" s="426">
        <f t="shared" ca="1" si="444"/>
        <v>0</v>
      </c>
      <c r="N598" s="426">
        <f t="shared" ca="1" si="444"/>
        <v>0</v>
      </c>
      <c r="O598" s="426">
        <f t="shared" ca="1" si="444"/>
        <v>0</v>
      </c>
      <c r="P598" s="426">
        <f t="shared" ca="1" si="444"/>
        <v>0</v>
      </c>
      <c r="R598" s="434"/>
      <c r="S598" s="426">
        <f ca="1">S565/S567</f>
        <v>0</v>
      </c>
      <c r="T598" s="426">
        <f ca="1">T565/T567</f>
        <v>0</v>
      </c>
    </row>
    <row r="599" spans="1:20" ht="13.5" customHeight="1" outlineLevel="1">
      <c r="B599" s="36" t="s">
        <v>599</v>
      </c>
      <c r="F599" s="426"/>
      <c r="G599" s="426">
        <f t="shared" ref="G599:P599" ca="1" si="445">IF(G564/G567&lt;0,"NM",G564/G567)</f>
        <v>2.1509024903636795E-2</v>
      </c>
      <c r="H599" s="426" t="str">
        <f t="shared" ca="1" si="445"/>
        <v>NM</v>
      </c>
      <c r="I599" s="426" t="str">
        <f t="shared" ca="1" si="445"/>
        <v>NM</v>
      </c>
      <c r="J599" s="426" t="str">
        <f t="shared" ca="1" si="445"/>
        <v>NM</v>
      </c>
      <c r="K599" s="426" t="str">
        <f t="shared" ca="1" si="445"/>
        <v>NM</v>
      </c>
      <c r="L599" s="426" t="str">
        <f t="shared" ca="1" si="445"/>
        <v>NM</v>
      </c>
      <c r="M599" s="426" t="str">
        <f t="shared" ca="1" si="445"/>
        <v>NM</v>
      </c>
      <c r="N599" s="426" t="str">
        <f t="shared" ca="1" si="445"/>
        <v>NM</v>
      </c>
      <c r="O599" s="426" t="str">
        <f t="shared" ca="1" si="445"/>
        <v>NM</v>
      </c>
      <c r="P599" s="426" t="str">
        <f t="shared" ca="1" si="445"/>
        <v>NM</v>
      </c>
      <c r="R599" s="434"/>
      <c r="S599" s="426">
        <f ca="1">IF(S564/S567&lt;0,"NM",S564/S567)</f>
        <v>0.13919222614341142</v>
      </c>
      <c r="T599" s="426">
        <f ca="1">IF(T564/T567&lt;0,"NM",T564/T567)</f>
        <v>2.1509024903636726E-2</v>
      </c>
    </row>
    <row r="600" spans="1:20" ht="13.5" customHeight="1" outlineLevel="1">
      <c r="F600" s="426"/>
      <c r="G600" s="426"/>
      <c r="H600" s="426"/>
      <c r="I600" s="426"/>
      <c r="J600" s="426"/>
      <c r="K600" s="426"/>
      <c r="L600" s="426"/>
      <c r="M600" s="426"/>
      <c r="N600" s="426"/>
      <c r="O600" s="426"/>
      <c r="P600" s="426"/>
      <c r="R600" s="434"/>
      <c r="S600" s="426"/>
      <c r="T600" s="426"/>
    </row>
    <row r="601" spans="1:20" ht="13.5" customHeight="1" outlineLevel="1">
      <c r="B601" s="36" t="s">
        <v>600</v>
      </c>
      <c r="F601" s="427"/>
      <c r="G601" s="427">
        <f t="shared" ref="G601:P601" ca="1" si="446">IF(G565/G578&lt;0,"NM",G565/G578)</f>
        <v>0</v>
      </c>
      <c r="H601" s="427">
        <f t="shared" ca="1" si="446"/>
        <v>0</v>
      </c>
      <c r="I601" s="427">
        <f t="shared" ca="1" si="446"/>
        <v>0</v>
      </c>
      <c r="J601" s="427">
        <f t="shared" ca="1" si="446"/>
        <v>0</v>
      </c>
      <c r="K601" s="427">
        <f t="shared" ca="1" si="446"/>
        <v>0</v>
      </c>
      <c r="L601" s="427">
        <f t="shared" ca="1" si="446"/>
        <v>0</v>
      </c>
      <c r="M601" s="427">
        <f t="shared" ca="1" si="446"/>
        <v>0</v>
      </c>
      <c r="N601" s="427">
        <f t="shared" ca="1" si="446"/>
        <v>0</v>
      </c>
      <c r="O601" s="427">
        <f t="shared" ca="1" si="446"/>
        <v>0</v>
      </c>
      <c r="P601" s="427">
        <f t="shared" ca="1" si="446"/>
        <v>0</v>
      </c>
      <c r="R601" s="434"/>
      <c r="S601" s="427">
        <f ca="1">IF(S565/S578&lt;0,"NM",S565/S578)</f>
        <v>0</v>
      </c>
      <c r="T601" s="520">
        <f ca="1">IFERROR(IF(T565/T578&lt;0,"NM",T565/T578),"NA")</f>
        <v>0</v>
      </c>
    </row>
    <row r="602" spans="1:20" ht="13.5" customHeight="1" outlineLevel="1">
      <c r="B602" s="36" t="s">
        <v>601</v>
      </c>
      <c r="F602" s="427"/>
      <c r="G602" s="427">
        <f t="shared" ref="G602:P602" ca="1" si="447">IF(G563/G578&lt;0,"NM",G563/G578)</f>
        <v>1.9330039525691702</v>
      </c>
      <c r="H602" s="427">
        <f t="shared" ca="1" si="447"/>
        <v>2.017304904686259</v>
      </c>
      <c r="I602" s="427">
        <f t="shared" ca="1" si="447"/>
        <v>2.075208401735229</v>
      </c>
      <c r="J602" s="427">
        <f t="shared" ca="1" si="447"/>
        <v>2.095045923278176</v>
      </c>
      <c r="K602" s="427">
        <f t="shared" ca="1" si="447"/>
        <v>2.0743028943348274</v>
      </c>
      <c r="L602" s="427">
        <f t="shared" ca="1" si="447"/>
        <v>2.0537652419156709</v>
      </c>
      <c r="M602" s="427">
        <f t="shared" ca="1" si="447"/>
        <v>2.0334309325897735</v>
      </c>
      <c r="N602" s="427">
        <f t="shared" ca="1" si="447"/>
        <v>2.0132979530591815</v>
      </c>
      <c r="O602" s="427">
        <f t="shared" ca="1" si="447"/>
        <v>1.9933643099595857</v>
      </c>
      <c r="P602" s="427">
        <f t="shared" ca="1" si="447"/>
        <v>1.9736280296629563</v>
      </c>
      <c r="R602" s="434"/>
      <c r="S602" s="427">
        <f ca="1">IF(S563/S578&lt;0,"NM",S563/S578)</f>
        <v>3.7946640316205538</v>
      </c>
      <c r="T602" s="520">
        <f ca="1">IFERROR(IF(T563/T578&lt;0,"NM",T563/T578),"NA")</f>
        <v>3.86600790513834</v>
      </c>
    </row>
    <row r="603" spans="1:20" ht="13.5" customHeight="1" outlineLevel="1">
      <c r="B603" s="36" t="s">
        <v>602</v>
      </c>
      <c r="F603" s="427"/>
      <c r="G603" s="427">
        <f t="shared" ref="G603:P603" ca="1" si="448">IF(G564/G578&lt;0,"NM",G564/G578)</f>
        <v>6.9488075564063972E-2</v>
      </c>
      <c r="H603" s="427" t="str">
        <f t="shared" ca="1" si="448"/>
        <v>NM</v>
      </c>
      <c r="I603" s="427" t="str">
        <f t="shared" ca="1" si="448"/>
        <v>NM</v>
      </c>
      <c r="J603" s="427" t="str">
        <f t="shared" ca="1" si="448"/>
        <v>NM</v>
      </c>
      <c r="K603" s="427" t="str">
        <f t="shared" ca="1" si="448"/>
        <v>NM</v>
      </c>
      <c r="L603" s="427" t="str">
        <f t="shared" ca="1" si="448"/>
        <v>NM</v>
      </c>
      <c r="M603" s="427" t="str">
        <f t="shared" ca="1" si="448"/>
        <v>NM</v>
      </c>
      <c r="N603" s="427" t="str">
        <f t="shared" ca="1" si="448"/>
        <v>NM</v>
      </c>
      <c r="O603" s="427" t="str">
        <f t="shared" ca="1" si="448"/>
        <v>NM</v>
      </c>
      <c r="P603" s="427" t="str">
        <f t="shared" ca="1" si="448"/>
        <v>NM</v>
      </c>
      <c r="R603" s="434"/>
      <c r="S603" s="427">
        <f ca="1">IF(S564/S578&lt;0,"NM",S564/S578)</f>
        <v>0.83342571964591428</v>
      </c>
      <c r="T603" s="520">
        <f ca="1">IFERROR(IF(T564/T578&lt;0,"NM",T564/T578),"NA")</f>
        <v>0.1389761511281275</v>
      </c>
    </row>
    <row r="604" spans="1:20" ht="13.5" customHeight="1" outlineLevel="1">
      <c r="B604" s="36" t="s">
        <v>603</v>
      </c>
      <c r="F604" s="427"/>
      <c r="G604" s="427">
        <f t="shared" ref="G604:P604" ca="1" si="449">IF((G564+G566)/G578&lt;0,"NM",(G564+G566)/G578)</f>
        <v>6.9488075564063972E-2</v>
      </c>
      <c r="H604" s="427" t="str">
        <f t="shared" ca="1" si="449"/>
        <v>NM</v>
      </c>
      <c r="I604" s="427" t="str">
        <f t="shared" ca="1" si="449"/>
        <v>NM</v>
      </c>
      <c r="J604" s="427" t="str">
        <f t="shared" ca="1" si="449"/>
        <v>NM</v>
      </c>
      <c r="K604" s="427" t="str">
        <f t="shared" ca="1" si="449"/>
        <v>NM</v>
      </c>
      <c r="L604" s="427" t="str">
        <f t="shared" ca="1" si="449"/>
        <v>NM</v>
      </c>
      <c r="M604" s="427" t="str">
        <f t="shared" ca="1" si="449"/>
        <v>NM</v>
      </c>
      <c r="N604" s="427" t="str">
        <f t="shared" ca="1" si="449"/>
        <v>NM</v>
      </c>
      <c r="O604" s="427" t="str">
        <f t="shared" ca="1" si="449"/>
        <v>NM</v>
      </c>
      <c r="P604" s="427" t="str">
        <f t="shared" ca="1" si="449"/>
        <v>NM</v>
      </c>
      <c r="R604" s="434"/>
      <c r="S604" s="427">
        <f ca="1">IF((S564+S566)/S578&lt;0,"NM",(S564+S566)/S578)</f>
        <v>0.83342571964591428</v>
      </c>
      <c r="T604" s="520">
        <f ca="1">IFERROR(IF((T564+T566)/T578&lt;0,"NM",(T564+T566)/T578),"NA")</f>
        <v>0.1389761511281275</v>
      </c>
    </row>
    <row r="605" spans="1:20" ht="5.0999999999999996" customHeight="1" outlineLevel="1" thickBot="1">
      <c r="B605" s="77"/>
      <c r="C605" s="77"/>
      <c r="D605" s="77"/>
      <c r="E605" s="517"/>
      <c r="F605" s="517"/>
      <c r="G605" s="518"/>
      <c r="H605" s="519"/>
      <c r="I605" s="519"/>
      <c r="J605" s="519"/>
      <c r="K605" s="519"/>
      <c r="L605" s="519"/>
      <c r="M605" s="519"/>
      <c r="N605" s="519"/>
      <c r="O605" s="519"/>
      <c r="P605" s="519"/>
      <c r="Q605" s="519"/>
      <c r="R605" s="519"/>
      <c r="S605" s="519"/>
      <c r="T605" s="519"/>
    </row>
    <row r="606" spans="1:20" s="82" customFormat="1" ht="13.5" customHeight="1" outlineLevel="1"/>
    <row r="607" spans="1:20" s="82" customFormat="1" ht="13.5" customHeight="1" outlineLevel="1" thickBot="1"/>
    <row r="608" spans="1:20" ht="20.7" thickTop="1">
      <c r="A608" s="281" t="s">
        <v>631</v>
      </c>
      <c r="B608" s="522" t="str">
        <f>target&amp;" Acquisition Multiple Matrix"</f>
        <v>TargetCo Acquisition Multiple Matrix</v>
      </c>
      <c r="C608" s="523"/>
      <c r="D608" s="524"/>
      <c r="E608" s="524"/>
      <c r="F608" s="524"/>
      <c r="G608" s="524"/>
      <c r="H608" s="524"/>
      <c r="I608" s="524"/>
      <c r="J608" s="524"/>
      <c r="K608" s="524"/>
      <c r="L608" s="524"/>
      <c r="M608" s="524"/>
      <c r="N608" s="524"/>
      <c r="O608" s="524"/>
      <c r="P608" s="524"/>
      <c r="Q608" s="524"/>
      <c r="R608" s="524"/>
      <c r="S608" s="524"/>
      <c r="T608" s="524"/>
    </row>
    <row r="609" spans="2:15" ht="5.0999999999999996" customHeight="1" outlineLevel="1">
      <c r="B609" s="107"/>
      <c r="C609" s="285"/>
      <c r="L609" s="57"/>
    </row>
    <row r="610" spans="2:15" s="82" customFormat="1" ht="13.5" customHeight="1" outlineLevel="1">
      <c r="G610" s="432" t="s">
        <v>345</v>
      </c>
      <c r="H610" s="432" t="s">
        <v>253</v>
      </c>
      <c r="I610" s="433" t="s">
        <v>362</v>
      </c>
      <c r="J610" s="433"/>
      <c r="K610" s="433"/>
      <c r="L610" s="433"/>
      <c r="M610" s="433"/>
      <c r="N610" s="433"/>
      <c r="O610" s="433"/>
    </row>
    <row r="611" spans="2:15" s="82" customFormat="1" ht="13.5" customHeight="1" outlineLevel="1" thickBot="1">
      <c r="B611" s="435" t="str">
        <f>"("&amp;curr&amp;" in millions)"</f>
        <v>($ in millions)</v>
      </c>
      <c r="C611" s="436"/>
      <c r="D611" s="436"/>
      <c r="E611" s="437"/>
      <c r="F611" s="437"/>
      <c r="G611" s="538">
        <v>0</v>
      </c>
      <c r="H611" s="539">
        <f ca="1">H615/G615-1</f>
        <v>0.25</v>
      </c>
      <c r="I611" s="538">
        <v>0.1</v>
      </c>
      <c r="J611" s="539">
        <f t="shared" ref="J611:O611" si="450">I611+0.1</f>
        <v>0.2</v>
      </c>
      <c r="K611" s="539">
        <f t="shared" si="450"/>
        <v>0.30000000000000004</v>
      </c>
      <c r="L611" s="539">
        <f t="shared" si="450"/>
        <v>0.4</v>
      </c>
      <c r="M611" s="539">
        <f t="shared" si="450"/>
        <v>0.5</v>
      </c>
      <c r="N611" s="539">
        <f t="shared" si="450"/>
        <v>0.6</v>
      </c>
      <c r="O611" s="539">
        <f t="shared" si="450"/>
        <v>0.7</v>
      </c>
    </row>
    <row r="612" spans="2:15" ht="5.0999999999999996" customHeight="1" outlineLevel="1"/>
    <row r="613" spans="2:15" ht="13.5" customHeight="1" outlineLevel="1">
      <c r="B613" s="78" t="s">
        <v>198</v>
      </c>
      <c r="C613" s="79"/>
      <c r="D613" s="80"/>
      <c r="E613" s="80"/>
      <c r="F613" s="80"/>
      <c r="G613" s="80"/>
      <c r="H613" s="80"/>
      <c r="I613" s="80"/>
      <c r="J613" s="80"/>
      <c r="K613" s="80"/>
      <c r="L613" s="80"/>
      <c r="M613" s="80"/>
      <c r="N613" s="80"/>
      <c r="O613" s="81"/>
    </row>
    <row r="614" spans="2:15" ht="13.5" customHeight="1" outlineLevel="1"/>
    <row r="615" spans="2:15" ht="13.5" customHeight="1" outlineLevel="1">
      <c r="B615" s="36" t="s">
        <v>348</v>
      </c>
      <c r="G615" s="189">
        <f>Inputs!$E$44</f>
        <v>9.16</v>
      </c>
      <c r="H615" s="189">
        <f ca="1">Close!E10</f>
        <v>11.45</v>
      </c>
      <c r="I615" s="190">
        <f t="shared" ref="I615:O615" si="451">$G615*(1+I611)</f>
        <v>10.076000000000001</v>
      </c>
      <c r="J615" s="190">
        <f t="shared" si="451"/>
        <v>10.991999999999999</v>
      </c>
      <c r="K615" s="190">
        <f t="shared" si="451"/>
        <v>11.908000000000001</v>
      </c>
      <c r="L615" s="190">
        <f t="shared" si="451"/>
        <v>12.824</v>
      </c>
      <c r="M615" s="190">
        <f t="shared" si="451"/>
        <v>13.74</v>
      </c>
      <c r="N615" s="190">
        <f t="shared" si="451"/>
        <v>14.656000000000001</v>
      </c>
      <c r="O615" s="190">
        <f t="shared" si="451"/>
        <v>15.571999999999999</v>
      </c>
    </row>
    <row r="616" spans="2:15" ht="13.5" customHeight="1" outlineLevel="1"/>
    <row r="617" spans="2:15" ht="13.5" customHeight="1" outlineLevel="1">
      <c r="B617" s="36" t="s">
        <v>13</v>
      </c>
      <c r="G617" s="171">
        <f t="shared" ref="G617:O617" si="452">$S548</f>
        <v>35.340000000000003</v>
      </c>
      <c r="H617" s="171">
        <f t="shared" si="452"/>
        <v>35.340000000000003</v>
      </c>
      <c r="I617" s="171">
        <f t="shared" si="452"/>
        <v>35.340000000000003</v>
      </c>
      <c r="J617" s="171">
        <f t="shared" si="452"/>
        <v>35.340000000000003</v>
      </c>
      <c r="K617" s="171">
        <f t="shared" si="452"/>
        <v>35.340000000000003</v>
      </c>
      <c r="L617" s="171">
        <f t="shared" si="452"/>
        <v>35.340000000000003</v>
      </c>
      <c r="M617" s="171">
        <f t="shared" si="452"/>
        <v>35.340000000000003</v>
      </c>
      <c r="N617" s="171">
        <f t="shared" si="452"/>
        <v>35.340000000000003</v>
      </c>
      <c r="O617" s="171">
        <f t="shared" si="452"/>
        <v>35.340000000000003</v>
      </c>
    </row>
    <row r="618" spans="2:15" ht="13.5" customHeight="1" outlineLevel="1">
      <c r="B618" s="53" t="s">
        <v>349</v>
      </c>
    </row>
    <row r="619" spans="2:15" ht="13.5" customHeight="1" outlineLevel="1">
      <c r="B619" s="36" t="str">
        <f t="shared" ref="B619:B627" si="453">B510</f>
        <v>Tranche 1</v>
      </c>
      <c r="G619" s="134">
        <f t="shared" ref="G619:O619" si="454">IF($G510&gt;G$615,0,$F510-$F510*$G510/G$615)</f>
        <v>2.7379912663755834E-3</v>
      </c>
      <c r="H619" s="134">
        <f t="shared" ca="1" si="454"/>
        <v>4.3990393013100454E-2</v>
      </c>
      <c r="I619" s="134">
        <f t="shared" si="454"/>
        <v>2.1489082969432333E-2</v>
      </c>
      <c r="J619" s="134">
        <f t="shared" si="454"/>
        <v>3.7114992721979628E-2</v>
      </c>
      <c r="K619" s="134">
        <f t="shared" si="454"/>
        <v>5.0336916358750455E-2</v>
      </c>
      <c r="L619" s="134">
        <f t="shared" si="454"/>
        <v>6.1669993761696823E-2</v>
      </c>
      <c r="M619" s="134">
        <f t="shared" si="454"/>
        <v>7.1491994177583701E-2</v>
      </c>
      <c r="N619" s="134">
        <f t="shared" si="454"/>
        <v>8.0086244541484719E-2</v>
      </c>
      <c r="O619" s="134">
        <f t="shared" si="454"/>
        <v>8.7669406627279733E-2</v>
      </c>
    </row>
    <row r="620" spans="2:15" ht="13.5" customHeight="1" outlineLevel="1">
      <c r="B620" s="36" t="str">
        <f t="shared" si="453"/>
        <v>Tranche 2</v>
      </c>
      <c r="G620" s="134">
        <f t="shared" ref="G620:O620" si="455">IF($G511&gt;G$615,0,$F511-$F511*$G511/G$615)</f>
        <v>0</v>
      </c>
      <c r="H620" s="134">
        <f t="shared" ca="1" si="455"/>
        <v>7.3170305676855882E-3</v>
      </c>
      <c r="I620" s="134">
        <f t="shared" si="455"/>
        <v>2.6935291782454601E-4</v>
      </c>
      <c r="J620" s="134">
        <f t="shared" si="455"/>
        <v>5.1635735080058226E-3</v>
      </c>
      <c r="K620" s="134">
        <f t="shared" si="455"/>
        <v>9.3048370843130737E-3</v>
      </c>
      <c r="L620" s="134">
        <f t="shared" si="455"/>
        <v>1.285449157829071E-2</v>
      </c>
      <c r="M620" s="134">
        <f t="shared" si="455"/>
        <v>1.5930858806404664E-2</v>
      </c>
      <c r="N620" s="134">
        <f t="shared" si="455"/>
        <v>1.862268013100437E-2</v>
      </c>
      <c r="O620" s="134">
        <f t="shared" si="455"/>
        <v>2.0997816593886463E-2</v>
      </c>
    </row>
    <row r="621" spans="2:15" ht="13.5" customHeight="1" outlineLevel="1">
      <c r="B621" s="36" t="str">
        <f t="shared" si="453"/>
        <v>Tranche 3</v>
      </c>
      <c r="G621" s="134">
        <f t="shared" ref="G621:O621" si="456">IF($G512&gt;G$615,0,$F512-$F512*$G512/G$615)</f>
        <v>0</v>
      </c>
      <c r="H621" s="134">
        <f t="shared" ca="1" si="456"/>
        <v>0</v>
      </c>
      <c r="I621" s="134">
        <f t="shared" si="456"/>
        <v>0</v>
      </c>
      <c r="J621" s="134">
        <f t="shared" si="456"/>
        <v>0</v>
      </c>
      <c r="K621" s="134">
        <f t="shared" si="456"/>
        <v>7.0152838427947894E-3</v>
      </c>
      <c r="L621" s="134">
        <f t="shared" si="456"/>
        <v>2.2299906425452265E-2</v>
      </c>
      <c r="M621" s="134">
        <f t="shared" si="456"/>
        <v>3.5546579330422129E-2</v>
      </c>
      <c r="N621" s="134">
        <f t="shared" si="456"/>
        <v>4.7137418122270763E-2</v>
      </c>
      <c r="O621" s="134">
        <f t="shared" si="456"/>
        <v>5.7364628820960689E-2</v>
      </c>
    </row>
    <row r="622" spans="2:15" ht="13.5" customHeight="1" outlineLevel="1">
      <c r="B622" s="36" t="str">
        <f t="shared" si="453"/>
        <v>Tranche 4</v>
      </c>
      <c r="G622" s="134">
        <f t="shared" ref="G622:O622" si="457">IF($G513&gt;G$615,0,$F513-$F513*$G513/G$615)</f>
        <v>0</v>
      </c>
      <c r="H622" s="134">
        <f t="shared" ca="1" si="457"/>
        <v>0</v>
      </c>
      <c r="I622" s="134">
        <f t="shared" si="457"/>
        <v>0</v>
      </c>
      <c r="J622" s="134">
        <f t="shared" si="457"/>
        <v>0</v>
      </c>
      <c r="K622" s="134">
        <f t="shared" si="457"/>
        <v>0</v>
      </c>
      <c r="L622" s="134">
        <f t="shared" si="457"/>
        <v>3.1347473487211563E-3</v>
      </c>
      <c r="M622" s="134">
        <f t="shared" si="457"/>
        <v>2.2925764192139764E-2</v>
      </c>
      <c r="N622" s="134">
        <f t="shared" si="457"/>
        <v>4.0242903930131024E-2</v>
      </c>
      <c r="O622" s="134">
        <f t="shared" si="457"/>
        <v>5.5522733110711542E-2</v>
      </c>
    </row>
    <row r="623" spans="2:15" ht="13.5" customHeight="1" outlineLevel="1">
      <c r="B623" s="36" t="str">
        <f t="shared" si="453"/>
        <v>Tranche 5</v>
      </c>
      <c r="G623" s="134">
        <f t="shared" ref="G623:O623" si="458">IF($G514&gt;G$615,0,$F514-$F514*$G514/G$615)</f>
        <v>0</v>
      </c>
      <c r="H623" s="134">
        <f t="shared" ca="1" si="458"/>
        <v>0</v>
      </c>
      <c r="I623" s="134">
        <f t="shared" si="458"/>
        <v>0</v>
      </c>
      <c r="J623" s="134">
        <f t="shared" si="458"/>
        <v>0</v>
      </c>
      <c r="K623" s="134">
        <f t="shared" si="458"/>
        <v>0</v>
      </c>
      <c r="L623" s="134">
        <f t="shared" si="458"/>
        <v>0</v>
      </c>
      <c r="M623" s="134">
        <f t="shared" si="458"/>
        <v>0</v>
      </c>
      <c r="N623" s="134">
        <f t="shared" si="458"/>
        <v>0</v>
      </c>
      <c r="O623" s="134">
        <f t="shared" si="458"/>
        <v>0</v>
      </c>
    </row>
    <row r="624" spans="2:15" ht="13.5" customHeight="1" outlineLevel="1">
      <c r="B624" s="36" t="str">
        <f t="shared" si="453"/>
        <v>Tranche 6</v>
      </c>
      <c r="G624" s="134">
        <f t="shared" ref="G624:O624" si="459">IF($G515&gt;G$615,0,$F515-$F515*$G515/G$615)</f>
        <v>0</v>
      </c>
      <c r="H624" s="134">
        <f t="shared" ca="1" si="459"/>
        <v>0</v>
      </c>
      <c r="I624" s="134">
        <f t="shared" si="459"/>
        <v>0</v>
      </c>
      <c r="J624" s="134">
        <f t="shared" si="459"/>
        <v>0</v>
      </c>
      <c r="K624" s="134">
        <f t="shared" si="459"/>
        <v>0</v>
      </c>
      <c r="L624" s="134">
        <f t="shared" si="459"/>
        <v>0</v>
      </c>
      <c r="M624" s="134">
        <f t="shared" si="459"/>
        <v>0</v>
      </c>
      <c r="N624" s="134">
        <f t="shared" si="459"/>
        <v>0</v>
      </c>
      <c r="O624" s="134">
        <f t="shared" si="459"/>
        <v>0</v>
      </c>
    </row>
    <row r="625" spans="2:15" ht="13.5" customHeight="1" outlineLevel="1">
      <c r="B625" s="36" t="str">
        <f t="shared" si="453"/>
        <v>Tranche 7</v>
      </c>
      <c r="G625" s="134">
        <f t="shared" ref="G625:O625" si="460">IF($G516&gt;G$615,0,$F516-$F516*$G516/G$615)</f>
        <v>0</v>
      </c>
      <c r="H625" s="134">
        <f t="shared" ca="1" si="460"/>
        <v>0</v>
      </c>
      <c r="I625" s="134">
        <f t="shared" si="460"/>
        <v>0</v>
      </c>
      <c r="J625" s="134">
        <f t="shared" si="460"/>
        <v>0</v>
      </c>
      <c r="K625" s="134">
        <f t="shared" si="460"/>
        <v>0</v>
      </c>
      <c r="L625" s="134">
        <f t="shared" si="460"/>
        <v>0</v>
      </c>
      <c r="M625" s="134">
        <f t="shared" si="460"/>
        <v>0</v>
      </c>
      <c r="N625" s="134">
        <f t="shared" si="460"/>
        <v>0</v>
      </c>
      <c r="O625" s="134">
        <f t="shared" si="460"/>
        <v>0</v>
      </c>
    </row>
    <row r="626" spans="2:15" ht="13.5" customHeight="1" outlineLevel="1">
      <c r="B626" s="36" t="str">
        <f t="shared" si="453"/>
        <v>Tranche 8</v>
      </c>
      <c r="G626" s="134">
        <f t="shared" ref="G626:O626" si="461">IF($G517&gt;G$615,0,$F517-$F517*$G517/G$615)</f>
        <v>0</v>
      </c>
      <c r="H626" s="134">
        <f t="shared" ca="1" si="461"/>
        <v>0</v>
      </c>
      <c r="I626" s="134">
        <f t="shared" si="461"/>
        <v>0</v>
      </c>
      <c r="J626" s="134">
        <f t="shared" si="461"/>
        <v>0</v>
      </c>
      <c r="K626" s="134">
        <f t="shared" si="461"/>
        <v>0</v>
      </c>
      <c r="L626" s="134">
        <f t="shared" si="461"/>
        <v>0</v>
      </c>
      <c r="M626" s="134">
        <f t="shared" si="461"/>
        <v>0</v>
      </c>
      <c r="N626" s="134">
        <f t="shared" si="461"/>
        <v>0</v>
      </c>
      <c r="O626" s="134">
        <f t="shared" si="461"/>
        <v>0</v>
      </c>
    </row>
    <row r="627" spans="2:15" ht="13.5" customHeight="1" outlineLevel="1">
      <c r="B627" s="36" t="str">
        <f t="shared" si="453"/>
        <v>Tranche 9</v>
      </c>
      <c r="G627" s="134">
        <f t="shared" ref="G627:O627" si="462">IF($G518&gt;G$615,0,$F518-$F518*$G518/G$615)</f>
        <v>0</v>
      </c>
      <c r="H627" s="134">
        <f t="shared" ca="1" si="462"/>
        <v>0</v>
      </c>
      <c r="I627" s="134">
        <f t="shared" si="462"/>
        <v>0</v>
      </c>
      <c r="J627" s="134">
        <f t="shared" si="462"/>
        <v>0</v>
      </c>
      <c r="K627" s="134">
        <f t="shared" si="462"/>
        <v>0</v>
      </c>
      <c r="L627" s="134">
        <f t="shared" si="462"/>
        <v>0</v>
      </c>
      <c r="M627" s="134">
        <f t="shared" si="462"/>
        <v>0</v>
      </c>
      <c r="N627" s="134">
        <f t="shared" si="462"/>
        <v>0</v>
      </c>
      <c r="O627" s="134">
        <f t="shared" si="462"/>
        <v>0</v>
      </c>
    </row>
    <row r="628" spans="2:15" ht="13.5" customHeight="1" outlineLevel="1">
      <c r="B628" s="53" t="s">
        <v>350</v>
      </c>
    </row>
    <row r="629" spans="2:15" ht="13.5" customHeight="1" outlineLevel="1">
      <c r="B629" s="36" t="str">
        <f>B525</f>
        <v>Convertible bond 2</v>
      </c>
      <c r="G629" s="134">
        <f t="shared" ref="G629:O629" si="463">IF($I346&lt;=G$615,$F533,0)</f>
        <v>0</v>
      </c>
      <c r="H629" s="134">
        <f t="shared" ca="1" si="463"/>
        <v>0</v>
      </c>
      <c r="I629" s="134">
        <f t="shared" si="463"/>
        <v>0</v>
      </c>
      <c r="J629" s="134">
        <f t="shared" si="463"/>
        <v>0</v>
      </c>
      <c r="K629" s="134">
        <f t="shared" si="463"/>
        <v>0</v>
      </c>
      <c r="L629" s="134">
        <f t="shared" si="463"/>
        <v>0</v>
      </c>
      <c r="M629" s="134">
        <f t="shared" si="463"/>
        <v>0</v>
      </c>
      <c r="N629" s="134">
        <f t="shared" si="463"/>
        <v>0</v>
      </c>
      <c r="O629" s="134">
        <f t="shared" si="463"/>
        <v>0</v>
      </c>
    </row>
    <row r="630" spans="2:15" ht="13.5" customHeight="1" outlineLevel="1">
      <c r="B630" s="36" t="str">
        <f>B526</f>
        <v>Preferred stock 2</v>
      </c>
      <c r="G630" s="134">
        <f t="shared" ref="G630:O630" si="464">IF($I347&lt;=G$615,$F534,0)</f>
        <v>0</v>
      </c>
      <c r="H630" s="134">
        <f t="shared" ca="1" si="464"/>
        <v>0</v>
      </c>
      <c r="I630" s="134">
        <f t="shared" si="464"/>
        <v>0</v>
      </c>
      <c r="J630" s="134">
        <f t="shared" si="464"/>
        <v>0</v>
      </c>
      <c r="K630" s="134">
        <f t="shared" si="464"/>
        <v>0</v>
      </c>
      <c r="L630" s="134">
        <f t="shared" si="464"/>
        <v>0</v>
      </c>
      <c r="M630" s="134">
        <f t="shared" si="464"/>
        <v>0</v>
      </c>
      <c r="N630" s="134">
        <f t="shared" si="464"/>
        <v>0</v>
      </c>
      <c r="O630" s="134">
        <f t="shared" si="464"/>
        <v>0</v>
      </c>
    </row>
    <row r="631" spans="2:15" ht="13.5" customHeight="1" outlineLevel="1">
      <c r="B631" s="123" t="s">
        <v>351</v>
      </c>
      <c r="C631" s="123"/>
      <c r="D631" s="123"/>
      <c r="E631" s="123"/>
      <c r="F631" s="123"/>
      <c r="G631" s="176">
        <f t="shared" ref="G631:O631" si="465">SUM(G617:G630)</f>
        <v>35.342737991266382</v>
      </c>
      <c r="H631" s="176">
        <f t="shared" ca="1" si="465"/>
        <v>35.391307423580791</v>
      </c>
      <c r="I631" s="176">
        <f t="shared" si="465"/>
        <v>35.361758435887261</v>
      </c>
      <c r="J631" s="176">
        <f t="shared" si="465"/>
        <v>35.382278566229992</v>
      </c>
      <c r="K631" s="176">
        <f t="shared" si="465"/>
        <v>35.406657037285868</v>
      </c>
      <c r="L631" s="176">
        <f t="shared" si="465"/>
        <v>35.439959139114166</v>
      </c>
      <c r="M631" s="176">
        <f t="shared" si="465"/>
        <v>35.485895196506554</v>
      </c>
      <c r="N631" s="176">
        <f t="shared" si="465"/>
        <v>35.526089246724887</v>
      </c>
      <c r="O631" s="176">
        <f t="shared" si="465"/>
        <v>35.561554585152841</v>
      </c>
    </row>
    <row r="632" spans="2:15" ht="13.5" customHeight="1" outlineLevel="1">
      <c r="B632" s="36" t="s">
        <v>352</v>
      </c>
      <c r="G632" s="540">
        <f t="shared" ref="G632:O632" si="466">G615</f>
        <v>9.16</v>
      </c>
      <c r="H632" s="540">
        <f t="shared" ca="1" si="466"/>
        <v>11.45</v>
      </c>
      <c r="I632" s="540">
        <f t="shared" si="466"/>
        <v>10.076000000000001</v>
      </c>
      <c r="J632" s="540">
        <f t="shared" si="466"/>
        <v>10.991999999999999</v>
      </c>
      <c r="K632" s="540">
        <f t="shared" si="466"/>
        <v>11.908000000000001</v>
      </c>
      <c r="L632" s="540">
        <f t="shared" si="466"/>
        <v>12.824</v>
      </c>
      <c r="M632" s="540">
        <f t="shared" si="466"/>
        <v>13.74</v>
      </c>
      <c r="N632" s="540">
        <f t="shared" si="466"/>
        <v>14.656000000000001</v>
      </c>
      <c r="O632" s="540">
        <f t="shared" si="466"/>
        <v>15.571999999999999</v>
      </c>
    </row>
    <row r="633" spans="2:15" s="193" customFormat="1" ht="13.5" customHeight="1" outlineLevel="1">
      <c r="B633" s="302" t="s">
        <v>343</v>
      </c>
      <c r="C633" s="302"/>
      <c r="D633" s="302"/>
      <c r="E633" s="302"/>
      <c r="F633" s="302"/>
      <c r="G633" s="303">
        <f>G631*G632</f>
        <v>323.73948000000007</v>
      </c>
      <c r="H633" s="303">
        <f t="shared" ref="H633:O633" ca="1" si="467">H631*H632</f>
        <v>405.23047000000003</v>
      </c>
      <c r="I633" s="303">
        <f t="shared" si="467"/>
        <v>356.30507800000004</v>
      </c>
      <c r="J633" s="303">
        <f t="shared" si="467"/>
        <v>388.92200600000007</v>
      </c>
      <c r="K633" s="303">
        <f t="shared" si="467"/>
        <v>421.62247200000013</v>
      </c>
      <c r="L633" s="303">
        <f t="shared" si="467"/>
        <v>454.48203600000005</v>
      </c>
      <c r="M633" s="303">
        <f t="shared" si="467"/>
        <v>487.57620000000009</v>
      </c>
      <c r="N633" s="303">
        <f t="shared" si="467"/>
        <v>520.67036399999995</v>
      </c>
      <c r="O633" s="303">
        <f t="shared" si="467"/>
        <v>553.76452800000004</v>
      </c>
    </row>
    <row r="634" spans="2:15" ht="13.5" customHeight="1" outlineLevel="1">
      <c r="B634" s="57" t="s">
        <v>353</v>
      </c>
      <c r="G634" s="184">
        <f>SUM($F110:$F113,$F118)-SUM($F525:$F526)</f>
        <v>60.5</v>
      </c>
      <c r="H634" s="163">
        <f>G634</f>
        <v>60.5</v>
      </c>
      <c r="I634" s="163">
        <f t="shared" ref="I634:O639" si="468">H634</f>
        <v>60.5</v>
      </c>
      <c r="J634" s="163">
        <f t="shared" si="468"/>
        <v>60.5</v>
      </c>
      <c r="K634" s="163">
        <f t="shared" si="468"/>
        <v>60.5</v>
      </c>
      <c r="L634" s="163">
        <f t="shared" si="468"/>
        <v>60.5</v>
      </c>
      <c r="M634" s="163">
        <f t="shared" si="468"/>
        <v>60.5</v>
      </c>
      <c r="N634" s="163">
        <f t="shared" si="468"/>
        <v>60.5</v>
      </c>
      <c r="O634" s="163">
        <f t="shared" si="468"/>
        <v>60.5</v>
      </c>
    </row>
    <row r="635" spans="2:15" ht="13.5" customHeight="1" outlineLevel="1">
      <c r="B635" s="57" t="s">
        <v>354</v>
      </c>
      <c r="G635" s="163">
        <f t="shared" ref="G635:O635" si="469">SUM($F525:$F526)-SUMIF(G629:G630,"&gt;0",$F525:$F526)</f>
        <v>190</v>
      </c>
      <c r="H635" s="163">
        <f t="shared" ca="1" si="469"/>
        <v>190</v>
      </c>
      <c r="I635" s="163">
        <f t="shared" si="469"/>
        <v>190</v>
      </c>
      <c r="J635" s="163">
        <f t="shared" si="469"/>
        <v>190</v>
      </c>
      <c r="K635" s="163">
        <f t="shared" si="469"/>
        <v>190</v>
      </c>
      <c r="L635" s="163">
        <f t="shared" si="469"/>
        <v>190</v>
      </c>
      <c r="M635" s="163">
        <f t="shared" si="469"/>
        <v>190</v>
      </c>
      <c r="N635" s="163">
        <f t="shared" si="469"/>
        <v>190</v>
      </c>
      <c r="O635" s="163">
        <f t="shared" si="469"/>
        <v>190</v>
      </c>
    </row>
    <row r="636" spans="2:15" ht="13.5" customHeight="1" outlineLevel="1">
      <c r="B636" s="57" t="s">
        <v>356</v>
      </c>
      <c r="G636" s="98">
        <v>0</v>
      </c>
      <c r="H636" s="163">
        <f>G636</f>
        <v>0</v>
      </c>
      <c r="I636" s="163">
        <f t="shared" si="468"/>
        <v>0</v>
      </c>
      <c r="J636" s="163">
        <f t="shared" si="468"/>
        <v>0</v>
      </c>
      <c r="K636" s="163">
        <f t="shared" si="468"/>
        <v>0</v>
      </c>
      <c r="L636" s="163">
        <f t="shared" si="468"/>
        <v>0</v>
      </c>
      <c r="M636" s="163">
        <f t="shared" si="468"/>
        <v>0</v>
      </c>
      <c r="N636" s="163">
        <f t="shared" si="468"/>
        <v>0</v>
      </c>
      <c r="O636" s="163">
        <f t="shared" si="468"/>
        <v>0</v>
      </c>
    </row>
    <row r="637" spans="2:15" ht="13.5" customHeight="1" outlineLevel="1">
      <c r="B637" s="57" t="s">
        <v>355</v>
      </c>
      <c r="G637" s="184">
        <f>S117</f>
        <v>0</v>
      </c>
      <c r="H637" s="163">
        <f>G637</f>
        <v>0</v>
      </c>
      <c r="I637" s="163">
        <f t="shared" si="468"/>
        <v>0</v>
      </c>
      <c r="J637" s="163">
        <f t="shared" si="468"/>
        <v>0</v>
      </c>
      <c r="K637" s="163">
        <f t="shared" si="468"/>
        <v>0</v>
      </c>
      <c r="L637" s="163">
        <f t="shared" si="468"/>
        <v>0</v>
      </c>
      <c r="M637" s="163">
        <f t="shared" si="468"/>
        <v>0</v>
      </c>
      <c r="N637" s="163">
        <f t="shared" si="468"/>
        <v>0</v>
      </c>
      <c r="O637" s="163">
        <f t="shared" si="468"/>
        <v>0</v>
      </c>
    </row>
    <row r="638" spans="2:15" ht="13.5" customHeight="1" outlineLevel="1">
      <c r="B638" s="57" t="s">
        <v>357</v>
      </c>
      <c r="G638" s="98">
        <v>0</v>
      </c>
      <c r="H638" s="163">
        <f>G638</f>
        <v>0</v>
      </c>
      <c r="I638" s="163">
        <f t="shared" si="468"/>
        <v>0</v>
      </c>
      <c r="J638" s="163">
        <f t="shared" si="468"/>
        <v>0</v>
      </c>
      <c r="K638" s="163">
        <f t="shared" si="468"/>
        <v>0</v>
      </c>
      <c r="L638" s="163">
        <f t="shared" si="468"/>
        <v>0</v>
      </c>
      <c r="M638" s="163">
        <f t="shared" si="468"/>
        <v>0</v>
      </c>
      <c r="N638" s="163">
        <f t="shared" si="468"/>
        <v>0</v>
      </c>
      <c r="O638" s="163">
        <f t="shared" si="468"/>
        <v>0</v>
      </c>
    </row>
    <row r="639" spans="2:15" ht="13.5" customHeight="1" outlineLevel="1">
      <c r="B639" s="57" t="s">
        <v>201</v>
      </c>
      <c r="G639" s="184">
        <f ca="1">-S84</f>
        <v>-187.29832323239592</v>
      </c>
      <c r="H639" s="163">
        <f ca="1">G639</f>
        <v>-187.29832323239592</v>
      </c>
      <c r="I639" s="163">
        <f t="shared" ca="1" si="468"/>
        <v>-187.29832323239592</v>
      </c>
      <c r="J639" s="163">
        <f t="shared" ca="1" si="468"/>
        <v>-187.29832323239592</v>
      </c>
      <c r="K639" s="163">
        <f t="shared" ca="1" si="468"/>
        <v>-187.29832323239592</v>
      </c>
      <c r="L639" s="163">
        <f t="shared" ca="1" si="468"/>
        <v>-187.29832323239592</v>
      </c>
      <c r="M639" s="163">
        <f t="shared" ca="1" si="468"/>
        <v>-187.29832323239592</v>
      </c>
      <c r="N639" s="163">
        <f t="shared" ca="1" si="468"/>
        <v>-187.29832323239592</v>
      </c>
      <c r="O639" s="163">
        <f t="shared" ca="1" si="468"/>
        <v>-187.29832323239592</v>
      </c>
    </row>
    <row r="640" spans="2:15" s="193" customFormat="1" ht="13.5" customHeight="1" outlineLevel="1">
      <c r="B640" s="302" t="s">
        <v>341</v>
      </c>
      <c r="C640" s="302"/>
      <c r="D640" s="302"/>
      <c r="E640" s="302"/>
      <c r="F640" s="302"/>
      <c r="G640" s="303">
        <f ca="1">SUM(G633:G639)</f>
        <v>386.94115676760418</v>
      </c>
      <c r="H640" s="303">
        <f t="shared" ref="H640:O640" ca="1" si="470">SUM(H633:H639)</f>
        <v>468.43214676760408</v>
      </c>
      <c r="I640" s="303">
        <f t="shared" ca="1" si="470"/>
        <v>419.50675476760421</v>
      </c>
      <c r="J640" s="303">
        <f t="shared" ca="1" si="470"/>
        <v>452.12368276760412</v>
      </c>
      <c r="K640" s="303">
        <f t="shared" ca="1" si="470"/>
        <v>484.82414876760424</v>
      </c>
      <c r="L640" s="303">
        <f t="shared" ca="1" si="470"/>
        <v>517.68371276760422</v>
      </c>
      <c r="M640" s="303">
        <f t="shared" ca="1" si="470"/>
        <v>550.7778767676042</v>
      </c>
      <c r="N640" s="303">
        <f t="shared" ca="1" si="470"/>
        <v>583.87204076760406</v>
      </c>
      <c r="O640" s="303">
        <f t="shared" ca="1" si="470"/>
        <v>616.96620476760415</v>
      </c>
    </row>
    <row r="641" spans="2:15" ht="13.5" customHeight="1" outlineLevel="1"/>
    <row r="642" spans="2:15" ht="13.5" customHeight="1" outlineLevel="1">
      <c r="B642" s="78" t="s">
        <v>361</v>
      </c>
      <c r="C642" s="79"/>
      <c r="D642" s="80"/>
      <c r="E642" s="80"/>
      <c r="F642" s="80"/>
      <c r="G642" s="80"/>
      <c r="H642" s="80"/>
      <c r="I642" s="80"/>
      <c r="J642" s="80"/>
      <c r="K642" s="80"/>
      <c r="L642" s="80"/>
      <c r="M642" s="80"/>
      <c r="N642" s="80"/>
      <c r="O642" s="81"/>
    </row>
    <row r="643" spans="2:15" ht="13.5" customHeight="1" outlineLevel="1"/>
    <row r="644" spans="2:15" ht="13.5" customHeight="1" outlineLevel="1">
      <c r="B644" s="36" t="str">
        <f>YEAR($T$500)&amp;" Revenue multiple"</f>
        <v>2023 Revenue multiple</v>
      </c>
      <c r="E644" s="114">
        <f>T10/$T$3</f>
        <v>468</v>
      </c>
      <c r="G644" s="541">
        <f t="shared" ref="G644:O646" ca="1" si="471">G$640/$E644</f>
        <v>0.82679734352052181</v>
      </c>
      <c r="H644" s="541">
        <f t="shared" ca="1" si="471"/>
        <v>1.0009233905290686</v>
      </c>
      <c r="I644" s="541">
        <f t="shared" ca="1" si="471"/>
        <v>0.89638195463163295</v>
      </c>
      <c r="J644" s="541">
        <f t="shared" ca="1" si="471"/>
        <v>0.9660762452299233</v>
      </c>
      <c r="K644" s="541">
        <f t="shared" ca="1" si="471"/>
        <v>1.0359490358282142</v>
      </c>
      <c r="L644" s="541">
        <f t="shared" ca="1" si="471"/>
        <v>1.1061617794179577</v>
      </c>
      <c r="M644" s="541">
        <f t="shared" ca="1" si="471"/>
        <v>1.1768758050589834</v>
      </c>
      <c r="N644" s="541">
        <f t="shared" ca="1" si="471"/>
        <v>1.2475898307000086</v>
      </c>
      <c r="O644" s="541">
        <f t="shared" ca="1" si="471"/>
        <v>1.3183038563410345</v>
      </c>
    </row>
    <row r="645" spans="2:15" ht="13.5" customHeight="1" outlineLevel="1">
      <c r="B645" s="36" t="str">
        <f>YEAR($G$500)&amp;" Revenue multiple"</f>
        <v>2023 Revenue multiple</v>
      </c>
      <c r="E645" s="118">
        <f>G10/$G$3</f>
        <v>468</v>
      </c>
      <c r="G645" s="307">
        <f t="shared" ca="1" si="471"/>
        <v>0.82679734352052181</v>
      </c>
      <c r="H645" s="307">
        <f t="shared" ca="1" si="471"/>
        <v>1.0009233905290686</v>
      </c>
      <c r="I645" s="307">
        <f t="shared" ca="1" si="471"/>
        <v>0.89638195463163295</v>
      </c>
      <c r="J645" s="307">
        <f t="shared" ca="1" si="471"/>
        <v>0.9660762452299233</v>
      </c>
      <c r="K645" s="307">
        <f t="shared" ca="1" si="471"/>
        <v>1.0359490358282142</v>
      </c>
      <c r="L645" s="307">
        <f t="shared" ca="1" si="471"/>
        <v>1.1061617794179577</v>
      </c>
      <c r="M645" s="307">
        <f t="shared" ca="1" si="471"/>
        <v>1.1768758050589834</v>
      </c>
      <c r="N645" s="307">
        <f t="shared" ca="1" si="471"/>
        <v>1.2475898307000086</v>
      </c>
      <c r="O645" s="307">
        <f t="shared" ca="1" si="471"/>
        <v>1.3183038563410345</v>
      </c>
    </row>
    <row r="646" spans="2:15" ht="13.5" customHeight="1" outlineLevel="1">
      <c r="B646" s="36" t="str">
        <f>YEAR($H$500)&amp;" Revenue multiple"</f>
        <v>2024 Revenue multiple</v>
      </c>
      <c r="E646" s="118">
        <f>H10/$H$3</f>
        <v>470.5</v>
      </c>
      <c r="G646" s="307">
        <f t="shared" ca="1" si="471"/>
        <v>0.82240415891095464</v>
      </c>
      <c r="H646" s="307">
        <f t="shared" ca="1" si="471"/>
        <v>0.99560498781637419</v>
      </c>
      <c r="I646" s="307">
        <f t="shared" ca="1" si="471"/>
        <v>0.89161903244974328</v>
      </c>
      <c r="J646" s="307">
        <f t="shared" ca="1" si="471"/>
        <v>0.96094300269416388</v>
      </c>
      <c r="K646" s="307">
        <f t="shared" ca="1" si="471"/>
        <v>1.0304445244794989</v>
      </c>
      <c r="L646" s="307">
        <f t="shared" ca="1" si="471"/>
        <v>1.100284192917331</v>
      </c>
      <c r="M646" s="307">
        <f t="shared" ca="1" si="471"/>
        <v>1.17062247984613</v>
      </c>
      <c r="N646" s="307">
        <f t="shared" ca="1" si="471"/>
        <v>1.2409607667749289</v>
      </c>
      <c r="O646" s="307">
        <f t="shared" ca="1" si="471"/>
        <v>1.3112990537037283</v>
      </c>
    </row>
    <row r="647" spans="2:15" ht="13.5" customHeight="1" outlineLevel="1"/>
    <row r="648" spans="2:15" ht="13.5" customHeight="1" outlineLevel="1">
      <c r="B648" s="36" t="str">
        <f>YEAR($T$500)&amp;" EBITDA multiple"</f>
        <v>2023 EBITDA multiple</v>
      </c>
      <c r="E648" s="114">
        <f>T14/$T$3</f>
        <v>126.49999999999999</v>
      </c>
      <c r="G648" s="541">
        <f t="shared" ref="G648:O650" ca="1" si="472">G$640/$E648</f>
        <v>3.0588233736569506</v>
      </c>
      <c r="H648" s="541">
        <f t="shared" ca="1" si="472"/>
        <v>3.7030209230640643</v>
      </c>
      <c r="I648" s="541">
        <f t="shared" ca="1" si="472"/>
        <v>3.3162589309692034</v>
      </c>
      <c r="J648" s="541">
        <f t="shared" ca="1" si="472"/>
        <v>3.574100259032444</v>
      </c>
      <c r="K648" s="541">
        <f t="shared" ca="1" si="472"/>
        <v>3.8326019665423265</v>
      </c>
      <c r="L648" s="541">
        <f t="shared" ca="1" si="472"/>
        <v>4.0923613657518123</v>
      </c>
      <c r="M648" s="541">
        <f t="shared" ca="1" si="472"/>
        <v>4.3539753104158443</v>
      </c>
      <c r="N648" s="541">
        <f t="shared" ca="1" si="472"/>
        <v>4.6155892550798745</v>
      </c>
      <c r="O648" s="541">
        <f t="shared" ca="1" si="472"/>
        <v>4.8772031997439065</v>
      </c>
    </row>
    <row r="649" spans="2:15" ht="13.5" customHeight="1" outlineLevel="1">
      <c r="B649" s="36" t="str">
        <f>YEAR($G$500)&amp;" EBITDA multiple"</f>
        <v>2023 EBITDA multiple</v>
      </c>
      <c r="E649" s="118">
        <f>G14/$G$3</f>
        <v>126.49999999999999</v>
      </c>
      <c r="G649" s="307">
        <f t="shared" ca="1" si="472"/>
        <v>3.0588233736569506</v>
      </c>
      <c r="H649" s="307">
        <f t="shared" ca="1" si="472"/>
        <v>3.7030209230640643</v>
      </c>
      <c r="I649" s="307">
        <f t="shared" ca="1" si="472"/>
        <v>3.3162589309692034</v>
      </c>
      <c r="J649" s="307">
        <f t="shared" ca="1" si="472"/>
        <v>3.574100259032444</v>
      </c>
      <c r="K649" s="307">
        <f t="shared" ca="1" si="472"/>
        <v>3.8326019665423265</v>
      </c>
      <c r="L649" s="307">
        <f t="shared" ca="1" si="472"/>
        <v>4.0923613657518123</v>
      </c>
      <c r="M649" s="307">
        <f t="shared" ca="1" si="472"/>
        <v>4.3539753104158443</v>
      </c>
      <c r="N649" s="307">
        <f t="shared" ca="1" si="472"/>
        <v>4.6155892550798745</v>
      </c>
      <c r="O649" s="307">
        <f t="shared" ca="1" si="472"/>
        <v>4.8772031997439065</v>
      </c>
    </row>
    <row r="650" spans="2:15" ht="13.5" customHeight="1" outlineLevel="1">
      <c r="B650" s="36" t="str">
        <f>YEAR($H$500)&amp;" EBITDA multiple"</f>
        <v>2024 EBITDA multiple</v>
      </c>
      <c r="E650" s="118">
        <f>H14/$H$3</f>
        <v>125.9</v>
      </c>
      <c r="G650" s="307">
        <f t="shared" ca="1" si="472"/>
        <v>3.0734007686068638</v>
      </c>
      <c r="H650" s="307">
        <f t="shared" ca="1" si="472"/>
        <v>3.720668361934901</v>
      </c>
      <c r="I650" s="307">
        <f t="shared" ca="1" si="472"/>
        <v>3.3320631832216376</v>
      </c>
      <c r="J650" s="307">
        <f t="shared" ca="1" si="472"/>
        <v>3.5911333023638132</v>
      </c>
      <c r="K650" s="307">
        <f t="shared" ca="1" si="472"/>
        <v>3.85086694811441</v>
      </c>
      <c r="L650" s="307">
        <f t="shared" ca="1" si="472"/>
        <v>4.1118642793296596</v>
      </c>
      <c r="M650" s="307">
        <f t="shared" ca="1" si="472"/>
        <v>4.374724994182718</v>
      </c>
      <c r="N650" s="307">
        <f t="shared" ca="1" si="472"/>
        <v>4.6375857090357746</v>
      </c>
      <c r="O650" s="307">
        <f t="shared" ca="1" si="472"/>
        <v>4.900446423888833</v>
      </c>
    </row>
    <row r="651" spans="2:15" ht="13.5" customHeight="1" outlineLevel="1"/>
    <row r="652" spans="2:15" ht="13.5" customHeight="1" outlineLevel="1">
      <c r="B652" s="36" t="str">
        <f>YEAR($T$500)&amp;" EBIT multiple"</f>
        <v>2023 EBIT multiple</v>
      </c>
      <c r="E652" s="114">
        <f>T18/$T$3</f>
        <v>90.199999999999989</v>
      </c>
      <c r="G652" s="541">
        <f t="shared" ref="G652:O654" ca="1" si="473">G$640/$E652</f>
        <v>4.2898132679335284</v>
      </c>
      <c r="H652" s="541">
        <f t="shared" ca="1" si="473"/>
        <v>5.1932610506386272</v>
      </c>
      <c r="I652" s="541">
        <f t="shared" ca="1" si="473"/>
        <v>4.6508509397738829</v>
      </c>
      <c r="J652" s="541">
        <f t="shared" ca="1" si="473"/>
        <v>5.0124576803503791</v>
      </c>
      <c r="K652" s="541">
        <f t="shared" ca="1" si="473"/>
        <v>5.3749905628337507</v>
      </c>
      <c r="L652" s="541">
        <f t="shared" ca="1" si="473"/>
        <v>5.7392872812372984</v>
      </c>
      <c r="M652" s="541">
        <f t="shared" ca="1" si="473"/>
        <v>6.1061848865588058</v>
      </c>
      <c r="N652" s="541">
        <f t="shared" ca="1" si="473"/>
        <v>6.4730824918803123</v>
      </c>
      <c r="O652" s="541">
        <f t="shared" ca="1" si="473"/>
        <v>6.8399800972018205</v>
      </c>
    </row>
    <row r="653" spans="2:15" ht="13.5" customHeight="1" outlineLevel="1">
      <c r="B653" s="36" t="str">
        <f>YEAR($G$500)&amp;" EBIT multiple"</f>
        <v>2023 EBIT multiple</v>
      </c>
      <c r="E653" s="118">
        <f>G18/$G$3</f>
        <v>90.199999999999989</v>
      </c>
      <c r="G653" s="307">
        <f t="shared" ca="1" si="473"/>
        <v>4.2898132679335284</v>
      </c>
      <c r="H653" s="307">
        <f t="shared" ca="1" si="473"/>
        <v>5.1932610506386272</v>
      </c>
      <c r="I653" s="307">
        <f t="shared" ca="1" si="473"/>
        <v>4.6508509397738829</v>
      </c>
      <c r="J653" s="307">
        <f t="shared" ca="1" si="473"/>
        <v>5.0124576803503791</v>
      </c>
      <c r="K653" s="307">
        <f t="shared" ca="1" si="473"/>
        <v>5.3749905628337507</v>
      </c>
      <c r="L653" s="307">
        <f t="shared" ca="1" si="473"/>
        <v>5.7392872812372984</v>
      </c>
      <c r="M653" s="307">
        <f t="shared" ca="1" si="473"/>
        <v>6.1061848865588058</v>
      </c>
      <c r="N653" s="307">
        <f t="shared" ca="1" si="473"/>
        <v>6.4730824918803123</v>
      </c>
      <c r="O653" s="307">
        <f t="shared" ca="1" si="473"/>
        <v>6.8399800972018205</v>
      </c>
    </row>
    <row r="654" spans="2:15" ht="13.5" customHeight="1" outlineLevel="1">
      <c r="B654" s="36" t="str">
        <f>YEAR($H$500)&amp;" EBIT multiple"</f>
        <v>2024 EBIT multiple</v>
      </c>
      <c r="E654" s="118">
        <f>H18/$H$3</f>
        <v>89.5</v>
      </c>
      <c r="G654" s="307">
        <f t="shared" ca="1" si="473"/>
        <v>4.3233648800849629</v>
      </c>
      <c r="H654" s="307">
        <f t="shared" ca="1" si="473"/>
        <v>5.2338787348335654</v>
      </c>
      <c r="I654" s="307">
        <f t="shared" ca="1" si="473"/>
        <v>4.6872263102525613</v>
      </c>
      <c r="J654" s="307">
        <f t="shared" ca="1" si="473"/>
        <v>5.0516612599732307</v>
      </c>
      <c r="K654" s="307">
        <f t="shared" ca="1" si="473"/>
        <v>5.4170295951687626</v>
      </c>
      <c r="L654" s="307">
        <f t="shared" ca="1" si="473"/>
        <v>5.7841755616492092</v>
      </c>
      <c r="M654" s="307">
        <f t="shared" ca="1" si="473"/>
        <v>6.1539427571799354</v>
      </c>
      <c r="N654" s="307">
        <f t="shared" ca="1" si="473"/>
        <v>6.5237099527106599</v>
      </c>
      <c r="O654" s="307">
        <f t="shared" ca="1" si="473"/>
        <v>6.893477148241387</v>
      </c>
    </row>
    <row r="655" spans="2:15" ht="13.5" customHeight="1" outlineLevel="1"/>
    <row r="656" spans="2:15" ht="13.5" customHeight="1" outlineLevel="1">
      <c r="B656" s="36" t="str">
        <f>YEAR($T$500)&amp;" GAAP net income multiple"</f>
        <v>2023 GAAP net income multiple</v>
      </c>
      <c r="E656" s="114">
        <f ca="1">T35/$T$3</f>
        <v>40.298897173884356</v>
      </c>
      <c r="G656" s="541">
        <f t="shared" ref="G656:O656" ca="1" si="474">G$633/G663</f>
        <v>8.0334575559997958</v>
      </c>
      <c r="H656" s="541">
        <f t="shared" ca="1" si="474"/>
        <v>10.05562182636127</v>
      </c>
      <c r="I656" s="541">
        <f t="shared" ca="1" si="474"/>
        <v>8.8415590248683795</v>
      </c>
      <c r="J656" s="541">
        <f t="shared" ca="1" si="474"/>
        <v>9.6509342258636401</v>
      </c>
      <c r="K656" s="541">
        <f t="shared" ca="1" si="474"/>
        <v>10.462382386812113</v>
      </c>
      <c r="L656" s="541">
        <f t="shared" ca="1" si="474"/>
        <v>11.277778496988908</v>
      </c>
      <c r="M656" s="541">
        <f t="shared" ca="1" si="474"/>
        <v>12.098996106423805</v>
      </c>
      <c r="N656" s="541">
        <f t="shared" ca="1" si="474"/>
        <v>12.920213715858697</v>
      </c>
      <c r="O656" s="541">
        <f t="shared" ca="1" si="474"/>
        <v>13.741431325293595</v>
      </c>
    </row>
    <row r="657" spans="2:20" ht="13.5" customHeight="1" outlineLevel="1">
      <c r="B657" s="36" t="str">
        <f>YEAR($G$500)&amp;" GAAP net income multiple"</f>
        <v>2023 GAAP net income multiple</v>
      </c>
      <c r="E657" s="118">
        <f ca="1">G35/$G$3</f>
        <v>40.298897173884356</v>
      </c>
      <c r="G657" s="307">
        <f t="shared" ref="G657:O657" ca="1" si="475">G$633/G664</f>
        <v>8.0334575559997958</v>
      </c>
      <c r="H657" s="307">
        <f t="shared" ca="1" si="475"/>
        <v>10.05562182636127</v>
      </c>
      <c r="I657" s="307">
        <f t="shared" ca="1" si="475"/>
        <v>8.8415590248683795</v>
      </c>
      <c r="J657" s="307">
        <f t="shared" ca="1" si="475"/>
        <v>9.6509342258636401</v>
      </c>
      <c r="K657" s="307">
        <f t="shared" ca="1" si="475"/>
        <v>10.462382386812113</v>
      </c>
      <c r="L657" s="307">
        <f t="shared" ca="1" si="475"/>
        <v>11.277778496988908</v>
      </c>
      <c r="M657" s="307">
        <f t="shared" ca="1" si="475"/>
        <v>12.098996106423805</v>
      </c>
      <c r="N657" s="307">
        <f t="shared" ca="1" si="475"/>
        <v>12.920213715858697</v>
      </c>
      <c r="O657" s="307">
        <f t="shared" ca="1" si="475"/>
        <v>13.741431325293595</v>
      </c>
    </row>
    <row r="658" spans="2:20" ht="13.5" customHeight="1" outlineLevel="1">
      <c r="B658" s="36" t="str">
        <f>YEAR($H$500)&amp;" GAAP net income multiple"</f>
        <v>2024 GAAP net income multiple</v>
      </c>
      <c r="E658" s="118">
        <f ca="1">H35/$H$3</f>
        <v>40.156492104284396</v>
      </c>
      <c r="G658" s="307">
        <f t="shared" ref="G658:O658" ca="1" si="476">G$633/G665</f>
        <v>8.0619462267586748</v>
      </c>
      <c r="H658" s="307">
        <f t="shared" ca="1" si="476"/>
        <v>10.091281602676768</v>
      </c>
      <c r="I658" s="307">
        <f t="shared" ca="1" si="476"/>
        <v>8.8729134276642903</v>
      </c>
      <c r="J658" s="307">
        <f t="shared" ca="1" si="476"/>
        <v>9.6851588776726096</v>
      </c>
      <c r="K658" s="307">
        <f t="shared" ca="1" si="476"/>
        <v>10.499484638874026</v>
      </c>
      <c r="L658" s="307">
        <f t="shared" ca="1" si="476"/>
        <v>11.317772349729479</v>
      </c>
      <c r="M658" s="307">
        <f t="shared" ca="1" si="476"/>
        <v>12.141902204350648</v>
      </c>
      <c r="N658" s="307">
        <f t="shared" ca="1" si="476"/>
        <v>12.966032058971813</v>
      </c>
      <c r="O658" s="307">
        <f t="shared" ca="1" si="476"/>
        <v>13.790161913592984</v>
      </c>
    </row>
    <row r="659" spans="2:20" ht="13.5" customHeight="1" outlineLevel="1"/>
    <row r="660" spans="2:20" ht="13.5" customHeight="1" outlineLevel="1">
      <c r="B660" s="36" t="s">
        <v>363</v>
      </c>
      <c r="G660" s="114">
        <f t="shared" ref="G660:O660" si="477">($F525*$D346*(1-$G346)*(G629&gt;0)+$F526*$D347*(1-$G347)*(G630&gt;0))*(1-tax)</f>
        <v>0</v>
      </c>
      <c r="H660" s="114">
        <f t="shared" ca="1" si="477"/>
        <v>0</v>
      </c>
      <c r="I660" s="114">
        <f t="shared" si="477"/>
        <v>0</v>
      </c>
      <c r="J660" s="114">
        <f t="shared" si="477"/>
        <v>0</v>
      </c>
      <c r="K660" s="114">
        <f t="shared" si="477"/>
        <v>0</v>
      </c>
      <c r="L660" s="114">
        <f t="shared" si="477"/>
        <v>0</v>
      </c>
      <c r="M660" s="114">
        <f t="shared" si="477"/>
        <v>0</v>
      </c>
      <c r="N660" s="114">
        <f t="shared" si="477"/>
        <v>0</v>
      </c>
      <c r="O660" s="114">
        <f t="shared" si="477"/>
        <v>0</v>
      </c>
    </row>
    <row r="661" spans="2:20" ht="13.5" customHeight="1" outlineLevel="1">
      <c r="B661" s="36" t="s">
        <v>359</v>
      </c>
      <c r="G661" s="163">
        <f t="shared" ref="G661:O661" si="478">$F525*$D346*$G346*(G629&gt;0)+$F526*$D347*$G347*(G630&gt;0)</f>
        <v>0</v>
      </c>
      <c r="H661" s="163">
        <f t="shared" ca="1" si="478"/>
        <v>0</v>
      </c>
      <c r="I661" s="163">
        <f t="shared" si="478"/>
        <v>0</v>
      </c>
      <c r="J661" s="163">
        <f t="shared" si="478"/>
        <v>0</v>
      </c>
      <c r="K661" s="163">
        <f t="shared" si="478"/>
        <v>0</v>
      </c>
      <c r="L661" s="163">
        <f t="shared" si="478"/>
        <v>0</v>
      </c>
      <c r="M661" s="163">
        <f t="shared" si="478"/>
        <v>0</v>
      </c>
      <c r="N661" s="163">
        <f t="shared" si="478"/>
        <v>0</v>
      </c>
      <c r="O661" s="163">
        <f t="shared" si="478"/>
        <v>0</v>
      </c>
    </row>
    <row r="662" spans="2:20" ht="13.5" customHeight="1" outlineLevel="1"/>
    <row r="663" spans="2:20" ht="13.5" customHeight="1" outlineLevel="1">
      <c r="B663" s="36" t="str">
        <f>YEAR($T$500)&amp;" Adjusted net income"</f>
        <v>2023 Adjusted net income</v>
      </c>
      <c r="G663" s="114">
        <f t="shared" ref="G663:O663" ca="1" si="479">$E656+SUM(G$660:G$661)</f>
        <v>40.298897173884356</v>
      </c>
      <c r="H663" s="114">
        <f t="shared" ca="1" si="479"/>
        <v>40.298897173884356</v>
      </c>
      <c r="I663" s="114">
        <f t="shared" ca="1" si="479"/>
        <v>40.298897173884356</v>
      </c>
      <c r="J663" s="114">
        <f t="shared" ca="1" si="479"/>
        <v>40.298897173884356</v>
      </c>
      <c r="K663" s="114">
        <f t="shared" ca="1" si="479"/>
        <v>40.298897173884356</v>
      </c>
      <c r="L663" s="114">
        <f t="shared" ca="1" si="479"/>
        <v>40.298897173884356</v>
      </c>
      <c r="M663" s="114">
        <f t="shared" ca="1" si="479"/>
        <v>40.298897173884356</v>
      </c>
      <c r="N663" s="114">
        <f t="shared" ca="1" si="479"/>
        <v>40.298897173884356</v>
      </c>
      <c r="O663" s="114">
        <f t="shared" ca="1" si="479"/>
        <v>40.298897173884356</v>
      </c>
    </row>
    <row r="664" spans="2:20" ht="13.5" customHeight="1" outlineLevel="1">
      <c r="B664" s="36" t="str">
        <f>YEAR($G$500)&amp;" Adjusted net income"</f>
        <v>2023 Adjusted net income</v>
      </c>
      <c r="G664" s="118">
        <f t="shared" ref="G664:O664" ca="1" si="480">$E657+SUM(G$660:G$661)</f>
        <v>40.298897173884356</v>
      </c>
      <c r="H664" s="118">
        <f t="shared" ca="1" si="480"/>
        <v>40.298897173884356</v>
      </c>
      <c r="I664" s="118">
        <f t="shared" ca="1" si="480"/>
        <v>40.298897173884356</v>
      </c>
      <c r="J664" s="118">
        <f t="shared" ca="1" si="480"/>
        <v>40.298897173884356</v>
      </c>
      <c r="K664" s="118">
        <f t="shared" ca="1" si="480"/>
        <v>40.298897173884356</v>
      </c>
      <c r="L664" s="118">
        <f t="shared" ca="1" si="480"/>
        <v>40.298897173884356</v>
      </c>
      <c r="M664" s="118">
        <f t="shared" ca="1" si="480"/>
        <v>40.298897173884356</v>
      </c>
      <c r="N664" s="118">
        <f t="shared" ca="1" si="480"/>
        <v>40.298897173884356</v>
      </c>
      <c r="O664" s="118">
        <f t="shared" ca="1" si="480"/>
        <v>40.298897173884356</v>
      </c>
    </row>
    <row r="665" spans="2:20" ht="13.5" customHeight="1" outlineLevel="1">
      <c r="B665" s="36" t="str">
        <f>YEAR($H$500)&amp;" Adjusted net income"</f>
        <v>2024 Adjusted net income</v>
      </c>
      <c r="G665" s="118">
        <f t="shared" ref="G665:O665" ca="1" si="481">$E658+SUM(G$660:G$661)</f>
        <v>40.156492104284396</v>
      </c>
      <c r="H665" s="118">
        <f t="shared" ca="1" si="481"/>
        <v>40.156492104284396</v>
      </c>
      <c r="I665" s="118">
        <f t="shared" ca="1" si="481"/>
        <v>40.156492104284396</v>
      </c>
      <c r="J665" s="118">
        <f t="shared" ca="1" si="481"/>
        <v>40.156492104284396</v>
      </c>
      <c r="K665" s="118">
        <f t="shared" ca="1" si="481"/>
        <v>40.156492104284396</v>
      </c>
      <c r="L665" s="118">
        <f t="shared" ca="1" si="481"/>
        <v>40.156492104284396</v>
      </c>
      <c r="M665" s="118">
        <f t="shared" ca="1" si="481"/>
        <v>40.156492104284396</v>
      </c>
      <c r="N665" s="118">
        <f t="shared" ca="1" si="481"/>
        <v>40.156492104284396</v>
      </c>
      <c r="O665" s="118">
        <f t="shared" ca="1" si="481"/>
        <v>40.156492104284396</v>
      </c>
    </row>
    <row r="666" spans="2:20" ht="5.0999999999999996" customHeight="1" outlineLevel="1" thickBot="1">
      <c r="B666" s="77"/>
      <c r="C666" s="77"/>
      <c r="D666" s="77"/>
      <c r="E666" s="517"/>
      <c r="F666" s="517"/>
      <c r="G666" s="518"/>
      <c r="H666" s="519"/>
      <c r="I666" s="519"/>
      <c r="J666" s="519"/>
      <c r="K666" s="519"/>
      <c r="L666" s="519"/>
      <c r="M666" s="519"/>
      <c r="N666" s="519"/>
      <c r="O666" s="519"/>
      <c r="P666" s="519"/>
      <c r="Q666" s="519"/>
      <c r="R666" s="519"/>
      <c r="S666" s="519"/>
      <c r="T666" s="519"/>
    </row>
  </sheetData>
  <dataValidations count="2">
    <dataValidation type="whole" allowBlank="1" showInputMessage="1" showErrorMessage="1" sqref="F361 F232 F395" xr:uid="{00000000-0002-0000-0600-000000000000}">
      <formula1>0</formula1>
      <formula2>1</formula2>
    </dataValidation>
    <dataValidation type="whole" showInputMessage="1" showErrorMessage="1" errorTitle="Validation Error" error="Enter either 0 or 1." sqref="F343:H347" xr:uid="{00000000-0002-0000-0600-000001000000}">
      <formula1>0</formula1>
      <formula2>1</formula2>
    </dataValidation>
  </dataValidations>
  <pageMargins left="0" right="0" top="0" bottom="0" header="0" footer="0"/>
  <pageSetup scale="10" orientation="landscape" r:id="rId1"/>
  <headerFooter alignWithMargins="0">
    <oddHeader>&amp;A</oddHeader>
    <oddFooter>Page &amp;P of &amp;N</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T31"/>
  <sheetViews>
    <sheetView showGridLines="0" workbookViewId="0"/>
  </sheetViews>
  <sheetFormatPr defaultColWidth="9.1640625" defaultRowHeight="13.5" customHeight="1"/>
  <cols>
    <col min="1" max="1" width="2.71875" style="36" customWidth="1"/>
    <col min="2" max="8" width="11.71875" style="36" customWidth="1"/>
    <col min="9" max="16384" width="9.1640625" style="36"/>
  </cols>
  <sheetData>
    <row r="1" spans="2:20" s="3" customFormat="1" ht="50.1" customHeight="1">
      <c r="B1" s="10"/>
      <c r="C1" s="10"/>
      <c r="D1" s="10"/>
      <c r="E1" s="10"/>
      <c r="F1" s="10"/>
      <c r="G1" s="10"/>
      <c r="H1" s="10"/>
      <c r="I1" s="4"/>
      <c r="J1" s="4"/>
      <c r="K1" s="4"/>
      <c r="L1" s="4"/>
      <c r="M1" s="4"/>
      <c r="N1" s="4"/>
      <c r="O1" s="4"/>
      <c r="P1" s="4"/>
      <c r="Q1" s="4"/>
      <c r="R1" s="4"/>
      <c r="S1" s="4"/>
      <c r="T1" s="4"/>
    </row>
    <row r="3" spans="2:20" ht="13.5" customHeight="1">
      <c r="B3" s="542" t="s">
        <v>633</v>
      </c>
      <c r="J3" s="125"/>
    </row>
    <row r="4" spans="2:20" ht="13.5" customHeight="1">
      <c r="B4" s="543"/>
      <c r="J4" s="125"/>
    </row>
    <row r="5" spans="2:20" ht="13.5" customHeight="1">
      <c r="B5" s="544"/>
      <c r="C5" s="433" t="s">
        <v>634</v>
      </c>
      <c r="D5" s="433"/>
      <c r="E5" s="433"/>
      <c r="F5" s="433"/>
      <c r="G5" s="433"/>
      <c r="H5" s="433"/>
    </row>
    <row r="6" spans="2:20" ht="13.5" customHeight="1" thickBot="1">
      <c r="B6" s="545" t="s">
        <v>210</v>
      </c>
      <c r="C6" s="546">
        <v>3</v>
      </c>
      <c r="D6" s="546">
        <v>5</v>
      </c>
      <c r="E6" s="546">
        <v>7</v>
      </c>
      <c r="F6" s="546">
        <v>10</v>
      </c>
      <c r="G6" s="546">
        <v>15</v>
      </c>
      <c r="H6" s="546">
        <v>20</v>
      </c>
    </row>
    <row r="7" spans="2:20" ht="5.0999999999999996" customHeight="1">
      <c r="C7" s="369"/>
    </row>
    <row r="8" spans="2:20" ht="13.5" customHeight="1">
      <c r="B8" s="70">
        <v>1</v>
      </c>
      <c r="C8" s="95">
        <v>0.33329999999999999</v>
      </c>
      <c r="D8" s="95">
        <v>0.2</v>
      </c>
      <c r="E8" s="95">
        <v>0.1429</v>
      </c>
      <c r="F8" s="95">
        <v>0.1</v>
      </c>
      <c r="G8" s="95">
        <v>0.05</v>
      </c>
      <c r="H8" s="95">
        <v>3.7499999999999999E-2</v>
      </c>
    </row>
    <row r="9" spans="2:20" ht="13.5" customHeight="1">
      <c r="B9" s="76">
        <f>B8+1</f>
        <v>2</v>
      </c>
      <c r="C9" s="95">
        <v>0.44450000000000001</v>
      </c>
      <c r="D9" s="95">
        <v>0.32</v>
      </c>
      <c r="E9" s="95">
        <v>0.24490000000000001</v>
      </c>
      <c r="F9" s="95">
        <v>0.18</v>
      </c>
      <c r="G9" s="95">
        <v>9.5000000000000001E-2</v>
      </c>
      <c r="H9" s="95">
        <v>7.2190000000000004E-2</v>
      </c>
    </row>
    <row r="10" spans="2:20" ht="13.5" customHeight="1">
      <c r="B10" s="76">
        <f t="shared" ref="B10:B28" si="0">B9+1</f>
        <v>3</v>
      </c>
      <c r="C10" s="95">
        <v>0.14810000000000001</v>
      </c>
      <c r="D10" s="95">
        <v>0.192</v>
      </c>
      <c r="E10" s="95">
        <v>0.1749</v>
      </c>
      <c r="F10" s="95">
        <v>0.14399999999999999</v>
      </c>
      <c r="G10" s="95">
        <v>8.5500000000000007E-2</v>
      </c>
      <c r="H10" s="95">
        <v>6.6769999999999996E-2</v>
      </c>
    </row>
    <row r="11" spans="2:20" ht="13.5" customHeight="1">
      <c r="B11" s="76">
        <f t="shared" si="0"/>
        <v>4</v>
      </c>
      <c r="C11" s="95">
        <v>7.4099999999999999E-2</v>
      </c>
      <c r="D11" s="95">
        <v>0.1152</v>
      </c>
      <c r="E11" s="95">
        <v>0.1249</v>
      </c>
      <c r="F11" s="95">
        <v>0.1152</v>
      </c>
      <c r="G11" s="95">
        <v>7.6999999999999999E-2</v>
      </c>
      <c r="H11" s="95">
        <v>6.1769999999999999E-2</v>
      </c>
    </row>
    <row r="12" spans="2:20" ht="13.5" customHeight="1">
      <c r="B12" s="76">
        <f t="shared" si="0"/>
        <v>5</v>
      </c>
      <c r="C12" s="547"/>
      <c r="D12" s="95">
        <v>0.1152</v>
      </c>
      <c r="E12" s="95">
        <v>8.9300000000000004E-2</v>
      </c>
      <c r="F12" s="95">
        <v>9.2200000000000004E-2</v>
      </c>
      <c r="G12" s="95">
        <v>6.93E-2</v>
      </c>
      <c r="H12" s="95">
        <v>5.713E-2</v>
      </c>
    </row>
    <row r="13" spans="2:20" ht="13.5" customHeight="1">
      <c r="B13" s="76">
        <f t="shared" si="0"/>
        <v>6</v>
      </c>
      <c r="C13" s="547"/>
      <c r="D13" s="95">
        <v>5.7599999999999998E-2</v>
      </c>
      <c r="E13" s="95">
        <v>8.9200000000000002E-2</v>
      </c>
      <c r="F13" s="95">
        <v>7.3700000000000002E-2</v>
      </c>
      <c r="G13" s="95">
        <v>6.2300000000000001E-2</v>
      </c>
      <c r="H13" s="95">
        <v>5.2850000000000001E-2</v>
      </c>
    </row>
    <row r="14" spans="2:20" ht="13.5" customHeight="1">
      <c r="B14" s="76">
        <f t="shared" si="0"/>
        <v>7</v>
      </c>
      <c r="C14" s="547"/>
      <c r="D14" s="547"/>
      <c r="E14" s="95">
        <v>8.9300000000000004E-2</v>
      </c>
      <c r="F14" s="95">
        <v>6.5500000000000003E-2</v>
      </c>
      <c r="G14" s="95">
        <v>5.8999999999999997E-2</v>
      </c>
      <c r="H14" s="95">
        <v>4.888E-2</v>
      </c>
    </row>
    <row r="15" spans="2:20" ht="13.5" customHeight="1">
      <c r="B15" s="76">
        <f t="shared" si="0"/>
        <v>8</v>
      </c>
      <c r="C15" s="547"/>
      <c r="D15" s="547"/>
      <c r="E15" s="95">
        <v>4.4600000000000001E-2</v>
      </c>
      <c r="F15" s="95">
        <v>6.5500000000000003E-2</v>
      </c>
      <c r="G15" s="95">
        <v>5.8999999999999997E-2</v>
      </c>
      <c r="H15" s="95">
        <v>4.5220000000000003E-2</v>
      </c>
    </row>
    <row r="16" spans="2:20" ht="13.5" customHeight="1">
      <c r="B16" s="76">
        <f t="shared" si="0"/>
        <v>9</v>
      </c>
      <c r="C16" s="547"/>
      <c r="D16" s="547"/>
      <c r="E16" s="547"/>
      <c r="F16" s="95">
        <v>6.5600000000000006E-2</v>
      </c>
      <c r="G16" s="95">
        <v>5.91E-2</v>
      </c>
      <c r="H16" s="95">
        <v>4.462E-2</v>
      </c>
    </row>
    <row r="17" spans="2:8" ht="13.5" customHeight="1">
      <c r="B17" s="76">
        <f t="shared" si="0"/>
        <v>10</v>
      </c>
      <c r="C17" s="547"/>
      <c r="D17" s="547"/>
      <c r="E17" s="547"/>
      <c r="F17" s="95">
        <v>6.5500000000000003E-2</v>
      </c>
      <c r="G17" s="95">
        <v>5.8999999999999997E-2</v>
      </c>
      <c r="H17" s="95">
        <v>4.4609999999999997E-2</v>
      </c>
    </row>
    <row r="18" spans="2:8" ht="13.5" customHeight="1">
      <c r="B18" s="76">
        <f t="shared" si="0"/>
        <v>11</v>
      </c>
      <c r="C18" s="547"/>
      <c r="D18" s="547"/>
      <c r="E18" s="547"/>
      <c r="F18" s="95">
        <v>3.2800000000000003E-2</v>
      </c>
      <c r="G18" s="95">
        <v>5.91E-2</v>
      </c>
      <c r="H18" s="95">
        <v>4.462E-2</v>
      </c>
    </row>
    <row r="19" spans="2:8" ht="13.5" customHeight="1">
      <c r="B19" s="76">
        <f t="shared" si="0"/>
        <v>12</v>
      </c>
      <c r="C19" s="547"/>
      <c r="D19" s="547"/>
      <c r="E19" s="547"/>
      <c r="F19" s="547"/>
      <c r="G19" s="95">
        <v>5.8999999999999997E-2</v>
      </c>
      <c r="H19" s="95">
        <v>4.4609999999999997E-2</v>
      </c>
    </row>
    <row r="20" spans="2:8" ht="13.5" customHeight="1">
      <c r="B20" s="76">
        <f t="shared" si="0"/>
        <v>13</v>
      </c>
      <c r="C20" s="547"/>
      <c r="D20" s="547"/>
      <c r="E20" s="547"/>
      <c r="F20" s="547"/>
      <c r="G20" s="95">
        <v>5.91E-2</v>
      </c>
      <c r="H20" s="95">
        <v>4.462E-2</v>
      </c>
    </row>
    <row r="21" spans="2:8" ht="13.5" customHeight="1">
      <c r="B21" s="76">
        <f t="shared" si="0"/>
        <v>14</v>
      </c>
      <c r="C21" s="547"/>
      <c r="D21" s="547"/>
      <c r="E21" s="547"/>
      <c r="F21" s="547"/>
      <c r="G21" s="95">
        <v>5.8999999999999997E-2</v>
      </c>
      <c r="H21" s="95">
        <v>4.4609999999999997E-2</v>
      </c>
    </row>
    <row r="22" spans="2:8" ht="13.5" customHeight="1">
      <c r="B22" s="76">
        <f t="shared" si="0"/>
        <v>15</v>
      </c>
      <c r="C22" s="547"/>
      <c r="D22" s="547"/>
      <c r="E22" s="547"/>
      <c r="F22" s="547"/>
      <c r="G22" s="95">
        <v>5.91E-2</v>
      </c>
      <c r="H22" s="95">
        <v>4.462E-2</v>
      </c>
    </row>
    <row r="23" spans="2:8" ht="13.5" customHeight="1">
      <c r="B23" s="76">
        <f t="shared" si="0"/>
        <v>16</v>
      </c>
      <c r="C23" s="547"/>
      <c r="D23" s="547"/>
      <c r="E23" s="547"/>
      <c r="F23" s="547"/>
      <c r="G23" s="95">
        <v>2.9499999999999998E-2</v>
      </c>
      <c r="H23" s="95">
        <v>4.4609999999999997E-2</v>
      </c>
    </row>
    <row r="24" spans="2:8" ht="13.5" customHeight="1">
      <c r="B24" s="76">
        <f t="shared" si="0"/>
        <v>17</v>
      </c>
      <c r="C24" s="547"/>
      <c r="D24" s="547"/>
      <c r="E24" s="547"/>
      <c r="F24" s="547"/>
      <c r="G24" s="547"/>
      <c r="H24" s="95">
        <v>4.462E-2</v>
      </c>
    </row>
    <row r="25" spans="2:8" ht="13.5" customHeight="1">
      <c r="B25" s="76">
        <f t="shared" si="0"/>
        <v>18</v>
      </c>
      <c r="C25" s="547"/>
      <c r="D25" s="547"/>
      <c r="E25" s="547"/>
      <c r="F25" s="547"/>
      <c r="G25" s="547"/>
      <c r="H25" s="95">
        <v>4.4609999999999997E-2</v>
      </c>
    </row>
    <row r="26" spans="2:8" ht="13.5" customHeight="1">
      <c r="B26" s="76">
        <f t="shared" si="0"/>
        <v>19</v>
      </c>
      <c r="C26" s="547"/>
      <c r="D26" s="547"/>
      <c r="E26" s="547"/>
      <c r="F26" s="547"/>
      <c r="G26" s="547"/>
      <c r="H26" s="95">
        <v>4.462E-2</v>
      </c>
    </row>
    <row r="27" spans="2:8" ht="13.5" customHeight="1">
      <c r="B27" s="76">
        <f t="shared" si="0"/>
        <v>20</v>
      </c>
      <c r="C27" s="547"/>
      <c r="D27" s="547"/>
      <c r="E27" s="547"/>
      <c r="F27" s="547"/>
      <c r="G27" s="547"/>
      <c r="H27" s="95">
        <v>4.4609999999999997E-2</v>
      </c>
    </row>
    <row r="28" spans="2:8" ht="13.5" customHeight="1">
      <c r="B28" s="76">
        <f t="shared" si="0"/>
        <v>21</v>
      </c>
      <c r="C28" s="547"/>
      <c r="D28" s="547"/>
      <c r="E28" s="547"/>
      <c r="F28" s="547"/>
      <c r="G28" s="547"/>
      <c r="H28" s="95">
        <v>2.231E-2</v>
      </c>
    </row>
    <row r="29" spans="2:8" ht="13.5" customHeight="1">
      <c r="B29" s="123" t="s">
        <v>67</v>
      </c>
      <c r="C29" s="548">
        <f t="shared" ref="C29:H29" si="1">SUM(C8:C28)</f>
        <v>1</v>
      </c>
      <c r="D29" s="548">
        <f t="shared" si="1"/>
        <v>0.99999999999999989</v>
      </c>
      <c r="E29" s="548">
        <f t="shared" si="1"/>
        <v>1.0000000000000002</v>
      </c>
      <c r="F29" s="548">
        <f t="shared" si="1"/>
        <v>1</v>
      </c>
      <c r="G29" s="548">
        <f t="shared" si="1"/>
        <v>1.0000000000000002</v>
      </c>
      <c r="H29" s="548">
        <f t="shared" si="1"/>
        <v>1.0000000000000002</v>
      </c>
    </row>
    <row r="30" spans="2:8" ht="5.0999999999999996" customHeight="1" thickBot="1">
      <c r="B30" s="209"/>
      <c r="C30" s="209"/>
      <c r="D30" s="209"/>
      <c r="E30" s="209"/>
      <c r="F30" s="209"/>
      <c r="G30" s="209"/>
      <c r="H30" s="209"/>
    </row>
    <row r="31" spans="2:8" ht="13.5" customHeight="1">
      <c r="B31" s="107" t="s">
        <v>635</v>
      </c>
    </row>
  </sheetData>
  <sheetProtection formatCells="0" formatColumns="0" formatRow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Cover Page</vt:lpstr>
      <vt:lpstr>Inputs</vt:lpstr>
      <vt:lpstr>Close</vt:lpstr>
      <vt:lpstr>Pro Forma</vt:lpstr>
      <vt:lpstr>Acquirer</vt:lpstr>
      <vt:lpstr>Target</vt:lpstr>
      <vt:lpstr>MACRS</vt:lpstr>
      <vt:lpstr>acquirer</vt:lpstr>
      <vt:lpstr>avg_int</vt:lpstr>
      <vt:lpstr>carryover</vt:lpstr>
      <vt:lpstr>case</vt:lpstr>
      <vt:lpstr>close</vt:lpstr>
      <vt:lpstr>curr</vt:lpstr>
      <vt:lpstr>macrs</vt:lpstr>
      <vt:lpstr>'Cover Page'!Print_Area</vt:lpstr>
      <vt:lpstr>target</vt:lpstr>
      <vt:lpstr>tax</vt:lpstr>
    </vt:vector>
  </TitlesOfParts>
  <Company>Macabacus,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MacGregor</dc:creator>
  <cp:lastModifiedBy>Corporate Finance Institute</cp:lastModifiedBy>
  <cp:lastPrinted>2023-01-31T17:12:52Z</cp:lastPrinted>
  <dcterms:created xsi:type="dcterms:W3CDTF">2010-12-02T19:43:38Z</dcterms:created>
  <dcterms:modified xsi:type="dcterms:W3CDTF">2023-01-31T17:20:57Z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1897054040</vt:i4>
  </property>
  <property fmtid="{D5CDD505-2E9C-101B-9397-08002B2CF9AE}" pid="3" name="_NewReviewCycle">
    <vt:lpwstr/>
  </property>
  <property fmtid="{D5CDD505-2E9C-101B-9397-08002B2CF9AE}" pid="4" name="_EmailSubject">
    <vt:lpwstr>Excel File</vt:lpwstr>
  </property>
  <property fmtid="{D5CDD505-2E9C-101B-9397-08002B2CF9AE}" pid="5" name="_AuthorEmail">
    <vt:lpwstr>john.prave@credit-suisse.com</vt:lpwstr>
  </property>
  <property fmtid="{D5CDD505-2E9C-101B-9397-08002B2CF9AE}" pid="6" name="_AuthorEmailDisplayName">
    <vt:lpwstr>Prave, John</vt:lpwstr>
  </property>
  <property fmtid="{D5CDD505-2E9C-101B-9397-08002B2CF9AE}" pid="7" name="_ReviewingToolsShownOnce">
    <vt:lpwstr/>
  </property>
</Properties>
</file>