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798639C6-2E49-494A-BB2E-705C4F2FFAFD}" xr6:coauthVersionLast="47" xr6:coauthVersionMax="47" xr10:uidLastSave="{00000000-0000-0000-0000-000000000000}"/>
  <bookViews>
    <workbookView xWindow="-108" yWindow="-108" windowWidth="23256" windowHeight="12456" activeTab="1" xr2:uid="{9710990D-BAFC-4982-80F6-4F30D2179AFD}"/>
  </bookViews>
  <sheets>
    <sheet name="Agenda" sheetId="3" r:id="rId1"/>
    <sheet name="DCF Model" sheetId="1" r:id="rId2"/>
    <sheet name="WACC" sheetId="2" r:id="rId3"/>
  </sheets>
  <externalReferences>
    <externalReference r:id="rId4"/>
    <externalReference r:id="rId5"/>
  </externalReferences>
  <definedNames>
    <definedName name="tgr">'DCF Model'!$E$19</definedName>
    <definedName name="wacc">'DCF Model'!$E$18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23" i="1"/>
  <c r="O25" i="1"/>
  <c r="O22" i="1"/>
  <c r="O39" i="1" s="1"/>
  <c r="K40" i="1"/>
  <c r="L40" i="1"/>
  <c r="M40" i="1"/>
  <c r="N40" i="1"/>
  <c r="O40" i="1"/>
  <c r="K39" i="1"/>
  <c r="L39" i="1"/>
  <c r="M39" i="1"/>
  <c r="N39" i="1"/>
  <c r="L38" i="1"/>
  <c r="M38" i="1" s="1"/>
  <c r="N38" i="1" s="1"/>
  <c r="O38" i="1" s="1"/>
  <c r="K38" i="1"/>
  <c r="K36" i="1"/>
  <c r="L36" i="1"/>
  <c r="M36" i="1"/>
  <c r="N36" i="1"/>
  <c r="O36" i="1"/>
  <c r="L35" i="1"/>
  <c r="M35" i="1"/>
  <c r="N35" i="1" s="1"/>
  <c r="O35" i="1" s="1"/>
  <c r="K35" i="1"/>
  <c r="L32" i="1"/>
  <c r="M32" i="1"/>
  <c r="N32" i="1" s="1"/>
  <c r="K33" i="1"/>
  <c r="L33" i="1"/>
  <c r="M33" i="1"/>
  <c r="K32" i="1"/>
  <c r="E33" i="1"/>
  <c r="F33" i="1"/>
  <c r="G33" i="1"/>
  <c r="H33" i="1"/>
  <c r="I33" i="1"/>
  <c r="J33" i="1"/>
  <c r="O32" i="1" l="1"/>
  <c r="O33" i="1" s="1"/>
  <c r="N33" i="1"/>
  <c r="F18" i="2" l="1"/>
  <c r="F15" i="2"/>
  <c r="F20" i="2" s="1"/>
  <c r="F10" i="2"/>
  <c r="O79" i="1"/>
  <c r="O78" i="1"/>
  <c r="K73" i="1"/>
  <c r="L72" i="1"/>
  <c r="M72" i="1" s="1"/>
  <c r="N72" i="1" s="1"/>
  <c r="O72" i="1" s="1"/>
  <c r="K72" i="1"/>
  <c r="H66" i="1"/>
  <c r="G66" i="1"/>
  <c r="F66" i="1"/>
  <c r="E66" i="1"/>
  <c r="J60" i="1"/>
  <c r="I60" i="1"/>
  <c r="G60" i="1"/>
  <c r="E60" i="1"/>
  <c r="F56" i="1"/>
  <c r="E56" i="1"/>
  <c r="F55" i="1"/>
  <c r="E55" i="1"/>
  <c r="O53" i="1"/>
  <c r="O52" i="1"/>
  <c r="O51" i="1"/>
  <c r="O50" i="1"/>
  <c r="J49" i="1"/>
  <c r="I49" i="1"/>
  <c r="O47" i="1"/>
  <c r="O44" i="1" s="1"/>
  <c r="O46" i="1"/>
  <c r="K46" i="1"/>
  <c r="O45" i="1"/>
  <c r="F43" i="1"/>
  <c r="F44" i="1" s="1"/>
  <c r="E43" i="1"/>
  <c r="E42" i="1"/>
  <c r="H40" i="1"/>
  <c r="F39" i="1"/>
  <c r="F67" i="1" s="1"/>
  <c r="E39" i="1"/>
  <c r="E67" i="1" s="1"/>
  <c r="J38" i="1"/>
  <c r="I38" i="1"/>
  <c r="I40" i="1" s="1"/>
  <c r="H38" i="1"/>
  <c r="G38" i="1"/>
  <c r="F38" i="1"/>
  <c r="E38" i="1"/>
  <c r="J36" i="1"/>
  <c r="J64" i="1" s="1"/>
  <c r="J35" i="1"/>
  <c r="J63" i="1" s="1"/>
  <c r="I35" i="1"/>
  <c r="I63" i="1" s="1"/>
  <c r="H35" i="1"/>
  <c r="H63" i="1" s="1"/>
  <c r="G35" i="1"/>
  <c r="G63" i="1" s="1"/>
  <c r="F35" i="1"/>
  <c r="E35" i="1"/>
  <c r="E36" i="1" s="1"/>
  <c r="E64" i="1" s="1"/>
  <c r="E61" i="1"/>
  <c r="H32" i="1"/>
  <c r="F32" i="1"/>
  <c r="F60" i="1" s="1"/>
  <c r="E32" i="1"/>
  <c r="E31" i="1"/>
  <c r="K29" i="1"/>
  <c r="J29" i="1"/>
  <c r="J56" i="1" s="1"/>
  <c r="I29" i="1"/>
  <c r="I56" i="1" s="1"/>
  <c r="K56" i="1" s="1"/>
  <c r="L56" i="1" s="1"/>
  <c r="M56" i="1" s="1"/>
  <c r="N56" i="1" s="1"/>
  <c r="O56" i="1" s="1"/>
  <c r="H29" i="1"/>
  <c r="H56" i="1" s="1"/>
  <c r="G29" i="1"/>
  <c r="G56" i="1" s="1"/>
  <c r="F29" i="1"/>
  <c r="E29" i="1"/>
  <c r="K28" i="1"/>
  <c r="J28" i="1"/>
  <c r="J55" i="1" s="1"/>
  <c r="I28" i="1"/>
  <c r="I55" i="1" s="1"/>
  <c r="H28" i="1"/>
  <c r="H55" i="1" s="1"/>
  <c r="G28" i="1"/>
  <c r="G55" i="1" s="1"/>
  <c r="F28" i="1"/>
  <c r="E28" i="1"/>
  <c r="J26" i="1"/>
  <c r="L25" i="1"/>
  <c r="K25" i="1"/>
  <c r="K26" i="1" s="1"/>
  <c r="K52" i="1" s="1"/>
  <c r="J25" i="1"/>
  <c r="I25" i="1"/>
  <c r="H25" i="1"/>
  <c r="H49" i="1" s="1"/>
  <c r="G25" i="1"/>
  <c r="G49" i="1" s="1"/>
  <c r="F25" i="1"/>
  <c r="E25" i="1"/>
  <c r="F23" i="1"/>
  <c r="K22" i="1"/>
  <c r="K23" i="1" s="1"/>
  <c r="J22" i="1"/>
  <c r="J61" i="1" s="1"/>
  <c r="I22" i="1"/>
  <c r="H22" i="1"/>
  <c r="H39" i="1" s="1"/>
  <c r="H67" i="1" s="1"/>
  <c r="G22" i="1"/>
  <c r="G36" i="1" s="1"/>
  <c r="G64" i="1" s="1"/>
  <c r="F22" i="1"/>
  <c r="F40" i="1" s="1"/>
  <c r="E22" i="1"/>
  <c r="F21" i="1"/>
  <c r="F42" i="1" s="1"/>
  <c r="E19" i="1"/>
  <c r="O18" i="1"/>
  <c r="T18" i="1" s="1"/>
  <c r="E18" i="1" s="1"/>
  <c r="J18" i="1"/>
  <c r="Q11" i="1"/>
  <c r="L11" i="1"/>
  <c r="G11" i="1"/>
  <c r="F16" i="2" l="1"/>
  <c r="F9" i="2"/>
  <c r="F22" i="2" s="1"/>
  <c r="G50" i="1"/>
  <c r="K67" i="1"/>
  <c r="K53" i="1"/>
  <c r="K51" i="1"/>
  <c r="H50" i="1"/>
  <c r="E49" i="1"/>
  <c r="E50" i="1" s="1"/>
  <c r="E26" i="1"/>
  <c r="M25" i="1"/>
  <c r="F49" i="1"/>
  <c r="F50" i="1" s="1"/>
  <c r="F26" i="1"/>
  <c r="G40" i="1"/>
  <c r="H60" i="1"/>
  <c r="H61" i="1"/>
  <c r="G43" i="1"/>
  <c r="G44" i="1" s="1"/>
  <c r="G23" i="1"/>
  <c r="I66" i="1"/>
  <c r="I39" i="1"/>
  <c r="I67" i="1" s="1"/>
  <c r="H43" i="1"/>
  <c r="H44" i="1" s="1"/>
  <c r="E63" i="1"/>
  <c r="I61" i="1"/>
  <c r="I43" i="1"/>
  <c r="I23" i="1"/>
  <c r="J50" i="1"/>
  <c r="G61" i="1"/>
  <c r="G39" i="1"/>
  <c r="G67" i="1" s="1"/>
  <c r="H23" i="1"/>
  <c r="F61" i="1"/>
  <c r="H36" i="1"/>
  <c r="H64" i="1" s="1"/>
  <c r="J39" i="1"/>
  <c r="J67" i="1" s="1"/>
  <c r="J66" i="1"/>
  <c r="J40" i="1"/>
  <c r="F36" i="1"/>
  <c r="F64" i="1" s="1"/>
  <c r="F63" i="1"/>
  <c r="K47" i="1"/>
  <c r="K45" i="1"/>
  <c r="I26" i="1"/>
  <c r="I36" i="1"/>
  <c r="I64" i="1" s="1"/>
  <c r="I50" i="1"/>
  <c r="J23" i="1"/>
  <c r="F31" i="1"/>
  <c r="J43" i="1"/>
  <c r="G21" i="1"/>
  <c r="L22" i="1"/>
  <c r="L26" i="1" s="1"/>
  <c r="G26" i="1"/>
  <c r="H26" i="1"/>
  <c r="K61" i="1" l="1"/>
  <c r="L61" i="1" s="1"/>
  <c r="L67" i="1"/>
  <c r="I44" i="1"/>
  <c r="N25" i="1"/>
  <c r="L23" i="1"/>
  <c r="L46" i="1" s="1"/>
  <c r="M22" i="1"/>
  <c r="G42" i="1"/>
  <c r="H21" i="1"/>
  <c r="G31" i="1"/>
  <c r="K44" i="1"/>
  <c r="K43" i="1" s="1"/>
  <c r="J44" i="1"/>
  <c r="K64" i="1"/>
  <c r="K50" i="1"/>
  <c r="K60" i="1" l="1"/>
  <c r="K66" i="1"/>
  <c r="L64" i="1"/>
  <c r="K63" i="1"/>
  <c r="M23" i="1"/>
  <c r="N22" i="1"/>
  <c r="N23" i="1" s="1"/>
  <c r="M61" i="1"/>
  <c r="N26" i="1"/>
  <c r="M26" i="1"/>
  <c r="K49" i="1"/>
  <c r="H31" i="1"/>
  <c r="H42" i="1"/>
  <c r="I21" i="1"/>
  <c r="M67" i="1"/>
  <c r="N67" i="1" l="1"/>
  <c r="I42" i="1"/>
  <c r="J21" i="1"/>
  <c r="I31" i="1"/>
  <c r="N61" i="1"/>
  <c r="K55" i="1"/>
  <c r="K58" i="1" s="1"/>
  <c r="K69" i="1" s="1"/>
  <c r="K70" i="1" s="1"/>
  <c r="M64" i="1"/>
  <c r="O61" i="1" l="1"/>
  <c r="N64" i="1"/>
  <c r="O67" i="1"/>
  <c r="J31" i="1"/>
  <c r="J42" i="1"/>
  <c r="K21" i="1"/>
  <c r="L21" i="1" l="1"/>
  <c r="K31" i="1"/>
  <c r="K42" i="1"/>
  <c r="O64" i="1"/>
  <c r="L42" i="1" l="1"/>
  <c r="M21" i="1"/>
  <c r="L31" i="1"/>
  <c r="M42" i="1" l="1"/>
  <c r="N21" i="1"/>
  <c r="M31" i="1"/>
  <c r="N42" i="1" l="1"/>
  <c r="O21" i="1"/>
  <c r="N31" i="1"/>
  <c r="O42" i="1" l="1"/>
  <c r="O31" i="1"/>
  <c r="L52" i="1" l="1"/>
  <c r="M52" i="1" s="1"/>
  <c r="N52" i="1" s="1"/>
  <c r="L53" i="1"/>
  <c r="L47" i="1"/>
  <c r="L45" i="1"/>
  <c r="M45" i="1" s="1"/>
  <c r="N45" i="1" s="1"/>
  <c r="L51" i="1"/>
  <c r="M51" i="1" s="1"/>
  <c r="N51" i="1" s="1"/>
  <c r="M46" i="1"/>
  <c r="N46" i="1" s="1"/>
  <c r="M47" i="1" l="1"/>
  <c r="L44" i="1"/>
  <c r="L43" i="1" s="1"/>
  <c r="M53" i="1"/>
  <c r="L50" i="1"/>
  <c r="L60" i="1" l="1"/>
  <c r="L66" i="1"/>
  <c r="L63" i="1"/>
  <c r="N47" i="1"/>
  <c r="N44" i="1" s="1"/>
  <c r="M44" i="1"/>
  <c r="M43" i="1" s="1"/>
  <c r="N53" i="1"/>
  <c r="N50" i="1" s="1"/>
  <c r="M50" i="1"/>
  <c r="L49" i="1"/>
  <c r="L55" i="1" l="1"/>
  <c r="L58" i="1" s="1"/>
  <c r="L69" i="1" s="1"/>
  <c r="L70" i="1" s="1"/>
  <c r="M49" i="1"/>
  <c r="N43" i="1"/>
  <c r="M66" i="1"/>
  <c r="M60" i="1"/>
  <c r="M63" i="1"/>
  <c r="O43" i="1" l="1"/>
  <c r="N66" i="1"/>
  <c r="N60" i="1"/>
  <c r="N63" i="1"/>
  <c r="N49" i="1"/>
  <c r="M55" i="1"/>
  <c r="M58" i="1" s="1"/>
  <c r="M69" i="1" s="1"/>
  <c r="M70" i="1" s="1"/>
  <c r="N55" i="1" l="1"/>
  <c r="N58" i="1" s="1"/>
  <c r="N69" i="1" s="1"/>
  <c r="N70" i="1" s="1"/>
  <c r="O49" i="1"/>
  <c r="O66" i="1"/>
  <c r="O60" i="1"/>
  <c r="O63" i="1"/>
  <c r="O55" i="1" l="1"/>
  <c r="O58" i="1" s="1"/>
  <c r="O69" i="1" s="1"/>
  <c r="O70" i="1" l="1"/>
  <c r="O75" i="1"/>
  <c r="O76" i="1" s="1"/>
  <c r="O77" i="1" l="1"/>
  <c r="O80" i="1" s="1"/>
  <c r="O83" i="1" s="1"/>
  <c r="J4" i="1" s="1"/>
  <c r="J6" i="1" s="1"/>
</calcChain>
</file>

<file path=xl/sharedStrings.xml><?xml version="1.0" encoding="utf-8"?>
<sst xmlns="http://schemas.openxmlformats.org/spreadsheetml/2006/main" count="120" uniqueCount="66">
  <si>
    <t>DCF</t>
  </si>
  <si>
    <t>Ticker</t>
  </si>
  <si>
    <t>AMD</t>
  </si>
  <si>
    <t>Implied Price Per Share</t>
  </si>
  <si>
    <t>Range</t>
  </si>
  <si>
    <t>Date</t>
  </si>
  <si>
    <t>Current Share Price</t>
  </si>
  <si>
    <t>EOY</t>
  </si>
  <si>
    <t>Implied Upside / (Downside)</t>
  </si>
  <si>
    <t>x</t>
  </si>
  <si>
    <t>Assumptions</t>
  </si>
  <si>
    <t>Switches</t>
  </si>
  <si>
    <t>Conservative</t>
  </si>
  <si>
    <t>Base</t>
  </si>
  <si>
    <t>Optimistic</t>
  </si>
  <si>
    <t>Year</t>
  </si>
  <si>
    <t>Metric</t>
  </si>
  <si>
    <t>Revenue</t>
  </si>
  <si>
    <t>EBIT</t>
  </si>
  <si>
    <t>WACC</t>
  </si>
  <si>
    <t>TGR</t>
  </si>
  <si>
    <t>Valuation</t>
  </si>
  <si>
    <t>Income Statement</t>
  </si>
  <si>
    <t>% growth</t>
  </si>
  <si>
    <t>--</t>
  </si>
  <si>
    <t>% of sales</t>
  </si>
  <si>
    <t>Taxes</t>
  </si>
  <si>
    <t>Tax rate</t>
  </si>
  <si>
    <t>Cash Flow Items</t>
  </si>
  <si>
    <t>D&amp;A</t>
  </si>
  <si>
    <t>CapEx</t>
  </si>
  <si>
    <t>Change in NWC</t>
  </si>
  <si>
    <t>% of change in sales</t>
  </si>
  <si>
    <t>Conservative Case</t>
  </si>
  <si>
    <t>Base Case</t>
  </si>
  <si>
    <t>Optimistic Case</t>
  </si>
  <si>
    <t xml:space="preserve"> </t>
  </si>
  <si>
    <t>EBIAT</t>
  </si>
  <si>
    <t>Unlevered FCF</t>
  </si>
  <si>
    <t>Present Value of Unlevered FCF</t>
  </si>
  <si>
    <t>Discount Period</t>
  </si>
  <si>
    <t>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</si>
  <si>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</si>
  <si>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</si>
  <si>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</si>
  <si>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</si>
  <si>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</si>
  <si>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</si>
  <si>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</si>
  <si>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</si>
  <si>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</si>
  <si>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</si>
  <si>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</si>
  <si>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</si>
  <si>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</si>
  <si>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</si>
  <si>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</si>
  <si>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</si>
  <si>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</si>
  <si>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</si>
  <si>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</si>
  <si>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</si>
  <si>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(95.23 -110.12)</t>
  </si>
  <si>
    <t>Street-Based DCF</t>
  </si>
  <si>
    <t xml:space="preserve"> WACC, Mid-Year Convention</t>
  </si>
  <si>
    <t>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</si>
</sst>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;\(0.0%\)"/>
    <numFmt numFmtId="165" formatCode="0.0%"/>
    <numFmt numFmtId="166" formatCode="0\A"/>
    <numFmt numFmtId="167" formatCode="0\E"/>
    <numFmt numFmtId="168" formatCode="0%;\(0%\)"/>
    <numFmt numFmtId="169" formatCode="0.0000"/>
  </numFmts>
  <fonts count="18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D0D0D"/>
      <name val="Segoe UI"/>
      <family val="2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9" fontId="3" fillId="0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5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5" fontId="3" fillId="2" borderId="2" xfId="1" applyNumberFormat="1" applyFont="1" applyFill="1" applyBorder="1" applyAlignment="1">
      <alignment horizontal="center"/>
    </xf>
    <xf numFmtId="166" fontId="4" fillId="3" borderId="0" xfId="0" applyNumberFormat="1" applyFont="1" applyFill="1"/>
    <xf numFmtId="167" fontId="4" fillId="3" borderId="0" xfId="0" applyNumberFormat="1" applyFont="1" applyFill="1"/>
    <xf numFmtId="3" fontId="10" fillId="0" borderId="0" xfId="0" applyNumberFormat="1" applyFont="1"/>
    <xf numFmtId="0" fontId="11" fillId="0" borderId="0" xfId="0" applyFont="1"/>
    <xf numFmtId="168" fontId="11" fillId="0" borderId="0" xfId="1" quotePrefix="1" applyNumberFormat="1" applyFont="1" applyAlignment="1">
      <alignment horizontal="right"/>
    </xf>
    <xf numFmtId="168" fontId="11" fillId="0" borderId="0" xfId="1" applyNumberFormat="1" applyFont="1"/>
    <xf numFmtId="37" fontId="12" fillId="0" borderId="0" xfId="0" applyNumberFormat="1" applyFont="1"/>
    <xf numFmtId="0" fontId="13" fillId="0" borderId="0" xfId="0" applyFont="1"/>
    <xf numFmtId="9" fontId="0" fillId="0" borderId="0" xfId="0" applyNumberFormat="1"/>
    <xf numFmtId="37" fontId="10" fillId="0" borderId="0" xfId="0" applyNumberFormat="1" applyFont="1"/>
    <xf numFmtId="0" fontId="0" fillId="0" borderId="0" xfId="0" quotePrefix="1" applyAlignment="1">
      <alignment horizontal="right"/>
    </xf>
    <xf numFmtId="3" fontId="14" fillId="0" borderId="0" xfId="0" applyNumberFormat="1" applyFont="1"/>
    <xf numFmtId="3" fontId="12" fillId="0" borderId="0" xfId="0" applyNumberFormat="1" applyFont="1"/>
    <xf numFmtId="168" fontId="11" fillId="0" borderId="0" xfId="1" applyNumberFormat="1" applyFont="1" applyAlignment="1">
      <alignment horizontal="right"/>
    </xf>
    <xf numFmtId="9" fontId="11" fillId="2" borderId="2" xfId="1" applyFont="1" applyFill="1" applyBorder="1" applyAlignment="1">
      <alignment horizontal="right"/>
    </xf>
    <xf numFmtId="9" fontId="15" fillId="2" borderId="2" xfId="1" applyFont="1" applyFill="1" applyBorder="1" applyAlignment="1">
      <alignment horizontal="right"/>
    </xf>
    <xf numFmtId="0" fontId="12" fillId="0" borderId="0" xfId="0" applyFont="1"/>
    <xf numFmtId="168" fontId="15" fillId="0" borderId="0" xfId="1" applyNumberFormat="1" applyFont="1" applyAlignment="1">
      <alignment horizontal="right"/>
    </xf>
    <xf numFmtId="9" fontId="16" fillId="2" borderId="2" xfId="1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37" fontId="14" fillId="0" borderId="0" xfId="0" applyNumberFormat="1" applyFont="1"/>
    <xf numFmtId="168" fontId="16" fillId="2" borderId="2" xfId="1" applyNumberFormat="1" applyFont="1" applyFill="1" applyBorder="1" applyAlignment="1">
      <alignment horizontal="right"/>
    </xf>
    <xf numFmtId="168" fontId="15" fillId="2" borderId="2" xfId="1" applyNumberFormat="1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169" fontId="0" fillId="0" borderId="0" xfId="0" applyNumberFormat="1"/>
    <xf numFmtId="2" fontId="0" fillId="0" borderId="0" xfId="0" applyNumberFormat="1"/>
    <xf numFmtId="0" fontId="4" fillId="5" borderId="0" xfId="0" applyFont="1" applyFill="1"/>
    <xf numFmtId="0" fontId="0" fillId="5" borderId="0" xfId="0" applyFill="1"/>
    <xf numFmtId="3" fontId="0" fillId="0" borderId="0" xfId="0" applyNumberFormat="1"/>
    <xf numFmtId="10" fontId="0" fillId="0" borderId="0" xfId="0" applyNumberFormat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0" fontId="0" fillId="2" borderId="0" xfId="0" applyFill="1"/>
    <xf numFmtId="10" fontId="0" fillId="6" borderId="0" xfId="0" applyNumberFormat="1" applyFill="1" applyAlignment="1">
      <alignment horizontal="right"/>
    </xf>
    <xf numFmtId="0" fontId="3" fillId="6" borderId="0" xfId="0" applyFont="1" applyFill="1"/>
    <xf numFmtId="0" fontId="3" fillId="0" borderId="0" xfId="0" applyFont="1" applyAlignment="1">
      <alignment horizontal="center"/>
    </xf>
    <xf numFmtId="2" fontId="0" fillId="6" borderId="0" xfId="0" applyNumberFormat="1" applyFill="1"/>
    <xf numFmtId="0" fontId="17" fillId="0" borderId="0" xfId="0" applyFont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900\Dropbox\My%20PC%20(LAPTOP-BOUM6ROT)\Downloads\2024.01.31-AMD-DCF%20(1).xlsx" TargetMode="External"/><Relationship Id="rId1" Type="http://schemas.openxmlformats.org/officeDocument/2006/relationships/externalLinkPath" Target="2024.01.31-AMD-DCF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900\Dropbox\My%20PC%20(LAPTOP-BOUM6ROT)\Downloads\2024.01.31-AMD-DCF.xlsx" TargetMode="External"/><Relationship Id="rId1" Type="http://schemas.openxmlformats.org/officeDocument/2006/relationships/externalLinkPath" Target="2024.01.31-AMD-D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enda"/>
      <sheetName val="DCF"/>
      <sheetName val="WACC"/>
      <sheetName val="Forecast"/>
      <sheetName val="IS"/>
      <sheetName val="CFS"/>
    </sheetNames>
    <sheetDataSet>
      <sheetData sheetId="0" refreshError="1"/>
      <sheetData sheetId="1">
        <row r="29">
          <cell r="J29">
            <v>0.13329533365296964</v>
          </cell>
        </row>
      </sheetData>
      <sheetData sheetId="2">
        <row r="15">
          <cell r="F15">
            <v>2998</v>
          </cell>
        </row>
        <row r="22">
          <cell r="F22">
            <v>0.1394959524881092</v>
          </cell>
        </row>
      </sheetData>
      <sheetData sheetId="3">
        <row r="5">
          <cell r="J5">
            <v>26909.7</v>
          </cell>
        </row>
        <row r="9">
          <cell r="D9">
            <v>633</v>
          </cell>
          <cell r="E9">
            <v>840</v>
          </cell>
          <cell r="F9">
            <v>1657</v>
          </cell>
          <cell r="G9">
            <v>4069</v>
          </cell>
          <cell r="H9">
            <v>6345</v>
          </cell>
          <cell r="I9">
            <v>4673.92</v>
          </cell>
          <cell r="J9">
            <v>7036.04</v>
          </cell>
        </row>
        <row r="10">
          <cell r="D10">
            <v>547</v>
          </cell>
          <cell r="E10">
            <v>779</v>
          </cell>
          <cell r="F10">
            <v>1623</v>
          </cell>
          <cell r="G10">
            <v>4041</v>
          </cell>
          <cell r="H10">
            <v>6327</v>
          </cell>
          <cell r="I10">
            <v>4859.6899999999996</v>
          </cell>
          <cell r="J10">
            <v>7210.59</v>
          </cell>
        </row>
        <row r="11">
          <cell r="D11">
            <v>34</v>
          </cell>
          <cell r="E11">
            <v>23</v>
          </cell>
          <cell r="F11">
            <v>48</v>
          </cell>
          <cell r="G11">
            <v>606</v>
          </cell>
          <cell r="H11">
            <v>823</v>
          </cell>
          <cell r="I11">
            <v>647.774</v>
          </cell>
          <cell r="J11">
            <v>955.72900000000004</v>
          </cell>
        </row>
      </sheetData>
      <sheetData sheetId="4">
        <row r="9">
          <cell r="F9">
            <v>6475</v>
          </cell>
          <cell r="G9">
            <v>6731</v>
          </cell>
          <cell r="H9">
            <v>9763</v>
          </cell>
          <cell r="I9">
            <v>16434</v>
          </cell>
          <cell r="J9">
            <v>23601</v>
          </cell>
          <cell r="K9">
            <v>22680</v>
          </cell>
        </row>
      </sheetData>
      <sheetData sheetId="5">
        <row r="11">
          <cell r="F11">
            <v>170</v>
          </cell>
          <cell r="G11">
            <v>258</v>
          </cell>
        </row>
        <row r="18">
          <cell r="F18">
            <v>-727</v>
          </cell>
          <cell r="G18">
            <v>-542</v>
          </cell>
          <cell r="H18">
            <v>-931</v>
          </cell>
          <cell r="I18">
            <v>-774</v>
          </cell>
          <cell r="J18">
            <v>-1846</v>
          </cell>
          <cell r="K18">
            <v>-3049</v>
          </cell>
        </row>
        <row r="26">
          <cell r="F26">
            <v>-163</v>
          </cell>
          <cell r="G26">
            <v>-217</v>
          </cell>
          <cell r="I26">
            <v>-301</v>
          </cell>
          <cell r="J26">
            <v>-450</v>
          </cell>
          <cell r="K26">
            <v>-546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enda"/>
      <sheetName val="DCF"/>
      <sheetName val="WACC"/>
      <sheetName val="Forecast"/>
      <sheetName val="IS"/>
      <sheetName val="CFS"/>
    </sheetNames>
    <sheetDataSet>
      <sheetData sheetId="0"/>
      <sheetData sheetId="1"/>
      <sheetData sheetId="2"/>
      <sheetData sheetId="3"/>
      <sheetData sheetId="4"/>
      <sheetData sheetId="5">
        <row r="11">
          <cell r="I11">
            <v>463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E27A-67E7-43F3-B091-7AED0FB7725A}">
  <dimension ref="B1:J4"/>
  <sheetViews>
    <sheetView workbookViewId="0">
      <selection activeCell="H20" sqref="H20"/>
    </sheetView>
  </sheetViews>
  <sheetFormatPr defaultRowHeight="13.8" x14ac:dyDescent="0.25"/>
  <sheetData>
    <row r="1" spans="2:10" x14ac:dyDescent="0.25">
      <c r="B1" s="69" t="s">
        <v>65</v>
      </c>
      <c r="C1" s="69"/>
    </row>
    <row r="3" spans="2:10" ht="14.4" customHeight="1" x14ac:dyDescent="0.3">
      <c r="B3" s="68" t="s">
        <v>63</v>
      </c>
      <c r="C3" s="68"/>
      <c r="D3" s="68"/>
      <c r="E3" s="68"/>
      <c r="F3" s="68"/>
      <c r="G3" s="68"/>
      <c r="H3" s="68"/>
      <c r="I3" s="68"/>
      <c r="J3" s="68"/>
    </row>
    <row r="4" spans="2:10" ht="14.4" customHeight="1" x14ac:dyDescent="0.3">
      <c r="B4" s="68" t="s">
        <v>64</v>
      </c>
      <c r="C4" s="68"/>
      <c r="D4" s="68"/>
      <c r="E4" s="68"/>
      <c r="F4" s="68"/>
      <c r="G4" s="68"/>
      <c r="H4" s="68"/>
      <c r="I4" s="68"/>
      <c r="J4" s="68"/>
    </row>
  </sheetData>
  <mergeCells count="3">
    <mergeCell ref="B1:C1"/>
    <mergeCell ref="B3:J3"/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9C35-61FD-4292-A918-B1BA0BBCAE7C}">
  <dimension ref="A2:U83"/>
  <sheetViews>
    <sheetView tabSelected="1" topLeftCell="A16" workbookViewId="0">
      <selection activeCell="Q37" sqref="Q37"/>
    </sheetView>
  </sheetViews>
  <sheetFormatPr defaultColWidth="9.875" defaultRowHeight="13.8" x14ac:dyDescent="0.25"/>
  <cols>
    <col min="1" max="1" width="4.125" style="10" customWidth="1"/>
    <col min="3" max="3" width="11.75" bestFit="1" customWidth="1"/>
  </cols>
  <sheetData>
    <row r="2" spans="1:21" s="3" customFormat="1" ht="21" x14ac:dyDescent="0.4">
      <c r="A2" s="1"/>
      <c r="B2" s="2" t="s">
        <v>0</v>
      </c>
    </row>
    <row r="4" spans="1:21" s="5" customFormat="1" x14ac:dyDescent="0.3">
      <c r="A4" s="4"/>
      <c r="B4" s="5" t="s">
        <v>1</v>
      </c>
      <c r="C4" s="6" t="s">
        <v>2</v>
      </c>
      <c r="G4" s="5" t="s">
        <v>3</v>
      </c>
      <c r="J4" s="7">
        <f ca="1">O83</f>
        <v>110.12309077620669</v>
      </c>
      <c r="L4" s="65" t="s">
        <v>4</v>
      </c>
      <c r="M4" s="66" t="s">
        <v>62</v>
      </c>
      <c r="N4" s="66"/>
    </row>
    <row r="5" spans="1:21" s="5" customFormat="1" x14ac:dyDescent="0.3">
      <c r="A5" s="4"/>
      <c r="B5" s="5" t="s">
        <v>5</v>
      </c>
      <c r="C5" s="8">
        <v>45441</v>
      </c>
      <c r="G5" s="5" t="s">
        <v>6</v>
      </c>
      <c r="J5" s="7">
        <v>164.15</v>
      </c>
    </row>
    <row r="6" spans="1:21" s="5" customFormat="1" x14ac:dyDescent="0.3">
      <c r="A6" s="4"/>
      <c r="B6" s="5" t="s">
        <v>7</v>
      </c>
      <c r="C6" s="8">
        <v>45806</v>
      </c>
      <c r="G6" s="5" t="s">
        <v>8</v>
      </c>
      <c r="J6" s="9">
        <f ca="1">J4/J5-1</f>
        <v>-0.32913133855493948</v>
      </c>
    </row>
    <row r="8" spans="1:21" ht="14.4" x14ac:dyDescent="0.3">
      <c r="A8" s="10" t="s">
        <v>9</v>
      </c>
      <c r="B8" s="11" t="s">
        <v>10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1" ht="4.95" customHeight="1" x14ac:dyDescent="0.25"/>
    <row r="10" spans="1:21" s="5" customFormat="1" ht="13.05" customHeight="1" x14ac:dyDescent="0.3">
      <c r="A10" s="4"/>
      <c r="B10" s="13" t="s">
        <v>11</v>
      </c>
      <c r="C10" s="14"/>
      <c r="D10" s="14"/>
      <c r="E10" s="14"/>
      <c r="G10" s="13" t="s">
        <v>12</v>
      </c>
      <c r="H10" s="14"/>
      <c r="I10" s="14"/>
      <c r="J10" s="14"/>
      <c r="L10" s="13" t="s">
        <v>13</v>
      </c>
      <c r="M10" s="14"/>
      <c r="N10" s="14"/>
      <c r="O10" s="14"/>
      <c r="Q10" s="13" t="s">
        <v>14</v>
      </c>
      <c r="R10" s="14"/>
      <c r="S10" s="14"/>
      <c r="T10" s="14"/>
    </row>
    <row r="11" spans="1:21" s="5" customFormat="1" ht="13.05" customHeight="1" x14ac:dyDescent="0.3">
      <c r="A11" s="4"/>
      <c r="B11" s="15" t="s">
        <v>10</v>
      </c>
      <c r="G11" s="15" t="str">
        <f>$B11</f>
        <v>Assumptions</v>
      </c>
      <c r="H11" s="16"/>
      <c r="I11" s="17" t="s">
        <v>15</v>
      </c>
      <c r="J11" s="17" t="s">
        <v>16</v>
      </c>
      <c r="L11" s="15" t="str">
        <f>$B11</f>
        <v>Assumptions</v>
      </c>
      <c r="M11" s="16"/>
      <c r="N11" s="17" t="s">
        <v>15</v>
      </c>
      <c r="O11" s="17" t="s">
        <v>16</v>
      </c>
      <c r="Q11" s="15" t="str">
        <f>$B11</f>
        <v>Assumptions</v>
      </c>
      <c r="R11" s="16"/>
      <c r="S11" s="17" t="s">
        <v>15</v>
      </c>
      <c r="T11" s="17" t="s">
        <v>16</v>
      </c>
    </row>
    <row r="12" spans="1:21" s="5" customFormat="1" ht="13.05" customHeight="1" x14ac:dyDescent="0.3">
      <c r="A12" s="4"/>
      <c r="B12" s="5" t="s">
        <v>17</v>
      </c>
      <c r="E12" s="6">
        <v>3</v>
      </c>
      <c r="F12" s="4"/>
      <c r="G12" s="5" t="s">
        <v>17</v>
      </c>
      <c r="I12" s="4">
        <v>2024</v>
      </c>
      <c r="J12" s="18">
        <v>-0.1</v>
      </c>
      <c r="O12" s="4"/>
      <c r="Q12" s="5" t="s">
        <v>17</v>
      </c>
      <c r="S12" s="4">
        <v>2024</v>
      </c>
      <c r="T12" s="18">
        <v>0.1</v>
      </c>
    </row>
    <row r="13" spans="1:21" s="5" customFormat="1" ht="13.05" customHeight="1" x14ac:dyDescent="0.3">
      <c r="A13" s="4"/>
      <c r="B13" s="5" t="s">
        <v>18</v>
      </c>
      <c r="E13" s="6">
        <v>3</v>
      </c>
      <c r="F13" s="4"/>
      <c r="G13" s="5" t="s">
        <v>17</v>
      </c>
      <c r="I13" s="4">
        <v>2028</v>
      </c>
      <c r="J13" s="18">
        <v>-0.15</v>
      </c>
      <c r="L13" s="5" t="s">
        <v>17</v>
      </c>
      <c r="N13" s="4">
        <v>2028</v>
      </c>
      <c r="O13" s="18">
        <v>0.15</v>
      </c>
      <c r="Q13" s="5" t="s">
        <v>17</v>
      </c>
      <c r="S13" s="4">
        <v>2028</v>
      </c>
      <c r="T13" s="18">
        <v>0.15</v>
      </c>
    </row>
    <row r="14" spans="1:21" s="5" customFormat="1" ht="13.05" customHeight="1" x14ac:dyDescent="0.3">
      <c r="A14" s="4"/>
      <c r="B14" s="5" t="s">
        <v>19</v>
      </c>
      <c r="E14" s="6">
        <v>3</v>
      </c>
      <c r="F14" s="4"/>
      <c r="G14" s="5" t="s">
        <v>18</v>
      </c>
      <c r="I14" s="4">
        <v>2024</v>
      </c>
      <c r="J14" s="18">
        <v>-0.05</v>
      </c>
      <c r="Q14" s="5" t="s">
        <v>18</v>
      </c>
      <c r="S14" s="4">
        <v>2024</v>
      </c>
      <c r="T14" s="18">
        <v>0.05</v>
      </c>
    </row>
    <row r="15" spans="1:21" s="5" customFormat="1" ht="13.05" customHeight="1" x14ac:dyDescent="0.3">
      <c r="A15" s="4"/>
      <c r="B15" s="5" t="s">
        <v>20</v>
      </c>
      <c r="E15" s="6">
        <v>2</v>
      </c>
      <c r="F15" s="4"/>
      <c r="G15" s="5" t="s">
        <v>18</v>
      </c>
      <c r="I15" s="4">
        <v>2028</v>
      </c>
      <c r="J15" s="18">
        <v>0.27</v>
      </c>
      <c r="L15" s="5" t="s">
        <v>18</v>
      </c>
      <c r="N15" s="4">
        <v>2028</v>
      </c>
      <c r="O15" s="18">
        <v>0.3</v>
      </c>
      <c r="Q15" s="5" t="s">
        <v>18</v>
      </c>
      <c r="S15" s="4">
        <v>2028</v>
      </c>
      <c r="T15" s="18">
        <v>0.32</v>
      </c>
    </row>
    <row r="16" spans="1:21" s="5" customFormat="1" ht="13.05" customHeight="1" x14ac:dyDescent="0.3">
      <c r="A16" s="4"/>
      <c r="F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5" customFormat="1" ht="13.05" customHeight="1" x14ac:dyDescent="0.3">
      <c r="A17" s="4"/>
      <c r="B17" s="15" t="s">
        <v>21</v>
      </c>
      <c r="F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s="5" customFormat="1" ht="13.05" customHeight="1" x14ac:dyDescent="0.3">
      <c r="A18" s="4"/>
      <c r="B18" s="5" t="s">
        <v>19</v>
      </c>
      <c r="E18" s="19">
        <f>CHOOSE(E14,J18,O18,T18)</f>
        <v>0.13449595248810919</v>
      </c>
      <c r="F18" s="4"/>
      <c r="G18" s="5" t="s">
        <v>19</v>
      </c>
      <c r="J18" s="19">
        <f>O18+0.5%</f>
        <v>0.1444959524881092</v>
      </c>
      <c r="K18" s="4"/>
      <c r="L18" s="5" t="s">
        <v>19</v>
      </c>
      <c r="O18" s="19">
        <f>[1]WACC!F22</f>
        <v>0.1394959524881092</v>
      </c>
      <c r="P18" s="4"/>
      <c r="Q18" s="5" t="s">
        <v>19</v>
      </c>
      <c r="T18" s="19">
        <f>O18-0.5%</f>
        <v>0.13449595248810919</v>
      </c>
      <c r="U18" s="4"/>
    </row>
    <row r="19" spans="1:21" s="5" customFormat="1" ht="13.05" customHeight="1" x14ac:dyDescent="0.3">
      <c r="A19" s="4"/>
      <c r="B19" s="5" t="s">
        <v>20</v>
      </c>
      <c r="E19" s="19">
        <f>CHOOSE(E15,J19,O19,T19)</f>
        <v>2.5000000000000001E-2</v>
      </c>
      <c r="G19" s="5" t="s">
        <v>20</v>
      </c>
      <c r="J19" s="19">
        <v>0.02</v>
      </c>
      <c r="K19" s="4"/>
      <c r="L19" s="5" t="s">
        <v>20</v>
      </c>
      <c r="O19" s="19">
        <v>2.5000000000000001E-2</v>
      </c>
      <c r="P19" s="4"/>
      <c r="Q19" s="5" t="s">
        <v>20</v>
      </c>
      <c r="T19" s="19">
        <v>0.03</v>
      </c>
    </row>
    <row r="20" spans="1:21" s="5" customFormat="1" ht="13.05" customHeight="1" x14ac:dyDescent="0.3">
      <c r="A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1" ht="14.4" x14ac:dyDescent="0.3">
      <c r="A21" s="10" t="s">
        <v>9</v>
      </c>
      <c r="B21" s="11" t="s">
        <v>22</v>
      </c>
      <c r="C21" s="12"/>
      <c r="D21" s="12"/>
      <c r="E21" s="20">
        <v>2018</v>
      </c>
      <c r="F21" s="20">
        <f t="shared" ref="F21:O21" si="0">E21+1</f>
        <v>2019</v>
      </c>
      <c r="G21" s="20">
        <f t="shared" si="0"/>
        <v>2020</v>
      </c>
      <c r="H21" s="20">
        <f t="shared" si="0"/>
        <v>2021</v>
      </c>
      <c r="I21" s="20">
        <f t="shared" si="0"/>
        <v>2022</v>
      </c>
      <c r="J21" s="20">
        <f t="shared" si="0"/>
        <v>2023</v>
      </c>
      <c r="K21" s="21">
        <f t="shared" si="0"/>
        <v>2024</v>
      </c>
      <c r="L21" s="21">
        <f t="shared" si="0"/>
        <v>2025</v>
      </c>
      <c r="M21" s="21">
        <f t="shared" si="0"/>
        <v>2026</v>
      </c>
      <c r="N21" s="21">
        <f t="shared" si="0"/>
        <v>2027</v>
      </c>
      <c r="O21" s="21">
        <f t="shared" si="0"/>
        <v>2028</v>
      </c>
    </row>
    <row r="22" spans="1:21" ht="14.4" x14ac:dyDescent="0.3">
      <c r="B22" t="s">
        <v>17</v>
      </c>
      <c r="E22" s="22">
        <f>[1]IS!F9</f>
        <v>6475</v>
      </c>
      <c r="F22" s="22">
        <f>[1]IS!G9</f>
        <v>6731</v>
      </c>
      <c r="G22" s="22">
        <f>[1]IS!H9</f>
        <v>9763</v>
      </c>
      <c r="H22" s="22">
        <f>[1]IS!I9</f>
        <v>16434</v>
      </c>
      <c r="I22" s="22">
        <f>[1]IS!J9</f>
        <v>23601</v>
      </c>
      <c r="J22" s="22">
        <f>[1]IS!K9</f>
        <v>22680</v>
      </c>
      <c r="K22" s="22">
        <f>[1]Forecast!J5</f>
        <v>26909.7</v>
      </c>
      <c r="L22" s="22">
        <f>K22*(1 + 0.18)</f>
        <v>31753.446</v>
      </c>
      <c r="M22" s="22">
        <f>L22*(1+0.35)</f>
        <v>42867.152099999999</v>
      </c>
      <c r="N22" s="22">
        <f>M22*(1+0.26)</f>
        <v>54012.611645999998</v>
      </c>
      <c r="O22" s="22">
        <f>N22*(1+0.26)</f>
        <v>68055.890673959992</v>
      </c>
    </row>
    <row r="23" spans="1:21" ht="14.4" x14ac:dyDescent="0.3">
      <c r="B23" s="23" t="s">
        <v>23</v>
      </c>
      <c r="E23" s="24" t="s">
        <v>24</v>
      </c>
      <c r="F23" s="25">
        <f t="shared" ref="F23:K23" si="1">F22/E22-1</f>
        <v>3.9536679536679609E-2</v>
      </c>
      <c r="G23" s="25">
        <f t="shared" si="1"/>
        <v>0.45045312732134901</v>
      </c>
      <c r="H23" s="25">
        <f t="shared" si="1"/>
        <v>0.68329406944586712</v>
      </c>
      <c r="I23" s="25">
        <f t="shared" si="1"/>
        <v>0.43610806863818907</v>
      </c>
      <c r="J23" s="25">
        <f t="shared" si="1"/>
        <v>-3.9023770179229644E-2</v>
      </c>
      <c r="K23" s="25">
        <f t="shared" si="1"/>
        <v>0.1864947089947091</v>
      </c>
      <c r="L23" s="25">
        <f>L22/K22-1</f>
        <v>0.17999999999999994</v>
      </c>
      <c r="M23" s="25">
        <f>M22/L22-1</f>
        <v>0.35000000000000009</v>
      </c>
      <c r="N23" s="25">
        <f>N22/M22-1</f>
        <v>0.26</v>
      </c>
      <c r="O23" s="25">
        <f>O22/N22-1</f>
        <v>0.26</v>
      </c>
    </row>
    <row r="25" spans="1:21" ht="14.4" x14ac:dyDescent="0.3">
      <c r="B25" t="s">
        <v>18</v>
      </c>
      <c r="E25" s="22">
        <f>[1]Forecast!D9</f>
        <v>633</v>
      </c>
      <c r="F25" s="22">
        <f>[1]Forecast!E9</f>
        <v>840</v>
      </c>
      <c r="G25" s="22">
        <f>[1]Forecast!F9</f>
        <v>1657</v>
      </c>
      <c r="H25" s="22">
        <f>[1]Forecast!G9</f>
        <v>4069</v>
      </c>
      <c r="I25" s="22">
        <f>[1]Forecast!H9</f>
        <v>6345</v>
      </c>
      <c r="J25" s="22">
        <f>[1]Forecast!I9</f>
        <v>4673.92</v>
      </c>
      <c r="K25" s="22">
        <f>[1]Forecast!J9</f>
        <v>7036.04</v>
      </c>
      <c r="L25" s="22">
        <f>K25*(1+0.1)</f>
        <v>7739.6440000000002</v>
      </c>
      <c r="M25" s="26">
        <f>L25*(1+0.1)</f>
        <v>8513.608400000001</v>
      </c>
      <c r="N25" s="26">
        <f>M25*(1+0.17)</f>
        <v>9960.9218280000005</v>
      </c>
      <c r="O25" s="26">
        <f>N25*(1+0.17)</f>
        <v>11654.27853876</v>
      </c>
    </row>
    <row r="26" spans="1:21" ht="14.4" x14ac:dyDescent="0.3">
      <c r="B26" s="23" t="s">
        <v>25</v>
      </c>
      <c r="E26" s="25">
        <f t="shared" ref="E26:O26" si="2">E25/E22</f>
        <v>9.7760617760617757E-2</v>
      </c>
      <c r="F26" s="25">
        <f t="shared" si="2"/>
        <v>0.12479572128955578</v>
      </c>
      <c r="G26" s="25">
        <f t="shared" si="2"/>
        <v>0.1697224213868688</v>
      </c>
      <c r="H26" s="25">
        <f t="shared" si="2"/>
        <v>0.24759644639162712</v>
      </c>
      <c r="I26" s="25">
        <f t="shared" si="2"/>
        <v>0.26884454048557266</v>
      </c>
      <c r="J26" s="25">
        <f t="shared" si="2"/>
        <v>0.20608112874779541</v>
      </c>
      <c r="K26" s="25">
        <f t="shared" si="2"/>
        <v>0.26146854108369844</v>
      </c>
      <c r="L26" s="25">
        <f t="shared" si="2"/>
        <v>0.24374186033226128</v>
      </c>
      <c r="M26" s="25">
        <f t="shared" si="2"/>
        <v>0.19860447878924994</v>
      </c>
      <c r="N26" s="25">
        <f t="shared" si="2"/>
        <v>0.1844184445900178</v>
      </c>
      <c r="O26" s="25">
        <f t="shared" si="2"/>
        <v>0.17124569854787366</v>
      </c>
    </row>
    <row r="28" spans="1:21" ht="15" x14ac:dyDescent="0.35">
      <c r="B28" t="s">
        <v>26</v>
      </c>
      <c r="E28" s="22">
        <f>[1]Forecast!D11</f>
        <v>34</v>
      </c>
      <c r="F28" s="22">
        <f>[1]Forecast!E11</f>
        <v>23</v>
      </c>
      <c r="G28" s="22">
        <f>[1]Forecast!F11</f>
        <v>48</v>
      </c>
      <c r="H28" s="22">
        <f>[1]Forecast!G11</f>
        <v>606</v>
      </c>
      <c r="I28" s="22">
        <f>[1]Forecast!H11</f>
        <v>823</v>
      </c>
      <c r="J28" s="22">
        <f>[1]Forecast!I11</f>
        <v>647.774</v>
      </c>
      <c r="K28" s="22">
        <f>[1]Forecast!J11</f>
        <v>955.72900000000004</v>
      </c>
      <c r="L28" s="27">
        <v>149.04</v>
      </c>
      <c r="M28" s="27">
        <v>156.6</v>
      </c>
      <c r="N28" s="27">
        <v>164.34</v>
      </c>
      <c r="O28" s="27">
        <v>164.34</v>
      </c>
    </row>
    <row r="29" spans="1:21" ht="14.4" x14ac:dyDescent="0.3">
      <c r="B29" s="23" t="s">
        <v>27</v>
      </c>
      <c r="E29" s="25">
        <f>[1]Forecast!D11/[1]Forecast!D10</f>
        <v>6.2157221206581355E-2</v>
      </c>
      <c r="F29" s="25">
        <f>[1]Forecast!E11/[1]Forecast!E10</f>
        <v>2.9525032092426188E-2</v>
      </c>
      <c r="G29" s="25">
        <f>[1]Forecast!F11/[1]Forecast!F10</f>
        <v>2.9574861367837338E-2</v>
      </c>
      <c r="H29" s="25">
        <f>[1]Forecast!G11/[1]Forecast!G10</f>
        <v>0.14996288047512993</v>
      </c>
      <c r="I29" s="25">
        <f>[1]Forecast!H11/[1]Forecast!H10</f>
        <v>0.13007744586691955</v>
      </c>
      <c r="J29" s="25">
        <f>[1]Forecast!I11/[1]Forecast!I10</f>
        <v>0.13329533365296964</v>
      </c>
      <c r="K29" s="25">
        <f>[1]Forecast!J11/[1]Forecast!J10</f>
        <v>0.13254518700966217</v>
      </c>
      <c r="L29" s="28">
        <v>0.2</v>
      </c>
      <c r="M29" s="28">
        <v>0.2</v>
      </c>
      <c r="N29" s="28">
        <v>0.2</v>
      </c>
      <c r="O29" s="28">
        <v>0.2</v>
      </c>
    </row>
    <row r="30" spans="1:21" x14ac:dyDescent="0.25">
      <c r="J30" s="28"/>
    </row>
    <row r="31" spans="1:21" ht="14.4" x14ac:dyDescent="0.3">
      <c r="A31" s="10" t="s">
        <v>9</v>
      </c>
      <c r="B31" s="11" t="s">
        <v>28</v>
      </c>
      <c r="C31" s="12"/>
      <c r="D31" s="12"/>
      <c r="E31" s="20">
        <f t="shared" ref="E31:O31" si="3">E$21</f>
        <v>2018</v>
      </c>
      <c r="F31" s="20">
        <f t="shared" si="3"/>
        <v>2019</v>
      </c>
      <c r="G31" s="20">
        <f t="shared" si="3"/>
        <v>2020</v>
      </c>
      <c r="H31" s="20">
        <f t="shared" si="3"/>
        <v>2021</v>
      </c>
      <c r="I31" s="20">
        <f t="shared" si="3"/>
        <v>2022</v>
      </c>
      <c r="J31" s="20">
        <f t="shared" si="3"/>
        <v>2023</v>
      </c>
      <c r="K31" s="21">
        <f t="shared" si="3"/>
        <v>2024</v>
      </c>
      <c r="L31" s="21">
        <f t="shared" si="3"/>
        <v>2025</v>
      </c>
      <c r="M31" s="21">
        <f t="shared" si="3"/>
        <v>2026</v>
      </c>
      <c r="N31" s="21">
        <f t="shared" si="3"/>
        <v>2027</v>
      </c>
      <c r="O31" s="21">
        <f t="shared" si="3"/>
        <v>2028</v>
      </c>
    </row>
    <row r="32" spans="1:21" ht="14.4" x14ac:dyDescent="0.3">
      <c r="B32" t="s">
        <v>29</v>
      </c>
      <c r="E32" s="22">
        <f>[1]CFS!F11</f>
        <v>170</v>
      </c>
      <c r="F32" s="22">
        <f>[1]CFS!G11</f>
        <v>258</v>
      </c>
      <c r="G32" s="22">
        <v>368</v>
      </c>
      <c r="H32" s="22">
        <f>[2]CFS!I11</f>
        <v>463</v>
      </c>
      <c r="I32" s="22">
        <v>4451</v>
      </c>
      <c r="J32" s="22">
        <v>3554</v>
      </c>
      <c r="K32" s="22">
        <f>J32*(1 +0.16)</f>
        <v>4122.6399999999994</v>
      </c>
      <c r="L32" s="22">
        <f t="shared" ref="L32:O32" si="4">K32*(1 +0.16)</f>
        <v>4782.2623999999987</v>
      </c>
      <c r="M32" s="22">
        <f t="shared" si="4"/>
        <v>5547.4243839999981</v>
      </c>
      <c r="N32" s="22">
        <f t="shared" si="4"/>
        <v>6435.012285439997</v>
      </c>
      <c r="O32" s="22">
        <f t="shared" si="4"/>
        <v>7464.6142511103963</v>
      </c>
    </row>
    <row r="33" spans="1:15" ht="14.4" x14ac:dyDescent="0.3">
      <c r="B33" s="23" t="s">
        <v>25</v>
      </c>
      <c r="E33" s="25">
        <f>E32/E$22</f>
        <v>2.6254826254826256E-2</v>
      </c>
      <c r="F33" s="25">
        <f t="shared" ref="F33:J33" si="5">F32/F$22</f>
        <v>3.833011439607785E-2</v>
      </c>
      <c r="G33" s="25">
        <f t="shared" si="5"/>
        <v>3.7693331967632901E-2</v>
      </c>
      <c r="H33" s="25">
        <f t="shared" si="5"/>
        <v>2.8173299257636605E-2</v>
      </c>
      <c r="I33" s="25">
        <f t="shared" si="5"/>
        <v>0.18859370365662473</v>
      </c>
      <c r="J33" s="25">
        <f t="shared" si="5"/>
        <v>0.15670194003527338</v>
      </c>
      <c r="K33" s="25">
        <f t="shared" ref="K33" si="6">K32/K$22</f>
        <v>0.15320274845130191</v>
      </c>
      <c r="L33" s="25">
        <f t="shared" ref="L33" si="7">L32/L$22</f>
        <v>0.15060609169789002</v>
      </c>
      <c r="M33" s="25">
        <f t="shared" ref="M33" si="8">M32/M$22</f>
        <v>0.12940967879226103</v>
      </c>
      <c r="N33" s="25">
        <f t="shared" ref="N33" si="9">N32/N$22</f>
        <v>0.1191390693643038</v>
      </c>
      <c r="O33" s="25">
        <f t="shared" ref="O33" si="10">O32/O$22</f>
        <v>0.10968358766872414</v>
      </c>
    </row>
    <row r="35" spans="1:15" ht="14.4" x14ac:dyDescent="0.3">
      <c r="B35" t="s">
        <v>30</v>
      </c>
      <c r="E35" s="22">
        <f>-[1]CFS!F26</f>
        <v>163</v>
      </c>
      <c r="F35" s="22">
        <f>-[1]CFS!G26</f>
        <v>217</v>
      </c>
      <c r="G35" s="22">
        <f>-301</f>
        <v>-301</v>
      </c>
      <c r="H35" s="22">
        <f>-[1]CFS!I26</f>
        <v>301</v>
      </c>
      <c r="I35" s="22">
        <f>-[1]CFS!J26</f>
        <v>450</v>
      </c>
      <c r="J35" s="22">
        <f>-[1]CFS!K26</f>
        <v>546</v>
      </c>
      <c r="K35" s="22">
        <f>J35*(1+0.02)</f>
        <v>556.91999999999996</v>
      </c>
      <c r="L35" s="22">
        <f t="shared" ref="L35:O35" si="11">K35*(1+0.02)</f>
        <v>568.05840000000001</v>
      </c>
      <c r="M35" s="22">
        <f t="shared" si="11"/>
        <v>579.41956800000003</v>
      </c>
      <c r="N35" s="22">
        <f t="shared" si="11"/>
        <v>591.00795936000009</v>
      </c>
      <c r="O35" s="22">
        <f t="shared" si="11"/>
        <v>602.82811854720012</v>
      </c>
    </row>
    <row r="36" spans="1:15" ht="14.4" x14ac:dyDescent="0.3">
      <c r="B36" s="23" t="s">
        <v>25</v>
      </c>
      <c r="E36" s="25">
        <f>E35/E$22</f>
        <v>2.5173745173745175E-2</v>
      </c>
      <c r="F36" s="25">
        <f t="shared" ref="F36:O36" si="12">F35/F$22</f>
        <v>3.2238894666468579E-2</v>
      </c>
      <c r="G36" s="25">
        <f t="shared" si="12"/>
        <v>-3.0830687288743216E-2</v>
      </c>
      <c r="H36" s="25">
        <f t="shared" si="12"/>
        <v>1.8315686990385785E-2</v>
      </c>
      <c r="I36" s="25">
        <f t="shared" si="12"/>
        <v>1.9066988686920045E-2</v>
      </c>
      <c r="J36" s="25">
        <f t="shared" si="12"/>
        <v>2.4074074074074074E-2</v>
      </c>
      <c r="K36" s="25">
        <f t="shared" si="12"/>
        <v>2.0695882897245228E-2</v>
      </c>
      <c r="L36" s="25">
        <f t="shared" si="12"/>
        <v>1.788966148744927E-2</v>
      </c>
      <c r="M36" s="25">
        <f t="shared" si="12"/>
        <v>1.3516633123850558E-2</v>
      </c>
      <c r="N36" s="25">
        <f t="shared" si="12"/>
        <v>1.0942036338355216E-2</v>
      </c>
      <c r="O36" s="25">
        <f t="shared" si="12"/>
        <v>8.8578389405732701E-3</v>
      </c>
    </row>
    <row r="38" spans="1:15" ht="14.4" x14ac:dyDescent="0.3">
      <c r="B38" t="s">
        <v>31</v>
      </c>
      <c r="E38" s="29">
        <f>[1]CFS!F18</f>
        <v>-727</v>
      </c>
      <c r="F38" s="29">
        <f>[1]CFS!G18</f>
        <v>-542</v>
      </c>
      <c r="G38" s="29">
        <f>[1]CFS!H18</f>
        <v>-931</v>
      </c>
      <c r="H38" s="29">
        <f>[1]CFS!I18</f>
        <v>-774</v>
      </c>
      <c r="I38" s="29">
        <f>[1]CFS!J18</f>
        <v>-1846</v>
      </c>
      <c r="J38" s="29">
        <f>[1]CFS!K18</f>
        <v>-3049</v>
      </c>
      <c r="K38">
        <f>J38*(1+0.13)</f>
        <v>-3445.37</v>
      </c>
      <c r="L38">
        <f t="shared" ref="L38:O38" si="13">K38*(1+0.13)</f>
        <v>-3893.2680999999993</v>
      </c>
      <c r="M38">
        <f t="shared" si="13"/>
        <v>-4399.3929529999987</v>
      </c>
      <c r="N38">
        <f t="shared" si="13"/>
        <v>-4971.3140368899976</v>
      </c>
      <c r="O38">
        <f t="shared" si="13"/>
        <v>-5617.5848616856965</v>
      </c>
    </row>
    <row r="39" spans="1:15" ht="14.4" x14ac:dyDescent="0.3">
      <c r="B39" s="23" t="s">
        <v>25</v>
      </c>
      <c r="E39" s="25">
        <f>E38/E$22</f>
        <v>-0.11227799227799228</v>
      </c>
      <c r="F39" s="25">
        <f t="shared" ref="F39:O39" si="14">F38/F$22</f>
        <v>-8.0522953498737185E-2</v>
      </c>
      <c r="G39" s="25">
        <f t="shared" si="14"/>
        <v>-9.5360032776810405E-2</v>
      </c>
      <c r="H39" s="25">
        <f t="shared" si="14"/>
        <v>-4.7097480832420595E-2</v>
      </c>
      <c r="I39" s="25">
        <f t="shared" si="14"/>
        <v>-7.8217024702343124E-2</v>
      </c>
      <c r="J39" s="25">
        <f t="shared" si="14"/>
        <v>-0.13443562610229276</v>
      </c>
      <c r="K39" s="25">
        <f t="shared" si="14"/>
        <v>-0.12803450057042626</v>
      </c>
      <c r="L39" s="25">
        <f t="shared" si="14"/>
        <v>-0.12260930986828955</v>
      </c>
      <c r="M39" s="25">
        <f t="shared" si="14"/>
        <v>-0.10262853344530902</v>
      </c>
      <c r="N39" s="25">
        <f t="shared" si="14"/>
        <v>-9.2039875232697757E-2</v>
      </c>
      <c r="O39" s="25">
        <f t="shared" si="14"/>
        <v>-8.2543697629324175E-2</v>
      </c>
    </row>
    <row r="40" spans="1:15" ht="14.4" x14ac:dyDescent="0.3">
      <c r="B40" t="s">
        <v>32</v>
      </c>
      <c r="E40" s="30" t="s">
        <v>24</v>
      </c>
      <c r="F40" s="25">
        <f>F38/(F22-E22)</f>
        <v>-2.1171875</v>
      </c>
      <c r="G40" s="25">
        <f t="shared" ref="G40:J40" si="15">G38/(G22-F22)</f>
        <v>-0.30705804749340371</v>
      </c>
      <c r="H40" s="25">
        <f t="shared" si="15"/>
        <v>-0.11602458402038675</v>
      </c>
      <c r="I40" s="25">
        <f t="shared" si="15"/>
        <v>-0.25756941537602901</v>
      </c>
      <c r="J40" s="25">
        <f t="shared" si="15"/>
        <v>3.3105320304017374</v>
      </c>
      <c r="K40" s="25">
        <f t="shared" ref="K40" si="16">K38/(K22-J22)</f>
        <v>-0.81456604487315865</v>
      </c>
      <c r="L40" s="25">
        <f t="shared" ref="L40" si="17">L38/(L22-K22)</f>
        <v>-0.80377214246989825</v>
      </c>
      <c r="M40" s="25">
        <f t="shared" ref="M40" si="18">M38/(M22-L22)</f>
        <v>-0.39585291471762052</v>
      </c>
      <c r="N40" s="25">
        <f t="shared" ref="N40" si="19">N38/(N22-M22)</f>
        <v>-0.44603939535845843</v>
      </c>
      <c r="O40" s="25">
        <f t="shared" ref="O40" si="20">O38/(O22-N22)</f>
        <v>-0.40001945774210956</v>
      </c>
    </row>
    <row r="42" spans="1:15" ht="14.4" x14ac:dyDescent="0.3">
      <c r="A42" s="10" t="s">
        <v>9</v>
      </c>
      <c r="B42" s="11" t="s">
        <v>0</v>
      </c>
      <c r="C42" s="12"/>
      <c r="D42" s="12"/>
      <c r="E42" s="20">
        <f t="shared" ref="E42:O42" si="21">E$21</f>
        <v>2018</v>
      </c>
      <c r="F42" s="20">
        <f t="shared" si="21"/>
        <v>2019</v>
      </c>
      <c r="G42" s="20">
        <f t="shared" si="21"/>
        <v>2020</v>
      </c>
      <c r="H42" s="20">
        <f t="shared" si="21"/>
        <v>2021</v>
      </c>
      <c r="I42" s="20">
        <f t="shared" si="21"/>
        <v>2022</v>
      </c>
      <c r="J42" s="20">
        <f t="shared" si="21"/>
        <v>2023</v>
      </c>
      <c r="K42" s="21">
        <f t="shared" si="21"/>
        <v>2024</v>
      </c>
      <c r="L42" s="21">
        <f t="shared" si="21"/>
        <v>2025</v>
      </c>
      <c r="M42" s="21">
        <f t="shared" si="21"/>
        <v>2026</v>
      </c>
      <c r="N42" s="21">
        <f t="shared" si="21"/>
        <v>2027</v>
      </c>
      <c r="O42" s="21">
        <f t="shared" si="21"/>
        <v>2028</v>
      </c>
    </row>
    <row r="43" spans="1:15" ht="14.4" x14ac:dyDescent="0.3">
      <c r="B43" t="s">
        <v>17</v>
      </c>
      <c r="E43" s="31">
        <f>E22</f>
        <v>6475</v>
      </c>
      <c r="F43" s="31">
        <f t="shared" ref="F43:J43" si="22">F22</f>
        <v>6731</v>
      </c>
      <c r="G43" s="31">
        <f t="shared" si="22"/>
        <v>9763</v>
      </c>
      <c r="H43" s="31">
        <f t="shared" si="22"/>
        <v>16434</v>
      </c>
      <c r="I43" s="31">
        <f t="shared" si="22"/>
        <v>23601</v>
      </c>
      <c r="J43" s="31">
        <f t="shared" si="22"/>
        <v>22680</v>
      </c>
      <c r="K43" s="32">
        <f ca="1">J43*(1+K44)</f>
        <v>27332.670000000002</v>
      </c>
      <c r="L43" s="32">
        <f t="shared" ref="L43:O43" ca="1" si="23">K43*(1+L44)</f>
        <v>32716.745022351195</v>
      </c>
      <c r="M43" s="32">
        <f t="shared" ca="1" si="23"/>
        <v>38894.389193737603</v>
      </c>
      <c r="N43" s="32">
        <f t="shared" ca="1" si="23"/>
        <v>45921.090189085997</v>
      </c>
      <c r="O43" s="32">
        <f t="shared" ca="1" si="23"/>
        <v>53842.478246703322</v>
      </c>
    </row>
    <row r="44" spans="1:15" ht="14.4" x14ac:dyDescent="0.3">
      <c r="B44" s="23" t="s">
        <v>23</v>
      </c>
      <c r="E44" s="33" t="s">
        <v>24</v>
      </c>
      <c r="F44" s="25">
        <f>F43/E43-1</f>
        <v>3.9536679536679609E-2</v>
      </c>
      <c r="G44" s="25">
        <f t="shared" ref="G44:J44" si="24">G43/F43-1</f>
        <v>0.45045312732134901</v>
      </c>
      <c r="H44" s="25">
        <f t="shared" si="24"/>
        <v>0.68329406944586712</v>
      </c>
      <c r="I44" s="25">
        <f t="shared" si="24"/>
        <v>0.43610806863818907</v>
      </c>
      <c r="J44" s="25">
        <f t="shared" si="24"/>
        <v>-3.9023770179229644E-2</v>
      </c>
      <c r="K44" s="25">
        <f ca="1">OFFSET(K44,$E$12,0)</f>
        <v>0.20514417989418002</v>
      </c>
      <c r="L44" s="25">
        <f t="shared" ref="L44:O44" ca="1" si="25">OFFSET(L44,$E$12,0)</f>
        <v>0.19698313492063502</v>
      </c>
      <c r="M44" s="25">
        <f t="shared" ca="1" si="25"/>
        <v>0.18882208994709002</v>
      </c>
      <c r="N44" s="25">
        <f t="shared" ca="1" si="25"/>
        <v>0.18066104497354502</v>
      </c>
      <c r="O44" s="25">
        <f t="shared" ca="1" si="25"/>
        <v>0.17249999999999999</v>
      </c>
    </row>
    <row r="45" spans="1:15" ht="14.4" x14ac:dyDescent="0.3">
      <c r="B45" t="s">
        <v>33</v>
      </c>
      <c r="E45" s="33"/>
      <c r="F45" s="25"/>
      <c r="G45" s="25"/>
      <c r="H45" s="25"/>
      <c r="I45" s="25"/>
      <c r="J45" s="25"/>
      <c r="K45" s="34">
        <f>K46*(1+J12)</f>
        <v>0.16784523809523819</v>
      </c>
      <c r="L45" s="34">
        <f>K45-($K$45-$O$45)/($O$42-$K$42)</f>
        <v>0.15775892857142865</v>
      </c>
      <c r="M45" s="34">
        <f t="shared" ref="M45:N45" si="26">L45-($K$45-$O$45)/($O$42-$K$42)</f>
        <v>0.14767261904761911</v>
      </c>
      <c r="N45" s="34">
        <f t="shared" si="26"/>
        <v>0.13758630952380957</v>
      </c>
      <c r="O45" s="34">
        <f>O46*(1+J13)</f>
        <v>0.1275</v>
      </c>
    </row>
    <row r="46" spans="1:15" ht="14.4" x14ac:dyDescent="0.3">
      <c r="B46" t="s">
        <v>34</v>
      </c>
      <c r="E46" s="33"/>
      <c r="F46" s="25"/>
      <c r="G46" s="25"/>
      <c r="H46" s="25"/>
      <c r="I46" s="25"/>
      <c r="J46" s="25"/>
      <c r="K46" s="35">
        <f>K23</f>
        <v>0.1864947089947091</v>
      </c>
      <c r="L46" s="35">
        <f>L23</f>
        <v>0.17999999999999994</v>
      </c>
      <c r="M46" s="34">
        <f>L46-($L$46-$O$46)/($O$42-$L$42)</f>
        <v>0.16999999999999996</v>
      </c>
      <c r="N46" s="34">
        <f>M46-($L$46-$O$46)/($O$42-$L$42)</f>
        <v>0.15999999999999998</v>
      </c>
      <c r="O46" s="35">
        <f>O13</f>
        <v>0.15</v>
      </c>
    </row>
    <row r="47" spans="1:15" ht="14.4" x14ac:dyDescent="0.3">
      <c r="B47" t="s">
        <v>35</v>
      </c>
      <c r="E47" s="33"/>
      <c r="F47" s="25"/>
      <c r="G47" s="25"/>
      <c r="H47" s="25"/>
      <c r="I47" s="25"/>
      <c r="J47" s="25"/>
      <c r="K47" s="34">
        <f>K46*(1+T12)</f>
        <v>0.20514417989418002</v>
      </c>
      <c r="L47" s="34">
        <f>K47-($K$47-$O$47)/($O$42-$K$42)</f>
        <v>0.19698313492063502</v>
      </c>
      <c r="M47" s="34">
        <f t="shared" ref="M47:N47" si="27">L47-($K$47-$O$47)/($O$42-$K$42)</f>
        <v>0.18882208994709002</v>
      </c>
      <c r="N47" s="34">
        <f t="shared" si="27"/>
        <v>0.18066104497354502</v>
      </c>
      <c r="O47" s="34">
        <f>O46*(1+T13)</f>
        <v>0.17249999999999999</v>
      </c>
    </row>
    <row r="49" spans="2:17" ht="14.4" x14ac:dyDescent="0.3">
      <c r="B49" t="s">
        <v>18</v>
      </c>
      <c r="E49" s="31">
        <f>E25</f>
        <v>633</v>
      </c>
      <c r="F49" s="31">
        <f t="shared" ref="F49:J49" si="28">F25</f>
        <v>840</v>
      </c>
      <c r="G49" s="31">
        <f t="shared" si="28"/>
        <v>1657</v>
      </c>
      <c r="H49" s="31">
        <f t="shared" si="28"/>
        <v>4069</v>
      </c>
      <c r="I49" s="31">
        <f t="shared" si="28"/>
        <v>6345</v>
      </c>
      <c r="J49" s="31">
        <f t="shared" si="28"/>
        <v>4673.92</v>
      </c>
      <c r="K49" s="32">
        <f ca="1">K50*K43</f>
        <v>7503.9650162632815</v>
      </c>
      <c r="L49" s="32">
        <f t="shared" ref="L49:O49" ca="1" si="29">L50*L43</f>
        <v>9353.9292789142946</v>
      </c>
      <c r="M49" s="32">
        <f t="shared" ca="1" si="29"/>
        <v>11562.173350382789</v>
      </c>
      <c r="N49" s="32">
        <f t="shared" ca="1" si="29"/>
        <v>14172.878265267867</v>
      </c>
      <c r="O49" s="32">
        <f t="shared" ca="1" si="29"/>
        <v>17229.593038945062</v>
      </c>
    </row>
    <row r="50" spans="2:17" ht="14.4" x14ac:dyDescent="0.3">
      <c r="B50" s="23" t="s">
        <v>25</v>
      </c>
      <c r="E50" s="33">
        <f>E49/E43</f>
        <v>9.7760617760617757E-2</v>
      </c>
      <c r="F50" s="33">
        <f t="shared" ref="F50:J50" si="30">F49/F43</f>
        <v>0.12479572128955578</v>
      </c>
      <c r="G50" s="33">
        <f t="shared" si="30"/>
        <v>0.1697224213868688</v>
      </c>
      <c r="H50" s="33">
        <f t="shared" si="30"/>
        <v>0.24759644639162712</v>
      </c>
      <c r="I50" s="33">
        <f t="shared" si="30"/>
        <v>0.26884454048557266</v>
      </c>
      <c r="J50" s="33">
        <f t="shared" si="30"/>
        <v>0.20608112874779541</v>
      </c>
      <c r="K50" s="33">
        <f ca="1">OFFSET(K50,$E$13,0)</f>
        <v>0.2745419681378834</v>
      </c>
      <c r="L50" s="33">
        <f t="shared" ref="L50:O50" ca="1" si="31">OFFSET(L50,$E$13,0)</f>
        <v>0.28590647610341258</v>
      </c>
      <c r="M50" s="33">
        <f t="shared" ca="1" si="31"/>
        <v>0.2972709840689417</v>
      </c>
      <c r="N50" s="33">
        <f t="shared" ca="1" si="31"/>
        <v>0.30863549203447083</v>
      </c>
      <c r="O50" s="33">
        <f t="shared" ca="1" si="31"/>
        <v>0.32</v>
      </c>
    </row>
    <row r="51" spans="2:17" ht="14.4" x14ac:dyDescent="0.3">
      <c r="B51" t="s">
        <v>33</v>
      </c>
      <c r="E51" s="33"/>
      <c r="F51" s="25"/>
      <c r="G51" s="25"/>
      <c r="H51" s="25"/>
      <c r="I51" s="25"/>
      <c r="J51" s="25"/>
      <c r="K51" s="34">
        <f>K52*(1+J14)</f>
        <v>0.2483951140295135</v>
      </c>
      <c r="L51" s="34">
        <f>K51+($O51-$K51)/($O$42-$K$42)</f>
        <v>0.25379633552213515</v>
      </c>
      <c r="M51" s="34">
        <f t="shared" ref="M51:N53" si="32">L51+($O51-$K51)/($O$42-$K$42)</f>
        <v>0.25919755701475677</v>
      </c>
      <c r="N51" s="34">
        <f t="shared" si="32"/>
        <v>0.2645987785073784</v>
      </c>
      <c r="O51" s="35">
        <f>J15</f>
        <v>0.27</v>
      </c>
    </row>
    <row r="52" spans="2:17" ht="14.4" x14ac:dyDescent="0.3">
      <c r="B52" t="s">
        <v>34</v>
      </c>
      <c r="E52" s="33"/>
      <c r="F52" s="25"/>
      <c r="G52" s="25"/>
      <c r="H52" s="25"/>
      <c r="I52" s="25"/>
      <c r="J52" s="25"/>
      <c r="K52" s="35">
        <f>K26</f>
        <v>0.26146854108369844</v>
      </c>
      <c r="L52" s="34">
        <f>K52+($O52-$K52)/($O$42-$K$42)</f>
        <v>0.27110140581277381</v>
      </c>
      <c r="M52" s="34">
        <f t="shared" si="32"/>
        <v>0.28073427054184918</v>
      </c>
      <c r="N52" s="34">
        <f>M52+($O52-$L52)/($O$42-$L$42)</f>
        <v>0.29036713527092456</v>
      </c>
      <c r="O52" s="35">
        <f>O15</f>
        <v>0.3</v>
      </c>
    </row>
    <row r="53" spans="2:17" ht="14.4" x14ac:dyDescent="0.3">
      <c r="B53" t="s">
        <v>35</v>
      </c>
      <c r="E53" s="33"/>
      <c r="F53" s="25"/>
      <c r="G53" s="25"/>
      <c r="H53" s="25"/>
      <c r="I53" s="25"/>
      <c r="J53" s="25"/>
      <c r="K53" s="34">
        <f>K52*(1+T14)</f>
        <v>0.2745419681378834</v>
      </c>
      <c r="L53" s="34">
        <f>K53+($O53-$K53)/($O$42-$K$42)</f>
        <v>0.28590647610341258</v>
      </c>
      <c r="M53" s="34">
        <f t="shared" si="32"/>
        <v>0.2972709840689417</v>
      </c>
      <c r="N53" s="34">
        <f t="shared" si="32"/>
        <v>0.30863549203447083</v>
      </c>
      <c r="O53" s="35">
        <f>T15</f>
        <v>0.32</v>
      </c>
    </row>
    <row r="54" spans="2:17" ht="14.4" x14ac:dyDescent="0.3">
      <c r="K54" s="36"/>
    </row>
    <row r="55" spans="2:17" ht="14.4" x14ac:dyDescent="0.3">
      <c r="B55" t="s">
        <v>26</v>
      </c>
      <c r="E55" s="31">
        <f>E28</f>
        <v>34</v>
      </c>
      <c r="F55" s="31">
        <f t="shared" ref="F55:J56" si="33">F28</f>
        <v>23</v>
      </c>
      <c r="G55" s="31">
        <f t="shared" si="33"/>
        <v>48</v>
      </c>
      <c r="H55" s="31">
        <f t="shared" si="33"/>
        <v>606</v>
      </c>
      <c r="I55" s="31">
        <f t="shared" si="33"/>
        <v>823</v>
      </c>
      <c r="J55" s="31">
        <f t="shared" si="33"/>
        <v>647.774</v>
      </c>
      <c r="K55" s="32">
        <f ca="1">K49*K56</f>
        <v>988.17006187663549</v>
      </c>
      <c r="L55" s="32">
        <f t="shared" ref="L55:O55" ca="1" si="34">L49*L56</f>
        <v>1231.7851768100652</v>
      </c>
      <c r="M55" s="32">
        <f t="shared" ca="1" si="34"/>
        <v>1522.5808662905524</v>
      </c>
      <c r="N55" s="32">
        <f t="shared" ca="1" si="34"/>
        <v>1866.3751712603118</v>
      </c>
      <c r="O55" s="32">
        <f t="shared" ca="1" si="34"/>
        <v>2268.9029043317478</v>
      </c>
    </row>
    <row r="56" spans="2:17" ht="14.4" x14ac:dyDescent="0.3">
      <c r="B56" s="23" t="s">
        <v>27</v>
      </c>
      <c r="E56" s="37">
        <f>E29</f>
        <v>6.2157221206581355E-2</v>
      </c>
      <c r="F56" s="37">
        <f t="shared" si="33"/>
        <v>2.9525032092426188E-2</v>
      </c>
      <c r="G56" s="37">
        <f t="shared" si="33"/>
        <v>2.9574861367837338E-2</v>
      </c>
      <c r="H56" s="37">
        <f t="shared" si="33"/>
        <v>0.14996288047512993</v>
      </c>
      <c r="I56" s="37">
        <f t="shared" si="33"/>
        <v>0.13007744586691955</v>
      </c>
      <c r="J56" s="37">
        <f t="shared" si="33"/>
        <v>0.13329533365296964</v>
      </c>
      <c r="K56" s="38">
        <f>AVERAGE(I56:J56)</f>
        <v>0.13168638975994459</v>
      </c>
      <c r="L56" s="34">
        <f>K56</f>
        <v>0.13168638975994459</v>
      </c>
      <c r="M56" s="34">
        <f t="shared" ref="M56:O56" si="35">L56</f>
        <v>0.13168638975994459</v>
      </c>
      <c r="N56" s="34">
        <f t="shared" si="35"/>
        <v>0.13168638975994459</v>
      </c>
      <c r="O56" s="34">
        <f t="shared" si="35"/>
        <v>0.13168638975994459</v>
      </c>
    </row>
    <row r="57" spans="2:17" x14ac:dyDescent="0.25">
      <c r="Q57" t="s">
        <v>36</v>
      </c>
    </row>
    <row r="58" spans="2:17" x14ac:dyDescent="0.25">
      <c r="B58" s="39" t="s">
        <v>37</v>
      </c>
      <c r="C58" s="40"/>
      <c r="D58" s="40"/>
      <c r="E58" s="40"/>
      <c r="F58" s="40"/>
      <c r="G58" s="40"/>
      <c r="H58" s="40"/>
      <c r="I58" s="40"/>
      <c r="J58" s="40"/>
      <c r="K58" s="41">
        <f ca="1">K49-K55</f>
        <v>6515.7949543866462</v>
      </c>
      <c r="L58" s="41">
        <f t="shared" ref="L58:O58" ca="1" si="36">L49-L55</f>
        <v>8122.1441021042292</v>
      </c>
      <c r="M58" s="41">
        <f t="shared" ca="1" si="36"/>
        <v>10039.592484092236</v>
      </c>
      <c r="N58" s="41">
        <f t="shared" ca="1" si="36"/>
        <v>12306.503094007556</v>
      </c>
      <c r="O58" s="42">
        <f t="shared" ca="1" si="36"/>
        <v>14960.690134613315</v>
      </c>
    </row>
    <row r="60" spans="2:17" ht="14.4" x14ac:dyDescent="0.3">
      <c r="B60" t="s">
        <v>29</v>
      </c>
      <c r="E60" s="31">
        <f>E32</f>
        <v>170</v>
      </c>
      <c r="F60" s="31">
        <f t="shared" ref="F60:J60" si="37">F32</f>
        <v>258</v>
      </c>
      <c r="G60" s="31">
        <f t="shared" si="37"/>
        <v>368</v>
      </c>
      <c r="H60" s="31">
        <f t="shared" si="37"/>
        <v>463</v>
      </c>
      <c r="I60" s="31">
        <f t="shared" si="37"/>
        <v>4451</v>
      </c>
      <c r="J60" s="31">
        <f t="shared" si="37"/>
        <v>3554</v>
      </c>
      <c r="K60" s="32">
        <f ca="1">K61*K$43</f>
        <v>1782.7644196215374</v>
      </c>
      <c r="L60" s="32">
        <f t="shared" ref="L60:O60" ca="1" si="38">L61*L$43</f>
        <v>2133.9389438235544</v>
      </c>
      <c r="M60" s="32">
        <f t="shared" ca="1" si="38"/>
        <v>2536.8737550158039</v>
      </c>
      <c r="N60" s="32">
        <f t="shared" ca="1" si="38"/>
        <v>2995.1880185629198</v>
      </c>
      <c r="O60" s="32">
        <f t="shared" ca="1" si="38"/>
        <v>3511.8579517650232</v>
      </c>
    </row>
    <row r="61" spans="2:17" ht="14.4" x14ac:dyDescent="0.3">
      <c r="B61" s="23" t="s">
        <v>25</v>
      </c>
      <c r="E61" s="33">
        <f t="shared" ref="E61:J61" si="39">E33</f>
        <v>2.6254826254826256E-2</v>
      </c>
      <c r="F61" s="33">
        <f t="shared" si="39"/>
        <v>3.833011439607785E-2</v>
      </c>
      <c r="G61" s="33">
        <f t="shared" si="39"/>
        <v>3.7693331967632901E-2</v>
      </c>
      <c r="H61" s="33">
        <f t="shared" si="39"/>
        <v>2.8173299257636605E-2</v>
      </c>
      <c r="I61" s="33">
        <f t="shared" si="39"/>
        <v>0.18859370365662473</v>
      </c>
      <c r="J61" s="33">
        <f t="shared" si="39"/>
        <v>0.15670194003527338</v>
      </c>
      <c r="K61" s="38">
        <f>AVERAGE(J61,H61,G61,F61)</f>
        <v>6.5224671414155194E-2</v>
      </c>
      <c r="L61" s="35">
        <f>K61</f>
        <v>6.5224671414155194E-2</v>
      </c>
      <c r="M61" s="35">
        <f t="shared" ref="M61:O61" si="40">L61</f>
        <v>6.5224671414155194E-2</v>
      </c>
      <c r="N61" s="35">
        <f t="shared" si="40"/>
        <v>6.5224671414155194E-2</v>
      </c>
      <c r="O61" s="35">
        <f t="shared" si="40"/>
        <v>6.5224671414155194E-2</v>
      </c>
    </row>
    <row r="63" spans="2:17" ht="14.4" x14ac:dyDescent="0.3">
      <c r="B63" t="s">
        <v>30</v>
      </c>
      <c r="E63" s="31">
        <f t="shared" ref="E63:J64" si="41">E35</f>
        <v>163</v>
      </c>
      <c r="F63" s="31">
        <f t="shared" si="41"/>
        <v>217</v>
      </c>
      <c r="G63" s="31">
        <f>G35</f>
        <v>-301</v>
      </c>
      <c r="H63" s="31">
        <f t="shared" si="41"/>
        <v>301</v>
      </c>
      <c r="I63" s="31">
        <f t="shared" si="41"/>
        <v>450</v>
      </c>
      <c r="J63" s="31">
        <f t="shared" si="41"/>
        <v>546</v>
      </c>
      <c r="K63" s="32">
        <f ca="1">K64*K$43</f>
        <v>343.6534255547964</v>
      </c>
      <c r="L63" s="32">
        <f t="shared" ref="L63:O63" ca="1" si="42">L64*L$43</f>
        <v>411.34735464679522</v>
      </c>
      <c r="M63" s="32">
        <f t="shared" ca="1" si="42"/>
        <v>489.01882184540995</v>
      </c>
      <c r="N63" s="32">
        <f t="shared" ca="1" si="42"/>
        <v>577.36547321173362</v>
      </c>
      <c r="O63" s="32">
        <f t="shared" ca="1" si="42"/>
        <v>676.96101734075751</v>
      </c>
    </row>
    <row r="64" spans="2:17" ht="14.4" x14ac:dyDescent="0.3">
      <c r="B64" s="23" t="s">
        <v>25</v>
      </c>
      <c r="E64" s="33">
        <f t="shared" si="41"/>
        <v>2.5173745173745175E-2</v>
      </c>
      <c r="F64" s="33">
        <f t="shared" si="41"/>
        <v>3.2238894666468579E-2</v>
      </c>
      <c r="G64" s="33">
        <f t="shared" si="41"/>
        <v>-3.0830687288743216E-2</v>
      </c>
      <c r="H64" s="33">
        <f t="shared" si="41"/>
        <v>1.8315686990385785E-2</v>
      </c>
      <c r="I64" s="33">
        <f t="shared" si="41"/>
        <v>1.9066988686920045E-2</v>
      </c>
      <c r="J64" s="33">
        <f t="shared" si="41"/>
        <v>2.4074074074074074E-2</v>
      </c>
      <c r="K64" s="38">
        <f>AVERAGE(F64:J64)</f>
        <v>1.2572991425821054E-2</v>
      </c>
      <c r="L64" s="35">
        <f>K64</f>
        <v>1.2572991425821054E-2</v>
      </c>
      <c r="M64" s="35">
        <f t="shared" ref="M64:O64" si="43">L64</f>
        <v>1.2572991425821054E-2</v>
      </c>
      <c r="N64" s="35">
        <f t="shared" si="43"/>
        <v>1.2572991425821054E-2</v>
      </c>
      <c r="O64" s="35">
        <f t="shared" si="43"/>
        <v>1.2572991425821054E-2</v>
      </c>
    </row>
    <row r="66" spans="2:15" ht="14.4" x14ac:dyDescent="0.3">
      <c r="B66" t="s">
        <v>31</v>
      </c>
      <c r="E66" s="43">
        <f t="shared" ref="E66:J67" si="44">E38</f>
        <v>-727</v>
      </c>
      <c r="F66" s="43">
        <f t="shared" si="44"/>
        <v>-542</v>
      </c>
      <c r="G66" s="43">
        <f t="shared" si="44"/>
        <v>-931</v>
      </c>
      <c r="H66" s="43">
        <f t="shared" si="44"/>
        <v>-774</v>
      </c>
      <c r="I66" s="43">
        <f t="shared" si="44"/>
        <v>-1846</v>
      </c>
      <c r="J66" s="43">
        <f t="shared" si="44"/>
        <v>-3049</v>
      </c>
      <c r="K66" s="26">
        <f ca="1">K67*K$43</f>
        <v>-2381.4032505952591</v>
      </c>
      <c r="L66" s="26">
        <f t="shared" ref="L66:O66" ca="1" si="45">L67*L$43</f>
        <v>-2850.499528407704</v>
      </c>
      <c r="M66" s="26">
        <f t="shared" ca="1" si="45"/>
        <v>-3388.7368067548414</v>
      </c>
      <c r="N66" s="26">
        <f t="shared" ca="1" si="45"/>
        <v>-4000.9495394034848</v>
      </c>
      <c r="O66" s="26">
        <f t="shared" ca="1" si="45"/>
        <v>-4691.1133349505853</v>
      </c>
    </row>
    <row r="67" spans="2:15" ht="14.4" x14ac:dyDescent="0.3">
      <c r="B67" s="23" t="s">
        <v>25</v>
      </c>
      <c r="E67" s="33">
        <f t="shared" si="44"/>
        <v>-0.11227799227799228</v>
      </c>
      <c r="F67" s="33">
        <f t="shared" si="44"/>
        <v>-8.0522953498737185E-2</v>
      </c>
      <c r="G67" s="33">
        <f t="shared" si="44"/>
        <v>-9.5360032776810405E-2</v>
      </c>
      <c r="H67" s="33">
        <f t="shared" si="44"/>
        <v>-4.7097480832420595E-2</v>
      </c>
      <c r="I67" s="33">
        <f t="shared" si="44"/>
        <v>-7.8217024702343124E-2</v>
      </c>
      <c r="J67" s="33">
        <f t="shared" si="44"/>
        <v>-0.13443562610229276</v>
      </c>
      <c r="K67" s="44">
        <f>AVERAGE(F67:J67)</f>
        <v>-8.712662358252081E-2</v>
      </c>
      <c r="L67" s="45">
        <f>K67</f>
        <v>-8.712662358252081E-2</v>
      </c>
      <c r="M67" s="45">
        <f t="shared" ref="M67:O67" si="46">L67</f>
        <v>-8.712662358252081E-2</v>
      </c>
      <c r="N67" s="45">
        <f t="shared" si="46"/>
        <v>-8.712662358252081E-2</v>
      </c>
      <c r="O67" s="45">
        <f t="shared" si="46"/>
        <v>-8.712662358252081E-2</v>
      </c>
    </row>
    <row r="69" spans="2:15" x14ac:dyDescent="0.25">
      <c r="B69" s="46" t="s">
        <v>38</v>
      </c>
      <c r="C69" s="47"/>
      <c r="D69" s="47"/>
      <c r="E69" s="47"/>
      <c r="F69" s="47"/>
      <c r="G69" s="47"/>
      <c r="H69" s="47"/>
      <c r="I69" s="47"/>
      <c r="J69" s="47"/>
      <c r="K69" s="48">
        <f ca="1">K58+K60-K63-K66</f>
        <v>10336.309199048646</v>
      </c>
      <c r="L69" s="48">
        <f t="shared" ref="L69:O69" ca="1" si="47">L58+L60-L63-L66</f>
        <v>12695.235219688693</v>
      </c>
      <c r="M69" s="48">
        <f t="shared" ca="1" si="47"/>
        <v>15476.184224017472</v>
      </c>
      <c r="N69" s="48">
        <f t="shared" ca="1" si="47"/>
        <v>18725.275178762226</v>
      </c>
      <c r="O69" s="49">
        <f t="shared" ca="1" si="47"/>
        <v>22486.700403988165</v>
      </c>
    </row>
    <row r="70" spans="2:15" x14ac:dyDescent="0.25">
      <c r="B70" s="50" t="s">
        <v>39</v>
      </c>
      <c r="C70" s="51"/>
      <c r="D70" s="51"/>
      <c r="E70" s="51"/>
      <c r="F70" s="51"/>
      <c r="G70" s="51"/>
      <c r="H70" s="51"/>
      <c r="I70" s="51"/>
      <c r="J70" s="51"/>
      <c r="K70" s="52">
        <f ca="1">K69/(1+wacc)^K72</f>
        <v>9704.2955974125325</v>
      </c>
      <c r="L70" s="52">
        <f ca="1">L69/(1+wacc)^L72</f>
        <v>10505.974098836828</v>
      </c>
      <c r="M70" s="52">
        <f ca="1">M69/(1+wacc)^M72</f>
        <v>11289.027053165228</v>
      </c>
      <c r="N70" s="52">
        <f ca="1">N69/(1+wacc)^N72</f>
        <v>12039.761414290006</v>
      </c>
      <c r="O70" s="53">
        <f ca="1">O69/(1+wacc)^O72</f>
        <v>12744.196381675507</v>
      </c>
    </row>
    <row r="72" spans="2:15" x14ac:dyDescent="0.25">
      <c r="B72" t="s">
        <v>40</v>
      </c>
      <c r="K72" s="54">
        <f>K73/2</f>
        <v>0.5</v>
      </c>
      <c r="L72" s="54">
        <f>K72+1</f>
        <v>1.5</v>
      </c>
      <c r="M72" s="54">
        <f t="shared" ref="M72:O72" si="48">L72+1</f>
        <v>2.5</v>
      </c>
      <c r="N72" s="54">
        <f t="shared" si="48"/>
        <v>3.5</v>
      </c>
      <c r="O72" s="54">
        <f t="shared" si="48"/>
        <v>4.5</v>
      </c>
    </row>
    <row r="73" spans="2:15" x14ac:dyDescent="0.25">
      <c r="B73" t="s">
        <v>41</v>
      </c>
      <c r="K73" s="55">
        <f>YEARFRAC(C5,C6)</f>
        <v>1</v>
      </c>
    </row>
    <row r="75" spans="2:15" ht="14.4" x14ac:dyDescent="0.3">
      <c r="B75" t="s">
        <v>42</v>
      </c>
      <c r="O75" s="26">
        <f ca="1">(O69*(1+tgr))/(wacc-tgr)</f>
        <v>210499.72524409866</v>
      </c>
    </row>
    <row r="76" spans="2:15" ht="14.4" x14ac:dyDescent="0.3">
      <c r="B76" t="s">
        <v>43</v>
      </c>
      <c r="O76" s="26">
        <f ca="1">O75/(1+wacc)^O72</f>
        <v>119299.39869362714</v>
      </c>
    </row>
    <row r="77" spans="2:15" ht="14.4" x14ac:dyDescent="0.3">
      <c r="B77" t="s">
        <v>44</v>
      </c>
      <c r="O77" s="26">
        <f ca="1">SUM(K70:O70,O76)</f>
        <v>175582.65323900725</v>
      </c>
    </row>
    <row r="78" spans="2:15" ht="14.4" x14ac:dyDescent="0.3">
      <c r="B78" t="s">
        <v>45</v>
      </c>
      <c r="O78" s="26">
        <f>4190+1845</f>
        <v>6035</v>
      </c>
    </row>
    <row r="79" spans="2:15" ht="14.4" x14ac:dyDescent="0.3">
      <c r="B79" t="s">
        <v>46</v>
      </c>
      <c r="O79" s="26">
        <f>[1]WACC!F15</f>
        <v>2998</v>
      </c>
    </row>
    <row r="80" spans="2:15" ht="14.4" x14ac:dyDescent="0.3">
      <c r="B80" t="s">
        <v>47</v>
      </c>
      <c r="O80" s="26">
        <f ca="1">O77+O78-O79</f>
        <v>178619.65323900725</v>
      </c>
    </row>
    <row r="82" spans="1:15" ht="14.4" x14ac:dyDescent="0.3">
      <c r="B82" t="s">
        <v>48</v>
      </c>
      <c r="O82" s="26">
        <v>1622</v>
      </c>
    </row>
    <row r="83" spans="1:15" x14ac:dyDescent="0.25">
      <c r="A83" s="10" t="s">
        <v>9</v>
      </c>
      <c r="B83" t="s">
        <v>3</v>
      </c>
      <c r="O83" s="67">
        <f ca="1">O80/O82</f>
        <v>110.12309077620669</v>
      </c>
    </row>
  </sheetData>
  <mergeCells count="1">
    <mergeCell ref="M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14DF-A7F4-47BF-A887-8BCA05315BE6}">
  <dimension ref="B2:F22"/>
  <sheetViews>
    <sheetView workbookViewId="0">
      <selection activeCell="F17" sqref="F17"/>
    </sheetView>
  </sheetViews>
  <sheetFormatPr defaultColWidth="9.875" defaultRowHeight="13.8" x14ac:dyDescent="0.25"/>
  <cols>
    <col min="1" max="1" width="4.125" customWidth="1"/>
    <col min="6" max="6" width="14.25" customWidth="1"/>
  </cols>
  <sheetData>
    <row r="2" spans="2:6" s="3" customFormat="1" ht="21" x14ac:dyDescent="0.4">
      <c r="B2" s="2" t="s">
        <v>19</v>
      </c>
    </row>
    <row r="4" spans="2:6" x14ac:dyDescent="0.25">
      <c r="B4" t="s">
        <v>49</v>
      </c>
    </row>
    <row r="5" spans="2:6" x14ac:dyDescent="0.25">
      <c r="B5" t="s">
        <v>50</v>
      </c>
    </row>
    <row r="7" spans="2:6" ht="14.4" x14ac:dyDescent="0.3">
      <c r="B7" s="56" t="s">
        <v>19</v>
      </c>
      <c r="C7" s="57"/>
      <c r="D7" s="57"/>
      <c r="E7" s="57"/>
      <c r="F7" s="57"/>
    </row>
    <row r="8" spans="2:6" x14ac:dyDescent="0.25">
      <c r="B8" t="s">
        <v>51</v>
      </c>
      <c r="F8" s="58">
        <v>266000</v>
      </c>
    </row>
    <row r="9" spans="2:6" x14ac:dyDescent="0.25">
      <c r="B9" t="s">
        <v>52</v>
      </c>
      <c r="F9" s="59">
        <f>F8/F20</f>
        <v>0.98885493572442917</v>
      </c>
    </row>
    <row r="10" spans="2:6" x14ac:dyDescent="0.25">
      <c r="B10" t="s">
        <v>53</v>
      </c>
      <c r="F10" s="59">
        <f>F11+F12*F13</f>
        <v>0.14077999999999999</v>
      </c>
    </row>
    <row r="11" spans="2:6" x14ac:dyDescent="0.25">
      <c r="B11" t="s">
        <v>54</v>
      </c>
      <c r="F11" s="60">
        <v>4.616E-2</v>
      </c>
    </row>
    <row r="12" spans="2:6" x14ac:dyDescent="0.25">
      <c r="B12" t="s">
        <v>55</v>
      </c>
      <c r="F12" s="61">
        <v>1.66</v>
      </c>
    </row>
    <row r="13" spans="2:6" x14ac:dyDescent="0.25">
      <c r="B13" t="s">
        <v>56</v>
      </c>
      <c r="F13" s="60">
        <v>5.7000000000000002E-2</v>
      </c>
    </row>
    <row r="15" spans="2:6" x14ac:dyDescent="0.25">
      <c r="B15" t="s">
        <v>57</v>
      </c>
      <c r="F15" s="62">
        <f>750+2248</f>
        <v>2998</v>
      </c>
    </row>
    <row r="16" spans="2:6" x14ac:dyDescent="0.25">
      <c r="B16" t="s">
        <v>58</v>
      </c>
      <c r="F16" s="59">
        <f>F15/F20</f>
        <v>1.1145064275570823E-2</v>
      </c>
    </row>
    <row r="17" spans="2:6" x14ac:dyDescent="0.25">
      <c r="B17" t="s">
        <v>59</v>
      </c>
      <c r="F17" s="60">
        <v>2.9499999999999998E-2</v>
      </c>
    </row>
    <row r="18" spans="2:6" x14ac:dyDescent="0.25">
      <c r="B18" t="s">
        <v>60</v>
      </c>
      <c r="F18" s="60">
        <f>[1]DCF!J29</f>
        <v>0.13329533365296964</v>
      </c>
    </row>
    <row r="20" spans="2:6" x14ac:dyDescent="0.25">
      <c r="B20" t="s">
        <v>61</v>
      </c>
      <c r="F20" s="58">
        <f>F8+F15</f>
        <v>268998</v>
      </c>
    </row>
    <row r="22" spans="2:6" x14ac:dyDescent="0.25">
      <c r="B22" s="63" t="s">
        <v>19</v>
      </c>
      <c r="F22" s="64">
        <f>(F9*F10)+(F16*F17*(1-F18))</f>
        <v>0.1394959524881092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Agenda</vt:lpstr>
      <vt:lpstr>DCF Model</vt:lpstr>
      <vt:lpstr>WACC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</dc:creator>
  <cp:lastModifiedBy>SARANG</cp:lastModifiedBy>
  <dcterms:created xsi:type="dcterms:W3CDTF">2024-05-29T22:26:41Z</dcterms:created>
  <dcterms:modified xsi:type="dcterms:W3CDTF">2024-06-03T06:17:32Z</dcterms:modified>
</cp:coreProperties>
</file>